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0" yWindow="-120" windowWidth="15480" windowHeight="7080" tabRatio="1000"/>
  </bookViews>
  <sheets>
    <sheet name="B. Summ of Reqs - S&amp;E-M&amp;A " sheetId="1" r:id="rId1"/>
    <sheet name="D. Strat Goals &amp; Objs - S&amp;E-M&amp;A" sheetId="2" r:id="rId2"/>
    <sheet name="E. ATB Justification - S&amp;E-M&amp;A" sheetId="3" r:id="rId3"/>
    <sheet name="F. 2011 Crosswalk - S&amp;E-M&amp;A" sheetId="4" r:id="rId4"/>
    <sheet name="G. 2012 Crosswalk - S&amp;E-M&amp;A" sheetId="5" r:id="rId5"/>
    <sheet name="H. Reimb Resources - S&amp;E-M&amp;A" sheetId="6" r:id="rId6"/>
    <sheet name="I. Perm Positions - S&amp;E-M&amp;A" sheetId="7" r:id="rId7"/>
    <sheet name="K. Summ by Grade - S&amp;E-M&amp;A" sheetId="8" r:id="rId8"/>
    <sheet name="L. Summ by Ob Class  - S&amp;E-M&amp;A " sheetId="9" r:id="rId9"/>
    <sheet name="B. Summ of Reqs - RES " sheetId="10" r:id="rId10"/>
    <sheet name="C. Increases Offsets  - RES " sheetId="11" r:id="rId11"/>
    <sheet name="D. Strat Goals &amp; Obs  - RES " sheetId="12" r:id="rId12"/>
    <sheet name="F. 2011 Crosswalk  - RES " sheetId="13" r:id="rId13"/>
    <sheet name="G. 2012 Crosswalk  - RES " sheetId="14" r:id="rId14"/>
    <sheet name="H. Reimb Resources  - RES " sheetId="15" r:id="rId15"/>
    <sheet name="J. Finan Analysis  - RES " sheetId="16" r:id="rId16"/>
    <sheet name="L. Summ by Ob Class  - RES " sheetId="17" r:id="rId17"/>
    <sheet name="B. Summ of Reqs -SLLEA " sheetId="18" r:id="rId18"/>
    <sheet name="C. Increases Offsets - SLLEA" sheetId="19" r:id="rId19"/>
    <sheet name="D. Strat Goals &amp; Obs - SLLEA" sheetId="20" r:id="rId20"/>
    <sheet name="F. 2011 Crosswalk - SLLEA" sheetId="21" r:id="rId21"/>
    <sheet name="G. 2012 Crosswalk - SLLEA" sheetId="22" r:id="rId22"/>
    <sheet name="H. Reimb Resources - SLLEA" sheetId="23" r:id="rId23"/>
    <sheet name="J. Finan Analysis - SLLEA" sheetId="24" r:id="rId24"/>
    <sheet name="L. Summ by Object Class - SLLEA" sheetId="25" r:id="rId25"/>
    <sheet name="F. 2011 Crosswalk - W&amp;S" sheetId="26" r:id="rId26"/>
    <sheet name="G. 2012 Crosswalk - W&amp;S" sheetId="27" r:id="rId27"/>
    <sheet name="L. Summ by Object Class - W&amp;S" sheetId="28" r:id="rId28"/>
    <sheet name="B. Summ of Reqs - JJ " sheetId="29" r:id="rId29"/>
    <sheet name="C. Increases Offsets - JJ" sheetId="30" r:id="rId30"/>
    <sheet name="D. Strat Goals &amp; Objs - JJ" sheetId="31" r:id="rId31"/>
    <sheet name="F. 2011 Crosswalk - JJ" sheetId="32" r:id="rId32"/>
    <sheet name="G. 2012 Crosswalk - JJ" sheetId="33" r:id="rId33"/>
    <sheet name="H. Reimb Resources - JJ" sheetId="34" r:id="rId34"/>
    <sheet name="J. Finan Analysis - JJ" sheetId="35" r:id="rId35"/>
    <sheet name="L. Summ by Ob Class - JJ" sheetId="36" r:id="rId36"/>
    <sheet name="B. Summ of Reqs - PSOB " sheetId="37" r:id="rId37"/>
    <sheet name="C. Increases Offsets - PSOB " sheetId="38" r:id="rId38"/>
    <sheet name="D. Strat Goals &amp; Obs - PSOB " sheetId="39" r:id="rId39"/>
    <sheet name="F. 2011 Crosswalk - PSOB " sheetId="40" r:id="rId40"/>
    <sheet name="G. 2012 Crosswalk - PSOB " sheetId="41" r:id="rId41"/>
    <sheet name="J. Finan Analysis - PSOB " sheetId="42" r:id="rId42"/>
    <sheet name="L. Summ by Ob Class - PSOB " sheetId="43" r:id="rId43"/>
    <sheet name="B. Summ of Reqs - CVF " sheetId="44" r:id="rId44"/>
    <sheet name="C. Increases Offsets - CVF" sheetId="45" r:id="rId45"/>
    <sheet name="D. Strat Goals &amp; Obs - CVF" sheetId="46" r:id="rId46"/>
    <sheet name="F. 2011 Crosswalk - CVF" sheetId="47" r:id="rId47"/>
    <sheet name="G. 2012 Crosswalk - CVF" sheetId="48" r:id="rId48"/>
    <sheet name="J. Finan Analysis - CVF" sheetId="49" r:id="rId49"/>
    <sheet name="L. Summ by Object Class - CVF" sheetId="50" r:id="rId50"/>
    <sheet name="M. Studies" sheetId="51" r:id="rId51"/>
    <sheet name="N. Summary of Program Changes" sheetId="57" r:id="rId52"/>
  </sheets>
  <externalReferences>
    <externalReference r:id="rId53"/>
    <externalReference r:id="rId54"/>
    <externalReference r:id="rId55"/>
    <externalReference r:id="rId56"/>
    <externalReference r:id="rId57"/>
    <externalReference r:id="rId58"/>
    <externalReference r:id="rId59"/>
  </externalReferences>
  <definedNames>
    <definedName name="_1_______________GA_ROLLUP" localSheetId="26">#REF!</definedName>
    <definedName name="_1_______________GA_ROLLUP">#REF!</definedName>
    <definedName name="_10______GA_ROLLUP" localSheetId="26">#REF!</definedName>
    <definedName name="_10______GA_ROLLUP">#REF!</definedName>
    <definedName name="_10POS_BY_CAT" localSheetId="15">'[1]Summ Atty Agt'!#REF!</definedName>
    <definedName name="_10POS_BY_CAT" localSheetId="48">'[1]Summ Atty Agt'!#REF!</definedName>
    <definedName name="_10POS_BY_CAT" localSheetId="34">'[1]Summ Atty Agt'!#REF!</definedName>
    <definedName name="_10POS_BY_CAT" localSheetId="41">'[1]Summ Atty Agt'!#REF!</definedName>
    <definedName name="_10POS_BY_CAT" localSheetId="23">'[1]Summ Atty Agt'!#REF!</definedName>
    <definedName name="_11_____POS_BY_CAT" localSheetId="26">#REF!</definedName>
    <definedName name="_11_____POS_BY_CAT">#REF!</definedName>
    <definedName name="_11POS_BY_CAT" localSheetId="43">#REF!</definedName>
    <definedName name="_11POS_BY_CAT" localSheetId="28">#REF!</definedName>
    <definedName name="_11POS_BY_CAT" localSheetId="36">#REF!</definedName>
    <definedName name="_11POS_BY_CAT" localSheetId="9">#REF!</definedName>
    <definedName name="_11POS_BY_CAT" localSheetId="17">#REF!</definedName>
    <definedName name="_11POS_BY_CAT" localSheetId="10">#REF!</definedName>
    <definedName name="_11POS_BY_CAT" localSheetId="44">#REF!</definedName>
    <definedName name="_11POS_BY_CAT" localSheetId="29">#REF!</definedName>
    <definedName name="_11POS_BY_CAT" localSheetId="37">#REF!</definedName>
    <definedName name="_11POS_BY_CAT" localSheetId="18">#REF!</definedName>
    <definedName name="_11POS_BY_CAT" localSheetId="30">#REF!</definedName>
    <definedName name="_11POS_BY_CAT" localSheetId="11">#REF!</definedName>
    <definedName name="_11POS_BY_CAT" localSheetId="45">#REF!</definedName>
    <definedName name="_11POS_BY_CAT" localSheetId="38">#REF!</definedName>
    <definedName name="_11POS_BY_CAT" localSheetId="19">#REF!</definedName>
    <definedName name="_11POS_BY_CAT" localSheetId="12">#REF!</definedName>
    <definedName name="_11POS_BY_CAT" localSheetId="46">#REF!</definedName>
    <definedName name="_11POS_BY_CAT" localSheetId="31">#REF!</definedName>
    <definedName name="_11POS_BY_CAT" localSheetId="39">#REF!</definedName>
    <definedName name="_11POS_BY_CAT" localSheetId="20">#REF!</definedName>
    <definedName name="_11POS_BY_CAT" localSheetId="25">#REF!</definedName>
    <definedName name="_11POS_BY_CAT" localSheetId="13">#REF!</definedName>
    <definedName name="_11POS_BY_CAT" localSheetId="47">#REF!</definedName>
    <definedName name="_11POS_BY_CAT" localSheetId="32">#REF!</definedName>
    <definedName name="_11POS_BY_CAT" localSheetId="40">#REF!</definedName>
    <definedName name="_11POS_BY_CAT" localSheetId="21">#REF!</definedName>
    <definedName name="_11POS_BY_CAT" localSheetId="26">#REF!</definedName>
    <definedName name="_11POS_BY_CAT" localSheetId="14">#REF!</definedName>
    <definedName name="_11POS_BY_CAT" localSheetId="33">#REF!</definedName>
    <definedName name="_11POS_BY_CAT" localSheetId="22">#REF!</definedName>
    <definedName name="_11POS_BY_CAT" localSheetId="15">#REF!</definedName>
    <definedName name="_11POS_BY_CAT" localSheetId="48">#REF!</definedName>
    <definedName name="_11POS_BY_CAT" localSheetId="34">#REF!</definedName>
    <definedName name="_11POS_BY_CAT" localSheetId="41">#REF!</definedName>
    <definedName name="_11POS_BY_CAT" localSheetId="23">#REF!</definedName>
    <definedName name="_11POS_BY_CAT" localSheetId="16">#REF!</definedName>
    <definedName name="_11POS_BY_CAT" localSheetId="35">#REF!</definedName>
    <definedName name="_11POS_BY_CAT" localSheetId="42">#REF!</definedName>
    <definedName name="_11POS_BY_CAT" localSheetId="49">#REF!</definedName>
    <definedName name="_11POS_BY_CAT" localSheetId="24">#REF!</definedName>
    <definedName name="_11POS_BY_CAT" localSheetId="27">#REF!</definedName>
    <definedName name="_11POS_BY_CAT">#REF!</definedName>
    <definedName name="_12____ATTORNEY_SUPP" localSheetId="26">#REF!</definedName>
    <definedName name="_12____ATTORNEY_SUPP">#REF!</definedName>
    <definedName name="_13__ATTORNEY_SUPP" localSheetId="26">#REF!</definedName>
    <definedName name="_13__ATTORNEY_SUPP">#REF!</definedName>
    <definedName name="_14__GA_ROLLUP" localSheetId="26">#REF!</definedName>
    <definedName name="_14__GA_ROLLUP">#REF!</definedName>
    <definedName name="_15__POS_BY_CAT" localSheetId="26">#REF!</definedName>
    <definedName name="_15__POS_BY_CAT">#REF!</definedName>
    <definedName name="_16ATTORNEY_SUPP" localSheetId="26">#REF!</definedName>
    <definedName name="_16ATTORNEY_SUPP">#REF!</definedName>
    <definedName name="_17GA_ROLLUP" localSheetId="26">#REF!</definedName>
    <definedName name="_17GA_ROLLUP">#REF!</definedName>
    <definedName name="_18POS_BY_CAT" localSheetId="26">#REF!</definedName>
    <definedName name="_18POS_BY_CAT">#REF!</definedName>
    <definedName name="_1ATTORNEY_SUPP" localSheetId="43">#REF!</definedName>
    <definedName name="_1ATTORNEY_SUPP" localSheetId="28">#REF!</definedName>
    <definedName name="_1ATTORNEY_SUPP" localSheetId="36">#REF!</definedName>
    <definedName name="_1ATTORNEY_SUPP" localSheetId="9">#REF!</definedName>
    <definedName name="_1ATTORNEY_SUPP" localSheetId="0">#REF!</definedName>
    <definedName name="_1ATTORNEY_SUPP" localSheetId="17">#REF!</definedName>
    <definedName name="_2_____________GA_ROLLUP" localSheetId="26">#REF!</definedName>
    <definedName name="_2_____________GA_ROLLUP">#REF!</definedName>
    <definedName name="_2ATTORNEY_SUPP" localSheetId="43">#REF!</definedName>
    <definedName name="_2ATTORNEY_SUPP" localSheetId="28">#REF!</definedName>
    <definedName name="_2ATTORNEY_SUPP" localSheetId="36">#REF!</definedName>
    <definedName name="_2ATTORNEY_SUPP" localSheetId="9">#REF!</definedName>
    <definedName name="_2ATTORNEY_SUPP" localSheetId="17">#REF!</definedName>
    <definedName name="_2ATTORNEY_SUPP" localSheetId="10">#REF!</definedName>
    <definedName name="_2ATTORNEY_SUPP" localSheetId="44">#REF!</definedName>
    <definedName name="_2ATTORNEY_SUPP" localSheetId="29">#REF!</definedName>
    <definedName name="_2ATTORNEY_SUPP" localSheetId="37">#REF!</definedName>
    <definedName name="_2ATTORNEY_SUPP" localSheetId="18">#REF!</definedName>
    <definedName name="_2ATTORNEY_SUPP" localSheetId="30">#REF!</definedName>
    <definedName name="_2ATTORNEY_SUPP" localSheetId="11">#REF!</definedName>
    <definedName name="_2ATTORNEY_SUPP" localSheetId="45">#REF!</definedName>
    <definedName name="_2ATTORNEY_SUPP" localSheetId="38">#REF!</definedName>
    <definedName name="_2ATTORNEY_SUPP" localSheetId="19">#REF!</definedName>
    <definedName name="_2ATTORNEY_SUPP" localSheetId="12">#REF!</definedName>
    <definedName name="_2ATTORNEY_SUPP" localSheetId="46">#REF!</definedName>
    <definedName name="_2ATTORNEY_SUPP" localSheetId="31">#REF!</definedName>
    <definedName name="_2ATTORNEY_SUPP" localSheetId="39">#REF!</definedName>
    <definedName name="_2ATTORNEY_SUPP" localSheetId="20">#REF!</definedName>
    <definedName name="_2ATTORNEY_SUPP" localSheetId="25">#REF!</definedName>
    <definedName name="_2ATTORNEY_SUPP" localSheetId="13">#REF!</definedName>
    <definedName name="_2ATTORNEY_SUPP" localSheetId="47">#REF!</definedName>
    <definedName name="_2ATTORNEY_SUPP" localSheetId="32">#REF!</definedName>
    <definedName name="_2ATTORNEY_SUPP" localSheetId="40">#REF!</definedName>
    <definedName name="_2ATTORNEY_SUPP" localSheetId="21">#REF!</definedName>
    <definedName name="_2ATTORNEY_SUPP" localSheetId="26">#REF!</definedName>
    <definedName name="_2ATTORNEY_SUPP" localSheetId="14">#REF!</definedName>
    <definedName name="_2ATTORNEY_SUPP" localSheetId="33">#REF!</definedName>
    <definedName name="_2ATTORNEY_SUPP" localSheetId="22">#REF!</definedName>
    <definedName name="_2ATTORNEY_SUPP" localSheetId="15">#REF!</definedName>
    <definedName name="_2ATTORNEY_SUPP" localSheetId="48">#REF!</definedName>
    <definedName name="_2ATTORNEY_SUPP" localSheetId="34">#REF!</definedName>
    <definedName name="_2ATTORNEY_SUPP" localSheetId="41">#REF!</definedName>
    <definedName name="_2ATTORNEY_SUPP" localSheetId="23">#REF!</definedName>
    <definedName name="_2ATTORNEY_SUPP" localSheetId="16">#REF!</definedName>
    <definedName name="_2ATTORNEY_SUPP" localSheetId="35">#REF!</definedName>
    <definedName name="_2ATTORNEY_SUPP" localSheetId="42">#REF!</definedName>
    <definedName name="_2ATTORNEY_SUPP" localSheetId="49">#REF!</definedName>
    <definedName name="_2ATTORNEY_SUPP" localSheetId="24">#REF!</definedName>
    <definedName name="_2ATTORNEY_SUPP" localSheetId="27">#REF!</definedName>
    <definedName name="_2ATTORNEY_SUPP">#REF!</definedName>
    <definedName name="_3_____________POS_BY_CAT" localSheetId="26">#REF!</definedName>
    <definedName name="_3_____________POS_BY_CAT">#REF!</definedName>
    <definedName name="_3GA_ROLLUP" localSheetId="43">'B. Summ of Reqs - CVF '!#REF!</definedName>
    <definedName name="_3GA_ROLLUP" localSheetId="28">'B. Summ of Reqs - JJ '!#REF!</definedName>
    <definedName name="_3GA_ROLLUP" localSheetId="36">'B. Summ of Reqs - PSOB '!#REF!</definedName>
    <definedName name="_3GA_ROLLUP" localSheetId="9">'B. Summ of Reqs - RES '!#REF!</definedName>
    <definedName name="_3GA_ROLLUP" localSheetId="0">'B. Summ of Reqs - S&amp;E-M&amp;A '!#REF!</definedName>
    <definedName name="_3GA_ROLLUP" localSheetId="17">'B. Summ of Reqs -SLLEA '!#REF!</definedName>
    <definedName name="_4___________POS_BY_CAT" localSheetId="26">#REF!</definedName>
    <definedName name="_4___________POS_BY_CAT">#REF!</definedName>
    <definedName name="_4GA_ROLLUP" localSheetId="30">#REF!</definedName>
    <definedName name="_4GA_ROLLUP" localSheetId="1">#REF!</definedName>
    <definedName name="_4GA_ROLLUP" localSheetId="11">#REF!</definedName>
    <definedName name="_4GA_ROLLUP" localSheetId="45">#REF!</definedName>
    <definedName name="_4GA_ROLLUP" localSheetId="38">#REF!</definedName>
    <definedName name="_4GA_ROLLUP" localSheetId="19">#REF!</definedName>
    <definedName name="_5__________ATTORNEY_SUPP" localSheetId="26">#REF!</definedName>
    <definedName name="_5__________ATTORNEY_SUPP">#REF!</definedName>
    <definedName name="_5GA_ROLLUP" localSheetId="14">[2]SumReq!#REF!</definedName>
    <definedName name="_5GA_ROLLUP" localSheetId="33">[2]SumReq!#REF!</definedName>
    <definedName name="_5GA_ROLLUP" localSheetId="5">[2]SumReq!#REF!</definedName>
    <definedName name="_5GA_ROLLUP" localSheetId="22">[2]SumReq!#REF!</definedName>
    <definedName name="_6__________GA_ROLLUP" localSheetId="26">#REF!</definedName>
    <definedName name="_6__________GA_ROLLUP">#REF!</definedName>
    <definedName name="_6GA_ROLLUP" localSheetId="15">'[1]Sum of Req'!#REF!</definedName>
    <definedName name="_6GA_ROLLUP" localSheetId="48">'[1]Sum of Req'!#REF!</definedName>
    <definedName name="_6GA_ROLLUP" localSheetId="34">'[1]Sum of Req'!#REF!</definedName>
    <definedName name="_6GA_ROLLUP" localSheetId="41">'[1]Sum of Req'!#REF!</definedName>
    <definedName name="_6GA_ROLLUP" localSheetId="23">'[1]Sum of Req'!#REF!</definedName>
    <definedName name="_7________ATTORNEY_SUPP" localSheetId="26">#REF!</definedName>
    <definedName name="_7________ATTORNEY_SUPP">#REF!</definedName>
    <definedName name="_7GA_ROLLUP" localSheetId="43">#REF!</definedName>
    <definedName name="_7GA_ROLLUP" localSheetId="28">#REF!</definedName>
    <definedName name="_7GA_ROLLUP" localSheetId="36">#REF!</definedName>
    <definedName name="_7GA_ROLLUP" localSheetId="9">#REF!</definedName>
    <definedName name="_7GA_ROLLUP" localSheetId="17">#REF!</definedName>
    <definedName name="_7GA_ROLLUP" localSheetId="10">#REF!</definedName>
    <definedName name="_7GA_ROLLUP" localSheetId="44">#REF!</definedName>
    <definedName name="_7GA_ROLLUP" localSheetId="29">#REF!</definedName>
    <definedName name="_7GA_ROLLUP" localSheetId="37">#REF!</definedName>
    <definedName name="_7GA_ROLLUP" localSheetId="18">#REF!</definedName>
    <definedName name="_7GA_ROLLUP" localSheetId="30">#REF!</definedName>
    <definedName name="_7GA_ROLLUP" localSheetId="11">#REF!</definedName>
    <definedName name="_7GA_ROLLUP" localSheetId="45">#REF!</definedName>
    <definedName name="_7GA_ROLLUP" localSheetId="38">#REF!</definedName>
    <definedName name="_7GA_ROLLUP" localSheetId="19">#REF!</definedName>
    <definedName name="_7GA_ROLLUP" localSheetId="12">#REF!</definedName>
    <definedName name="_7GA_ROLLUP" localSheetId="46">#REF!</definedName>
    <definedName name="_7GA_ROLLUP" localSheetId="31">#REF!</definedName>
    <definedName name="_7GA_ROLLUP" localSheetId="39">#REF!</definedName>
    <definedName name="_7GA_ROLLUP" localSheetId="20">#REF!</definedName>
    <definedName name="_7GA_ROLLUP" localSheetId="25">#REF!</definedName>
    <definedName name="_7GA_ROLLUP" localSheetId="13">#REF!</definedName>
    <definedName name="_7GA_ROLLUP" localSheetId="47">#REF!</definedName>
    <definedName name="_7GA_ROLLUP" localSheetId="32">#REF!</definedName>
    <definedName name="_7GA_ROLLUP" localSheetId="40">#REF!</definedName>
    <definedName name="_7GA_ROLLUP" localSheetId="21">#REF!</definedName>
    <definedName name="_7GA_ROLLUP" localSheetId="26">#REF!</definedName>
    <definedName name="_7GA_ROLLUP" localSheetId="14">#REF!</definedName>
    <definedName name="_7GA_ROLLUP" localSheetId="33">#REF!</definedName>
    <definedName name="_7GA_ROLLUP" localSheetId="22">#REF!</definedName>
    <definedName name="_7GA_ROLLUP" localSheetId="15">#REF!</definedName>
    <definedName name="_7GA_ROLLUP" localSheetId="48">#REF!</definedName>
    <definedName name="_7GA_ROLLUP" localSheetId="34">#REF!</definedName>
    <definedName name="_7GA_ROLLUP" localSheetId="41">#REF!</definedName>
    <definedName name="_7GA_ROLLUP" localSheetId="23">#REF!</definedName>
    <definedName name="_7GA_ROLLUP" localSheetId="16">#REF!</definedName>
    <definedName name="_7GA_ROLLUP" localSheetId="35">#REF!</definedName>
    <definedName name="_7GA_ROLLUP" localSheetId="42">#REF!</definedName>
    <definedName name="_7GA_ROLLUP" localSheetId="49">#REF!</definedName>
    <definedName name="_7GA_ROLLUP" localSheetId="24">#REF!</definedName>
    <definedName name="_7GA_ROLLUP" localSheetId="27">#REF!</definedName>
    <definedName name="_7GA_ROLLUP">#REF!</definedName>
    <definedName name="_8________POS_BY_CAT" localSheetId="26">#REF!</definedName>
    <definedName name="_8________POS_BY_CAT">#REF!</definedName>
    <definedName name="_8POS_BY_CAT" localSheetId="43">#REF!</definedName>
    <definedName name="_8POS_BY_CAT" localSheetId="28">#REF!</definedName>
    <definedName name="_8POS_BY_CAT" localSheetId="36">#REF!</definedName>
    <definedName name="_8POS_BY_CAT" localSheetId="9">#REF!</definedName>
    <definedName name="_8POS_BY_CAT" localSheetId="0">#REF!</definedName>
    <definedName name="_8POS_BY_CAT" localSheetId="17">#REF!</definedName>
    <definedName name="_9______ATTORNEY_SUPP" localSheetId="26">#REF!</definedName>
    <definedName name="_9______ATTORNEY_SUPP">#REF!</definedName>
    <definedName name="_9POS_BY_CAT" localSheetId="30">#REF!</definedName>
    <definedName name="_9POS_BY_CAT" localSheetId="1">#REF!</definedName>
    <definedName name="_9POS_BY_CAT" localSheetId="11">#REF!</definedName>
    <definedName name="_9POS_BY_CAT" localSheetId="45">#REF!</definedName>
    <definedName name="_9POS_BY_CAT" localSheetId="38">#REF!</definedName>
    <definedName name="_9POS_BY_CAT" localSheetId="19">#REF!</definedName>
    <definedName name="DL" localSheetId="43">'B. Summ of Reqs - CVF '!$A$3:$X$60</definedName>
    <definedName name="DL" localSheetId="28">'B. Summ of Reqs - JJ '!$A$3:$X$66</definedName>
    <definedName name="DL" localSheetId="36">'B. Summ of Reqs - PSOB '!$A$3:$X$45</definedName>
    <definedName name="DL" localSheetId="9">'B. Summ of Reqs - RES '!$A$3:$X$58</definedName>
    <definedName name="DL" localSheetId="0">'B. Summ of Reqs - S&amp;E-M&amp;A '!$A$3:$X$62</definedName>
    <definedName name="DL" localSheetId="17">'B. Summ of Reqs -SLLEA '!$A$3:$X$76</definedName>
    <definedName name="DL" localSheetId="44">#REF!</definedName>
    <definedName name="DL" localSheetId="29">#REF!</definedName>
    <definedName name="DL" localSheetId="37">#REF!</definedName>
    <definedName name="DL" localSheetId="18">#REF!</definedName>
    <definedName name="DL" localSheetId="30">#REF!</definedName>
    <definedName name="DL" localSheetId="45">#REF!</definedName>
    <definedName name="DL" localSheetId="38">#REF!</definedName>
    <definedName name="DL" localSheetId="19">#REF!</definedName>
    <definedName name="DL" localSheetId="46">#REF!</definedName>
    <definedName name="DL" localSheetId="31">#REF!</definedName>
    <definedName name="DL" localSheetId="39">#REF!</definedName>
    <definedName name="DL" localSheetId="20">#REF!</definedName>
    <definedName name="DL" localSheetId="25">#REF!</definedName>
    <definedName name="DL" localSheetId="47">#REF!</definedName>
    <definedName name="DL" localSheetId="32">#REF!</definedName>
    <definedName name="DL" localSheetId="40">#REF!</definedName>
    <definedName name="DL" localSheetId="21">#REF!</definedName>
    <definedName name="DL" localSheetId="26">#REF!</definedName>
    <definedName name="DL" localSheetId="33">#REF!</definedName>
    <definedName name="DL" localSheetId="22">#REF!</definedName>
    <definedName name="DL" localSheetId="48">#REF!</definedName>
    <definedName name="DL" localSheetId="34">#REF!</definedName>
    <definedName name="DL" localSheetId="41">#REF!</definedName>
    <definedName name="DL" localSheetId="23">#REF!</definedName>
    <definedName name="DL" localSheetId="35">#REF!</definedName>
    <definedName name="DL" localSheetId="42">#REF!</definedName>
    <definedName name="DL" localSheetId="49">#REF!</definedName>
    <definedName name="DL" localSheetId="24">#REF!</definedName>
    <definedName name="DL" localSheetId="27">#REF!</definedName>
    <definedName name="DL" localSheetId="51">#REF!</definedName>
    <definedName name="DL">#REF!</definedName>
    <definedName name="EXECSUPP" localSheetId="43">'B. Summ of Reqs - CVF '!#REF!</definedName>
    <definedName name="EXECSUPP" localSheetId="28">'B. Summ of Reqs - JJ '!#REF!</definedName>
    <definedName name="EXECSUPP" localSheetId="36">'B. Summ of Reqs - PSOB '!#REF!</definedName>
    <definedName name="EXECSUPP" localSheetId="9">'B. Summ of Reqs - RES '!#REF!</definedName>
    <definedName name="EXECSUPP" localSheetId="0">'B. Summ of Reqs - S&amp;E-M&amp;A '!#REF!</definedName>
    <definedName name="EXECSUPP" localSheetId="17">'B. Summ of Reqs -SLLEA '!#REF!</definedName>
    <definedName name="EXECSUPP" localSheetId="44">#REF!</definedName>
    <definedName name="EXECSUPP" localSheetId="29">#REF!</definedName>
    <definedName name="EXECSUPP" localSheetId="37">#REF!</definedName>
    <definedName name="EXECSUPP" localSheetId="18">#REF!</definedName>
    <definedName name="EXECSUPP" localSheetId="30">#REF!</definedName>
    <definedName name="EXECSUPP" localSheetId="1">#REF!</definedName>
    <definedName name="EXECSUPP" localSheetId="11">#REF!</definedName>
    <definedName name="EXECSUPP" localSheetId="45">#REF!</definedName>
    <definedName name="EXECSUPP" localSheetId="38">#REF!</definedName>
    <definedName name="EXECSUPP" localSheetId="19">#REF!</definedName>
    <definedName name="EXECSUPP" localSheetId="46">#REF!</definedName>
    <definedName name="EXECSUPP" localSheetId="31">#REF!</definedName>
    <definedName name="EXECSUPP" localSheetId="39">#REF!</definedName>
    <definedName name="EXECSUPP" localSheetId="20">#REF!</definedName>
    <definedName name="EXECSUPP" localSheetId="25">#REF!</definedName>
    <definedName name="EXECSUPP" localSheetId="47">#REF!</definedName>
    <definedName name="EXECSUPP" localSheetId="32">#REF!</definedName>
    <definedName name="EXECSUPP" localSheetId="40">#REF!</definedName>
    <definedName name="EXECSUPP" localSheetId="21">#REF!</definedName>
    <definedName name="EXECSUPP" localSheetId="26">#REF!</definedName>
    <definedName name="EXECSUPP" localSheetId="33">#REF!</definedName>
    <definedName name="EXECSUPP" localSheetId="22">#REF!</definedName>
    <definedName name="EXECSUPP" localSheetId="15">'[1]Sum of Req'!#REF!</definedName>
    <definedName name="EXECSUPP" localSheetId="48">'[1]Sum of Req'!#REF!</definedName>
    <definedName name="EXECSUPP" localSheetId="34">'[1]Sum of Req'!#REF!</definedName>
    <definedName name="EXECSUPP" localSheetId="41">'[1]Sum of Req'!#REF!</definedName>
    <definedName name="EXECSUPP" localSheetId="23">'[1]Sum of Req'!#REF!</definedName>
    <definedName name="EXECSUPP" localSheetId="35">#REF!</definedName>
    <definedName name="EXECSUPP" localSheetId="42">#REF!</definedName>
    <definedName name="EXECSUPP" localSheetId="49">#REF!</definedName>
    <definedName name="EXECSUPP" localSheetId="24">#REF!</definedName>
    <definedName name="EXECSUPP" localSheetId="27">#REF!</definedName>
    <definedName name="EXECSUPP" localSheetId="51">#REF!</definedName>
    <definedName name="EXECSUPP">#REF!</definedName>
    <definedName name="FY0711.1" localSheetId="43">#REF!</definedName>
    <definedName name="FY0711.1" localSheetId="28">#REF!</definedName>
    <definedName name="FY0711.1" localSheetId="36">#REF!</definedName>
    <definedName name="FY0711.1" localSheetId="9">#REF!</definedName>
    <definedName name="FY0711.1" localSheetId="17">#REF!</definedName>
    <definedName name="FY0711.1" localSheetId="10">#REF!</definedName>
    <definedName name="FY0711.1" localSheetId="44">#REF!</definedName>
    <definedName name="FY0711.1" localSheetId="29">#REF!</definedName>
    <definedName name="FY0711.1" localSheetId="37">#REF!</definedName>
    <definedName name="FY0711.1" localSheetId="18">#REF!</definedName>
    <definedName name="FY0711.1" localSheetId="30">#REF!</definedName>
    <definedName name="FY0711.1" localSheetId="11">#REF!</definedName>
    <definedName name="FY0711.1" localSheetId="45">#REF!</definedName>
    <definedName name="FY0711.1" localSheetId="38">#REF!</definedName>
    <definedName name="FY0711.1" localSheetId="19">#REF!</definedName>
    <definedName name="FY0711.1" localSheetId="12">#REF!</definedName>
    <definedName name="FY0711.1" localSheetId="46">#REF!</definedName>
    <definedName name="FY0711.1" localSheetId="31">#REF!</definedName>
    <definedName name="FY0711.1" localSheetId="39">#REF!</definedName>
    <definedName name="FY0711.1" localSheetId="20">#REF!</definedName>
    <definedName name="FY0711.1" localSheetId="13">#REF!</definedName>
    <definedName name="FY0711.1" localSheetId="47">#REF!</definedName>
    <definedName name="FY0711.1" localSheetId="32">#REF!</definedName>
    <definedName name="FY0711.1" localSheetId="40">#REF!</definedName>
    <definedName name="FY0711.1" localSheetId="21">#REF!</definedName>
    <definedName name="FY0711.1" localSheetId="26">#REF!</definedName>
    <definedName name="FY0711.1" localSheetId="14">#REF!</definedName>
    <definedName name="FY0711.1" localSheetId="33">#REF!</definedName>
    <definedName name="FY0711.1" localSheetId="22">#REF!</definedName>
    <definedName name="FY0711.1" localSheetId="15">#REF!</definedName>
    <definedName name="FY0711.1" localSheetId="48">#REF!</definedName>
    <definedName name="FY0711.1" localSheetId="34">#REF!</definedName>
    <definedName name="FY0711.1" localSheetId="41">#REF!</definedName>
    <definedName name="FY0711.1" localSheetId="23">#REF!</definedName>
    <definedName name="FY0711.1" localSheetId="16">#REF!</definedName>
    <definedName name="FY0711.1" localSheetId="35">#REF!</definedName>
    <definedName name="FY0711.1" localSheetId="42">#REF!</definedName>
    <definedName name="FY0711.1" localSheetId="49">#REF!</definedName>
    <definedName name="FY0711.1" localSheetId="24">#REF!</definedName>
    <definedName name="FY0711.1" localSheetId="51">#REF!</definedName>
    <definedName name="FY0711.1">#REF!</definedName>
    <definedName name="FY0711.5" localSheetId="43">#REF!</definedName>
    <definedName name="FY0711.5" localSheetId="28">#REF!</definedName>
    <definedName name="FY0711.5" localSheetId="36">#REF!</definedName>
    <definedName name="FY0711.5" localSheetId="9">#REF!</definedName>
    <definedName name="FY0711.5" localSheetId="17">#REF!</definedName>
    <definedName name="FY0711.5" localSheetId="10">#REF!</definedName>
    <definedName name="FY0711.5" localSheetId="44">#REF!</definedName>
    <definedName name="FY0711.5" localSheetId="29">#REF!</definedName>
    <definedName name="FY0711.5" localSheetId="37">#REF!</definedName>
    <definedName name="FY0711.5" localSheetId="18">#REF!</definedName>
    <definedName name="FY0711.5" localSheetId="30">#REF!</definedName>
    <definedName name="FY0711.5" localSheetId="11">#REF!</definedName>
    <definedName name="FY0711.5" localSheetId="45">#REF!</definedName>
    <definedName name="FY0711.5" localSheetId="38">#REF!</definedName>
    <definedName name="FY0711.5" localSheetId="19">#REF!</definedName>
    <definedName name="FY0711.5" localSheetId="12">#REF!</definedName>
    <definedName name="FY0711.5" localSheetId="46">#REF!</definedName>
    <definedName name="FY0711.5" localSheetId="31">#REF!</definedName>
    <definedName name="FY0711.5" localSheetId="39">#REF!</definedName>
    <definedName name="FY0711.5" localSheetId="20">#REF!</definedName>
    <definedName name="FY0711.5" localSheetId="13">#REF!</definedName>
    <definedName name="FY0711.5" localSheetId="47">#REF!</definedName>
    <definedName name="FY0711.5" localSheetId="32">#REF!</definedName>
    <definedName name="FY0711.5" localSheetId="40">#REF!</definedName>
    <definedName name="FY0711.5" localSheetId="21">#REF!</definedName>
    <definedName name="FY0711.5" localSheetId="26">#REF!</definedName>
    <definedName name="FY0711.5" localSheetId="14">#REF!</definedName>
    <definedName name="FY0711.5" localSheetId="33">#REF!</definedName>
    <definedName name="FY0711.5" localSheetId="22">#REF!</definedName>
    <definedName name="FY0711.5" localSheetId="15">#REF!</definedName>
    <definedName name="FY0711.5" localSheetId="48">#REF!</definedName>
    <definedName name="FY0711.5" localSheetId="34">#REF!</definedName>
    <definedName name="FY0711.5" localSheetId="41">#REF!</definedName>
    <definedName name="FY0711.5" localSheetId="23">#REF!</definedName>
    <definedName name="FY0711.5" localSheetId="16">#REF!</definedName>
    <definedName name="FY0711.5" localSheetId="35">#REF!</definedName>
    <definedName name="FY0711.5" localSheetId="42">#REF!</definedName>
    <definedName name="FY0711.5" localSheetId="49">#REF!</definedName>
    <definedName name="FY0711.5" localSheetId="24">#REF!</definedName>
    <definedName name="FY0711.5" localSheetId="51">#REF!</definedName>
    <definedName name="FY0711.5">#REF!</definedName>
    <definedName name="FY0712.1" localSheetId="43">#REF!</definedName>
    <definedName name="FY0712.1" localSheetId="28">#REF!</definedName>
    <definedName name="FY0712.1" localSheetId="36">#REF!</definedName>
    <definedName name="FY0712.1" localSheetId="9">#REF!</definedName>
    <definedName name="FY0712.1" localSheetId="17">#REF!</definedName>
    <definedName name="FY0712.1" localSheetId="10">#REF!</definedName>
    <definedName name="FY0712.1" localSheetId="44">#REF!</definedName>
    <definedName name="FY0712.1" localSheetId="29">#REF!</definedName>
    <definedName name="FY0712.1" localSheetId="37">#REF!</definedName>
    <definedName name="FY0712.1" localSheetId="18">#REF!</definedName>
    <definedName name="FY0712.1" localSheetId="30">#REF!</definedName>
    <definedName name="FY0712.1" localSheetId="11">#REF!</definedName>
    <definedName name="FY0712.1" localSheetId="45">#REF!</definedName>
    <definedName name="FY0712.1" localSheetId="38">#REF!</definedName>
    <definedName name="FY0712.1" localSheetId="19">#REF!</definedName>
    <definedName name="FY0712.1" localSheetId="12">#REF!</definedName>
    <definedName name="FY0712.1" localSheetId="46">#REF!</definedName>
    <definedName name="FY0712.1" localSheetId="31">#REF!</definedName>
    <definedName name="FY0712.1" localSheetId="39">#REF!</definedName>
    <definedName name="FY0712.1" localSheetId="20">#REF!</definedName>
    <definedName name="FY0712.1" localSheetId="13">#REF!</definedName>
    <definedName name="FY0712.1" localSheetId="47">#REF!</definedName>
    <definedName name="FY0712.1" localSheetId="32">#REF!</definedName>
    <definedName name="FY0712.1" localSheetId="40">#REF!</definedName>
    <definedName name="FY0712.1" localSheetId="21">#REF!</definedName>
    <definedName name="FY0712.1" localSheetId="26">#REF!</definedName>
    <definedName name="FY0712.1" localSheetId="14">#REF!</definedName>
    <definedName name="FY0712.1" localSheetId="33">#REF!</definedName>
    <definedName name="FY0712.1" localSheetId="22">#REF!</definedName>
    <definedName name="FY0712.1" localSheetId="15">#REF!</definedName>
    <definedName name="FY0712.1" localSheetId="48">#REF!</definedName>
    <definedName name="FY0712.1" localSheetId="34">#REF!</definedName>
    <definedName name="FY0712.1" localSheetId="41">#REF!</definedName>
    <definedName name="FY0712.1" localSheetId="23">#REF!</definedName>
    <definedName name="FY0712.1" localSheetId="16">#REF!</definedName>
    <definedName name="FY0712.1" localSheetId="35">#REF!</definedName>
    <definedName name="FY0712.1" localSheetId="42">#REF!</definedName>
    <definedName name="FY0712.1" localSheetId="49">#REF!</definedName>
    <definedName name="FY0712.1" localSheetId="24">#REF!</definedName>
    <definedName name="FY0712.1" localSheetId="51">#REF!</definedName>
    <definedName name="FY0712.1">#REF!</definedName>
    <definedName name="FY0721.0" localSheetId="43">#REF!</definedName>
    <definedName name="FY0721.0" localSheetId="28">#REF!</definedName>
    <definedName name="FY0721.0" localSheetId="36">#REF!</definedName>
    <definedName name="FY0721.0" localSheetId="9">#REF!</definedName>
    <definedName name="FY0721.0" localSheetId="17">#REF!</definedName>
    <definedName name="FY0721.0" localSheetId="10">#REF!</definedName>
    <definedName name="FY0721.0" localSheetId="44">#REF!</definedName>
    <definedName name="FY0721.0" localSheetId="29">#REF!</definedName>
    <definedName name="FY0721.0" localSheetId="37">#REF!</definedName>
    <definedName name="FY0721.0" localSheetId="18">#REF!</definedName>
    <definedName name="FY0721.0" localSheetId="30">#REF!</definedName>
    <definedName name="FY0721.0" localSheetId="11">#REF!</definedName>
    <definedName name="FY0721.0" localSheetId="45">#REF!</definedName>
    <definedName name="FY0721.0" localSheetId="38">#REF!</definedName>
    <definedName name="FY0721.0" localSheetId="19">#REF!</definedName>
    <definedName name="FY0721.0" localSheetId="12">#REF!</definedName>
    <definedName name="FY0721.0" localSheetId="46">#REF!</definedName>
    <definedName name="FY0721.0" localSheetId="31">#REF!</definedName>
    <definedName name="FY0721.0" localSheetId="39">#REF!</definedName>
    <definedName name="FY0721.0" localSheetId="20">#REF!</definedName>
    <definedName name="FY0721.0" localSheetId="13">#REF!</definedName>
    <definedName name="FY0721.0" localSheetId="47">#REF!</definedName>
    <definedName name="FY0721.0" localSheetId="32">#REF!</definedName>
    <definedName name="FY0721.0" localSheetId="40">#REF!</definedName>
    <definedName name="FY0721.0" localSheetId="21">#REF!</definedName>
    <definedName name="FY0721.0" localSheetId="26">#REF!</definedName>
    <definedName name="FY0721.0" localSheetId="14">#REF!</definedName>
    <definedName name="FY0721.0" localSheetId="33">#REF!</definedName>
    <definedName name="FY0721.0" localSheetId="22">#REF!</definedName>
    <definedName name="FY0721.0" localSheetId="15">#REF!</definedName>
    <definedName name="FY0721.0" localSheetId="48">#REF!</definedName>
    <definedName name="FY0721.0" localSheetId="34">#REF!</definedName>
    <definedName name="FY0721.0" localSheetId="41">#REF!</definedName>
    <definedName name="FY0721.0" localSheetId="23">#REF!</definedName>
    <definedName name="FY0721.0" localSheetId="16">#REF!</definedName>
    <definedName name="FY0721.0" localSheetId="35">#REF!</definedName>
    <definedName name="FY0721.0" localSheetId="42">#REF!</definedName>
    <definedName name="FY0721.0" localSheetId="49">#REF!</definedName>
    <definedName name="FY0721.0" localSheetId="24">#REF!</definedName>
    <definedName name="FY0721.0" localSheetId="51">#REF!</definedName>
    <definedName name="FY0721.0">#REF!</definedName>
    <definedName name="FY0722.0" localSheetId="43">#REF!</definedName>
    <definedName name="FY0722.0" localSheetId="28">#REF!</definedName>
    <definedName name="FY0722.0" localSheetId="36">#REF!</definedName>
    <definedName name="FY0722.0" localSheetId="9">#REF!</definedName>
    <definedName name="FY0722.0" localSheetId="17">#REF!</definedName>
    <definedName name="FY0722.0" localSheetId="10">#REF!</definedName>
    <definedName name="FY0722.0" localSheetId="44">#REF!</definedName>
    <definedName name="FY0722.0" localSheetId="29">#REF!</definedName>
    <definedName name="FY0722.0" localSheetId="37">#REF!</definedName>
    <definedName name="FY0722.0" localSheetId="18">#REF!</definedName>
    <definedName name="FY0722.0" localSheetId="30">#REF!</definedName>
    <definedName name="FY0722.0" localSheetId="11">#REF!</definedName>
    <definedName name="FY0722.0" localSheetId="45">#REF!</definedName>
    <definedName name="FY0722.0" localSheetId="38">#REF!</definedName>
    <definedName name="FY0722.0" localSheetId="19">#REF!</definedName>
    <definedName name="FY0722.0" localSheetId="12">#REF!</definedName>
    <definedName name="FY0722.0" localSheetId="46">#REF!</definedName>
    <definedName name="FY0722.0" localSheetId="31">#REF!</definedName>
    <definedName name="FY0722.0" localSheetId="39">#REF!</definedName>
    <definedName name="FY0722.0" localSheetId="20">#REF!</definedName>
    <definedName name="FY0722.0" localSheetId="13">#REF!</definedName>
    <definedName name="FY0722.0" localSheetId="47">#REF!</definedName>
    <definedName name="FY0722.0" localSheetId="32">#REF!</definedName>
    <definedName name="FY0722.0" localSheetId="40">#REF!</definedName>
    <definedName name="FY0722.0" localSheetId="21">#REF!</definedName>
    <definedName name="FY0722.0" localSheetId="26">#REF!</definedName>
    <definedName name="FY0722.0" localSheetId="14">#REF!</definedName>
    <definedName name="FY0722.0" localSheetId="33">#REF!</definedName>
    <definedName name="FY0722.0" localSheetId="22">#REF!</definedName>
    <definedName name="FY0722.0" localSheetId="15">#REF!</definedName>
    <definedName name="FY0722.0" localSheetId="48">#REF!</definedName>
    <definedName name="FY0722.0" localSheetId="34">#REF!</definedName>
    <definedName name="FY0722.0" localSheetId="41">#REF!</definedName>
    <definedName name="FY0722.0" localSheetId="23">#REF!</definedName>
    <definedName name="FY0722.0" localSheetId="16">#REF!</definedName>
    <definedName name="FY0722.0" localSheetId="35">#REF!</definedName>
    <definedName name="FY0722.0" localSheetId="42">#REF!</definedName>
    <definedName name="FY0722.0" localSheetId="49">#REF!</definedName>
    <definedName name="FY0722.0" localSheetId="24">#REF!</definedName>
    <definedName name="FY0722.0" localSheetId="51">#REF!</definedName>
    <definedName name="FY0722.0">#REF!</definedName>
    <definedName name="FY0723.1" localSheetId="43">#REF!</definedName>
    <definedName name="FY0723.1" localSheetId="28">#REF!</definedName>
    <definedName name="FY0723.1" localSheetId="36">#REF!</definedName>
    <definedName name="FY0723.1" localSheetId="9">#REF!</definedName>
    <definedName name="FY0723.1" localSheetId="17">#REF!</definedName>
    <definedName name="FY0723.1" localSheetId="10">#REF!</definedName>
    <definedName name="FY0723.1" localSheetId="44">#REF!</definedName>
    <definedName name="FY0723.1" localSheetId="29">#REF!</definedName>
    <definedName name="FY0723.1" localSheetId="37">#REF!</definedName>
    <definedName name="FY0723.1" localSheetId="18">#REF!</definedName>
    <definedName name="FY0723.1" localSheetId="30">#REF!</definedName>
    <definedName name="FY0723.1" localSheetId="11">#REF!</definedName>
    <definedName name="FY0723.1" localSheetId="45">#REF!</definedName>
    <definedName name="FY0723.1" localSheetId="38">#REF!</definedName>
    <definedName name="FY0723.1" localSheetId="19">#REF!</definedName>
    <definedName name="FY0723.1" localSheetId="12">#REF!</definedName>
    <definedName name="FY0723.1" localSheetId="46">#REF!</definedName>
    <definedName name="FY0723.1" localSheetId="31">#REF!</definedName>
    <definedName name="FY0723.1" localSheetId="39">#REF!</definedName>
    <definedName name="FY0723.1" localSheetId="20">#REF!</definedName>
    <definedName name="FY0723.1" localSheetId="13">#REF!</definedName>
    <definedName name="FY0723.1" localSheetId="47">#REF!</definedName>
    <definedName name="FY0723.1" localSheetId="32">#REF!</definedName>
    <definedName name="FY0723.1" localSheetId="40">#REF!</definedName>
    <definedName name="FY0723.1" localSheetId="21">#REF!</definedName>
    <definedName name="FY0723.1" localSheetId="26">#REF!</definedName>
    <definedName name="FY0723.1" localSheetId="14">#REF!</definedName>
    <definedName name="FY0723.1" localSheetId="33">#REF!</definedName>
    <definedName name="FY0723.1" localSheetId="22">#REF!</definedName>
    <definedName name="FY0723.1" localSheetId="15">#REF!</definedName>
    <definedName name="FY0723.1" localSheetId="48">#REF!</definedName>
    <definedName name="FY0723.1" localSheetId="34">#REF!</definedName>
    <definedName name="FY0723.1" localSheetId="41">#REF!</definedName>
    <definedName name="FY0723.1" localSheetId="23">#REF!</definedName>
    <definedName name="FY0723.1" localSheetId="16">#REF!</definedName>
    <definedName name="FY0723.1" localSheetId="35">#REF!</definedName>
    <definedName name="FY0723.1" localSheetId="42">#REF!</definedName>
    <definedName name="FY0723.1" localSheetId="49">#REF!</definedName>
    <definedName name="FY0723.1" localSheetId="24">#REF!</definedName>
    <definedName name="FY0723.1" localSheetId="51">#REF!</definedName>
    <definedName name="FY0723.1">#REF!</definedName>
    <definedName name="FY0723.2" localSheetId="43">#REF!</definedName>
    <definedName name="FY0723.2" localSheetId="28">#REF!</definedName>
    <definedName name="FY0723.2" localSheetId="36">#REF!</definedName>
    <definedName name="FY0723.2" localSheetId="9">#REF!</definedName>
    <definedName name="FY0723.2" localSheetId="17">#REF!</definedName>
    <definedName name="FY0723.2" localSheetId="10">#REF!</definedName>
    <definedName name="FY0723.2" localSheetId="44">#REF!</definedName>
    <definedName name="FY0723.2" localSheetId="29">#REF!</definedName>
    <definedName name="FY0723.2" localSheetId="37">#REF!</definedName>
    <definedName name="FY0723.2" localSheetId="18">#REF!</definedName>
    <definedName name="FY0723.2" localSheetId="30">#REF!</definedName>
    <definedName name="FY0723.2" localSheetId="11">#REF!</definedName>
    <definedName name="FY0723.2" localSheetId="45">#REF!</definedName>
    <definedName name="FY0723.2" localSheetId="38">#REF!</definedName>
    <definedName name="FY0723.2" localSheetId="19">#REF!</definedName>
    <definedName name="FY0723.2" localSheetId="12">#REF!</definedName>
    <definedName name="FY0723.2" localSheetId="46">#REF!</definedName>
    <definedName name="FY0723.2" localSheetId="31">#REF!</definedName>
    <definedName name="FY0723.2" localSheetId="39">#REF!</definedName>
    <definedName name="FY0723.2" localSheetId="20">#REF!</definedName>
    <definedName name="FY0723.2" localSheetId="13">#REF!</definedName>
    <definedName name="FY0723.2" localSheetId="47">#REF!</definedName>
    <definedName name="FY0723.2" localSheetId="32">#REF!</definedName>
    <definedName name="FY0723.2" localSheetId="40">#REF!</definedName>
    <definedName name="FY0723.2" localSheetId="21">#REF!</definedName>
    <definedName name="FY0723.2" localSheetId="26">#REF!</definedName>
    <definedName name="FY0723.2" localSheetId="14">#REF!</definedName>
    <definedName name="FY0723.2" localSheetId="33">#REF!</definedName>
    <definedName name="FY0723.2" localSheetId="22">#REF!</definedName>
    <definedName name="FY0723.2" localSheetId="15">#REF!</definedName>
    <definedName name="FY0723.2" localSheetId="48">#REF!</definedName>
    <definedName name="FY0723.2" localSheetId="34">#REF!</definedName>
    <definedName name="FY0723.2" localSheetId="41">#REF!</definedName>
    <definedName name="FY0723.2" localSheetId="23">#REF!</definedName>
    <definedName name="FY0723.2" localSheetId="16">#REF!</definedName>
    <definedName name="FY0723.2" localSheetId="35">#REF!</definedName>
    <definedName name="FY0723.2" localSheetId="42">#REF!</definedName>
    <definedName name="FY0723.2" localSheetId="49">#REF!</definedName>
    <definedName name="FY0723.2" localSheetId="24">#REF!</definedName>
    <definedName name="FY0723.2" localSheetId="51">#REF!</definedName>
    <definedName name="FY0723.2">#REF!</definedName>
    <definedName name="FY0723.3" localSheetId="43">#REF!</definedName>
    <definedName name="FY0723.3" localSheetId="28">#REF!</definedName>
    <definedName name="FY0723.3" localSheetId="36">#REF!</definedName>
    <definedName name="FY0723.3" localSheetId="9">#REF!</definedName>
    <definedName name="FY0723.3" localSheetId="17">#REF!</definedName>
    <definedName name="FY0723.3" localSheetId="10">#REF!</definedName>
    <definedName name="FY0723.3" localSheetId="44">#REF!</definedName>
    <definedName name="FY0723.3" localSheetId="29">#REF!</definedName>
    <definedName name="FY0723.3" localSheetId="37">#REF!</definedName>
    <definedName name="FY0723.3" localSheetId="18">#REF!</definedName>
    <definedName name="FY0723.3" localSheetId="30">#REF!</definedName>
    <definedName name="FY0723.3" localSheetId="11">#REF!</definedName>
    <definedName name="FY0723.3" localSheetId="45">#REF!</definedName>
    <definedName name="FY0723.3" localSheetId="38">#REF!</definedName>
    <definedName name="FY0723.3" localSheetId="19">#REF!</definedName>
    <definedName name="FY0723.3" localSheetId="12">#REF!</definedName>
    <definedName name="FY0723.3" localSheetId="46">#REF!</definedName>
    <definedName name="FY0723.3" localSheetId="31">#REF!</definedName>
    <definedName name="FY0723.3" localSheetId="39">#REF!</definedName>
    <definedName name="FY0723.3" localSheetId="20">#REF!</definedName>
    <definedName name="FY0723.3" localSheetId="13">#REF!</definedName>
    <definedName name="FY0723.3" localSheetId="47">#REF!</definedName>
    <definedName name="FY0723.3" localSheetId="32">#REF!</definedName>
    <definedName name="FY0723.3" localSheetId="40">#REF!</definedName>
    <definedName name="FY0723.3" localSheetId="21">#REF!</definedName>
    <definedName name="FY0723.3" localSheetId="26">#REF!</definedName>
    <definedName name="FY0723.3" localSheetId="14">#REF!</definedName>
    <definedName name="FY0723.3" localSheetId="33">#REF!</definedName>
    <definedName name="FY0723.3" localSheetId="22">#REF!</definedName>
    <definedName name="FY0723.3" localSheetId="15">#REF!</definedName>
    <definedName name="FY0723.3" localSheetId="48">#REF!</definedName>
    <definedName name="FY0723.3" localSheetId="34">#REF!</definedName>
    <definedName name="FY0723.3" localSheetId="41">#REF!</definedName>
    <definedName name="FY0723.3" localSheetId="23">#REF!</definedName>
    <definedName name="FY0723.3" localSheetId="16">#REF!</definedName>
    <definedName name="FY0723.3" localSheetId="35">#REF!</definedName>
    <definedName name="FY0723.3" localSheetId="42">#REF!</definedName>
    <definedName name="FY0723.3" localSheetId="49">#REF!</definedName>
    <definedName name="FY0723.3" localSheetId="24">#REF!</definedName>
    <definedName name="FY0723.3" localSheetId="51">#REF!</definedName>
    <definedName name="FY0723.3">#REF!</definedName>
    <definedName name="FY0724.0" localSheetId="43">#REF!</definedName>
    <definedName name="FY0724.0" localSheetId="28">#REF!</definedName>
    <definedName name="FY0724.0" localSheetId="36">#REF!</definedName>
    <definedName name="FY0724.0" localSheetId="9">#REF!</definedName>
    <definedName name="FY0724.0" localSheetId="17">#REF!</definedName>
    <definedName name="FY0724.0" localSheetId="10">#REF!</definedName>
    <definedName name="FY0724.0" localSheetId="44">#REF!</definedName>
    <definedName name="FY0724.0" localSheetId="29">#REF!</definedName>
    <definedName name="FY0724.0" localSheetId="37">#REF!</definedName>
    <definedName name="FY0724.0" localSheetId="18">#REF!</definedName>
    <definedName name="FY0724.0" localSheetId="30">#REF!</definedName>
    <definedName name="FY0724.0" localSheetId="11">#REF!</definedName>
    <definedName name="FY0724.0" localSheetId="45">#REF!</definedName>
    <definedName name="FY0724.0" localSheetId="38">#REF!</definedName>
    <definedName name="FY0724.0" localSheetId="19">#REF!</definedName>
    <definedName name="FY0724.0" localSheetId="12">#REF!</definedName>
    <definedName name="FY0724.0" localSheetId="46">#REF!</definedName>
    <definedName name="FY0724.0" localSheetId="31">#REF!</definedName>
    <definedName name="FY0724.0" localSheetId="39">#REF!</definedName>
    <definedName name="FY0724.0" localSheetId="20">#REF!</definedName>
    <definedName name="FY0724.0" localSheetId="13">#REF!</definedName>
    <definedName name="FY0724.0" localSheetId="47">#REF!</definedName>
    <definedName name="FY0724.0" localSheetId="32">#REF!</definedName>
    <definedName name="FY0724.0" localSheetId="40">#REF!</definedName>
    <definedName name="FY0724.0" localSheetId="21">#REF!</definedName>
    <definedName name="FY0724.0" localSheetId="26">#REF!</definedName>
    <definedName name="FY0724.0" localSheetId="14">#REF!</definedName>
    <definedName name="FY0724.0" localSheetId="33">#REF!</definedName>
    <definedName name="FY0724.0" localSheetId="22">#REF!</definedName>
    <definedName name="FY0724.0" localSheetId="15">#REF!</definedName>
    <definedName name="FY0724.0" localSheetId="48">#REF!</definedName>
    <definedName name="FY0724.0" localSheetId="34">#REF!</definedName>
    <definedName name="FY0724.0" localSheetId="41">#REF!</definedName>
    <definedName name="FY0724.0" localSheetId="23">#REF!</definedName>
    <definedName name="FY0724.0" localSheetId="16">#REF!</definedName>
    <definedName name="FY0724.0" localSheetId="35">#REF!</definedName>
    <definedName name="FY0724.0" localSheetId="42">#REF!</definedName>
    <definedName name="FY0724.0" localSheetId="49">#REF!</definedName>
    <definedName name="FY0724.0" localSheetId="24">#REF!</definedName>
    <definedName name="FY0724.0" localSheetId="51">#REF!</definedName>
    <definedName name="FY0724.0">#REF!</definedName>
    <definedName name="FY0725.2" localSheetId="43">#REF!</definedName>
    <definedName name="FY0725.2" localSheetId="28">#REF!</definedName>
    <definedName name="FY0725.2" localSheetId="36">#REF!</definedName>
    <definedName name="FY0725.2" localSheetId="9">#REF!</definedName>
    <definedName name="FY0725.2" localSheetId="17">#REF!</definedName>
    <definedName name="FY0725.2" localSheetId="10">#REF!</definedName>
    <definedName name="FY0725.2" localSheetId="44">#REF!</definedName>
    <definedName name="FY0725.2" localSheetId="29">#REF!</definedName>
    <definedName name="FY0725.2" localSheetId="37">#REF!</definedName>
    <definedName name="FY0725.2" localSheetId="18">#REF!</definedName>
    <definedName name="FY0725.2" localSheetId="30">#REF!</definedName>
    <definedName name="FY0725.2" localSheetId="11">#REF!</definedName>
    <definedName name="FY0725.2" localSheetId="45">#REF!</definedName>
    <definedName name="FY0725.2" localSheetId="38">#REF!</definedName>
    <definedName name="FY0725.2" localSheetId="19">#REF!</definedName>
    <definedName name="FY0725.2" localSheetId="12">#REF!</definedName>
    <definedName name="FY0725.2" localSheetId="46">#REF!</definedName>
    <definedName name="FY0725.2" localSheetId="31">#REF!</definedName>
    <definedName name="FY0725.2" localSheetId="39">#REF!</definedName>
    <definedName name="FY0725.2" localSheetId="20">#REF!</definedName>
    <definedName name="FY0725.2" localSheetId="13">#REF!</definedName>
    <definedName name="FY0725.2" localSheetId="47">#REF!</definedName>
    <definedName name="FY0725.2" localSheetId="32">#REF!</definedName>
    <definedName name="FY0725.2" localSheetId="40">#REF!</definedName>
    <definedName name="FY0725.2" localSheetId="21">#REF!</definedName>
    <definedName name="FY0725.2" localSheetId="26">#REF!</definedName>
    <definedName name="FY0725.2" localSheetId="14">#REF!</definedName>
    <definedName name="FY0725.2" localSheetId="33">#REF!</definedName>
    <definedName name="FY0725.2" localSheetId="22">#REF!</definedName>
    <definedName name="FY0725.2" localSheetId="15">#REF!</definedName>
    <definedName name="FY0725.2" localSheetId="48">#REF!</definedName>
    <definedName name="FY0725.2" localSheetId="34">#REF!</definedName>
    <definedName name="FY0725.2" localSheetId="41">#REF!</definedName>
    <definedName name="FY0725.2" localSheetId="23">#REF!</definedName>
    <definedName name="FY0725.2" localSheetId="16">#REF!</definedName>
    <definedName name="FY0725.2" localSheetId="35">#REF!</definedName>
    <definedName name="FY0725.2" localSheetId="42">#REF!</definedName>
    <definedName name="FY0725.2" localSheetId="49">#REF!</definedName>
    <definedName name="FY0725.2" localSheetId="24">#REF!</definedName>
    <definedName name="FY0725.2" localSheetId="51">#REF!</definedName>
    <definedName name="FY0725.2">#REF!</definedName>
    <definedName name="FY0725.3" localSheetId="43">#REF!</definedName>
    <definedName name="FY0725.3" localSheetId="28">#REF!</definedName>
    <definedName name="FY0725.3" localSheetId="36">#REF!</definedName>
    <definedName name="FY0725.3" localSheetId="9">#REF!</definedName>
    <definedName name="FY0725.3" localSheetId="17">#REF!</definedName>
    <definedName name="FY0725.3" localSheetId="10">#REF!</definedName>
    <definedName name="FY0725.3" localSheetId="44">#REF!</definedName>
    <definedName name="FY0725.3" localSheetId="29">#REF!</definedName>
    <definedName name="FY0725.3" localSheetId="37">#REF!</definedName>
    <definedName name="FY0725.3" localSheetId="18">#REF!</definedName>
    <definedName name="FY0725.3" localSheetId="30">#REF!</definedName>
    <definedName name="FY0725.3" localSheetId="11">#REF!</definedName>
    <definedName name="FY0725.3" localSheetId="45">#REF!</definedName>
    <definedName name="FY0725.3" localSheetId="38">#REF!</definedName>
    <definedName name="FY0725.3" localSheetId="19">#REF!</definedName>
    <definedName name="FY0725.3" localSheetId="12">#REF!</definedName>
    <definedName name="FY0725.3" localSheetId="46">#REF!</definedName>
    <definedName name="FY0725.3" localSheetId="31">#REF!</definedName>
    <definedName name="FY0725.3" localSheetId="39">#REF!</definedName>
    <definedName name="FY0725.3" localSheetId="20">#REF!</definedName>
    <definedName name="FY0725.3" localSheetId="13">#REF!</definedName>
    <definedName name="FY0725.3" localSheetId="47">#REF!</definedName>
    <definedName name="FY0725.3" localSheetId="32">#REF!</definedName>
    <definedName name="FY0725.3" localSheetId="40">#REF!</definedName>
    <definedName name="FY0725.3" localSheetId="21">#REF!</definedName>
    <definedName name="FY0725.3" localSheetId="26">#REF!</definedName>
    <definedName name="FY0725.3" localSheetId="14">#REF!</definedName>
    <definedName name="FY0725.3" localSheetId="33">#REF!</definedName>
    <definedName name="FY0725.3" localSheetId="22">#REF!</definedName>
    <definedName name="FY0725.3" localSheetId="15">#REF!</definedName>
    <definedName name="FY0725.3" localSheetId="48">#REF!</definedName>
    <definedName name="FY0725.3" localSheetId="34">#REF!</definedName>
    <definedName name="FY0725.3" localSheetId="41">#REF!</definedName>
    <definedName name="FY0725.3" localSheetId="23">#REF!</definedName>
    <definedName name="FY0725.3" localSheetId="16">#REF!</definedName>
    <definedName name="FY0725.3" localSheetId="35">#REF!</definedName>
    <definedName name="FY0725.3" localSheetId="42">#REF!</definedName>
    <definedName name="FY0725.3" localSheetId="49">#REF!</definedName>
    <definedName name="FY0725.3" localSheetId="24">#REF!</definedName>
    <definedName name="FY0725.3" localSheetId="51">#REF!</definedName>
    <definedName name="FY0725.3">#REF!</definedName>
    <definedName name="FY0725.6" localSheetId="43">#REF!</definedName>
    <definedName name="FY0725.6" localSheetId="28">#REF!</definedName>
    <definedName name="FY0725.6" localSheetId="36">#REF!</definedName>
    <definedName name="FY0725.6" localSheetId="9">#REF!</definedName>
    <definedName name="FY0725.6" localSheetId="17">#REF!</definedName>
    <definedName name="FY0725.6" localSheetId="10">#REF!</definedName>
    <definedName name="FY0725.6" localSheetId="44">#REF!</definedName>
    <definedName name="FY0725.6" localSheetId="29">#REF!</definedName>
    <definedName name="FY0725.6" localSheetId="37">#REF!</definedName>
    <definedName name="FY0725.6" localSheetId="18">#REF!</definedName>
    <definedName name="FY0725.6" localSheetId="30">#REF!</definedName>
    <definedName name="FY0725.6" localSheetId="11">#REF!</definedName>
    <definedName name="FY0725.6" localSheetId="45">#REF!</definedName>
    <definedName name="FY0725.6" localSheetId="38">#REF!</definedName>
    <definedName name="FY0725.6" localSheetId="19">#REF!</definedName>
    <definedName name="FY0725.6" localSheetId="12">#REF!</definedName>
    <definedName name="FY0725.6" localSheetId="46">#REF!</definedName>
    <definedName name="FY0725.6" localSheetId="31">#REF!</definedName>
    <definedName name="FY0725.6" localSheetId="39">#REF!</definedName>
    <definedName name="FY0725.6" localSheetId="20">#REF!</definedName>
    <definedName name="FY0725.6" localSheetId="13">#REF!</definedName>
    <definedName name="FY0725.6" localSheetId="47">#REF!</definedName>
    <definedName name="FY0725.6" localSheetId="32">#REF!</definedName>
    <definedName name="FY0725.6" localSheetId="40">#REF!</definedName>
    <definedName name="FY0725.6" localSheetId="21">#REF!</definedName>
    <definedName name="FY0725.6" localSheetId="26">#REF!</definedName>
    <definedName name="FY0725.6" localSheetId="14">#REF!</definedName>
    <definedName name="FY0725.6" localSheetId="33">#REF!</definedName>
    <definedName name="FY0725.6" localSheetId="22">#REF!</definedName>
    <definedName name="FY0725.6" localSheetId="15">#REF!</definedName>
    <definedName name="FY0725.6" localSheetId="48">#REF!</definedName>
    <definedName name="FY0725.6" localSheetId="34">#REF!</definedName>
    <definedName name="FY0725.6" localSheetId="41">#REF!</definedName>
    <definedName name="FY0725.6" localSheetId="23">#REF!</definedName>
    <definedName name="FY0725.6" localSheetId="16">#REF!</definedName>
    <definedName name="FY0725.6" localSheetId="35">#REF!</definedName>
    <definedName name="FY0725.6" localSheetId="42">#REF!</definedName>
    <definedName name="FY0725.6" localSheetId="49">#REF!</definedName>
    <definedName name="FY0725.6" localSheetId="24">#REF!</definedName>
    <definedName name="FY0725.6" localSheetId="51">#REF!</definedName>
    <definedName name="FY0725.6">#REF!</definedName>
    <definedName name="FY0726.0" localSheetId="43">#REF!</definedName>
    <definedName name="FY0726.0" localSheetId="28">#REF!</definedName>
    <definedName name="FY0726.0" localSheetId="36">#REF!</definedName>
    <definedName name="FY0726.0" localSheetId="9">#REF!</definedName>
    <definedName name="FY0726.0" localSheetId="17">#REF!</definedName>
    <definedName name="FY0726.0" localSheetId="10">#REF!</definedName>
    <definedName name="FY0726.0" localSheetId="44">#REF!</definedName>
    <definedName name="FY0726.0" localSheetId="29">#REF!</definedName>
    <definedName name="FY0726.0" localSheetId="37">#REF!</definedName>
    <definedName name="FY0726.0" localSheetId="18">#REF!</definedName>
    <definedName name="FY0726.0" localSheetId="30">#REF!</definedName>
    <definedName name="FY0726.0" localSheetId="11">#REF!</definedName>
    <definedName name="FY0726.0" localSheetId="45">#REF!</definedName>
    <definedName name="FY0726.0" localSheetId="38">#REF!</definedName>
    <definedName name="FY0726.0" localSheetId="19">#REF!</definedName>
    <definedName name="FY0726.0" localSheetId="12">#REF!</definedName>
    <definedName name="FY0726.0" localSheetId="46">#REF!</definedName>
    <definedName name="FY0726.0" localSheetId="31">#REF!</definedName>
    <definedName name="FY0726.0" localSheetId="39">#REF!</definedName>
    <definedName name="FY0726.0" localSheetId="20">#REF!</definedName>
    <definedName name="FY0726.0" localSheetId="13">#REF!</definedName>
    <definedName name="FY0726.0" localSheetId="47">#REF!</definedName>
    <definedName name="FY0726.0" localSheetId="32">#REF!</definedName>
    <definedName name="FY0726.0" localSheetId="40">#REF!</definedName>
    <definedName name="FY0726.0" localSheetId="21">#REF!</definedName>
    <definedName name="FY0726.0" localSheetId="26">#REF!</definedName>
    <definedName name="FY0726.0" localSheetId="14">#REF!</definedName>
    <definedName name="FY0726.0" localSheetId="33">#REF!</definedName>
    <definedName name="FY0726.0" localSheetId="22">#REF!</definedName>
    <definedName name="FY0726.0" localSheetId="15">#REF!</definedName>
    <definedName name="FY0726.0" localSheetId="48">#REF!</definedName>
    <definedName name="FY0726.0" localSheetId="34">#REF!</definedName>
    <definedName name="FY0726.0" localSheetId="41">#REF!</definedName>
    <definedName name="FY0726.0" localSheetId="23">#REF!</definedName>
    <definedName name="FY0726.0" localSheetId="16">#REF!</definedName>
    <definedName name="FY0726.0" localSheetId="35">#REF!</definedName>
    <definedName name="FY0726.0" localSheetId="42">#REF!</definedName>
    <definedName name="FY0726.0" localSheetId="49">#REF!</definedName>
    <definedName name="FY0726.0" localSheetId="24">#REF!</definedName>
    <definedName name="FY0726.0" localSheetId="51">#REF!</definedName>
    <definedName name="FY0726.0">#REF!</definedName>
    <definedName name="FY0731.0" localSheetId="43">#REF!</definedName>
    <definedName name="FY0731.0" localSheetId="28">#REF!</definedName>
    <definedName name="FY0731.0" localSheetId="36">#REF!</definedName>
    <definedName name="FY0731.0" localSheetId="9">#REF!</definedName>
    <definedName name="FY0731.0" localSheetId="17">#REF!</definedName>
    <definedName name="FY0731.0" localSheetId="10">#REF!</definedName>
    <definedName name="FY0731.0" localSheetId="44">#REF!</definedName>
    <definedName name="FY0731.0" localSheetId="29">#REF!</definedName>
    <definedName name="FY0731.0" localSheetId="37">#REF!</definedName>
    <definedName name="FY0731.0" localSheetId="18">#REF!</definedName>
    <definedName name="FY0731.0" localSheetId="30">#REF!</definedName>
    <definedName name="FY0731.0" localSheetId="11">#REF!</definedName>
    <definedName name="FY0731.0" localSheetId="45">#REF!</definedName>
    <definedName name="FY0731.0" localSheetId="38">#REF!</definedName>
    <definedName name="FY0731.0" localSheetId="19">#REF!</definedName>
    <definedName name="FY0731.0" localSheetId="12">#REF!</definedName>
    <definedName name="FY0731.0" localSheetId="46">#REF!</definedName>
    <definedName name="FY0731.0" localSheetId="31">#REF!</definedName>
    <definedName name="FY0731.0" localSheetId="39">#REF!</definedName>
    <definedName name="FY0731.0" localSheetId="20">#REF!</definedName>
    <definedName name="FY0731.0" localSheetId="13">#REF!</definedName>
    <definedName name="FY0731.0" localSheetId="47">#REF!</definedName>
    <definedName name="FY0731.0" localSheetId="32">#REF!</definedName>
    <definedName name="FY0731.0" localSheetId="40">#REF!</definedName>
    <definedName name="FY0731.0" localSheetId="21">#REF!</definedName>
    <definedName name="FY0731.0" localSheetId="26">#REF!</definedName>
    <definedName name="FY0731.0" localSheetId="14">#REF!</definedName>
    <definedName name="FY0731.0" localSheetId="33">#REF!</definedName>
    <definedName name="FY0731.0" localSheetId="22">#REF!</definedName>
    <definedName name="FY0731.0" localSheetId="15">#REF!</definedName>
    <definedName name="FY0731.0" localSheetId="48">#REF!</definedName>
    <definedName name="FY0731.0" localSheetId="34">#REF!</definedName>
    <definedName name="FY0731.0" localSheetId="41">#REF!</definedName>
    <definedName name="FY0731.0" localSheetId="23">#REF!</definedName>
    <definedName name="FY0731.0" localSheetId="16">#REF!</definedName>
    <definedName name="FY0731.0" localSheetId="35">#REF!</definedName>
    <definedName name="FY0731.0" localSheetId="42">#REF!</definedName>
    <definedName name="FY0731.0" localSheetId="49">#REF!</definedName>
    <definedName name="FY0731.0" localSheetId="24">#REF!</definedName>
    <definedName name="FY0731.0" localSheetId="51">#REF!</definedName>
    <definedName name="FY0731.0">#REF!</definedName>
    <definedName name="FY0732.0" localSheetId="43">#REF!</definedName>
    <definedName name="FY0732.0" localSheetId="28">#REF!</definedName>
    <definedName name="FY0732.0" localSheetId="36">#REF!</definedName>
    <definedName name="FY0732.0" localSheetId="9">#REF!</definedName>
    <definedName name="FY0732.0" localSheetId="17">#REF!</definedName>
    <definedName name="FY0732.0" localSheetId="10">#REF!</definedName>
    <definedName name="FY0732.0" localSheetId="44">#REF!</definedName>
    <definedName name="FY0732.0" localSheetId="29">#REF!</definedName>
    <definedName name="FY0732.0" localSheetId="37">#REF!</definedName>
    <definedName name="FY0732.0" localSheetId="18">#REF!</definedName>
    <definedName name="FY0732.0" localSheetId="30">#REF!</definedName>
    <definedName name="FY0732.0" localSheetId="11">#REF!</definedName>
    <definedName name="FY0732.0" localSheetId="45">#REF!</definedName>
    <definedName name="FY0732.0" localSheetId="38">#REF!</definedName>
    <definedName name="FY0732.0" localSheetId="19">#REF!</definedName>
    <definedName name="FY0732.0" localSheetId="12">#REF!</definedName>
    <definedName name="FY0732.0" localSheetId="46">#REF!</definedName>
    <definedName name="FY0732.0" localSheetId="31">#REF!</definedName>
    <definedName name="FY0732.0" localSheetId="39">#REF!</definedName>
    <definedName name="FY0732.0" localSheetId="20">#REF!</definedName>
    <definedName name="FY0732.0" localSheetId="13">#REF!</definedName>
    <definedName name="FY0732.0" localSheetId="47">#REF!</definedName>
    <definedName name="FY0732.0" localSheetId="32">#REF!</definedName>
    <definedName name="FY0732.0" localSheetId="40">#REF!</definedName>
    <definedName name="FY0732.0" localSheetId="21">#REF!</definedName>
    <definedName name="FY0732.0" localSheetId="26">#REF!</definedName>
    <definedName name="FY0732.0" localSheetId="14">#REF!</definedName>
    <definedName name="FY0732.0" localSheetId="33">#REF!</definedName>
    <definedName name="FY0732.0" localSheetId="22">#REF!</definedName>
    <definedName name="FY0732.0" localSheetId="15">#REF!</definedName>
    <definedName name="FY0732.0" localSheetId="48">#REF!</definedName>
    <definedName name="FY0732.0" localSheetId="34">#REF!</definedName>
    <definedName name="FY0732.0" localSheetId="41">#REF!</definedName>
    <definedName name="FY0732.0" localSheetId="23">#REF!</definedName>
    <definedName name="FY0732.0" localSheetId="16">#REF!</definedName>
    <definedName name="FY0732.0" localSheetId="35">#REF!</definedName>
    <definedName name="FY0732.0" localSheetId="42">#REF!</definedName>
    <definedName name="FY0732.0" localSheetId="49">#REF!</definedName>
    <definedName name="FY0732.0" localSheetId="24">#REF!</definedName>
    <definedName name="FY0732.0" localSheetId="51">#REF!</definedName>
    <definedName name="FY0732.0">#REF!</definedName>
    <definedName name="FY07Ling" localSheetId="43">#REF!</definedName>
    <definedName name="FY07Ling" localSheetId="28">#REF!</definedName>
    <definedName name="FY07Ling" localSheetId="36">#REF!</definedName>
    <definedName name="FY07Ling" localSheetId="9">#REF!</definedName>
    <definedName name="FY07Ling" localSheetId="17">#REF!</definedName>
    <definedName name="FY07Ling" localSheetId="10">#REF!</definedName>
    <definedName name="FY07Ling" localSheetId="44">#REF!</definedName>
    <definedName name="FY07Ling" localSheetId="29">#REF!</definedName>
    <definedName name="FY07Ling" localSheetId="37">#REF!</definedName>
    <definedName name="FY07Ling" localSheetId="18">#REF!</definedName>
    <definedName name="FY07Ling" localSheetId="30">#REF!</definedName>
    <definedName name="FY07Ling" localSheetId="11">#REF!</definedName>
    <definedName name="FY07Ling" localSheetId="45">#REF!</definedName>
    <definedName name="FY07Ling" localSheetId="38">#REF!</definedName>
    <definedName name="FY07Ling" localSheetId="19">#REF!</definedName>
    <definedName name="FY07Ling" localSheetId="12">#REF!</definedName>
    <definedName name="FY07Ling" localSheetId="46">#REF!</definedName>
    <definedName name="FY07Ling" localSheetId="31">#REF!</definedName>
    <definedName name="FY07Ling" localSheetId="39">#REF!</definedName>
    <definedName name="FY07Ling" localSheetId="20">#REF!</definedName>
    <definedName name="FY07Ling" localSheetId="13">#REF!</definedName>
    <definedName name="FY07Ling" localSheetId="47">#REF!</definedName>
    <definedName name="FY07Ling" localSheetId="32">#REF!</definedName>
    <definedName name="FY07Ling" localSheetId="40">#REF!</definedName>
    <definedName name="FY07Ling" localSheetId="21">#REF!</definedName>
    <definedName name="FY07Ling" localSheetId="26">#REF!</definedName>
    <definedName name="FY07Ling" localSheetId="14">#REF!</definedName>
    <definedName name="FY07Ling" localSheetId="33">#REF!</definedName>
    <definedName name="FY07Ling" localSheetId="22">#REF!</definedName>
    <definedName name="FY07Ling" localSheetId="15">#REF!</definedName>
    <definedName name="FY07Ling" localSheetId="48">#REF!</definedName>
    <definedName name="FY07Ling" localSheetId="34">#REF!</definedName>
    <definedName name="FY07Ling" localSheetId="41">#REF!</definedName>
    <definedName name="FY07Ling" localSheetId="23">#REF!</definedName>
    <definedName name="FY07Ling" localSheetId="16">#REF!</definedName>
    <definedName name="FY07Ling" localSheetId="35">#REF!</definedName>
    <definedName name="FY07Ling" localSheetId="42">#REF!</definedName>
    <definedName name="FY07Ling" localSheetId="49">#REF!</definedName>
    <definedName name="FY07Ling" localSheetId="24">#REF!</definedName>
    <definedName name="FY07Ling" localSheetId="51">#REF!</definedName>
    <definedName name="FY07Ling">#REF!</definedName>
    <definedName name="FY07Mult" localSheetId="43">#REF!</definedName>
    <definedName name="FY07Mult" localSheetId="28">#REF!</definedName>
    <definedName name="FY07Mult" localSheetId="36">#REF!</definedName>
    <definedName name="FY07Mult" localSheetId="9">#REF!</definedName>
    <definedName name="FY07Mult" localSheetId="17">#REF!</definedName>
    <definedName name="FY07Mult" localSheetId="10">#REF!</definedName>
    <definedName name="FY07Mult" localSheetId="44">#REF!</definedName>
    <definedName name="FY07Mult" localSheetId="29">#REF!</definedName>
    <definedName name="FY07Mult" localSheetId="37">#REF!</definedName>
    <definedName name="FY07Mult" localSheetId="18">#REF!</definedName>
    <definedName name="FY07Mult" localSheetId="30">#REF!</definedName>
    <definedName name="FY07Mult" localSheetId="11">#REF!</definedName>
    <definedName name="FY07Mult" localSheetId="45">#REF!</definedName>
    <definedName name="FY07Mult" localSheetId="38">#REF!</definedName>
    <definedName name="FY07Mult" localSheetId="19">#REF!</definedName>
    <definedName name="FY07Mult" localSheetId="12">#REF!</definedName>
    <definedName name="FY07Mult" localSheetId="46">#REF!</definedName>
    <definedName name="FY07Mult" localSheetId="31">#REF!</definedName>
    <definedName name="FY07Mult" localSheetId="39">#REF!</definedName>
    <definedName name="FY07Mult" localSheetId="20">#REF!</definedName>
    <definedName name="FY07Mult" localSheetId="13">#REF!</definedName>
    <definedName name="FY07Mult" localSheetId="47">#REF!</definedName>
    <definedName name="FY07Mult" localSheetId="32">#REF!</definedName>
    <definedName name="FY07Mult" localSheetId="40">#REF!</definedName>
    <definedName name="FY07Mult" localSheetId="21">#REF!</definedName>
    <definedName name="FY07Mult" localSheetId="26">#REF!</definedName>
    <definedName name="FY07Mult" localSheetId="14">#REF!</definedName>
    <definedName name="FY07Mult" localSheetId="33">#REF!</definedName>
    <definedName name="FY07Mult" localSheetId="22">#REF!</definedName>
    <definedName name="FY07Mult" localSheetId="15">#REF!</definedName>
    <definedName name="FY07Mult" localSheetId="48">#REF!</definedName>
    <definedName name="FY07Mult" localSheetId="34">#REF!</definedName>
    <definedName name="FY07Mult" localSheetId="41">#REF!</definedName>
    <definedName name="FY07Mult" localSheetId="23">#REF!</definedName>
    <definedName name="FY07Mult" localSheetId="16">#REF!</definedName>
    <definedName name="FY07Mult" localSheetId="35">#REF!</definedName>
    <definedName name="FY07Mult" localSheetId="42">#REF!</definedName>
    <definedName name="FY07Mult" localSheetId="49">#REF!</definedName>
    <definedName name="FY07Mult" localSheetId="24">#REF!</definedName>
    <definedName name="FY07Mult" localSheetId="51">#REF!</definedName>
    <definedName name="FY07Mult">#REF!</definedName>
    <definedName name="FY07PEPI" localSheetId="43">#REF!</definedName>
    <definedName name="FY07PEPI" localSheetId="28">#REF!</definedName>
    <definedName name="FY07PEPI" localSheetId="36">#REF!</definedName>
    <definedName name="FY07PEPI" localSheetId="9">#REF!</definedName>
    <definedName name="FY07PEPI" localSheetId="17">#REF!</definedName>
    <definedName name="FY07PEPI" localSheetId="10">#REF!</definedName>
    <definedName name="FY07PEPI" localSheetId="44">#REF!</definedName>
    <definedName name="FY07PEPI" localSheetId="29">#REF!</definedName>
    <definedName name="FY07PEPI" localSheetId="37">#REF!</definedName>
    <definedName name="FY07PEPI" localSheetId="18">#REF!</definedName>
    <definedName name="FY07PEPI" localSheetId="30">#REF!</definedName>
    <definedName name="FY07PEPI" localSheetId="11">#REF!</definedName>
    <definedName name="FY07PEPI" localSheetId="45">#REF!</definedName>
    <definedName name="FY07PEPI" localSheetId="38">#REF!</definedName>
    <definedName name="FY07PEPI" localSheetId="19">#REF!</definedName>
    <definedName name="FY07PEPI" localSheetId="12">#REF!</definedName>
    <definedName name="FY07PEPI" localSheetId="46">#REF!</definedName>
    <definedName name="FY07PEPI" localSheetId="31">#REF!</definedName>
    <definedName name="FY07PEPI" localSheetId="39">#REF!</definedName>
    <definedName name="FY07PEPI" localSheetId="20">#REF!</definedName>
    <definedName name="FY07PEPI" localSheetId="13">#REF!</definedName>
    <definedName name="FY07PEPI" localSheetId="47">#REF!</definedName>
    <definedName name="FY07PEPI" localSheetId="32">#REF!</definedName>
    <definedName name="FY07PEPI" localSheetId="40">#REF!</definedName>
    <definedName name="FY07PEPI" localSheetId="21">#REF!</definedName>
    <definedName name="FY07PEPI" localSheetId="26">#REF!</definedName>
    <definedName name="FY07PEPI" localSheetId="14">#REF!</definedName>
    <definedName name="FY07PEPI" localSheetId="33">#REF!</definedName>
    <definedName name="FY07PEPI" localSheetId="22">#REF!</definedName>
    <definedName name="FY07PEPI" localSheetId="15">#REF!</definedName>
    <definedName name="FY07PEPI" localSheetId="48">#REF!</definedName>
    <definedName name="FY07PEPI" localSheetId="34">#REF!</definedName>
    <definedName name="FY07PEPI" localSheetId="41">#REF!</definedName>
    <definedName name="FY07PEPI" localSheetId="23">#REF!</definedName>
    <definedName name="FY07PEPI" localSheetId="16">#REF!</definedName>
    <definedName name="FY07PEPI" localSheetId="35">#REF!</definedName>
    <definedName name="FY07PEPI" localSheetId="42">#REF!</definedName>
    <definedName name="FY07PEPI" localSheetId="49">#REF!</definedName>
    <definedName name="FY07PEPI" localSheetId="24">#REF!</definedName>
    <definedName name="FY07PEPI" localSheetId="51">#REF!</definedName>
    <definedName name="FY07PEPI">#REF!</definedName>
    <definedName name="FY07Tot" localSheetId="43">#REF!</definedName>
    <definedName name="FY07Tot" localSheetId="28">#REF!</definedName>
    <definedName name="FY07Tot" localSheetId="36">#REF!</definedName>
    <definedName name="FY07Tot" localSheetId="9">#REF!</definedName>
    <definedName name="FY07Tot" localSheetId="17">#REF!</definedName>
    <definedName name="FY07Tot" localSheetId="10">#REF!</definedName>
    <definedName name="FY07Tot" localSheetId="44">#REF!</definedName>
    <definedName name="FY07Tot" localSheetId="29">#REF!</definedName>
    <definedName name="FY07Tot" localSheetId="37">#REF!</definedName>
    <definedName name="FY07Tot" localSheetId="18">#REF!</definedName>
    <definedName name="FY07Tot" localSheetId="30">#REF!</definedName>
    <definedName name="FY07Tot" localSheetId="11">#REF!</definedName>
    <definedName name="FY07Tot" localSheetId="45">#REF!</definedName>
    <definedName name="FY07Tot" localSheetId="38">#REF!</definedName>
    <definedName name="FY07Tot" localSheetId="19">#REF!</definedName>
    <definedName name="FY07Tot" localSheetId="12">#REF!</definedName>
    <definedName name="FY07Tot" localSheetId="46">#REF!</definedName>
    <definedName name="FY07Tot" localSheetId="31">#REF!</definedName>
    <definedName name="FY07Tot" localSheetId="39">#REF!</definedName>
    <definedName name="FY07Tot" localSheetId="20">#REF!</definedName>
    <definedName name="FY07Tot" localSheetId="13">#REF!</definedName>
    <definedName name="FY07Tot" localSheetId="47">#REF!</definedName>
    <definedName name="FY07Tot" localSheetId="32">#REF!</definedName>
    <definedName name="FY07Tot" localSheetId="40">#REF!</definedName>
    <definedName name="FY07Tot" localSheetId="21">#REF!</definedName>
    <definedName name="FY07Tot" localSheetId="26">#REF!</definedName>
    <definedName name="FY07Tot" localSheetId="14">#REF!</definedName>
    <definedName name="FY07Tot" localSheetId="33">#REF!</definedName>
    <definedName name="FY07Tot" localSheetId="22">#REF!</definedName>
    <definedName name="FY07Tot" localSheetId="15">#REF!</definedName>
    <definedName name="FY07Tot" localSheetId="48">#REF!</definedName>
    <definedName name="FY07Tot" localSheetId="34">#REF!</definedName>
    <definedName name="FY07Tot" localSheetId="41">#REF!</definedName>
    <definedName name="FY07Tot" localSheetId="23">#REF!</definedName>
    <definedName name="FY07Tot" localSheetId="16">#REF!</definedName>
    <definedName name="FY07Tot" localSheetId="35">#REF!</definedName>
    <definedName name="FY07Tot" localSheetId="42">#REF!</definedName>
    <definedName name="FY07Tot" localSheetId="49">#REF!</definedName>
    <definedName name="FY07Tot" localSheetId="24">#REF!</definedName>
    <definedName name="FY07Tot" localSheetId="51">#REF!</definedName>
    <definedName name="FY07Tot">#REF!</definedName>
    <definedName name="FY07Train" localSheetId="43">#REF!</definedName>
    <definedName name="FY07Train" localSheetId="28">#REF!</definedName>
    <definedName name="FY07Train" localSheetId="36">#REF!</definedName>
    <definedName name="FY07Train" localSheetId="9">#REF!</definedName>
    <definedName name="FY07Train" localSheetId="17">#REF!</definedName>
    <definedName name="FY07Train" localSheetId="10">#REF!</definedName>
    <definedName name="FY07Train" localSheetId="44">#REF!</definedName>
    <definedName name="FY07Train" localSheetId="29">#REF!</definedName>
    <definedName name="FY07Train" localSheetId="37">#REF!</definedName>
    <definedName name="FY07Train" localSheetId="18">#REF!</definedName>
    <definedName name="FY07Train" localSheetId="30">#REF!</definedName>
    <definedName name="FY07Train" localSheetId="11">#REF!</definedName>
    <definedName name="FY07Train" localSheetId="45">#REF!</definedName>
    <definedName name="FY07Train" localSheetId="38">#REF!</definedName>
    <definedName name="FY07Train" localSheetId="19">#REF!</definedName>
    <definedName name="FY07Train" localSheetId="12">#REF!</definedName>
    <definedName name="FY07Train" localSheetId="46">#REF!</definedName>
    <definedName name="FY07Train" localSheetId="31">#REF!</definedName>
    <definedName name="FY07Train" localSheetId="39">#REF!</definedName>
    <definedName name="FY07Train" localSheetId="20">#REF!</definedName>
    <definedName name="FY07Train" localSheetId="13">#REF!</definedName>
    <definedName name="FY07Train" localSheetId="47">#REF!</definedName>
    <definedName name="FY07Train" localSheetId="32">#REF!</definedName>
    <definedName name="FY07Train" localSheetId="40">#REF!</definedName>
    <definedName name="FY07Train" localSheetId="21">#REF!</definedName>
    <definedName name="FY07Train" localSheetId="26">#REF!</definedName>
    <definedName name="FY07Train" localSheetId="14">#REF!</definedName>
    <definedName name="FY07Train" localSheetId="33">#REF!</definedName>
    <definedName name="FY07Train" localSheetId="22">#REF!</definedName>
    <definedName name="FY07Train" localSheetId="15">#REF!</definedName>
    <definedName name="FY07Train" localSheetId="48">#REF!</definedName>
    <definedName name="FY07Train" localSheetId="34">#REF!</definedName>
    <definedName name="FY07Train" localSheetId="41">#REF!</definedName>
    <definedName name="FY07Train" localSheetId="23">#REF!</definedName>
    <definedName name="FY07Train" localSheetId="16">#REF!</definedName>
    <definedName name="FY07Train" localSheetId="35">#REF!</definedName>
    <definedName name="FY07Train" localSheetId="42">#REF!</definedName>
    <definedName name="FY07Train" localSheetId="49">#REF!</definedName>
    <definedName name="FY07Train" localSheetId="24">#REF!</definedName>
    <definedName name="FY07Train" localSheetId="51">#REF!</definedName>
    <definedName name="FY07Train">#REF!</definedName>
    <definedName name="FY0811.1" localSheetId="43">#REF!</definedName>
    <definedName name="FY0811.1" localSheetId="28">#REF!</definedName>
    <definedName name="FY0811.1" localSheetId="36">#REF!</definedName>
    <definedName name="FY0811.1" localSheetId="9">#REF!</definedName>
    <definedName name="FY0811.1" localSheetId="17">#REF!</definedName>
    <definedName name="FY0811.1" localSheetId="10">#REF!</definedName>
    <definedName name="FY0811.1" localSheetId="44">#REF!</definedName>
    <definedName name="FY0811.1" localSheetId="29">#REF!</definedName>
    <definedName name="FY0811.1" localSheetId="37">#REF!</definedName>
    <definedName name="FY0811.1" localSheetId="18">#REF!</definedName>
    <definedName name="FY0811.1" localSheetId="30">#REF!</definedName>
    <definedName name="FY0811.1" localSheetId="11">#REF!</definedName>
    <definedName name="FY0811.1" localSheetId="45">#REF!</definedName>
    <definedName name="FY0811.1" localSheetId="38">#REF!</definedName>
    <definedName name="FY0811.1" localSheetId="19">#REF!</definedName>
    <definedName name="FY0811.1" localSheetId="12">#REF!</definedName>
    <definedName name="FY0811.1" localSheetId="46">#REF!</definedName>
    <definedName name="FY0811.1" localSheetId="31">#REF!</definedName>
    <definedName name="FY0811.1" localSheetId="39">#REF!</definedName>
    <definedName name="FY0811.1" localSheetId="20">#REF!</definedName>
    <definedName name="FY0811.1" localSheetId="13">#REF!</definedName>
    <definedName name="FY0811.1" localSheetId="47">#REF!</definedName>
    <definedName name="FY0811.1" localSheetId="32">#REF!</definedName>
    <definedName name="FY0811.1" localSheetId="40">#REF!</definedName>
    <definedName name="FY0811.1" localSheetId="21">#REF!</definedName>
    <definedName name="FY0811.1" localSheetId="26">#REF!</definedName>
    <definedName name="FY0811.1" localSheetId="14">#REF!</definedName>
    <definedName name="FY0811.1" localSheetId="33">#REF!</definedName>
    <definedName name="FY0811.1" localSheetId="22">#REF!</definedName>
    <definedName name="FY0811.1" localSheetId="15">#REF!</definedName>
    <definedName name="FY0811.1" localSheetId="48">#REF!</definedName>
    <definedName name="FY0811.1" localSheetId="34">#REF!</definedName>
    <definedName name="FY0811.1" localSheetId="41">#REF!</definedName>
    <definedName name="FY0811.1" localSheetId="23">#REF!</definedName>
    <definedName name="FY0811.1" localSheetId="16">#REF!</definedName>
    <definedName name="FY0811.1" localSheetId="35">#REF!</definedName>
    <definedName name="FY0811.1" localSheetId="42">#REF!</definedName>
    <definedName name="FY0811.1" localSheetId="49">#REF!</definedName>
    <definedName name="FY0811.1" localSheetId="24">#REF!</definedName>
    <definedName name="FY0811.1" localSheetId="51">#REF!</definedName>
    <definedName name="FY0811.1">#REF!</definedName>
    <definedName name="FY0811.5" localSheetId="43">#REF!</definedName>
    <definedName name="FY0811.5" localSheetId="28">#REF!</definedName>
    <definedName name="FY0811.5" localSheetId="36">#REF!</definedName>
    <definedName name="FY0811.5" localSheetId="9">#REF!</definedName>
    <definedName name="FY0811.5" localSheetId="17">#REF!</definedName>
    <definedName name="FY0811.5" localSheetId="10">#REF!</definedName>
    <definedName name="FY0811.5" localSheetId="44">#REF!</definedName>
    <definedName name="FY0811.5" localSheetId="29">#REF!</definedName>
    <definedName name="FY0811.5" localSheetId="37">#REF!</definedName>
    <definedName name="FY0811.5" localSheetId="18">#REF!</definedName>
    <definedName name="FY0811.5" localSheetId="30">#REF!</definedName>
    <definedName name="FY0811.5" localSheetId="11">#REF!</definedName>
    <definedName name="FY0811.5" localSheetId="45">#REF!</definedName>
    <definedName name="FY0811.5" localSheetId="38">#REF!</definedName>
    <definedName name="FY0811.5" localSheetId="19">#REF!</definedName>
    <definedName name="FY0811.5" localSheetId="12">#REF!</definedName>
    <definedName name="FY0811.5" localSheetId="46">#REF!</definedName>
    <definedName name="FY0811.5" localSheetId="31">#REF!</definedName>
    <definedName name="FY0811.5" localSheetId="39">#REF!</definedName>
    <definedName name="FY0811.5" localSheetId="20">#REF!</definedName>
    <definedName name="FY0811.5" localSheetId="13">#REF!</definedName>
    <definedName name="FY0811.5" localSheetId="47">#REF!</definedName>
    <definedName name="FY0811.5" localSheetId="32">#REF!</definedName>
    <definedName name="FY0811.5" localSheetId="40">#REF!</definedName>
    <definedName name="FY0811.5" localSheetId="21">#REF!</definedName>
    <definedName name="FY0811.5" localSheetId="26">#REF!</definedName>
    <definedName name="FY0811.5" localSheetId="14">#REF!</definedName>
    <definedName name="FY0811.5" localSheetId="33">#REF!</definedName>
    <definedName name="FY0811.5" localSheetId="22">#REF!</definedName>
    <definedName name="FY0811.5" localSheetId="15">#REF!</definedName>
    <definedName name="FY0811.5" localSheetId="48">#REF!</definedName>
    <definedName name="FY0811.5" localSheetId="34">#REF!</definedName>
    <definedName name="FY0811.5" localSheetId="41">#REF!</definedName>
    <definedName name="FY0811.5" localSheetId="23">#REF!</definedName>
    <definedName name="FY0811.5" localSheetId="16">#REF!</definedName>
    <definedName name="FY0811.5" localSheetId="35">#REF!</definedName>
    <definedName name="FY0811.5" localSheetId="42">#REF!</definedName>
    <definedName name="FY0811.5" localSheetId="49">#REF!</definedName>
    <definedName name="FY0811.5" localSheetId="24">#REF!</definedName>
    <definedName name="FY0811.5" localSheetId="51">#REF!</definedName>
    <definedName name="FY0811.5">#REF!</definedName>
    <definedName name="FY0812.1" localSheetId="43">#REF!</definedName>
    <definedName name="FY0812.1" localSheetId="28">#REF!</definedName>
    <definedName name="FY0812.1" localSheetId="36">#REF!</definedName>
    <definedName name="FY0812.1" localSheetId="9">#REF!</definedName>
    <definedName name="FY0812.1" localSheetId="17">#REF!</definedName>
    <definedName name="FY0812.1" localSheetId="10">#REF!</definedName>
    <definedName name="FY0812.1" localSheetId="44">#REF!</definedName>
    <definedName name="FY0812.1" localSheetId="29">#REF!</definedName>
    <definedName name="FY0812.1" localSheetId="37">#REF!</definedName>
    <definedName name="FY0812.1" localSheetId="18">#REF!</definedName>
    <definedName name="FY0812.1" localSheetId="30">#REF!</definedName>
    <definedName name="FY0812.1" localSheetId="11">#REF!</definedName>
    <definedName name="FY0812.1" localSheetId="45">#REF!</definedName>
    <definedName name="FY0812.1" localSheetId="38">#REF!</definedName>
    <definedName name="FY0812.1" localSheetId="19">#REF!</definedName>
    <definedName name="FY0812.1" localSheetId="12">#REF!</definedName>
    <definedName name="FY0812.1" localSheetId="46">#REF!</definedName>
    <definedName name="FY0812.1" localSheetId="31">#REF!</definedName>
    <definedName name="FY0812.1" localSheetId="39">#REF!</definedName>
    <definedName name="FY0812.1" localSheetId="20">#REF!</definedName>
    <definedName name="FY0812.1" localSheetId="13">#REF!</definedName>
    <definedName name="FY0812.1" localSheetId="47">#REF!</definedName>
    <definedName name="FY0812.1" localSheetId="32">#REF!</definedName>
    <definedName name="FY0812.1" localSheetId="40">#REF!</definedName>
    <definedName name="FY0812.1" localSheetId="21">#REF!</definedName>
    <definedName name="FY0812.1" localSheetId="26">#REF!</definedName>
    <definedName name="FY0812.1" localSheetId="14">#REF!</definedName>
    <definedName name="FY0812.1" localSheetId="33">#REF!</definedName>
    <definedName name="FY0812.1" localSheetId="22">#REF!</definedName>
    <definedName name="FY0812.1" localSheetId="15">#REF!</definedName>
    <definedName name="FY0812.1" localSheetId="48">#REF!</definedName>
    <definedName name="FY0812.1" localSheetId="34">#REF!</definedName>
    <definedName name="FY0812.1" localSheetId="41">#REF!</definedName>
    <definedName name="FY0812.1" localSheetId="23">#REF!</definedName>
    <definedName name="FY0812.1" localSheetId="16">#REF!</definedName>
    <definedName name="FY0812.1" localSheetId="35">#REF!</definedName>
    <definedName name="FY0812.1" localSheetId="42">#REF!</definedName>
    <definedName name="FY0812.1" localSheetId="49">#REF!</definedName>
    <definedName name="FY0812.1" localSheetId="24">#REF!</definedName>
    <definedName name="FY0812.1" localSheetId="51">#REF!</definedName>
    <definedName name="FY0812.1">#REF!</definedName>
    <definedName name="FY0821.0" localSheetId="43">#REF!</definedName>
    <definedName name="FY0821.0" localSheetId="28">#REF!</definedName>
    <definedName name="FY0821.0" localSheetId="36">#REF!</definedName>
    <definedName name="FY0821.0" localSheetId="9">#REF!</definedName>
    <definedName name="FY0821.0" localSheetId="17">#REF!</definedName>
    <definedName name="FY0821.0" localSheetId="10">#REF!</definedName>
    <definedName name="FY0821.0" localSheetId="44">#REF!</definedName>
    <definedName name="FY0821.0" localSheetId="29">#REF!</definedName>
    <definedName name="FY0821.0" localSheetId="37">#REF!</definedName>
    <definedName name="FY0821.0" localSheetId="18">#REF!</definedName>
    <definedName name="FY0821.0" localSheetId="30">#REF!</definedName>
    <definedName name="FY0821.0" localSheetId="11">#REF!</definedName>
    <definedName name="FY0821.0" localSheetId="45">#REF!</definedName>
    <definedName name="FY0821.0" localSheetId="38">#REF!</definedName>
    <definedName name="FY0821.0" localSheetId="19">#REF!</definedName>
    <definedName name="FY0821.0" localSheetId="12">#REF!</definedName>
    <definedName name="FY0821.0" localSheetId="46">#REF!</definedName>
    <definedName name="FY0821.0" localSheetId="31">#REF!</definedName>
    <definedName name="FY0821.0" localSheetId="39">#REF!</definedName>
    <definedName name="FY0821.0" localSheetId="20">#REF!</definedName>
    <definedName name="FY0821.0" localSheetId="13">#REF!</definedName>
    <definedName name="FY0821.0" localSheetId="47">#REF!</definedName>
    <definedName name="FY0821.0" localSheetId="32">#REF!</definedName>
    <definedName name="FY0821.0" localSheetId="40">#REF!</definedName>
    <definedName name="FY0821.0" localSheetId="21">#REF!</definedName>
    <definedName name="FY0821.0" localSheetId="26">#REF!</definedName>
    <definedName name="FY0821.0" localSheetId="14">#REF!</definedName>
    <definedName name="FY0821.0" localSheetId="33">#REF!</definedName>
    <definedName name="FY0821.0" localSheetId="22">#REF!</definedName>
    <definedName name="FY0821.0" localSheetId="15">#REF!</definedName>
    <definedName name="FY0821.0" localSheetId="48">#REF!</definedName>
    <definedName name="FY0821.0" localSheetId="34">#REF!</definedName>
    <definedName name="FY0821.0" localSheetId="41">#REF!</definedName>
    <definedName name="FY0821.0" localSheetId="23">#REF!</definedName>
    <definedName name="FY0821.0" localSheetId="16">#REF!</definedName>
    <definedName name="FY0821.0" localSheetId="35">#REF!</definedName>
    <definedName name="FY0821.0" localSheetId="42">#REF!</definedName>
    <definedName name="FY0821.0" localSheetId="49">#REF!</definedName>
    <definedName name="FY0821.0" localSheetId="24">#REF!</definedName>
    <definedName name="FY0821.0" localSheetId="51">#REF!</definedName>
    <definedName name="FY0821.0">#REF!</definedName>
    <definedName name="FY0822.0" localSheetId="43">#REF!</definedName>
    <definedName name="FY0822.0" localSheetId="28">#REF!</definedName>
    <definedName name="FY0822.0" localSheetId="36">#REF!</definedName>
    <definedName name="FY0822.0" localSheetId="9">#REF!</definedName>
    <definedName name="FY0822.0" localSheetId="17">#REF!</definedName>
    <definedName name="FY0822.0" localSheetId="10">#REF!</definedName>
    <definedName name="FY0822.0" localSheetId="44">#REF!</definedName>
    <definedName name="FY0822.0" localSheetId="29">#REF!</definedName>
    <definedName name="FY0822.0" localSheetId="37">#REF!</definedName>
    <definedName name="FY0822.0" localSheetId="18">#REF!</definedName>
    <definedName name="FY0822.0" localSheetId="30">#REF!</definedName>
    <definedName name="FY0822.0" localSheetId="11">#REF!</definedName>
    <definedName name="FY0822.0" localSheetId="45">#REF!</definedName>
    <definedName name="FY0822.0" localSheetId="38">#REF!</definedName>
    <definedName name="FY0822.0" localSheetId="19">#REF!</definedName>
    <definedName name="FY0822.0" localSheetId="12">#REF!</definedName>
    <definedName name="FY0822.0" localSheetId="46">#REF!</definedName>
    <definedName name="FY0822.0" localSheetId="31">#REF!</definedName>
    <definedName name="FY0822.0" localSheetId="39">#REF!</definedName>
    <definedName name="FY0822.0" localSheetId="20">#REF!</definedName>
    <definedName name="FY0822.0" localSheetId="13">#REF!</definedName>
    <definedName name="FY0822.0" localSheetId="47">#REF!</definedName>
    <definedName name="FY0822.0" localSheetId="32">#REF!</definedName>
    <definedName name="FY0822.0" localSheetId="40">#REF!</definedName>
    <definedName name="FY0822.0" localSheetId="21">#REF!</definedName>
    <definedName name="FY0822.0" localSheetId="26">#REF!</definedName>
    <definedName name="FY0822.0" localSheetId="14">#REF!</definedName>
    <definedName name="FY0822.0" localSheetId="33">#REF!</definedName>
    <definedName name="FY0822.0" localSheetId="22">#REF!</definedName>
    <definedName name="FY0822.0" localSheetId="15">#REF!</definedName>
    <definedName name="FY0822.0" localSheetId="48">#REF!</definedName>
    <definedName name="FY0822.0" localSheetId="34">#REF!</definedName>
    <definedName name="FY0822.0" localSheetId="41">#REF!</definedName>
    <definedName name="FY0822.0" localSheetId="23">#REF!</definedName>
    <definedName name="FY0822.0" localSheetId="16">#REF!</definedName>
    <definedName name="FY0822.0" localSheetId="35">#REF!</definedName>
    <definedName name="FY0822.0" localSheetId="42">#REF!</definedName>
    <definedName name="FY0822.0" localSheetId="49">#REF!</definedName>
    <definedName name="FY0822.0" localSheetId="24">#REF!</definedName>
    <definedName name="FY0822.0" localSheetId="51">#REF!</definedName>
    <definedName name="FY0822.0">#REF!</definedName>
    <definedName name="FY0823.1" localSheetId="43">#REF!</definedName>
    <definedName name="FY0823.1" localSheetId="28">#REF!</definedName>
    <definedName name="FY0823.1" localSheetId="36">#REF!</definedName>
    <definedName name="FY0823.1" localSheetId="9">#REF!</definedName>
    <definedName name="FY0823.1" localSheetId="17">#REF!</definedName>
    <definedName name="FY0823.1" localSheetId="10">#REF!</definedName>
    <definedName name="FY0823.1" localSheetId="44">#REF!</definedName>
    <definedName name="FY0823.1" localSheetId="29">#REF!</definedName>
    <definedName name="FY0823.1" localSheetId="37">#REF!</definedName>
    <definedName name="FY0823.1" localSheetId="18">#REF!</definedName>
    <definedName name="FY0823.1" localSheetId="30">#REF!</definedName>
    <definedName name="FY0823.1" localSheetId="11">#REF!</definedName>
    <definedName name="FY0823.1" localSheetId="45">#REF!</definedName>
    <definedName name="FY0823.1" localSheetId="38">#REF!</definedName>
    <definedName name="FY0823.1" localSheetId="19">#REF!</definedName>
    <definedName name="FY0823.1" localSheetId="12">#REF!</definedName>
    <definedName name="FY0823.1" localSheetId="46">#REF!</definedName>
    <definedName name="FY0823.1" localSheetId="31">#REF!</definedName>
    <definedName name="FY0823.1" localSheetId="39">#REF!</definedName>
    <definedName name="FY0823.1" localSheetId="20">#REF!</definedName>
    <definedName name="FY0823.1" localSheetId="13">#REF!</definedName>
    <definedName name="FY0823.1" localSheetId="47">#REF!</definedName>
    <definedName name="FY0823.1" localSheetId="32">#REF!</definedName>
    <definedName name="FY0823.1" localSheetId="40">#REF!</definedName>
    <definedName name="FY0823.1" localSheetId="21">#REF!</definedName>
    <definedName name="FY0823.1" localSheetId="26">#REF!</definedName>
    <definedName name="FY0823.1" localSheetId="14">#REF!</definedName>
    <definedName name="FY0823.1" localSheetId="33">#REF!</definedName>
    <definedName name="FY0823.1" localSheetId="22">#REF!</definedName>
    <definedName name="FY0823.1" localSheetId="15">#REF!</definedName>
    <definedName name="FY0823.1" localSheetId="48">#REF!</definedName>
    <definedName name="FY0823.1" localSheetId="34">#REF!</definedName>
    <definedName name="FY0823.1" localSheetId="41">#REF!</definedName>
    <definedName name="FY0823.1" localSheetId="23">#REF!</definedName>
    <definedName name="FY0823.1" localSheetId="16">#REF!</definedName>
    <definedName name="FY0823.1" localSheetId="35">#REF!</definedName>
    <definedName name="FY0823.1" localSheetId="42">#REF!</definedName>
    <definedName name="FY0823.1" localSheetId="49">#REF!</definedName>
    <definedName name="FY0823.1" localSheetId="24">#REF!</definedName>
    <definedName name="FY0823.1" localSheetId="51">#REF!</definedName>
    <definedName name="FY0823.1">#REF!</definedName>
    <definedName name="FY0823.2" localSheetId="43">#REF!</definedName>
    <definedName name="FY0823.2" localSheetId="28">#REF!</definedName>
    <definedName name="FY0823.2" localSheetId="36">#REF!</definedName>
    <definedName name="FY0823.2" localSheetId="9">#REF!</definedName>
    <definedName name="FY0823.2" localSheetId="17">#REF!</definedName>
    <definedName name="FY0823.2" localSheetId="10">#REF!</definedName>
    <definedName name="FY0823.2" localSheetId="44">#REF!</definedName>
    <definedName name="FY0823.2" localSheetId="29">#REF!</definedName>
    <definedName name="FY0823.2" localSheetId="37">#REF!</definedName>
    <definedName name="FY0823.2" localSheetId="18">#REF!</definedName>
    <definedName name="FY0823.2" localSheetId="30">#REF!</definedName>
    <definedName name="FY0823.2" localSheetId="11">#REF!</definedName>
    <definedName name="FY0823.2" localSheetId="45">#REF!</definedName>
    <definedName name="FY0823.2" localSheetId="38">#REF!</definedName>
    <definedName name="FY0823.2" localSheetId="19">#REF!</definedName>
    <definedName name="FY0823.2" localSheetId="12">#REF!</definedName>
    <definedName name="FY0823.2" localSheetId="46">#REF!</definedName>
    <definedName name="FY0823.2" localSheetId="31">#REF!</definedName>
    <definedName name="FY0823.2" localSheetId="39">#REF!</definedName>
    <definedName name="FY0823.2" localSheetId="20">#REF!</definedName>
    <definedName name="FY0823.2" localSheetId="13">#REF!</definedName>
    <definedName name="FY0823.2" localSheetId="47">#REF!</definedName>
    <definedName name="FY0823.2" localSheetId="32">#REF!</definedName>
    <definedName name="FY0823.2" localSheetId="40">#REF!</definedName>
    <definedName name="FY0823.2" localSheetId="21">#REF!</definedName>
    <definedName name="FY0823.2" localSheetId="26">#REF!</definedName>
    <definedName name="FY0823.2" localSheetId="14">#REF!</definedName>
    <definedName name="FY0823.2" localSheetId="33">#REF!</definedName>
    <definedName name="FY0823.2" localSheetId="22">#REF!</definedName>
    <definedName name="FY0823.2" localSheetId="15">#REF!</definedName>
    <definedName name="FY0823.2" localSheetId="48">#REF!</definedName>
    <definedName name="FY0823.2" localSheetId="34">#REF!</definedName>
    <definedName name="FY0823.2" localSheetId="41">#REF!</definedName>
    <definedName name="FY0823.2" localSheetId="23">#REF!</definedName>
    <definedName name="FY0823.2" localSheetId="16">#REF!</definedName>
    <definedName name="FY0823.2" localSheetId="35">#REF!</definedName>
    <definedName name="FY0823.2" localSheetId="42">#REF!</definedName>
    <definedName name="FY0823.2" localSheetId="49">#REF!</definedName>
    <definedName name="FY0823.2" localSheetId="24">#REF!</definedName>
    <definedName name="FY0823.2" localSheetId="51">#REF!</definedName>
    <definedName name="FY0823.2">#REF!</definedName>
    <definedName name="FY0823.3" localSheetId="43">#REF!</definedName>
    <definedName name="FY0823.3" localSheetId="28">#REF!</definedName>
    <definedName name="FY0823.3" localSheetId="36">#REF!</definedName>
    <definedName name="FY0823.3" localSheetId="9">#REF!</definedName>
    <definedName name="FY0823.3" localSheetId="17">#REF!</definedName>
    <definedName name="FY0823.3" localSheetId="10">#REF!</definedName>
    <definedName name="FY0823.3" localSheetId="44">#REF!</definedName>
    <definedName name="FY0823.3" localSheetId="29">#REF!</definedName>
    <definedName name="FY0823.3" localSheetId="37">#REF!</definedName>
    <definedName name="FY0823.3" localSheetId="18">#REF!</definedName>
    <definedName name="FY0823.3" localSheetId="30">#REF!</definedName>
    <definedName name="FY0823.3" localSheetId="11">#REF!</definedName>
    <definedName name="FY0823.3" localSheetId="45">#REF!</definedName>
    <definedName name="FY0823.3" localSheetId="38">#REF!</definedName>
    <definedName name="FY0823.3" localSheetId="19">#REF!</definedName>
    <definedName name="FY0823.3" localSheetId="12">#REF!</definedName>
    <definedName name="FY0823.3" localSheetId="46">#REF!</definedName>
    <definedName name="FY0823.3" localSheetId="31">#REF!</definedName>
    <definedName name="FY0823.3" localSheetId="39">#REF!</definedName>
    <definedName name="FY0823.3" localSheetId="20">#REF!</definedName>
    <definedName name="FY0823.3" localSheetId="13">#REF!</definedName>
    <definedName name="FY0823.3" localSheetId="47">#REF!</definedName>
    <definedName name="FY0823.3" localSheetId="32">#REF!</definedName>
    <definedName name="FY0823.3" localSheetId="40">#REF!</definedName>
    <definedName name="FY0823.3" localSheetId="21">#REF!</definedName>
    <definedName name="FY0823.3" localSheetId="26">#REF!</definedName>
    <definedName name="FY0823.3" localSheetId="14">#REF!</definedName>
    <definedName name="FY0823.3" localSheetId="33">#REF!</definedName>
    <definedName name="FY0823.3" localSheetId="22">#REF!</definedName>
    <definedName name="FY0823.3" localSheetId="15">#REF!</definedName>
    <definedName name="FY0823.3" localSheetId="48">#REF!</definedName>
    <definedName name="FY0823.3" localSheetId="34">#REF!</definedName>
    <definedName name="FY0823.3" localSheetId="41">#REF!</definedName>
    <definedName name="FY0823.3" localSheetId="23">#REF!</definedName>
    <definedName name="FY0823.3" localSheetId="16">#REF!</definedName>
    <definedName name="FY0823.3" localSheetId="35">#REF!</definedName>
    <definedName name="FY0823.3" localSheetId="42">#REF!</definedName>
    <definedName name="FY0823.3" localSheetId="49">#REF!</definedName>
    <definedName name="FY0823.3" localSheetId="24">#REF!</definedName>
    <definedName name="FY0823.3" localSheetId="51">#REF!</definedName>
    <definedName name="FY0823.3">#REF!</definedName>
    <definedName name="FY0824.0" localSheetId="43">#REF!</definedName>
    <definedName name="FY0824.0" localSheetId="28">#REF!</definedName>
    <definedName name="FY0824.0" localSheetId="36">#REF!</definedName>
    <definedName name="FY0824.0" localSheetId="9">#REF!</definedName>
    <definedName name="FY0824.0" localSheetId="17">#REF!</definedName>
    <definedName name="FY0824.0" localSheetId="10">#REF!</definedName>
    <definedName name="FY0824.0" localSheetId="44">#REF!</definedName>
    <definedName name="FY0824.0" localSheetId="29">#REF!</definedName>
    <definedName name="FY0824.0" localSheetId="37">#REF!</definedName>
    <definedName name="FY0824.0" localSheetId="18">#REF!</definedName>
    <definedName name="FY0824.0" localSheetId="30">#REF!</definedName>
    <definedName name="FY0824.0" localSheetId="11">#REF!</definedName>
    <definedName name="FY0824.0" localSheetId="45">#REF!</definedName>
    <definedName name="FY0824.0" localSheetId="38">#REF!</definedName>
    <definedName name="FY0824.0" localSheetId="19">#REF!</definedName>
    <definedName name="FY0824.0" localSheetId="12">#REF!</definedName>
    <definedName name="FY0824.0" localSheetId="46">#REF!</definedName>
    <definedName name="FY0824.0" localSheetId="31">#REF!</definedName>
    <definedName name="FY0824.0" localSheetId="39">#REF!</definedName>
    <definedName name="FY0824.0" localSheetId="20">#REF!</definedName>
    <definedName name="FY0824.0" localSheetId="13">#REF!</definedName>
    <definedName name="FY0824.0" localSheetId="47">#REF!</definedName>
    <definedName name="FY0824.0" localSheetId="32">#REF!</definedName>
    <definedName name="FY0824.0" localSheetId="40">#REF!</definedName>
    <definedName name="FY0824.0" localSheetId="21">#REF!</definedName>
    <definedName name="FY0824.0" localSheetId="26">#REF!</definedName>
    <definedName name="FY0824.0" localSheetId="14">#REF!</definedName>
    <definedName name="FY0824.0" localSheetId="33">#REF!</definedName>
    <definedName name="FY0824.0" localSheetId="22">#REF!</definedName>
    <definedName name="FY0824.0" localSheetId="15">#REF!</definedName>
    <definedName name="FY0824.0" localSheetId="48">#REF!</definedName>
    <definedName name="FY0824.0" localSheetId="34">#REF!</definedName>
    <definedName name="FY0824.0" localSheetId="41">#REF!</definedName>
    <definedName name="FY0824.0" localSheetId="23">#REF!</definedName>
    <definedName name="FY0824.0" localSheetId="16">#REF!</definedName>
    <definedName name="FY0824.0" localSheetId="35">#REF!</definedName>
    <definedName name="FY0824.0" localSheetId="42">#REF!</definedName>
    <definedName name="FY0824.0" localSheetId="49">#REF!</definedName>
    <definedName name="FY0824.0" localSheetId="24">#REF!</definedName>
    <definedName name="FY0824.0" localSheetId="51">#REF!</definedName>
    <definedName name="FY0824.0">#REF!</definedName>
    <definedName name="FY0825.2" localSheetId="43">#REF!</definedName>
    <definedName name="FY0825.2" localSheetId="28">#REF!</definedName>
    <definedName name="FY0825.2" localSheetId="36">#REF!</definedName>
    <definedName name="FY0825.2" localSheetId="9">#REF!</definedName>
    <definedName name="FY0825.2" localSheetId="17">#REF!</definedName>
    <definedName name="FY0825.2" localSheetId="10">#REF!</definedName>
    <definedName name="FY0825.2" localSheetId="44">#REF!</definedName>
    <definedName name="FY0825.2" localSheetId="29">#REF!</definedName>
    <definedName name="FY0825.2" localSheetId="37">#REF!</definedName>
    <definedName name="FY0825.2" localSheetId="18">#REF!</definedName>
    <definedName name="FY0825.2" localSheetId="30">#REF!</definedName>
    <definedName name="FY0825.2" localSheetId="11">#REF!</definedName>
    <definedName name="FY0825.2" localSheetId="45">#REF!</definedName>
    <definedName name="FY0825.2" localSheetId="38">#REF!</definedName>
    <definedName name="FY0825.2" localSheetId="19">#REF!</definedName>
    <definedName name="FY0825.2" localSheetId="12">#REF!</definedName>
    <definedName name="FY0825.2" localSheetId="46">#REF!</definedName>
    <definedName name="FY0825.2" localSheetId="31">#REF!</definedName>
    <definedName name="FY0825.2" localSheetId="39">#REF!</definedName>
    <definedName name="FY0825.2" localSheetId="20">#REF!</definedName>
    <definedName name="FY0825.2" localSheetId="13">#REF!</definedName>
    <definedName name="FY0825.2" localSheetId="47">#REF!</definedName>
    <definedName name="FY0825.2" localSheetId="32">#REF!</definedName>
    <definedName name="FY0825.2" localSheetId="40">#REF!</definedName>
    <definedName name="FY0825.2" localSheetId="21">#REF!</definedName>
    <definedName name="FY0825.2" localSheetId="26">#REF!</definedName>
    <definedName name="FY0825.2" localSheetId="14">#REF!</definedName>
    <definedName name="FY0825.2" localSheetId="33">#REF!</definedName>
    <definedName name="FY0825.2" localSheetId="22">#REF!</definedName>
    <definedName name="FY0825.2" localSheetId="15">#REF!</definedName>
    <definedName name="FY0825.2" localSheetId="48">#REF!</definedName>
    <definedName name="FY0825.2" localSheetId="34">#REF!</definedName>
    <definedName name="FY0825.2" localSheetId="41">#REF!</definedName>
    <definedName name="FY0825.2" localSheetId="23">#REF!</definedName>
    <definedName name="FY0825.2" localSheetId="16">#REF!</definedName>
    <definedName name="FY0825.2" localSheetId="35">#REF!</definedName>
    <definedName name="FY0825.2" localSheetId="42">#REF!</definedName>
    <definedName name="FY0825.2" localSheetId="49">#REF!</definedName>
    <definedName name="FY0825.2" localSheetId="24">#REF!</definedName>
    <definedName name="FY0825.2" localSheetId="51">#REF!</definedName>
    <definedName name="FY0825.2">#REF!</definedName>
    <definedName name="FY0825.3" localSheetId="43">#REF!</definedName>
    <definedName name="FY0825.3" localSheetId="28">#REF!</definedName>
    <definedName name="FY0825.3" localSheetId="36">#REF!</definedName>
    <definedName name="FY0825.3" localSheetId="9">#REF!</definedName>
    <definedName name="FY0825.3" localSheetId="17">#REF!</definedName>
    <definedName name="FY0825.3" localSheetId="10">#REF!</definedName>
    <definedName name="FY0825.3" localSheetId="44">#REF!</definedName>
    <definedName name="FY0825.3" localSheetId="29">#REF!</definedName>
    <definedName name="FY0825.3" localSheetId="37">#REF!</definedName>
    <definedName name="FY0825.3" localSheetId="18">#REF!</definedName>
    <definedName name="FY0825.3" localSheetId="30">#REF!</definedName>
    <definedName name="FY0825.3" localSheetId="11">#REF!</definedName>
    <definedName name="FY0825.3" localSheetId="45">#REF!</definedName>
    <definedName name="FY0825.3" localSheetId="38">#REF!</definedName>
    <definedName name="FY0825.3" localSheetId="19">#REF!</definedName>
    <definedName name="FY0825.3" localSheetId="12">#REF!</definedName>
    <definedName name="FY0825.3" localSheetId="46">#REF!</definedName>
    <definedName name="FY0825.3" localSheetId="31">#REF!</definedName>
    <definedName name="FY0825.3" localSheetId="39">#REF!</definedName>
    <definedName name="FY0825.3" localSheetId="20">#REF!</definedName>
    <definedName name="FY0825.3" localSheetId="13">#REF!</definedName>
    <definedName name="FY0825.3" localSheetId="47">#REF!</definedName>
    <definedName name="FY0825.3" localSheetId="32">#REF!</definedName>
    <definedName name="FY0825.3" localSheetId="40">#REF!</definedName>
    <definedName name="FY0825.3" localSheetId="21">#REF!</definedName>
    <definedName name="FY0825.3" localSheetId="26">#REF!</definedName>
    <definedName name="FY0825.3" localSheetId="14">#REF!</definedName>
    <definedName name="FY0825.3" localSheetId="33">#REF!</definedName>
    <definedName name="FY0825.3" localSheetId="22">#REF!</definedName>
    <definedName name="FY0825.3" localSheetId="15">#REF!</definedName>
    <definedName name="FY0825.3" localSheetId="48">#REF!</definedName>
    <definedName name="FY0825.3" localSheetId="34">#REF!</definedName>
    <definedName name="FY0825.3" localSheetId="41">#REF!</definedName>
    <definedName name="FY0825.3" localSheetId="23">#REF!</definedName>
    <definedName name="FY0825.3" localSheetId="16">#REF!</definedName>
    <definedName name="FY0825.3" localSheetId="35">#REF!</definedName>
    <definedName name="FY0825.3" localSheetId="42">#REF!</definedName>
    <definedName name="FY0825.3" localSheetId="49">#REF!</definedName>
    <definedName name="FY0825.3" localSheetId="24">#REF!</definedName>
    <definedName name="FY0825.3" localSheetId="51">#REF!</definedName>
    <definedName name="FY0825.3">#REF!</definedName>
    <definedName name="FY0825.6" localSheetId="43">#REF!</definedName>
    <definedName name="FY0825.6" localSheetId="28">#REF!</definedName>
    <definedName name="FY0825.6" localSheetId="36">#REF!</definedName>
    <definedName name="FY0825.6" localSheetId="9">#REF!</definedName>
    <definedName name="FY0825.6" localSheetId="17">#REF!</definedName>
    <definedName name="FY0825.6" localSheetId="10">#REF!</definedName>
    <definedName name="FY0825.6" localSheetId="44">#REF!</definedName>
    <definedName name="FY0825.6" localSheetId="29">#REF!</definedName>
    <definedName name="FY0825.6" localSheetId="37">#REF!</definedName>
    <definedName name="FY0825.6" localSheetId="18">#REF!</definedName>
    <definedName name="FY0825.6" localSheetId="30">#REF!</definedName>
    <definedName name="FY0825.6" localSheetId="11">#REF!</definedName>
    <definedName name="FY0825.6" localSheetId="45">#REF!</definedName>
    <definedName name="FY0825.6" localSheetId="38">#REF!</definedName>
    <definedName name="FY0825.6" localSheetId="19">#REF!</definedName>
    <definedName name="FY0825.6" localSheetId="12">#REF!</definedName>
    <definedName name="FY0825.6" localSheetId="46">#REF!</definedName>
    <definedName name="FY0825.6" localSheetId="31">#REF!</definedName>
    <definedName name="FY0825.6" localSheetId="39">#REF!</definedName>
    <definedName name="FY0825.6" localSheetId="20">#REF!</definedName>
    <definedName name="FY0825.6" localSheetId="13">#REF!</definedName>
    <definedName name="FY0825.6" localSheetId="47">#REF!</definedName>
    <definedName name="FY0825.6" localSheetId="32">#REF!</definedName>
    <definedName name="FY0825.6" localSheetId="40">#REF!</definedName>
    <definedName name="FY0825.6" localSheetId="21">#REF!</definedName>
    <definedName name="FY0825.6" localSheetId="26">#REF!</definedName>
    <definedName name="FY0825.6" localSheetId="14">#REF!</definedName>
    <definedName name="FY0825.6" localSheetId="33">#REF!</definedName>
    <definedName name="FY0825.6" localSheetId="22">#REF!</definedName>
    <definedName name="FY0825.6" localSheetId="15">#REF!</definedName>
    <definedName name="FY0825.6" localSheetId="48">#REF!</definedName>
    <definedName name="FY0825.6" localSheetId="34">#REF!</definedName>
    <definedName name="FY0825.6" localSheetId="41">#REF!</definedName>
    <definedName name="FY0825.6" localSheetId="23">#REF!</definedName>
    <definedName name="FY0825.6" localSheetId="16">#REF!</definedName>
    <definedName name="FY0825.6" localSheetId="35">#REF!</definedName>
    <definedName name="FY0825.6" localSheetId="42">#REF!</definedName>
    <definedName name="FY0825.6" localSheetId="49">#REF!</definedName>
    <definedName name="FY0825.6" localSheetId="24">#REF!</definedName>
    <definedName name="FY0825.6" localSheetId="51">#REF!</definedName>
    <definedName name="FY0825.6">#REF!</definedName>
    <definedName name="FY0826.0" localSheetId="43">#REF!</definedName>
    <definedName name="FY0826.0" localSheetId="28">#REF!</definedName>
    <definedName name="FY0826.0" localSheetId="36">#REF!</definedName>
    <definedName name="FY0826.0" localSheetId="9">#REF!</definedName>
    <definedName name="FY0826.0" localSheetId="17">#REF!</definedName>
    <definedName name="FY0826.0" localSheetId="10">#REF!</definedName>
    <definedName name="FY0826.0" localSheetId="44">#REF!</definedName>
    <definedName name="FY0826.0" localSheetId="29">#REF!</definedName>
    <definedName name="FY0826.0" localSheetId="37">#REF!</definedName>
    <definedName name="FY0826.0" localSheetId="18">#REF!</definedName>
    <definedName name="FY0826.0" localSheetId="30">#REF!</definedName>
    <definedName name="FY0826.0" localSheetId="11">#REF!</definedName>
    <definedName name="FY0826.0" localSheetId="45">#REF!</definedName>
    <definedName name="FY0826.0" localSheetId="38">#REF!</definedName>
    <definedName name="FY0826.0" localSheetId="19">#REF!</definedName>
    <definedName name="FY0826.0" localSheetId="12">#REF!</definedName>
    <definedName name="FY0826.0" localSheetId="46">#REF!</definedName>
    <definedName name="FY0826.0" localSheetId="31">#REF!</definedName>
    <definedName name="FY0826.0" localSheetId="39">#REF!</definedName>
    <definedName name="FY0826.0" localSheetId="20">#REF!</definedName>
    <definedName name="FY0826.0" localSheetId="13">#REF!</definedName>
    <definedName name="FY0826.0" localSheetId="47">#REF!</definedName>
    <definedName name="FY0826.0" localSheetId="32">#REF!</definedName>
    <definedName name="FY0826.0" localSheetId="40">#REF!</definedName>
    <definedName name="FY0826.0" localSheetId="21">#REF!</definedName>
    <definedName name="FY0826.0" localSheetId="26">#REF!</definedName>
    <definedName name="FY0826.0" localSheetId="14">#REF!</definedName>
    <definedName name="FY0826.0" localSheetId="33">#REF!</definedName>
    <definedName name="FY0826.0" localSheetId="22">#REF!</definedName>
    <definedName name="FY0826.0" localSheetId="15">#REF!</definedName>
    <definedName name="FY0826.0" localSheetId="48">#REF!</definedName>
    <definedName name="FY0826.0" localSheetId="34">#REF!</definedName>
    <definedName name="FY0826.0" localSheetId="41">#REF!</definedName>
    <definedName name="FY0826.0" localSheetId="23">#REF!</definedName>
    <definedName name="FY0826.0" localSheetId="16">#REF!</definedName>
    <definedName name="FY0826.0" localSheetId="35">#REF!</definedName>
    <definedName name="FY0826.0" localSheetId="42">#REF!</definedName>
    <definedName name="FY0826.0" localSheetId="49">#REF!</definedName>
    <definedName name="FY0826.0" localSheetId="24">#REF!</definedName>
    <definedName name="FY0826.0" localSheetId="51">#REF!</definedName>
    <definedName name="FY0826.0">#REF!</definedName>
    <definedName name="FY0831.0" localSheetId="43">#REF!</definedName>
    <definedName name="FY0831.0" localSheetId="28">#REF!</definedName>
    <definedName name="FY0831.0" localSheetId="36">#REF!</definedName>
    <definedName name="FY0831.0" localSheetId="9">#REF!</definedName>
    <definedName name="FY0831.0" localSheetId="17">#REF!</definedName>
    <definedName name="FY0831.0" localSheetId="10">#REF!</definedName>
    <definedName name="FY0831.0" localSheetId="44">#REF!</definedName>
    <definedName name="FY0831.0" localSheetId="29">#REF!</definedName>
    <definedName name="FY0831.0" localSheetId="37">#REF!</definedName>
    <definedName name="FY0831.0" localSheetId="18">#REF!</definedName>
    <definedName name="FY0831.0" localSheetId="30">#REF!</definedName>
    <definedName name="FY0831.0" localSheetId="11">#REF!</definedName>
    <definedName name="FY0831.0" localSheetId="45">#REF!</definedName>
    <definedName name="FY0831.0" localSheetId="38">#REF!</definedName>
    <definedName name="FY0831.0" localSheetId="19">#REF!</definedName>
    <definedName name="FY0831.0" localSheetId="12">#REF!</definedName>
    <definedName name="FY0831.0" localSheetId="46">#REF!</definedName>
    <definedName name="FY0831.0" localSheetId="31">#REF!</definedName>
    <definedName name="FY0831.0" localSheetId="39">#REF!</definedName>
    <definedName name="FY0831.0" localSheetId="20">#REF!</definedName>
    <definedName name="FY0831.0" localSheetId="13">#REF!</definedName>
    <definedName name="FY0831.0" localSheetId="47">#REF!</definedName>
    <definedName name="FY0831.0" localSheetId="32">#REF!</definedName>
    <definedName name="FY0831.0" localSheetId="40">#REF!</definedName>
    <definedName name="FY0831.0" localSheetId="21">#REF!</definedName>
    <definedName name="FY0831.0" localSheetId="26">#REF!</definedName>
    <definedName name="FY0831.0" localSheetId="14">#REF!</definedName>
    <definedName name="FY0831.0" localSheetId="33">#REF!</definedName>
    <definedName name="FY0831.0" localSheetId="22">#REF!</definedName>
    <definedName name="FY0831.0" localSheetId="15">#REF!</definedName>
    <definedName name="FY0831.0" localSheetId="48">#REF!</definedName>
    <definedName name="FY0831.0" localSheetId="34">#REF!</definedName>
    <definedName name="FY0831.0" localSheetId="41">#REF!</definedName>
    <definedName name="FY0831.0" localSheetId="23">#REF!</definedName>
    <definedName name="FY0831.0" localSheetId="16">#REF!</definedName>
    <definedName name="FY0831.0" localSheetId="35">#REF!</definedName>
    <definedName name="FY0831.0" localSheetId="42">#REF!</definedName>
    <definedName name="FY0831.0" localSheetId="49">#REF!</definedName>
    <definedName name="FY0831.0" localSheetId="24">#REF!</definedName>
    <definedName name="FY0831.0" localSheetId="51">#REF!</definedName>
    <definedName name="FY0831.0">#REF!</definedName>
    <definedName name="FY0832.0" localSheetId="43">#REF!</definedName>
    <definedName name="FY0832.0" localSheetId="28">#REF!</definedName>
    <definedName name="FY0832.0" localSheetId="36">#REF!</definedName>
    <definedName name="FY0832.0" localSheetId="9">#REF!</definedName>
    <definedName name="FY0832.0" localSheetId="17">#REF!</definedName>
    <definedName name="FY0832.0" localSheetId="10">#REF!</definedName>
    <definedName name="FY0832.0" localSheetId="44">#REF!</definedName>
    <definedName name="FY0832.0" localSheetId="29">#REF!</definedName>
    <definedName name="FY0832.0" localSheetId="37">#REF!</definedName>
    <definedName name="FY0832.0" localSheetId="18">#REF!</definedName>
    <definedName name="FY0832.0" localSheetId="30">#REF!</definedName>
    <definedName name="FY0832.0" localSheetId="11">#REF!</definedName>
    <definedName name="FY0832.0" localSheetId="45">#REF!</definedName>
    <definedName name="FY0832.0" localSheetId="38">#REF!</definedName>
    <definedName name="FY0832.0" localSheetId="19">#REF!</definedName>
    <definedName name="FY0832.0" localSheetId="12">#REF!</definedName>
    <definedName name="FY0832.0" localSheetId="46">#REF!</definedName>
    <definedName name="FY0832.0" localSheetId="31">#REF!</definedName>
    <definedName name="FY0832.0" localSheetId="39">#REF!</definedName>
    <definedName name="FY0832.0" localSheetId="20">#REF!</definedName>
    <definedName name="FY0832.0" localSheetId="13">#REF!</definedName>
    <definedName name="FY0832.0" localSheetId="47">#REF!</definedName>
    <definedName name="FY0832.0" localSheetId="32">#REF!</definedName>
    <definedName name="FY0832.0" localSheetId="40">#REF!</definedName>
    <definedName name="FY0832.0" localSheetId="21">#REF!</definedName>
    <definedName name="FY0832.0" localSheetId="26">#REF!</definedName>
    <definedName name="FY0832.0" localSheetId="14">#REF!</definedName>
    <definedName name="FY0832.0" localSheetId="33">#REF!</definedName>
    <definedName name="FY0832.0" localSheetId="22">#REF!</definedName>
    <definedName name="FY0832.0" localSheetId="15">#REF!</definedName>
    <definedName name="FY0832.0" localSheetId="48">#REF!</definedName>
    <definedName name="FY0832.0" localSheetId="34">#REF!</definedName>
    <definedName name="FY0832.0" localSheetId="41">#REF!</definedName>
    <definedName name="FY0832.0" localSheetId="23">#REF!</definedName>
    <definedName name="FY0832.0" localSheetId="16">#REF!</definedName>
    <definedName name="FY0832.0" localSheetId="35">#REF!</definedName>
    <definedName name="FY0832.0" localSheetId="42">#REF!</definedName>
    <definedName name="FY0832.0" localSheetId="49">#REF!</definedName>
    <definedName name="FY0832.0" localSheetId="24">#REF!</definedName>
    <definedName name="FY0832.0" localSheetId="51">#REF!</definedName>
    <definedName name="FY0832.0">#REF!</definedName>
    <definedName name="FY08Ling" localSheetId="43">#REF!</definedName>
    <definedName name="FY08Ling" localSheetId="28">#REF!</definedName>
    <definedName name="FY08Ling" localSheetId="36">#REF!</definedName>
    <definedName name="FY08Ling" localSheetId="9">#REF!</definedName>
    <definedName name="FY08Ling" localSheetId="17">#REF!</definedName>
    <definedName name="FY08Ling" localSheetId="10">#REF!</definedName>
    <definedName name="FY08Ling" localSheetId="44">#REF!</definedName>
    <definedName name="FY08Ling" localSheetId="29">#REF!</definedName>
    <definedName name="FY08Ling" localSheetId="37">#REF!</definedName>
    <definedName name="FY08Ling" localSheetId="18">#REF!</definedName>
    <definedName name="FY08Ling" localSheetId="30">#REF!</definedName>
    <definedName name="FY08Ling" localSheetId="11">#REF!</definedName>
    <definedName name="FY08Ling" localSheetId="45">#REF!</definedName>
    <definedName name="FY08Ling" localSheetId="38">#REF!</definedName>
    <definedName name="FY08Ling" localSheetId="19">#REF!</definedName>
    <definedName name="FY08Ling" localSheetId="12">#REF!</definedName>
    <definedName name="FY08Ling" localSheetId="46">#REF!</definedName>
    <definedName name="FY08Ling" localSheetId="31">#REF!</definedName>
    <definedName name="FY08Ling" localSheetId="39">#REF!</definedName>
    <definedName name="FY08Ling" localSheetId="20">#REF!</definedName>
    <definedName name="FY08Ling" localSheetId="13">#REF!</definedName>
    <definedName name="FY08Ling" localSheetId="47">#REF!</definedName>
    <definedName name="FY08Ling" localSheetId="32">#REF!</definedName>
    <definedName name="FY08Ling" localSheetId="40">#REF!</definedName>
    <definedName name="FY08Ling" localSheetId="21">#REF!</definedName>
    <definedName name="FY08Ling" localSheetId="26">#REF!</definedName>
    <definedName name="FY08Ling" localSheetId="14">#REF!</definedName>
    <definedName name="FY08Ling" localSheetId="33">#REF!</definedName>
    <definedName name="FY08Ling" localSheetId="22">#REF!</definedName>
    <definedName name="FY08Ling" localSheetId="15">#REF!</definedName>
    <definedName name="FY08Ling" localSheetId="48">#REF!</definedName>
    <definedName name="FY08Ling" localSheetId="34">#REF!</definedName>
    <definedName name="FY08Ling" localSheetId="41">#REF!</definedName>
    <definedName name="FY08Ling" localSheetId="23">#REF!</definedName>
    <definedName name="FY08Ling" localSheetId="16">#REF!</definedName>
    <definedName name="FY08Ling" localSheetId="35">#REF!</definedName>
    <definedName name="FY08Ling" localSheetId="42">#REF!</definedName>
    <definedName name="FY08Ling" localSheetId="49">#REF!</definedName>
    <definedName name="FY08Ling" localSheetId="24">#REF!</definedName>
    <definedName name="FY08Ling" localSheetId="51">#REF!</definedName>
    <definedName name="FY08Ling">#REF!</definedName>
    <definedName name="FY08Mult" localSheetId="43">#REF!</definedName>
    <definedName name="FY08Mult" localSheetId="28">#REF!</definedName>
    <definedName name="FY08Mult" localSheetId="36">#REF!</definedName>
    <definedName name="FY08Mult" localSheetId="9">#REF!</definedName>
    <definedName name="FY08Mult" localSheetId="17">#REF!</definedName>
    <definedName name="FY08Mult" localSheetId="10">#REF!</definedName>
    <definedName name="FY08Mult" localSheetId="44">#REF!</definedName>
    <definedName name="FY08Mult" localSheetId="29">#REF!</definedName>
    <definedName name="FY08Mult" localSheetId="37">#REF!</definedName>
    <definedName name="FY08Mult" localSheetId="18">#REF!</definedName>
    <definedName name="FY08Mult" localSheetId="30">#REF!</definedName>
    <definedName name="FY08Mult" localSheetId="11">#REF!</definedName>
    <definedName name="FY08Mult" localSheetId="45">#REF!</definedName>
    <definedName name="FY08Mult" localSheetId="38">#REF!</definedName>
    <definedName name="FY08Mult" localSheetId="19">#REF!</definedName>
    <definedName name="FY08Mult" localSheetId="12">#REF!</definedName>
    <definedName name="FY08Mult" localSheetId="46">#REF!</definedName>
    <definedName name="FY08Mult" localSheetId="31">#REF!</definedName>
    <definedName name="FY08Mult" localSheetId="39">#REF!</definedName>
    <definedName name="FY08Mult" localSheetId="20">#REF!</definedName>
    <definedName name="FY08Mult" localSheetId="13">#REF!</definedName>
    <definedName name="FY08Mult" localSheetId="47">#REF!</definedName>
    <definedName name="FY08Mult" localSheetId="32">#REF!</definedName>
    <definedName name="FY08Mult" localSheetId="40">#REF!</definedName>
    <definedName name="FY08Mult" localSheetId="21">#REF!</definedName>
    <definedName name="FY08Mult" localSheetId="26">#REF!</definedName>
    <definedName name="FY08Mult" localSheetId="14">#REF!</definedName>
    <definedName name="FY08Mult" localSheetId="33">#REF!</definedName>
    <definedName name="FY08Mult" localSheetId="22">#REF!</definedName>
    <definedName name="FY08Mult" localSheetId="15">#REF!</definedName>
    <definedName name="FY08Mult" localSheetId="48">#REF!</definedName>
    <definedName name="FY08Mult" localSheetId="34">#REF!</definedName>
    <definedName name="FY08Mult" localSheetId="41">#REF!</definedName>
    <definedName name="FY08Mult" localSheetId="23">#REF!</definedName>
    <definedName name="FY08Mult" localSheetId="16">#REF!</definedName>
    <definedName name="FY08Mult" localSheetId="35">#REF!</definedName>
    <definedName name="FY08Mult" localSheetId="42">#REF!</definedName>
    <definedName name="FY08Mult" localSheetId="49">#REF!</definedName>
    <definedName name="FY08Mult" localSheetId="24">#REF!</definedName>
    <definedName name="FY08Mult" localSheetId="51">#REF!</definedName>
    <definedName name="FY08Mult">#REF!</definedName>
    <definedName name="FY08PEPI" localSheetId="43">#REF!</definedName>
    <definedName name="FY08PEPI" localSheetId="28">#REF!</definedName>
    <definedName name="FY08PEPI" localSheetId="36">#REF!</definedName>
    <definedName name="FY08PEPI" localSheetId="9">#REF!</definedName>
    <definedName name="FY08PEPI" localSheetId="17">#REF!</definedName>
    <definedName name="FY08PEPI" localSheetId="10">#REF!</definedName>
    <definedName name="FY08PEPI" localSheetId="44">#REF!</definedName>
    <definedName name="FY08PEPI" localSheetId="29">#REF!</definedName>
    <definedName name="FY08PEPI" localSheetId="37">#REF!</definedName>
    <definedName name="FY08PEPI" localSheetId="18">#REF!</definedName>
    <definedName name="FY08PEPI" localSheetId="30">#REF!</definedName>
    <definedName name="FY08PEPI" localSheetId="11">#REF!</definedName>
    <definedName name="FY08PEPI" localSheetId="45">#REF!</definedName>
    <definedName name="FY08PEPI" localSheetId="38">#REF!</definedName>
    <definedName name="FY08PEPI" localSheetId="19">#REF!</definedName>
    <definedName name="FY08PEPI" localSheetId="12">#REF!</definedName>
    <definedName name="FY08PEPI" localSheetId="46">#REF!</definedName>
    <definedName name="FY08PEPI" localSheetId="31">#REF!</definedName>
    <definedName name="FY08PEPI" localSheetId="39">#REF!</definedName>
    <definedName name="FY08PEPI" localSheetId="20">#REF!</definedName>
    <definedName name="FY08PEPI" localSheetId="13">#REF!</definedName>
    <definedName name="FY08PEPI" localSheetId="47">#REF!</definedName>
    <definedName name="FY08PEPI" localSheetId="32">#REF!</definedName>
    <definedName name="FY08PEPI" localSheetId="40">#REF!</definedName>
    <definedName name="FY08PEPI" localSheetId="21">#REF!</definedName>
    <definedName name="FY08PEPI" localSheetId="26">#REF!</definedName>
    <definedName name="FY08PEPI" localSheetId="14">#REF!</definedName>
    <definedName name="FY08PEPI" localSheetId="33">#REF!</definedName>
    <definedName name="FY08PEPI" localSheetId="22">#REF!</definedName>
    <definedName name="FY08PEPI" localSheetId="15">#REF!</definedName>
    <definedName name="FY08PEPI" localSheetId="48">#REF!</definedName>
    <definedName name="FY08PEPI" localSheetId="34">#REF!</definedName>
    <definedName name="FY08PEPI" localSheetId="41">#REF!</definedName>
    <definedName name="FY08PEPI" localSheetId="23">#REF!</definedName>
    <definedName name="FY08PEPI" localSheetId="16">#REF!</definedName>
    <definedName name="FY08PEPI" localSheetId="35">#REF!</definedName>
    <definedName name="FY08PEPI" localSheetId="42">#REF!</definedName>
    <definedName name="FY08PEPI" localSheetId="49">#REF!</definedName>
    <definedName name="FY08PEPI" localSheetId="24">#REF!</definedName>
    <definedName name="FY08PEPI" localSheetId="51">#REF!</definedName>
    <definedName name="FY08PEPI">#REF!</definedName>
    <definedName name="FY08Tot" localSheetId="43">#REF!</definedName>
    <definedName name="FY08Tot" localSheetId="28">#REF!</definedName>
    <definedName name="FY08Tot" localSheetId="36">#REF!</definedName>
    <definedName name="FY08Tot" localSheetId="9">#REF!</definedName>
    <definedName name="FY08Tot" localSheetId="17">#REF!</definedName>
    <definedName name="FY08Tot" localSheetId="10">#REF!</definedName>
    <definedName name="FY08Tot" localSheetId="44">#REF!</definedName>
    <definedName name="FY08Tot" localSheetId="29">#REF!</definedName>
    <definedName name="FY08Tot" localSheetId="37">#REF!</definedName>
    <definedName name="FY08Tot" localSheetId="18">#REF!</definedName>
    <definedName name="FY08Tot" localSheetId="30">#REF!</definedName>
    <definedName name="FY08Tot" localSheetId="11">#REF!</definedName>
    <definedName name="FY08Tot" localSheetId="45">#REF!</definedName>
    <definedName name="FY08Tot" localSheetId="38">#REF!</definedName>
    <definedName name="FY08Tot" localSheetId="19">#REF!</definedName>
    <definedName name="FY08Tot" localSheetId="12">#REF!</definedName>
    <definedName name="FY08Tot" localSheetId="46">#REF!</definedName>
    <definedName name="FY08Tot" localSheetId="31">#REF!</definedName>
    <definedName name="FY08Tot" localSheetId="39">#REF!</definedName>
    <definedName name="FY08Tot" localSheetId="20">#REF!</definedName>
    <definedName name="FY08Tot" localSheetId="13">#REF!</definedName>
    <definedName name="FY08Tot" localSheetId="47">#REF!</definedName>
    <definedName name="FY08Tot" localSheetId="32">#REF!</definedName>
    <definedName name="FY08Tot" localSheetId="40">#REF!</definedName>
    <definedName name="FY08Tot" localSheetId="21">#REF!</definedName>
    <definedName name="FY08Tot" localSheetId="26">#REF!</definedName>
    <definedName name="FY08Tot" localSheetId="14">#REF!</definedName>
    <definedName name="FY08Tot" localSheetId="33">#REF!</definedName>
    <definedName name="FY08Tot" localSheetId="22">#REF!</definedName>
    <definedName name="FY08Tot" localSheetId="15">#REF!</definedName>
    <definedName name="FY08Tot" localSheetId="48">#REF!</definedName>
    <definedName name="FY08Tot" localSheetId="34">#REF!</definedName>
    <definedName name="FY08Tot" localSheetId="41">#REF!</definedName>
    <definedName name="FY08Tot" localSheetId="23">#REF!</definedName>
    <definedName name="FY08Tot" localSheetId="16">#REF!</definedName>
    <definedName name="FY08Tot" localSheetId="35">#REF!</definedName>
    <definedName name="FY08Tot" localSheetId="42">#REF!</definedName>
    <definedName name="FY08Tot" localSheetId="49">#REF!</definedName>
    <definedName name="FY08Tot" localSheetId="24">#REF!</definedName>
    <definedName name="FY08Tot" localSheetId="51">#REF!</definedName>
    <definedName name="FY08Tot">#REF!</definedName>
    <definedName name="FY08Train" localSheetId="43">#REF!</definedName>
    <definedName name="FY08Train" localSheetId="28">#REF!</definedName>
    <definedName name="FY08Train" localSheetId="36">#REF!</definedName>
    <definedName name="FY08Train" localSheetId="9">#REF!</definedName>
    <definedName name="FY08Train" localSheetId="17">#REF!</definedName>
    <definedName name="FY08Train" localSheetId="10">#REF!</definedName>
    <definedName name="FY08Train" localSheetId="44">#REF!</definedName>
    <definedName name="FY08Train" localSheetId="29">#REF!</definedName>
    <definedName name="FY08Train" localSheetId="37">#REF!</definedName>
    <definedName name="FY08Train" localSheetId="18">#REF!</definedName>
    <definedName name="FY08Train" localSheetId="30">#REF!</definedName>
    <definedName name="FY08Train" localSheetId="11">#REF!</definedName>
    <definedName name="FY08Train" localSheetId="45">#REF!</definedName>
    <definedName name="FY08Train" localSheetId="38">#REF!</definedName>
    <definedName name="FY08Train" localSheetId="19">#REF!</definedName>
    <definedName name="FY08Train" localSheetId="12">#REF!</definedName>
    <definedName name="FY08Train" localSheetId="46">#REF!</definedName>
    <definedName name="FY08Train" localSheetId="31">#REF!</definedName>
    <definedName name="FY08Train" localSheetId="39">#REF!</definedName>
    <definedName name="FY08Train" localSheetId="20">#REF!</definedName>
    <definedName name="FY08Train" localSheetId="13">#REF!</definedName>
    <definedName name="FY08Train" localSheetId="47">#REF!</definedName>
    <definedName name="FY08Train" localSheetId="32">#REF!</definedName>
    <definedName name="FY08Train" localSheetId="40">#REF!</definedName>
    <definedName name="FY08Train" localSheetId="21">#REF!</definedName>
    <definedName name="FY08Train" localSheetId="26">#REF!</definedName>
    <definedName name="FY08Train" localSheetId="14">#REF!</definedName>
    <definedName name="FY08Train" localSheetId="33">#REF!</definedName>
    <definedName name="FY08Train" localSheetId="22">#REF!</definedName>
    <definedName name="FY08Train" localSheetId="15">#REF!</definedName>
    <definedName name="FY08Train" localSheetId="48">#REF!</definedName>
    <definedName name="FY08Train" localSheetId="34">#REF!</definedName>
    <definedName name="FY08Train" localSheetId="41">#REF!</definedName>
    <definedName name="FY08Train" localSheetId="23">#REF!</definedName>
    <definedName name="FY08Train" localSheetId="16">#REF!</definedName>
    <definedName name="FY08Train" localSheetId="35">#REF!</definedName>
    <definedName name="FY08Train" localSheetId="42">#REF!</definedName>
    <definedName name="FY08Train" localSheetId="49">#REF!</definedName>
    <definedName name="FY08Train" localSheetId="24">#REF!</definedName>
    <definedName name="FY08Train" localSheetId="51">#REF!</definedName>
    <definedName name="FY08Train">#REF!</definedName>
    <definedName name="FY0911.1" localSheetId="43">#REF!</definedName>
    <definedName name="FY0911.1" localSheetId="28">#REF!</definedName>
    <definedName name="FY0911.1" localSheetId="36">#REF!</definedName>
    <definedName name="FY0911.1" localSheetId="9">#REF!</definedName>
    <definedName name="FY0911.1" localSheetId="17">#REF!</definedName>
    <definedName name="FY0911.1" localSheetId="10">#REF!</definedName>
    <definedName name="FY0911.1" localSheetId="44">#REF!</definedName>
    <definedName name="FY0911.1" localSheetId="29">#REF!</definedName>
    <definedName name="FY0911.1" localSheetId="37">#REF!</definedName>
    <definedName name="FY0911.1" localSheetId="18">#REF!</definedName>
    <definedName name="FY0911.1" localSheetId="30">#REF!</definedName>
    <definedName name="FY0911.1" localSheetId="11">#REF!</definedName>
    <definedName name="FY0911.1" localSheetId="45">#REF!</definedName>
    <definedName name="FY0911.1" localSheetId="38">#REF!</definedName>
    <definedName name="FY0911.1" localSheetId="19">#REF!</definedName>
    <definedName name="FY0911.1" localSheetId="12">#REF!</definedName>
    <definedName name="FY0911.1" localSheetId="46">#REF!</definedName>
    <definedName name="FY0911.1" localSheetId="31">#REF!</definedName>
    <definedName name="FY0911.1" localSheetId="39">#REF!</definedName>
    <definedName name="FY0911.1" localSheetId="20">#REF!</definedName>
    <definedName name="FY0911.1" localSheetId="13">#REF!</definedName>
    <definedName name="FY0911.1" localSheetId="47">#REF!</definedName>
    <definedName name="FY0911.1" localSheetId="32">#REF!</definedName>
    <definedName name="FY0911.1" localSheetId="40">#REF!</definedName>
    <definedName name="FY0911.1" localSheetId="21">#REF!</definedName>
    <definedName name="FY0911.1" localSheetId="26">#REF!</definedName>
    <definedName name="FY0911.1" localSheetId="14">#REF!</definedName>
    <definedName name="FY0911.1" localSheetId="33">#REF!</definedName>
    <definedName name="FY0911.1" localSheetId="22">#REF!</definedName>
    <definedName name="FY0911.1" localSheetId="15">#REF!</definedName>
    <definedName name="FY0911.1" localSheetId="48">#REF!</definedName>
    <definedName name="FY0911.1" localSheetId="34">#REF!</definedName>
    <definedName name="FY0911.1" localSheetId="41">#REF!</definedName>
    <definedName name="FY0911.1" localSheetId="23">#REF!</definedName>
    <definedName name="FY0911.1" localSheetId="16">#REF!</definedName>
    <definedName name="FY0911.1" localSheetId="35">#REF!</definedName>
    <definedName name="FY0911.1" localSheetId="42">#REF!</definedName>
    <definedName name="FY0911.1" localSheetId="49">#REF!</definedName>
    <definedName name="FY0911.1" localSheetId="24">#REF!</definedName>
    <definedName name="FY0911.1" localSheetId="51">#REF!</definedName>
    <definedName name="FY0911.1">#REF!</definedName>
    <definedName name="FY0911.5" localSheetId="43">#REF!</definedName>
    <definedName name="FY0911.5" localSheetId="28">#REF!</definedName>
    <definedName name="FY0911.5" localSheetId="36">#REF!</definedName>
    <definedName name="FY0911.5" localSheetId="9">#REF!</definedName>
    <definedName name="FY0911.5" localSheetId="17">#REF!</definedName>
    <definedName name="FY0911.5" localSheetId="10">#REF!</definedName>
    <definedName name="FY0911.5" localSheetId="44">#REF!</definedName>
    <definedName name="FY0911.5" localSheetId="29">#REF!</definedName>
    <definedName name="FY0911.5" localSheetId="37">#REF!</definedName>
    <definedName name="FY0911.5" localSheetId="18">#REF!</definedName>
    <definedName name="FY0911.5" localSheetId="30">#REF!</definedName>
    <definedName name="FY0911.5" localSheetId="11">#REF!</definedName>
    <definedName name="FY0911.5" localSheetId="45">#REF!</definedName>
    <definedName name="FY0911.5" localSheetId="38">#REF!</definedName>
    <definedName name="FY0911.5" localSheetId="19">#REF!</definedName>
    <definedName name="FY0911.5" localSheetId="12">#REF!</definedName>
    <definedName name="FY0911.5" localSheetId="46">#REF!</definedName>
    <definedName name="FY0911.5" localSheetId="31">#REF!</definedName>
    <definedName name="FY0911.5" localSheetId="39">#REF!</definedName>
    <definedName name="FY0911.5" localSheetId="20">#REF!</definedName>
    <definedName name="FY0911.5" localSheetId="13">#REF!</definedName>
    <definedName name="FY0911.5" localSheetId="47">#REF!</definedName>
    <definedName name="FY0911.5" localSheetId="32">#REF!</definedName>
    <definedName name="FY0911.5" localSheetId="40">#REF!</definedName>
    <definedName name="FY0911.5" localSheetId="21">#REF!</definedName>
    <definedName name="FY0911.5" localSheetId="26">#REF!</definedName>
    <definedName name="FY0911.5" localSheetId="14">#REF!</definedName>
    <definedName name="FY0911.5" localSheetId="33">#REF!</definedName>
    <definedName name="FY0911.5" localSheetId="22">#REF!</definedName>
    <definedName name="FY0911.5" localSheetId="15">#REF!</definedName>
    <definedName name="FY0911.5" localSheetId="48">#REF!</definedName>
    <definedName name="FY0911.5" localSheetId="34">#REF!</definedName>
    <definedName name="FY0911.5" localSheetId="41">#REF!</definedName>
    <definedName name="FY0911.5" localSheetId="23">#REF!</definedName>
    <definedName name="FY0911.5" localSheetId="16">#REF!</definedName>
    <definedName name="FY0911.5" localSheetId="35">#REF!</definedName>
    <definedName name="FY0911.5" localSheetId="42">#REF!</definedName>
    <definedName name="FY0911.5" localSheetId="49">#REF!</definedName>
    <definedName name="FY0911.5" localSheetId="24">#REF!</definedName>
    <definedName name="FY0911.5" localSheetId="51">#REF!</definedName>
    <definedName name="FY0911.5">#REF!</definedName>
    <definedName name="FY0912.1" localSheetId="43">#REF!</definedName>
    <definedName name="FY0912.1" localSheetId="28">#REF!</definedName>
    <definedName name="FY0912.1" localSheetId="36">#REF!</definedName>
    <definedName name="FY0912.1" localSheetId="9">#REF!</definedName>
    <definedName name="FY0912.1" localSheetId="17">#REF!</definedName>
    <definedName name="FY0912.1" localSheetId="10">#REF!</definedName>
    <definedName name="FY0912.1" localSheetId="44">#REF!</definedName>
    <definedName name="FY0912.1" localSheetId="29">#REF!</definedName>
    <definedName name="FY0912.1" localSheetId="37">#REF!</definedName>
    <definedName name="FY0912.1" localSheetId="18">#REF!</definedName>
    <definedName name="FY0912.1" localSheetId="30">#REF!</definedName>
    <definedName name="FY0912.1" localSheetId="11">#REF!</definedName>
    <definedName name="FY0912.1" localSheetId="45">#REF!</definedName>
    <definedName name="FY0912.1" localSheetId="38">#REF!</definedName>
    <definedName name="FY0912.1" localSheetId="19">#REF!</definedName>
    <definedName name="FY0912.1" localSheetId="12">#REF!</definedName>
    <definedName name="FY0912.1" localSheetId="46">#REF!</definedName>
    <definedName name="FY0912.1" localSheetId="31">#REF!</definedName>
    <definedName name="FY0912.1" localSheetId="39">#REF!</definedName>
    <definedName name="FY0912.1" localSheetId="20">#REF!</definedName>
    <definedName name="FY0912.1" localSheetId="13">#REF!</definedName>
    <definedName name="FY0912.1" localSheetId="47">#REF!</definedName>
    <definedName name="FY0912.1" localSheetId="32">#REF!</definedName>
    <definedName name="FY0912.1" localSheetId="40">#REF!</definedName>
    <definedName name="FY0912.1" localSheetId="21">#REF!</definedName>
    <definedName name="FY0912.1" localSheetId="26">#REF!</definedName>
    <definedName name="FY0912.1" localSheetId="14">#REF!</definedName>
    <definedName name="FY0912.1" localSheetId="33">#REF!</definedName>
    <definedName name="FY0912.1" localSheetId="22">#REF!</definedName>
    <definedName name="FY0912.1" localSheetId="15">#REF!</definedName>
    <definedName name="FY0912.1" localSheetId="48">#REF!</definedName>
    <definedName name="FY0912.1" localSheetId="34">#REF!</definedName>
    <definedName name="FY0912.1" localSheetId="41">#REF!</definedName>
    <definedName name="FY0912.1" localSheetId="23">#REF!</definedName>
    <definedName name="FY0912.1" localSheetId="16">#REF!</definedName>
    <definedName name="FY0912.1" localSheetId="35">#REF!</definedName>
    <definedName name="FY0912.1" localSheetId="42">#REF!</definedName>
    <definedName name="FY0912.1" localSheetId="49">#REF!</definedName>
    <definedName name="FY0912.1" localSheetId="24">#REF!</definedName>
    <definedName name="FY0912.1" localSheetId="51">#REF!</definedName>
    <definedName name="FY0912.1">#REF!</definedName>
    <definedName name="FY0921.0" localSheetId="43">#REF!</definedName>
    <definedName name="FY0921.0" localSheetId="28">#REF!</definedName>
    <definedName name="FY0921.0" localSheetId="36">#REF!</definedName>
    <definedName name="FY0921.0" localSheetId="9">#REF!</definedName>
    <definedName name="FY0921.0" localSheetId="17">#REF!</definedName>
    <definedName name="FY0921.0" localSheetId="10">#REF!</definedName>
    <definedName name="FY0921.0" localSheetId="44">#REF!</definedName>
    <definedName name="FY0921.0" localSheetId="29">#REF!</definedName>
    <definedName name="FY0921.0" localSheetId="37">#REF!</definedName>
    <definedName name="FY0921.0" localSheetId="18">#REF!</definedName>
    <definedName name="FY0921.0" localSheetId="30">#REF!</definedName>
    <definedName name="FY0921.0" localSheetId="11">#REF!</definedName>
    <definedName name="FY0921.0" localSheetId="45">#REF!</definedName>
    <definedName name="FY0921.0" localSheetId="38">#REF!</definedName>
    <definedName name="FY0921.0" localSheetId="19">#REF!</definedName>
    <definedName name="FY0921.0" localSheetId="12">#REF!</definedName>
    <definedName name="FY0921.0" localSheetId="46">#REF!</definedName>
    <definedName name="FY0921.0" localSheetId="31">#REF!</definedName>
    <definedName name="FY0921.0" localSheetId="39">#REF!</definedName>
    <definedName name="FY0921.0" localSheetId="20">#REF!</definedName>
    <definedName name="FY0921.0" localSheetId="13">#REF!</definedName>
    <definedName name="FY0921.0" localSheetId="47">#REF!</definedName>
    <definedName name="FY0921.0" localSheetId="32">#REF!</definedName>
    <definedName name="FY0921.0" localSheetId="40">#REF!</definedName>
    <definedName name="FY0921.0" localSheetId="21">#REF!</definedName>
    <definedName name="FY0921.0" localSheetId="26">#REF!</definedName>
    <definedName name="FY0921.0" localSheetId="14">#REF!</definedName>
    <definedName name="FY0921.0" localSheetId="33">#REF!</definedName>
    <definedName name="FY0921.0" localSheetId="22">#REF!</definedName>
    <definedName name="FY0921.0" localSheetId="15">#REF!</definedName>
    <definedName name="FY0921.0" localSheetId="48">#REF!</definedName>
    <definedName name="FY0921.0" localSheetId="34">#REF!</definedName>
    <definedName name="FY0921.0" localSheetId="41">#REF!</definedName>
    <definedName name="FY0921.0" localSheetId="23">#REF!</definedName>
    <definedName name="FY0921.0" localSheetId="16">#REF!</definedName>
    <definedName name="FY0921.0" localSheetId="35">#REF!</definedName>
    <definedName name="FY0921.0" localSheetId="42">#REF!</definedName>
    <definedName name="FY0921.0" localSheetId="49">#REF!</definedName>
    <definedName name="FY0921.0" localSheetId="24">#REF!</definedName>
    <definedName name="FY0921.0" localSheetId="51">#REF!</definedName>
    <definedName name="FY0921.0">#REF!</definedName>
    <definedName name="FY0922.0" localSheetId="43">#REF!</definedName>
    <definedName name="FY0922.0" localSheetId="28">#REF!</definedName>
    <definedName name="FY0922.0" localSheetId="36">#REF!</definedName>
    <definedName name="FY0922.0" localSheetId="9">#REF!</definedName>
    <definedName name="FY0922.0" localSheetId="17">#REF!</definedName>
    <definedName name="FY0922.0" localSheetId="10">#REF!</definedName>
    <definedName name="FY0922.0" localSheetId="44">#REF!</definedName>
    <definedName name="FY0922.0" localSheetId="29">#REF!</definedName>
    <definedName name="FY0922.0" localSheetId="37">#REF!</definedName>
    <definedName name="FY0922.0" localSheetId="18">#REF!</definedName>
    <definedName name="FY0922.0" localSheetId="30">#REF!</definedName>
    <definedName name="FY0922.0" localSheetId="11">#REF!</definedName>
    <definedName name="FY0922.0" localSheetId="45">#REF!</definedName>
    <definedName name="FY0922.0" localSheetId="38">#REF!</definedName>
    <definedName name="FY0922.0" localSheetId="19">#REF!</definedName>
    <definedName name="FY0922.0" localSheetId="12">#REF!</definedName>
    <definedName name="FY0922.0" localSheetId="46">#REF!</definedName>
    <definedName name="FY0922.0" localSheetId="31">#REF!</definedName>
    <definedName name="FY0922.0" localSheetId="39">#REF!</definedName>
    <definedName name="FY0922.0" localSheetId="20">#REF!</definedName>
    <definedName name="FY0922.0" localSheetId="13">#REF!</definedName>
    <definedName name="FY0922.0" localSheetId="47">#REF!</definedName>
    <definedName name="FY0922.0" localSheetId="32">#REF!</definedName>
    <definedName name="FY0922.0" localSheetId="40">#REF!</definedName>
    <definedName name="FY0922.0" localSheetId="21">#REF!</definedName>
    <definedName name="FY0922.0" localSheetId="26">#REF!</definedName>
    <definedName name="FY0922.0" localSheetId="14">#REF!</definedName>
    <definedName name="FY0922.0" localSheetId="33">#REF!</definedName>
    <definedName name="FY0922.0" localSheetId="22">#REF!</definedName>
    <definedName name="FY0922.0" localSheetId="15">#REF!</definedName>
    <definedName name="FY0922.0" localSheetId="48">#REF!</definedName>
    <definedName name="FY0922.0" localSheetId="34">#REF!</definedName>
    <definedName name="FY0922.0" localSheetId="41">#REF!</definedName>
    <definedName name="FY0922.0" localSheetId="23">#REF!</definedName>
    <definedName name="FY0922.0" localSheetId="16">#REF!</definedName>
    <definedName name="FY0922.0" localSheetId="35">#REF!</definedName>
    <definedName name="FY0922.0" localSheetId="42">#REF!</definedName>
    <definedName name="FY0922.0" localSheetId="49">#REF!</definedName>
    <definedName name="FY0922.0" localSheetId="24">#REF!</definedName>
    <definedName name="FY0922.0" localSheetId="51">#REF!</definedName>
    <definedName name="FY0922.0">#REF!</definedName>
    <definedName name="FY0923.1" localSheetId="43">#REF!</definedName>
    <definedName name="FY0923.1" localSheetId="28">#REF!</definedName>
    <definedName name="FY0923.1" localSheetId="36">#REF!</definedName>
    <definedName name="FY0923.1" localSheetId="9">#REF!</definedName>
    <definedName name="FY0923.1" localSheetId="17">#REF!</definedName>
    <definedName name="FY0923.1" localSheetId="10">#REF!</definedName>
    <definedName name="FY0923.1" localSheetId="44">#REF!</definedName>
    <definedName name="FY0923.1" localSheetId="29">#REF!</definedName>
    <definedName name="FY0923.1" localSheetId="37">#REF!</definedName>
    <definedName name="FY0923.1" localSheetId="18">#REF!</definedName>
    <definedName name="FY0923.1" localSheetId="30">#REF!</definedName>
    <definedName name="FY0923.1" localSheetId="11">#REF!</definedName>
    <definedName name="FY0923.1" localSheetId="45">#REF!</definedName>
    <definedName name="FY0923.1" localSheetId="38">#REF!</definedName>
    <definedName name="FY0923.1" localSheetId="19">#REF!</definedName>
    <definedName name="FY0923.1" localSheetId="12">#REF!</definedName>
    <definedName name="FY0923.1" localSheetId="46">#REF!</definedName>
    <definedName name="FY0923.1" localSheetId="31">#REF!</definedName>
    <definedName name="FY0923.1" localSheetId="39">#REF!</definedName>
    <definedName name="FY0923.1" localSheetId="20">#REF!</definedName>
    <definedName name="FY0923.1" localSheetId="13">#REF!</definedName>
    <definedName name="FY0923.1" localSheetId="47">#REF!</definedName>
    <definedName name="FY0923.1" localSheetId="32">#REF!</definedName>
    <definedName name="FY0923.1" localSheetId="40">#REF!</definedName>
    <definedName name="FY0923.1" localSheetId="21">#REF!</definedName>
    <definedName name="FY0923.1" localSheetId="26">#REF!</definedName>
    <definedName name="FY0923.1" localSheetId="14">#REF!</definedName>
    <definedName name="FY0923.1" localSheetId="33">#REF!</definedName>
    <definedName name="FY0923.1" localSheetId="22">#REF!</definedName>
    <definedName name="FY0923.1" localSheetId="15">#REF!</definedName>
    <definedName name="FY0923.1" localSheetId="48">#REF!</definedName>
    <definedName name="FY0923.1" localSheetId="34">#REF!</definedName>
    <definedName name="FY0923.1" localSheetId="41">#REF!</definedName>
    <definedName name="FY0923.1" localSheetId="23">#REF!</definedName>
    <definedName name="FY0923.1" localSheetId="16">#REF!</definedName>
    <definedName name="FY0923.1" localSheetId="35">#REF!</definedName>
    <definedName name="FY0923.1" localSheetId="42">#REF!</definedName>
    <definedName name="FY0923.1" localSheetId="49">#REF!</definedName>
    <definedName name="FY0923.1" localSheetId="24">#REF!</definedName>
    <definedName name="FY0923.1" localSheetId="51">#REF!</definedName>
    <definedName name="FY0923.1">#REF!</definedName>
    <definedName name="FY0923.2" localSheetId="43">#REF!</definedName>
    <definedName name="FY0923.2" localSheetId="28">#REF!</definedName>
    <definedName name="FY0923.2" localSheetId="36">#REF!</definedName>
    <definedName name="FY0923.2" localSheetId="9">#REF!</definedName>
    <definedName name="FY0923.2" localSheetId="17">#REF!</definedName>
    <definedName name="FY0923.2" localSheetId="10">#REF!</definedName>
    <definedName name="FY0923.2" localSheetId="44">#REF!</definedName>
    <definedName name="FY0923.2" localSheetId="29">#REF!</definedName>
    <definedName name="FY0923.2" localSheetId="37">#REF!</definedName>
    <definedName name="FY0923.2" localSheetId="18">#REF!</definedName>
    <definedName name="FY0923.2" localSheetId="30">#REF!</definedName>
    <definedName name="FY0923.2" localSheetId="11">#REF!</definedName>
    <definedName name="FY0923.2" localSheetId="45">#REF!</definedName>
    <definedName name="FY0923.2" localSheetId="38">#REF!</definedName>
    <definedName name="FY0923.2" localSheetId="19">#REF!</definedName>
    <definedName name="FY0923.2" localSheetId="12">#REF!</definedName>
    <definedName name="FY0923.2" localSheetId="46">#REF!</definedName>
    <definedName name="FY0923.2" localSheetId="31">#REF!</definedName>
    <definedName name="FY0923.2" localSheetId="39">#REF!</definedName>
    <definedName name="FY0923.2" localSheetId="20">#REF!</definedName>
    <definedName name="FY0923.2" localSheetId="13">#REF!</definedName>
    <definedName name="FY0923.2" localSheetId="47">#REF!</definedName>
    <definedName name="FY0923.2" localSheetId="32">#REF!</definedName>
    <definedName name="FY0923.2" localSheetId="40">#REF!</definedName>
    <definedName name="FY0923.2" localSheetId="21">#REF!</definedName>
    <definedName name="FY0923.2" localSheetId="26">#REF!</definedName>
    <definedName name="FY0923.2" localSheetId="14">#REF!</definedName>
    <definedName name="FY0923.2" localSheetId="33">#REF!</definedName>
    <definedName name="FY0923.2" localSheetId="22">#REF!</definedName>
    <definedName name="FY0923.2" localSheetId="15">#REF!</definedName>
    <definedName name="FY0923.2" localSheetId="48">#REF!</definedName>
    <definedName name="FY0923.2" localSheetId="34">#REF!</definedName>
    <definedName name="FY0923.2" localSheetId="41">#REF!</definedName>
    <definedName name="FY0923.2" localSheetId="23">#REF!</definedName>
    <definedName name="FY0923.2" localSheetId="16">#REF!</definedName>
    <definedName name="FY0923.2" localSheetId="35">#REF!</definedName>
    <definedName name="FY0923.2" localSheetId="42">#REF!</definedName>
    <definedName name="FY0923.2" localSheetId="49">#REF!</definedName>
    <definedName name="FY0923.2" localSheetId="24">#REF!</definedName>
    <definedName name="FY0923.2" localSheetId="51">#REF!</definedName>
    <definedName name="FY0923.2">#REF!</definedName>
    <definedName name="FY0923.3" localSheetId="43">#REF!</definedName>
    <definedName name="FY0923.3" localSheetId="28">#REF!</definedName>
    <definedName name="FY0923.3" localSheetId="36">#REF!</definedName>
    <definedName name="FY0923.3" localSheetId="9">#REF!</definedName>
    <definedName name="FY0923.3" localSheetId="17">#REF!</definedName>
    <definedName name="FY0923.3" localSheetId="10">#REF!</definedName>
    <definedName name="FY0923.3" localSheetId="44">#REF!</definedName>
    <definedName name="FY0923.3" localSheetId="29">#REF!</definedName>
    <definedName name="FY0923.3" localSheetId="37">#REF!</definedName>
    <definedName name="FY0923.3" localSheetId="18">#REF!</definedName>
    <definedName name="FY0923.3" localSheetId="30">#REF!</definedName>
    <definedName name="FY0923.3" localSheetId="11">#REF!</definedName>
    <definedName name="FY0923.3" localSheetId="45">#REF!</definedName>
    <definedName name="FY0923.3" localSheetId="38">#REF!</definedName>
    <definedName name="FY0923.3" localSheetId="19">#REF!</definedName>
    <definedName name="FY0923.3" localSheetId="12">#REF!</definedName>
    <definedName name="FY0923.3" localSheetId="46">#REF!</definedName>
    <definedName name="FY0923.3" localSheetId="31">#REF!</definedName>
    <definedName name="FY0923.3" localSheetId="39">#REF!</definedName>
    <definedName name="FY0923.3" localSheetId="20">#REF!</definedName>
    <definedName name="FY0923.3" localSheetId="13">#REF!</definedName>
    <definedName name="FY0923.3" localSheetId="47">#REF!</definedName>
    <definedName name="FY0923.3" localSheetId="32">#REF!</definedName>
    <definedName name="FY0923.3" localSheetId="40">#REF!</definedName>
    <definedName name="FY0923.3" localSheetId="21">#REF!</definedName>
    <definedName name="FY0923.3" localSheetId="26">#REF!</definedName>
    <definedName name="FY0923.3" localSheetId="14">#REF!</definedName>
    <definedName name="FY0923.3" localSheetId="33">#REF!</definedName>
    <definedName name="FY0923.3" localSheetId="22">#REF!</definedName>
    <definedName name="FY0923.3" localSheetId="15">#REF!</definedName>
    <definedName name="FY0923.3" localSheetId="48">#REF!</definedName>
    <definedName name="FY0923.3" localSheetId="34">#REF!</definedName>
    <definedName name="FY0923.3" localSheetId="41">#REF!</definedName>
    <definedName name="FY0923.3" localSheetId="23">#REF!</definedName>
    <definedName name="FY0923.3" localSheetId="16">#REF!</definedName>
    <definedName name="FY0923.3" localSheetId="35">#REF!</definedName>
    <definedName name="FY0923.3" localSheetId="42">#REF!</definedName>
    <definedName name="FY0923.3" localSheetId="49">#REF!</definedName>
    <definedName name="FY0923.3" localSheetId="24">#REF!</definedName>
    <definedName name="FY0923.3" localSheetId="51">#REF!</definedName>
    <definedName name="FY0923.3">#REF!</definedName>
    <definedName name="FY0924.0" localSheetId="43">#REF!</definedName>
    <definedName name="FY0924.0" localSheetId="28">#REF!</definedName>
    <definedName name="FY0924.0" localSheetId="36">#REF!</definedName>
    <definedName name="FY0924.0" localSheetId="9">#REF!</definedName>
    <definedName name="FY0924.0" localSheetId="17">#REF!</definedName>
    <definedName name="FY0924.0" localSheetId="10">#REF!</definedName>
    <definedName name="FY0924.0" localSheetId="44">#REF!</definedName>
    <definedName name="FY0924.0" localSheetId="29">#REF!</definedName>
    <definedName name="FY0924.0" localSheetId="37">#REF!</definedName>
    <definedName name="FY0924.0" localSheetId="18">#REF!</definedName>
    <definedName name="FY0924.0" localSheetId="30">#REF!</definedName>
    <definedName name="FY0924.0" localSheetId="11">#REF!</definedName>
    <definedName name="FY0924.0" localSheetId="45">#REF!</definedName>
    <definedName name="FY0924.0" localSheetId="38">#REF!</definedName>
    <definedName name="FY0924.0" localSheetId="19">#REF!</definedName>
    <definedName name="FY0924.0" localSheetId="12">#REF!</definedName>
    <definedName name="FY0924.0" localSheetId="46">#REF!</definedName>
    <definedName name="FY0924.0" localSheetId="31">#REF!</definedName>
    <definedName name="FY0924.0" localSheetId="39">#REF!</definedName>
    <definedName name="FY0924.0" localSheetId="20">#REF!</definedName>
    <definedName name="FY0924.0" localSheetId="13">#REF!</definedName>
    <definedName name="FY0924.0" localSheetId="47">#REF!</definedName>
    <definedName name="FY0924.0" localSheetId="32">#REF!</definedName>
    <definedName name="FY0924.0" localSheetId="40">#REF!</definedName>
    <definedName name="FY0924.0" localSheetId="21">#REF!</definedName>
    <definedName name="FY0924.0" localSheetId="26">#REF!</definedName>
    <definedName name="FY0924.0" localSheetId="14">#REF!</definedName>
    <definedName name="FY0924.0" localSheetId="33">#REF!</definedName>
    <definedName name="FY0924.0" localSheetId="22">#REF!</definedName>
    <definedName name="FY0924.0" localSheetId="15">#REF!</definedName>
    <definedName name="FY0924.0" localSheetId="48">#REF!</definedName>
    <definedName name="FY0924.0" localSheetId="34">#REF!</definedName>
    <definedName name="FY0924.0" localSheetId="41">#REF!</definedName>
    <definedName name="FY0924.0" localSheetId="23">#REF!</definedName>
    <definedName name="FY0924.0" localSheetId="16">#REF!</definedName>
    <definedName name="FY0924.0" localSheetId="35">#REF!</definedName>
    <definedName name="FY0924.0" localSheetId="42">#REF!</definedName>
    <definedName name="FY0924.0" localSheetId="49">#REF!</definedName>
    <definedName name="FY0924.0" localSheetId="24">#REF!</definedName>
    <definedName name="FY0924.0" localSheetId="51">#REF!</definedName>
    <definedName name="FY0924.0">#REF!</definedName>
    <definedName name="FY0925.2" localSheetId="43">#REF!</definedName>
    <definedName name="FY0925.2" localSheetId="28">#REF!</definedName>
    <definedName name="FY0925.2" localSheetId="36">#REF!</definedName>
    <definedName name="FY0925.2" localSheetId="9">#REF!</definedName>
    <definedName name="FY0925.2" localSheetId="17">#REF!</definedName>
    <definedName name="FY0925.2" localSheetId="10">#REF!</definedName>
    <definedName name="FY0925.2" localSheetId="44">#REF!</definedName>
    <definedName name="FY0925.2" localSheetId="29">#REF!</definedName>
    <definedName name="FY0925.2" localSheetId="37">#REF!</definedName>
    <definedName name="FY0925.2" localSheetId="18">#REF!</definedName>
    <definedName name="FY0925.2" localSheetId="30">#REF!</definedName>
    <definedName name="FY0925.2" localSheetId="11">#REF!</definedName>
    <definedName name="FY0925.2" localSheetId="45">#REF!</definedName>
    <definedName name="FY0925.2" localSheetId="38">#REF!</definedName>
    <definedName name="FY0925.2" localSheetId="19">#REF!</definedName>
    <definedName name="FY0925.2" localSheetId="12">#REF!</definedName>
    <definedName name="FY0925.2" localSheetId="46">#REF!</definedName>
    <definedName name="FY0925.2" localSheetId="31">#REF!</definedName>
    <definedName name="FY0925.2" localSheetId="39">#REF!</definedName>
    <definedName name="FY0925.2" localSheetId="20">#REF!</definedName>
    <definedName name="FY0925.2" localSheetId="13">#REF!</definedName>
    <definedName name="FY0925.2" localSheetId="47">#REF!</definedName>
    <definedName name="FY0925.2" localSheetId="32">#REF!</definedName>
    <definedName name="FY0925.2" localSheetId="40">#REF!</definedName>
    <definedName name="FY0925.2" localSheetId="21">#REF!</definedName>
    <definedName name="FY0925.2" localSheetId="26">#REF!</definedName>
    <definedName name="FY0925.2" localSheetId="14">#REF!</definedName>
    <definedName name="FY0925.2" localSheetId="33">#REF!</definedName>
    <definedName name="FY0925.2" localSheetId="22">#REF!</definedName>
    <definedName name="FY0925.2" localSheetId="15">#REF!</definedName>
    <definedName name="FY0925.2" localSheetId="48">#REF!</definedName>
    <definedName name="FY0925.2" localSheetId="34">#REF!</definedName>
    <definedName name="FY0925.2" localSheetId="41">#REF!</definedName>
    <definedName name="FY0925.2" localSheetId="23">#REF!</definedName>
    <definedName name="FY0925.2" localSheetId="16">#REF!</definedName>
    <definedName name="FY0925.2" localSheetId="35">#REF!</definedName>
    <definedName name="FY0925.2" localSheetId="42">#REF!</definedName>
    <definedName name="FY0925.2" localSheetId="49">#REF!</definedName>
    <definedName name="FY0925.2" localSheetId="24">#REF!</definedName>
    <definedName name="FY0925.2" localSheetId="51">#REF!</definedName>
    <definedName name="FY0925.2">#REF!</definedName>
    <definedName name="FY0925.3" localSheetId="43">#REF!</definedName>
    <definedName name="FY0925.3" localSheetId="28">#REF!</definedName>
    <definedName name="FY0925.3" localSheetId="36">#REF!</definedName>
    <definedName name="FY0925.3" localSheetId="9">#REF!</definedName>
    <definedName name="FY0925.3" localSheetId="17">#REF!</definedName>
    <definedName name="FY0925.3" localSheetId="10">#REF!</definedName>
    <definedName name="FY0925.3" localSheetId="44">#REF!</definedName>
    <definedName name="FY0925.3" localSheetId="29">#REF!</definedName>
    <definedName name="FY0925.3" localSheetId="37">#REF!</definedName>
    <definedName name="FY0925.3" localSheetId="18">#REF!</definedName>
    <definedName name="FY0925.3" localSheetId="30">#REF!</definedName>
    <definedName name="FY0925.3" localSheetId="11">#REF!</definedName>
    <definedName name="FY0925.3" localSheetId="45">#REF!</definedName>
    <definedName name="FY0925.3" localSheetId="38">#REF!</definedName>
    <definedName name="FY0925.3" localSheetId="19">#REF!</definedName>
    <definedName name="FY0925.3" localSheetId="12">#REF!</definedName>
    <definedName name="FY0925.3" localSheetId="46">#REF!</definedName>
    <definedName name="FY0925.3" localSheetId="31">#REF!</definedName>
    <definedName name="FY0925.3" localSheetId="39">#REF!</definedName>
    <definedName name="FY0925.3" localSheetId="20">#REF!</definedName>
    <definedName name="FY0925.3" localSheetId="13">#REF!</definedName>
    <definedName name="FY0925.3" localSheetId="47">#REF!</definedName>
    <definedName name="FY0925.3" localSheetId="32">#REF!</definedName>
    <definedName name="FY0925.3" localSheetId="40">#REF!</definedName>
    <definedName name="FY0925.3" localSheetId="21">#REF!</definedName>
    <definedName name="FY0925.3" localSheetId="26">#REF!</definedName>
    <definedName name="FY0925.3" localSheetId="14">#REF!</definedName>
    <definedName name="FY0925.3" localSheetId="33">#REF!</definedName>
    <definedName name="FY0925.3" localSheetId="22">#REF!</definedName>
    <definedName name="FY0925.3" localSheetId="15">#REF!</definedName>
    <definedName name="FY0925.3" localSheetId="48">#REF!</definedName>
    <definedName name="FY0925.3" localSheetId="34">#REF!</definedName>
    <definedName name="FY0925.3" localSheetId="41">#REF!</definedName>
    <definedName name="FY0925.3" localSheetId="23">#REF!</definedName>
    <definedName name="FY0925.3" localSheetId="16">#REF!</definedName>
    <definedName name="FY0925.3" localSheetId="35">#REF!</definedName>
    <definedName name="FY0925.3" localSheetId="42">#REF!</definedName>
    <definedName name="FY0925.3" localSheetId="49">#REF!</definedName>
    <definedName name="FY0925.3" localSheetId="24">#REF!</definedName>
    <definedName name="FY0925.3" localSheetId="51">#REF!</definedName>
    <definedName name="FY0925.3">#REF!</definedName>
    <definedName name="FY0925.6" localSheetId="43">#REF!</definedName>
    <definedName name="FY0925.6" localSheetId="28">#REF!</definedName>
    <definedName name="FY0925.6" localSheetId="36">#REF!</definedName>
    <definedName name="FY0925.6" localSheetId="9">#REF!</definedName>
    <definedName name="FY0925.6" localSheetId="17">#REF!</definedName>
    <definedName name="FY0925.6" localSheetId="10">#REF!</definedName>
    <definedName name="FY0925.6" localSheetId="44">#REF!</definedName>
    <definedName name="FY0925.6" localSheetId="29">#REF!</definedName>
    <definedName name="FY0925.6" localSheetId="37">#REF!</definedName>
    <definedName name="FY0925.6" localSheetId="18">#REF!</definedName>
    <definedName name="FY0925.6" localSheetId="30">#REF!</definedName>
    <definedName name="FY0925.6" localSheetId="11">#REF!</definedName>
    <definedName name="FY0925.6" localSheetId="45">#REF!</definedName>
    <definedName name="FY0925.6" localSheetId="38">#REF!</definedName>
    <definedName name="FY0925.6" localSheetId="19">#REF!</definedName>
    <definedName name="FY0925.6" localSheetId="12">#REF!</definedName>
    <definedName name="FY0925.6" localSheetId="46">#REF!</definedName>
    <definedName name="FY0925.6" localSheetId="31">#REF!</definedName>
    <definedName name="FY0925.6" localSheetId="39">#REF!</definedName>
    <definedName name="FY0925.6" localSheetId="20">#REF!</definedName>
    <definedName name="FY0925.6" localSheetId="13">#REF!</definedName>
    <definedName name="FY0925.6" localSheetId="47">#REF!</definedName>
    <definedName name="FY0925.6" localSheetId="32">#REF!</definedName>
    <definedName name="FY0925.6" localSheetId="40">#REF!</definedName>
    <definedName name="FY0925.6" localSheetId="21">#REF!</definedName>
    <definedName name="FY0925.6" localSheetId="26">#REF!</definedName>
    <definedName name="FY0925.6" localSheetId="14">#REF!</definedName>
    <definedName name="FY0925.6" localSheetId="33">#REF!</definedName>
    <definedName name="FY0925.6" localSheetId="22">#REF!</definedName>
    <definedName name="FY0925.6" localSheetId="15">#REF!</definedName>
    <definedName name="FY0925.6" localSheetId="48">#REF!</definedName>
    <definedName name="FY0925.6" localSheetId="34">#REF!</definedName>
    <definedName name="FY0925.6" localSheetId="41">#REF!</definedName>
    <definedName name="FY0925.6" localSheetId="23">#REF!</definedName>
    <definedName name="FY0925.6" localSheetId="16">#REF!</definedName>
    <definedName name="FY0925.6" localSheetId="35">#REF!</definedName>
    <definedName name="FY0925.6" localSheetId="42">#REF!</definedName>
    <definedName name="FY0925.6" localSheetId="49">#REF!</definedName>
    <definedName name="FY0925.6" localSheetId="24">#REF!</definedName>
    <definedName name="FY0925.6" localSheetId="51">#REF!</definedName>
    <definedName name="FY0925.6">#REF!</definedName>
    <definedName name="FY0926.0" localSheetId="43">#REF!</definedName>
    <definedName name="FY0926.0" localSheetId="28">#REF!</definedName>
    <definedName name="FY0926.0" localSheetId="36">#REF!</definedName>
    <definedName name="FY0926.0" localSheetId="9">#REF!</definedName>
    <definedName name="FY0926.0" localSheetId="17">#REF!</definedName>
    <definedName name="FY0926.0" localSheetId="10">#REF!</definedName>
    <definedName name="FY0926.0" localSheetId="44">#REF!</definedName>
    <definedName name="FY0926.0" localSheetId="29">#REF!</definedName>
    <definedName name="FY0926.0" localSheetId="37">#REF!</definedName>
    <definedName name="FY0926.0" localSheetId="18">#REF!</definedName>
    <definedName name="FY0926.0" localSheetId="30">#REF!</definedName>
    <definedName name="FY0926.0" localSheetId="11">#REF!</definedName>
    <definedName name="FY0926.0" localSheetId="45">#REF!</definedName>
    <definedName name="FY0926.0" localSheetId="38">#REF!</definedName>
    <definedName name="FY0926.0" localSheetId="19">#REF!</definedName>
    <definedName name="FY0926.0" localSheetId="12">#REF!</definedName>
    <definedName name="FY0926.0" localSheetId="46">#REF!</definedName>
    <definedName name="FY0926.0" localSheetId="31">#REF!</definedName>
    <definedName name="FY0926.0" localSheetId="39">#REF!</definedName>
    <definedName name="FY0926.0" localSheetId="20">#REF!</definedName>
    <definedName name="FY0926.0" localSheetId="13">#REF!</definedName>
    <definedName name="FY0926.0" localSheetId="47">#REF!</definedName>
    <definedName name="FY0926.0" localSheetId="32">#REF!</definedName>
    <definedName name="FY0926.0" localSheetId="40">#REF!</definedName>
    <definedName name="FY0926.0" localSheetId="21">#REF!</definedName>
    <definedName name="FY0926.0" localSheetId="26">#REF!</definedName>
    <definedName name="FY0926.0" localSheetId="14">#REF!</definedName>
    <definedName name="FY0926.0" localSheetId="33">#REF!</definedName>
    <definedName name="FY0926.0" localSheetId="22">#REF!</definedName>
    <definedName name="FY0926.0" localSheetId="15">#REF!</definedName>
    <definedName name="FY0926.0" localSheetId="48">#REF!</definedName>
    <definedName name="FY0926.0" localSheetId="34">#REF!</definedName>
    <definedName name="FY0926.0" localSheetId="41">#REF!</definedName>
    <definedName name="FY0926.0" localSheetId="23">#REF!</definedName>
    <definedName name="FY0926.0" localSheetId="16">#REF!</definedName>
    <definedName name="FY0926.0" localSheetId="35">#REF!</definedName>
    <definedName name="FY0926.0" localSheetId="42">#REF!</definedName>
    <definedName name="FY0926.0" localSheetId="49">#REF!</definedName>
    <definedName name="FY0926.0" localSheetId="24">#REF!</definedName>
    <definedName name="FY0926.0" localSheetId="51">#REF!</definedName>
    <definedName name="FY0926.0">#REF!</definedName>
    <definedName name="FY0931.0" localSheetId="43">#REF!</definedName>
    <definedName name="FY0931.0" localSheetId="28">#REF!</definedName>
    <definedName name="FY0931.0" localSheetId="36">#REF!</definedName>
    <definedName name="FY0931.0" localSheetId="9">#REF!</definedName>
    <definedName name="FY0931.0" localSheetId="17">#REF!</definedName>
    <definedName name="FY0931.0" localSheetId="10">#REF!</definedName>
    <definedName name="FY0931.0" localSheetId="44">#REF!</definedName>
    <definedName name="FY0931.0" localSheetId="29">#REF!</definedName>
    <definedName name="FY0931.0" localSheetId="37">#REF!</definedName>
    <definedName name="FY0931.0" localSheetId="18">#REF!</definedName>
    <definedName name="FY0931.0" localSheetId="30">#REF!</definedName>
    <definedName name="FY0931.0" localSheetId="11">#REF!</definedName>
    <definedName name="FY0931.0" localSheetId="45">#REF!</definedName>
    <definedName name="FY0931.0" localSheetId="38">#REF!</definedName>
    <definedName name="FY0931.0" localSheetId="19">#REF!</definedName>
    <definedName name="FY0931.0" localSheetId="12">#REF!</definedName>
    <definedName name="FY0931.0" localSheetId="46">#REF!</definedName>
    <definedName name="FY0931.0" localSheetId="31">#REF!</definedName>
    <definedName name="FY0931.0" localSheetId="39">#REF!</definedName>
    <definedName name="FY0931.0" localSheetId="20">#REF!</definedName>
    <definedName name="FY0931.0" localSheetId="13">#REF!</definedName>
    <definedName name="FY0931.0" localSheetId="47">#REF!</definedName>
    <definedName name="FY0931.0" localSheetId="32">#REF!</definedName>
    <definedName name="FY0931.0" localSheetId="40">#REF!</definedName>
    <definedName name="FY0931.0" localSheetId="21">#REF!</definedName>
    <definedName name="FY0931.0" localSheetId="26">#REF!</definedName>
    <definedName name="FY0931.0" localSheetId="14">#REF!</definedName>
    <definedName name="FY0931.0" localSheetId="33">#REF!</definedName>
    <definedName name="FY0931.0" localSheetId="22">#REF!</definedName>
    <definedName name="FY0931.0" localSheetId="15">#REF!</definedName>
    <definedName name="FY0931.0" localSheetId="48">#REF!</definedName>
    <definedName name="FY0931.0" localSheetId="34">#REF!</definedName>
    <definedName name="FY0931.0" localSheetId="41">#REF!</definedName>
    <definedName name="FY0931.0" localSheetId="23">#REF!</definedName>
    <definedName name="FY0931.0" localSheetId="16">#REF!</definedName>
    <definedName name="FY0931.0" localSheetId="35">#REF!</definedName>
    <definedName name="FY0931.0" localSheetId="42">#REF!</definedName>
    <definedName name="FY0931.0" localSheetId="49">#REF!</definedName>
    <definedName name="FY0931.0" localSheetId="24">#REF!</definedName>
    <definedName name="FY0931.0" localSheetId="51">#REF!</definedName>
    <definedName name="FY0931.0">#REF!</definedName>
    <definedName name="FY0932.0" localSheetId="43">#REF!</definedName>
    <definedName name="FY0932.0" localSheetId="28">#REF!</definedName>
    <definedName name="FY0932.0" localSheetId="36">#REF!</definedName>
    <definedName name="FY0932.0" localSheetId="9">#REF!</definedName>
    <definedName name="FY0932.0" localSheetId="17">#REF!</definedName>
    <definedName name="FY0932.0" localSheetId="10">#REF!</definedName>
    <definedName name="FY0932.0" localSheetId="44">#REF!</definedName>
    <definedName name="FY0932.0" localSheetId="29">#REF!</definedName>
    <definedName name="FY0932.0" localSheetId="37">#REF!</definedName>
    <definedName name="FY0932.0" localSheetId="18">#REF!</definedName>
    <definedName name="FY0932.0" localSheetId="30">#REF!</definedName>
    <definedName name="FY0932.0" localSheetId="11">#REF!</definedName>
    <definedName name="FY0932.0" localSheetId="45">#REF!</definedName>
    <definedName name="FY0932.0" localSheetId="38">#REF!</definedName>
    <definedName name="FY0932.0" localSheetId="19">#REF!</definedName>
    <definedName name="FY0932.0" localSheetId="12">#REF!</definedName>
    <definedName name="FY0932.0" localSheetId="46">#REF!</definedName>
    <definedName name="FY0932.0" localSheetId="31">#REF!</definedName>
    <definedName name="FY0932.0" localSheetId="39">#REF!</definedName>
    <definedName name="FY0932.0" localSheetId="20">#REF!</definedName>
    <definedName name="FY0932.0" localSheetId="13">#REF!</definedName>
    <definedName name="FY0932.0" localSheetId="47">#REF!</definedName>
    <definedName name="FY0932.0" localSheetId="32">#REF!</definedName>
    <definedName name="FY0932.0" localSheetId="40">#REF!</definedName>
    <definedName name="FY0932.0" localSheetId="21">#REF!</definedName>
    <definedName name="FY0932.0" localSheetId="26">#REF!</definedName>
    <definedName name="FY0932.0" localSheetId="14">#REF!</definedName>
    <definedName name="FY0932.0" localSheetId="33">#REF!</definedName>
    <definedName name="FY0932.0" localSheetId="22">#REF!</definedName>
    <definedName name="FY0932.0" localSheetId="15">#REF!</definedName>
    <definedName name="FY0932.0" localSheetId="48">#REF!</definedName>
    <definedName name="FY0932.0" localSheetId="34">#REF!</definedName>
    <definedName name="FY0932.0" localSheetId="41">#REF!</definedName>
    <definedName name="FY0932.0" localSheetId="23">#REF!</definedName>
    <definedName name="FY0932.0" localSheetId="16">#REF!</definedName>
    <definedName name="FY0932.0" localSheetId="35">#REF!</definedName>
    <definedName name="FY0932.0" localSheetId="42">#REF!</definedName>
    <definedName name="FY0932.0" localSheetId="49">#REF!</definedName>
    <definedName name="FY0932.0" localSheetId="24">#REF!</definedName>
    <definedName name="FY0932.0" localSheetId="51">#REF!</definedName>
    <definedName name="FY0932.0">#REF!</definedName>
    <definedName name="FY09Ling" localSheetId="43">#REF!</definedName>
    <definedName name="FY09Ling" localSheetId="28">#REF!</definedName>
    <definedName name="FY09Ling" localSheetId="36">#REF!</definedName>
    <definedName name="FY09Ling" localSheetId="9">#REF!</definedName>
    <definedName name="FY09Ling" localSheetId="17">#REF!</definedName>
    <definedName name="FY09Ling" localSheetId="10">#REF!</definedName>
    <definedName name="FY09Ling" localSheetId="44">#REF!</definedName>
    <definedName name="FY09Ling" localSheetId="29">#REF!</definedName>
    <definedName name="FY09Ling" localSheetId="37">#REF!</definedName>
    <definedName name="FY09Ling" localSheetId="18">#REF!</definedName>
    <definedName name="FY09Ling" localSheetId="30">#REF!</definedName>
    <definedName name="FY09Ling" localSheetId="11">#REF!</definedName>
    <definedName name="FY09Ling" localSheetId="45">#REF!</definedName>
    <definedName name="FY09Ling" localSheetId="38">#REF!</definedName>
    <definedName name="FY09Ling" localSheetId="19">#REF!</definedName>
    <definedName name="FY09Ling" localSheetId="12">#REF!</definedName>
    <definedName name="FY09Ling" localSheetId="46">#REF!</definedName>
    <definedName name="FY09Ling" localSheetId="31">#REF!</definedName>
    <definedName name="FY09Ling" localSheetId="39">#REF!</definedName>
    <definedName name="FY09Ling" localSheetId="20">#REF!</definedName>
    <definedName name="FY09Ling" localSheetId="13">#REF!</definedName>
    <definedName name="FY09Ling" localSheetId="47">#REF!</definedName>
    <definedName name="FY09Ling" localSheetId="32">#REF!</definedName>
    <definedName name="FY09Ling" localSheetId="40">#REF!</definedName>
    <definedName name="FY09Ling" localSheetId="21">#REF!</definedName>
    <definedName name="FY09Ling" localSheetId="26">#REF!</definedName>
    <definedName name="FY09Ling" localSheetId="14">#REF!</definedName>
    <definedName name="FY09Ling" localSheetId="33">#REF!</definedName>
    <definedName name="FY09Ling" localSheetId="22">#REF!</definedName>
    <definedName name="FY09Ling" localSheetId="15">#REF!</definedName>
    <definedName name="FY09Ling" localSheetId="48">#REF!</definedName>
    <definedName name="FY09Ling" localSheetId="34">#REF!</definedName>
    <definedName name="FY09Ling" localSheetId="41">#REF!</definedName>
    <definedName name="FY09Ling" localSheetId="23">#REF!</definedName>
    <definedName name="FY09Ling" localSheetId="16">#REF!</definedName>
    <definedName name="FY09Ling" localSheetId="35">#REF!</definedName>
    <definedName name="FY09Ling" localSheetId="42">#REF!</definedName>
    <definedName name="FY09Ling" localSheetId="49">#REF!</definedName>
    <definedName name="FY09Ling" localSheetId="24">#REF!</definedName>
    <definedName name="FY09Ling" localSheetId="51">#REF!</definedName>
    <definedName name="FY09Ling">#REF!</definedName>
    <definedName name="FY09Mult" localSheetId="43">#REF!</definedName>
    <definedName name="FY09Mult" localSheetId="28">#REF!</definedName>
    <definedName name="FY09Mult" localSheetId="36">#REF!</definedName>
    <definedName name="FY09Mult" localSheetId="9">#REF!</definedName>
    <definedName name="FY09Mult" localSheetId="17">#REF!</definedName>
    <definedName name="FY09Mult" localSheetId="10">#REF!</definedName>
    <definedName name="FY09Mult" localSheetId="44">#REF!</definedName>
    <definedName name="FY09Mult" localSheetId="29">#REF!</definedName>
    <definedName name="FY09Mult" localSheetId="37">#REF!</definedName>
    <definedName name="FY09Mult" localSheetId="18">#REF!</definedName>
    <definedName name="FY09Mult" localSheetId="30">#REF!</definedName>
    <definedName name="FY09Mult" localSheetId="11">#REF!</definedName>
    <definedName name="FY09Mult" localSheetId="45">#REF!</definedName>
    <definedName name="FY09Mult" localSheetId="38">#REF!</definedName>
    <definedName name="FY09Mult" localSheetId="19">#REF!</definedName>
    <definedName name="FY09Mult" localSheetId="12">#REF!</definedName>
    <definedName name="FY09Mult" localSheetId="46">#REF!</definedName>
    <definedName name="FY09Mult" localSheetId="31">#REF!</definedName>
    <definedName name="FY09Mult" localSheetId="39">#REF!</definedName>
    <definedName name="FY09Mult" localSheetId="20">#REF!</definedName>
    <definedName name="FY09Mult" localSheetId="13">#REF!</definedName>
    <definedName name="FY09Mult" localSheetId="47">#REF!</definedName>
    <definedName name="FY09Mult" localSheetId="32">#REF!</definedName>
    <definedName name="FY09Mult" localSheetId="40">#REF!</definedName>
    <definedName name="FY09Mult" localSheetId="21">#REF!</definedName>
    <definedName name="FY09Mult" localSheetId="26">#REF!</definedName>
    <definedName name="FY09Mult" localSheetId="14">#REF!</definedName>
    <definedName name="FY09Mult" localSheetId="33">#REF!</definedName>
    <definedName name="FY09Mult" localSheetId="22">#REF!</definedName>
    <definedName name="FY09Mult" localSheetId="15">#REF!</definedName>
    <definedName name="FY09Mult" localSheetId="48">#REF!</definedName>
    <definedName name="FY09Mult" localSheetId="34">#REF!</definedName>
    <definedName name="FY09Mult" localSheetId="41">#REF!</definedName>
    <definedName name="FY09Mult" localSheetId="23">#REF!</definedName>
    <definedName name="FY09Mult" localSheetId="16">#REF!</definedName>
    <definedName name="FY09Mult" localSheetId="35">#REF!</definedName>
    <definedName name="FY09Mult" localSheetId="42">#REF!</definedName>
    <definedName name="FY09Mult" localSheetId="49">#REF!</definedName>
    <definedName name="FY09Mult" localSheetId="24">#REF!</definedName>
    <definedName name="FY09Mult" localSheetId="51">#REF!</definedName>
    <definedName name="FY09Mult">#REF!</definedName>
    <definedName name="FY09PEPI" localSheetId="43">#REF!</definedName>
    <definedName name="FY09PEPI" localSheetId="28">#REF!</definedName>
    <definedName name="FY09PEPI" localSheetId="36">#REF!</definedName>
    <definedName name="FY09PEPI" localSheetId="9">#REF!</definedName>
    <definedName name="FY09PEPI" localSheetId="17">#REF!</definedName>
    <definedName name="FY09PEPI" localSheetId="10">#REF!</definedName>
    <definedName name="FY09PEPI" localSheetId="44">#REF!</definedName>
    <definedName name="FY09PEPI" localSheetId="29">#REF!</definedName>
    <definedName name="FY09PEPI" localSheetId="37">#REF!</definedName>
    <definedName name="FY09PEPI" localSheetId="18">#REF!</definedName>
    <definedName name="FY09PEPI" localSheetId="30">#REF!</definedName>
    <definedName name="FY09PEPI" localSheetId="11">#REF!</definedName>
    <definedName name="FY09PEPI" localSheetId="45">#REF!</definedName>
    <definedName name="FY09PEPI" localSheetId="38">#REF!</definedName>
    <definedName name="FY09PEPI" localSheetId="19">#REF!</definedName>
    <definedName name="FY09PEPI" localSheetId="12">#REF!</definedName>
    <definedName name="FY09PEPI" localSheetId="46">#REF!</definedName>
    <definedName name="FY09PEPI" localSheetId="31">#REF!</definedName>
    <definedName name="FY09PEPI" localSheetId="39">#REF!</definedName>
    <definedName name="FY09PEPI" localSheetId="20">#REF!</definedName>
    <definedName name="FY09PEPI" localSheetId="13">#REF!</definedName>
    <definedName name="FY09PEPI" localSheetId="47">#REF!</definedName>
    <definedName name="FY09PEPI" localSheetId="32">#REF!</definedName>
    <definedName name="FY09PEPI" localSheetId="40">#REF!</definedName>
    <definedName name="FY09PEPI" localSheetId="21">#REF!</definedName>
    <definedName name="FY09PEPI" localSheetId="26">#REF!</definedName>
    <definedName name="FY09PEPI" localSheetId="14">#REF!</definedName>
    <definedName name="FY09PEPI" localSheetId="33">#REF!</definedName>
    <definedName name="FY09PEPI" localSheetId="22">#REF!</definedName>
    <definedName name="FY09PEPI" localSheetId="15">#REF!</definedName>
    <definedName name="FY09PEPI" localSheetId="48">#REF!</definedName>
    <definedName name="FY09PEPI" localSheetId="34">#REF!</definedName>
    <definedName name="FY09PEPI" localSheetId="41">#REF!</definedName>
    <definedName name="FY09PEPI" localSheetId="23">#REF!</definedName>
    <definedName name="FY09PEPI" localSheetId="16">#REF!</definedName>
    <definedName name="FY09PEPI" localSheetId="35">#REF!</definedName>
    <definedName name="FY09PEPI" localSheetId="42">#REF!</definedName>
    <definedName name="FY09PEPI" localSheetId="49">#REF!</definedName>
    <definedName name="FY09PEPI" localSheetId="24">#REF!</definedName>
    <definedName name="FY09PEPI" localSheetId="51">#REF!</definedName>
    <definedName name="FY09PEPI">#REF!</definedName>
    <definedName name="FY09Tot" localSheetId="43">#REF!</definedName>
    <definedName name="FY09Tot" localSheetId="28">#REF!</definedName>
    <definedName name="FY09Tot" localSheetId="36">#REF!</definedName>
    <definedName name="FY09Tot" localSheetId="9">#REF!</definedName>
    <definedName name="FY09Tot" localSheetId="17">#REF!</definedName>
    <definedName name="FY09Tot" localSheetId="10">#REF!</definedName>
    <definedName name="FY09Tot" localSheetId="44">#REF!</definedName>
    <definedName name="FY09Tot" localSheetId="29">#REF!</definedName>
    <definedName name="FY09Tot" localSheetId="37">#REF!</definedName>
    <definedName name="FY09Tot" localSheetId="18">#REF!</definedName>
    <definedName name="FY09Tot" localSheetId="30">#REF!</definedName>
    <definedName name="FY09Tot" localSheetId="11">#REF!</definedName>
    <definedName name="FY09Tot" localSheetId="45">#REF!</definedName>
    <definedName name="FY09Tot" localSheetId="38">#REF!</definedName>
    <definedName name="FY09Tot" localSheetId="19">#REF!</definedName>
    <definedName name="FY09Tot" localSheetId="12">#REF!</definedName>
    <definedName name="FY09Tot" localSheetId="46">#REF!</definedName>
    <definedName name="FY09Tot" localSheetId="31">#REF!</definedName>
    <definedName name="FY09Tot" localSheetId="39">#REF!</definedName>
    <definedName name="FY09Tot" localSheetId="20">#REF!</definedName>
    <definedName name="FY09Tot" localSheetId="13">#REF!</definedName>
    <definedName name="FY09Tot" localSheetId="47">#REF!</definedName>
    <definedName name="FY09Tot" localSheetId="32">#REF!</definedName>
    <definedName name="FY09Tot" localSheetId="40">#REF!</definedName>
    <definedName name="FY09Tot" localSheetId="21">#REF!</definedName>
    <definedName name="FY09Tot" localSheetId="26">#REF!</definedName>
    <definedName name="FY09Tot" localSheetId="14">#REF!</definedName>
    <definedName name="FY09Tot" localSheetId="33">#REF!</definedName>
    <definedName name="FY09Tot" localSheetId="22">#REF!</definedName>
    <definedName name="FY09Tot" localSheetId="15">#REF!</definedName>
    <definedName name="FY09Tot" localSheetId="48">#REF!</definedName>
    <definedName name="FY09Tot" localSheetId="34">#REF!</definedName>
    <definedName name="FY09Tot" localSheetId="41">#REF!</definedName>
    <definedName name="FY09Tot" localSheetId="23">#REF!</definedName>
    <definedName name="FY09Tot" localSheetId="16">#REF!</definedName>
    <definedName name="FY09Tot" localSheetId="35">#REF!</definedName>
    <definedName name="FY09Tot" localSheetId="42">#REF!</definedName>
    <definedName name="FY09Tot" localSheetId="49">#REF!</definedName>
    <definedName name="FY09Tot" localSheetId="24">#REF!</definedName>
    <definedName name="FY09Tot" localSheetId="51">#REF!</definedName>
    <definedName name="FY09Tot">#REF!</definedName>
    <definedName name="FY09Train" localSheetId="43">#REF!</definedName>
    <definedName name="FY09Train" localSheetId="28">#REF!</definedName>
    <definedName name="FY09Train" localSheetId="36">#REF!</definedName>
    <definedName name="FY09Train" localSheetId="9">#REF!</definedName>
    <definedName name="FY09Train" localSheetId="17">#REF!</definedName>
    <definedName name="FY09Train" localSheetId="10">#REF!</definedName>
    <definedName name="FY09Train" localSheetId="44">#REF!</definedName>
    <definedName name="FY09Train" localSheetId="29">#REF!</definedName>
    <definedName name="FY09Train" localSheetId="37">#REF!</definedName>
    <definedName name="FY09Train" localSheetId="18">#REF!</definedName>
    <definedName name="FY09Train" localSheetId="30">#REF!</definedName>
    <definedName name="FY09Train" localSheetId="11">#REF!</definedName>
    <definedName name="FY09Train" localSheetId="45">#REF!</definedName>
    <definedName name="FY09Train" localSheetId="38">#REF!</definedName>
    <definedName name="FY09Train" localSheetId="19">#REF!</definedName>
    <definedName name="FY09Train" localSheetId="12">#REF!</definedName>
    <definedName name="FY09Train" localSheetId="46">#REF!</definedName>
    <definedName name="FY09Train" localSheetId="31">#REF!</definedName>
    <definedName name="FY09Train" localSheetId="39">#REF!</definedName>
    <definedName name="FY09Train" localSheetId="20">#REF!</definedName>
    <definedName name="FY09Train" localSheetId="13">#REF!</definedName>
    <definedName name="FY09Train" localSheetId="47">#REF!</definedName>
    <definedName name="FY09Train" localSheetId="32">#REF!</definedName>
    <definedName name="FY09Train" localSheetId="40">#REF!</definedName>
    <definedName name="FY09Train" localSheetId="21">#REF!</definedName>
    <definedName name="FY09Train" localSheetId="26">#REF!</definedName>
    <definedName name="FY09Train" localSheetId="14">#REF!</definedName>
    <definedName name="FY09Train" localSheetId="33">#REF!</definedName>
    <definedName name="FY09Train" localSheetId="22">#REF!</definedName>
    <definedName name="FY09Train" localSheetId="15">#REF!</definedName>
    <definedName name="FY09Train" localSheetId="48">#REF!</definedName>
    <definedName name="FY09Train" localSheetId="34">#REF!</definedName>
    <definedName name="FY09Train" localSheetId="41">#REF!</definedName>
    <definedName name="FY09Train" localSheetId="23">#REF!</definedName>
    <definedName name="FY09Train" localSheetId="16">#REF!</definedName>
    <definedName name="FY09Train" localSheetId="35">#REF!</definedName>
    <definedName name="FY09Train" localSheetId="42">#REF!</definedName>
    <definedName name="FY09Train" localSheetId="49">#REF!</definedName>
    <definedName name="FY09Train" localSheetId="24">#REF!</definedName>
    <definedName name="FY09Train" localSheetId="51">#REF!</definedName>
    <definedName name="FY09Train">#REF!</definedName>
    <definedName name="hlhl0" localSheetId="2">'E. ATB Justification - S&amp;E-M&amp;A'!#REF!</definedName>
    <definedName name="INTEL" localSheetId="43">'B. Summ of Reqs - CVF '!#REF!</definedName>
    <definedName name="INTEL" localSheetId="28">'B. Summ of Reqs - JJ '!#REF!</definedName>
    <definedName name="INTEL" localSheetId="36">'B. Summ of Reqs - PSOB '!#REF!</definedName>
    <definedName name="INTEL" localSheetId="9">'B. Summ of Reqs - RES '!#REF!</definedName>
    <definedName name="INTEL" localSheetId="0">'B. Summ of Reqs - S&amp;E-M&amp;A '!#REF!</definedName>
    <definedName name="INTEL" localSheetId="17">'B. Summ of Reqs -SLLEA '!#REF!</definedName>
    <definedName name="INTEL" localSheetId="44">#REF!</definedName>
    <definedName name="INTEL" localSheetId="29">#REF!</definedName>
    <definedName name="INTEL" localSheetId="37">#REF!</definedName>
    <definedName name="INTEL" localSheetId="18">#REF!</definedName>
    <definedName name="INTEL" localSheetId="30">#REF!</definedName>
    <definedName name="INTEL" localSheetId="1">#REF!</definedName>
    <definedName name="INTEL" localSheetId="11">#REF!</definedName>
    <definedName name="INTEL" localSheetId="45">#REF!</definedName>
    <definedName name="INTEL" localSheetId="38">#REF!</definedName>
    <definedName name="INTEL" localSheetId="19">#REF!</definedName>
    <definedName name="INTEL" localSheetId="46">#REF!</definedName>
    <definedName name="INTEL" localSheetId="31">#REF!</definedName>
    <definedName name="INTEL" localSheetId="39">#REF!</definedName>
    <definedName name="INTEL" localSheetId="20">#REF!</definedName>
    <definedName name="INTEL" localSheetId="25">#REF!</definedName>
    <definedName name="INTEL" localSheetId="47">#REF!</definedName>
    <definedName name="INTEL" localSheetId="32">#REF!</definedName>
    <definedName name="INTEL" localSheetId="40">#REF!</definedName>
    <definedName name="INTEL" localSheetId="21">#REF!</definedName>
    <definedName name="INTEL" localSheetId="26">#REF!</definedName>
    <definedName name="INTEL" localSheetId="33">#REF!</definedName>
    <definedName name="INTEL" localSheetId="22">#REF!</definedName>
    <definedName name="INTEL" localSheetId="15">'[1]Sum of Req'!#REF!</definedName>
    <definedName name="INTEL" localSheetId="48">'[1]Sum of Req'!#REF!</definedName>
    <definedName name="INTEL" localSheetId="34">'[1]Sum of Req'!#REF!</definedName>
    <definedName name="INTEL" localSheetId="41">'[1]Sum of Req'!#REF!</definedName>
    <definedName name="INTEL" localSheetId="23">'[1]Sum of Req'!#REF!</definedName>
    <definedName name="INTEL" localSheetId="35">#REF!</definedName>
    <definedName name="INTEL" localSheetId="42">#REF!</definedName>
    <definedName name="INTEL" localSheetId="49">#REF!</definedName>
    <definedName name="INTEL" localSheetId="24">#REF!</definedName>
    <definedName name="INTEL" localSheetId="27">#REF!</definedName>
    <definedName name="INTEL" localSheetId="51">#REF!</definedName>
    <definedName name="INTEL">#REF!</definedName>
    <definedName name="JMD" localSheetId="43">'B. Summ of Reqs - CVF '!#REF!</definedName>
    <definedName name="JMD" localSheetId="28">'B. Summ of Reqs - JJ '!#REF!</definedName>
    <definedName name="JMD" localSheetId="36">'B. Summ of Reqs - PSOB '!#REF!</definedName>
    <definedName name="JMD" localSheetId="9">'B. Summ of Reqs - RES '!#REF!</definedName>
    <definedName name="JMD" localSheetId="0">'B. Summ of Reqs - S&amp;E-M&amp;A '!#REF!</definedName>
    <definedName name="JMD" localSheetId="17">'B. Summ of Reqs -SLLEA '!#REF!</definedName>
    <definedName name="JMD" localSheetId="44">#REF!</definedName>
    <definedName name="JMD" localSheetId="29">#REF!</definedName>
    <definedName name="JMD" localSheetId="37">#REF!</definedName>
    <definedName name="JMD" localSheetId="18">#REF!</definedName>
    <definedName name="JMD" localSheetId="30">#REF!</definedName>
    <definedName name="JMD" localSheetId="1">#REF!</definedName>
    <definedName name="JMD" localSheetId="11">#REF!</definedName>
    <definedName name="JMD" localSheetId="45">#REF!</definedName>
    <definedName name="JMD" localSheetId="38">#REF!</definedName>
    <definedName name="JMD" localSheetId="19">#REF!</definedName>
    <definedName name="JMD" localSheetId="46">#REF!</definedName>
    <definedName name="JMD" localSheetId="31">#REF!</definedName>
    <definedName name="JMD" localSheetId="39">#REF!</definedName>
    <definedName name="JMD" localSheetId="20">#REF!</definedName>
    <definedName name="JMD" localSheetId="25">#REF!</definedName>
    <definedName name="JMD" localSheetId="47">#REF!</definedName>
    <definedName name="JMD" localSheetId="32">#REF!</definedName>
    <definedName name="JMD" localSheetId="40">#REF!</definedName>
    <definedName name="JMD" localSheetId="21">#REF!</definedName>
    <definedName name="JMD" localSheetId="26">#REF!</definedName>
    <definedName name="JMD" localSheetId="33">#REF!</definedName>
    <definedName name="JMD" localSheetId="22">#REF!</definedName>
    <definedName name="JMD" localSheetId="15">'[1]Sum of Req'!#REF!</definedName>
    <definedName name="JMD" localSheetId="48">'[1]Sum of Req'!#REF!</definedName>
    <definedName name="JMD" localSheetId="34">'[1]Sum of Req'!#REF!</definedName>
    <definedName name="JMD" localSheetId="41">'[1]Sum of Req'!#REF!</definedName>
    <definedName name="JMD" localSheetId="23">'[1]Sum of Req'!#REF!</definedName>
    <definedName name="JMD" localSheetId="35">#REF!</definedName>
    <definedName name="JMD" localSheetId="42">#REF!</definedName>
    <definedName name="JMD" localSheetId="49">#REF!</definedName>
    <definedName name="JMD" localSheetId="24">#REF!</definedName>
    <definedName name="JMD" localSheetId="27">#REF!</definedName>
    <definedName name="JMD" localSheetId="51">#REF!</definedName>
    <definedName name="JMD">#REF!</definedName>
    <definedName name="OLE_LINK7" localSheetId="2">'E. ATB Justification - S&amp;E-M&amp;A'!#REF!</definedName>
    <definedName name="PART" localSheetId="43">#REF!</definedName>
    <definedName name="PART" localSheetId="28">#REF!</definedName>
    <definedName name="PART" localSheetId="36">#REF!</definedName>
    <definedName name="PART" localSheetId="9">#REF!</definedName>
    <definedName name="PART" localSheetId="17">#REF!</definedName>
    <definedName name="PART" localSheetId="10">#REF!</definedName>
    <definedName name="PART" localSheetId="44">#REF!</definedName>
    <definedName name="PART" localSheetId="29">#REF!</definedName>
    <definedName name="PART" localSheetId="37">#REF!</definedName>
    <definedName name="PART" localSheetId="18">#REF!</definedName>
    <definedName name="PART" localSheetId="30">#REF!</definedName>
    <definedName name="PART" localSheetId="11">#REF!</definedName>
    <definedName name="PART" localSheetId="45">#REF!</definedName>
    <definedName name="PART" localSheetId="38">#REF!</definedName>
    <definedName name="PART" localSheetId="19">#REF!</definedName>
    <definedName name="PART" localSheetId="12">#REF!</definedName>
    <definedName name="PART" localSheetId="46">#REF!</definedName>
    <definedName name="PART" localSheetId="31">#REF!</definedName>
    <definedName name="PART" localSheetId="39">#REF!</definedName>
    <definedName name="PART" localSheetId="20">#REF!</definedName>
    <definedName name="PART" localSheetId="25">#REF!</definedName>
    <definedName name="PART" localSheetId="13">#REF!</definedName>
    <definedName name="PART" localSheetId="47">#REF!</definedName>
    <definedName name="PART" localSheetId="32">#REF!</definedName>
    <definedName name="PART" localSheetId="40">#REF!</definedName>
    <definedName name="PART" localSheetId="21">#REF!</definedName>
    <definedName name="PART" localSheetId="26">#REF!</definedName>
    <definedName name="PART" localSheetId="14">#REF!</definedName>
    <definedName name="PART" localSheetId="33">#REF!</definedName>
    <definedName name="PART" localSheetId="22">#REF!</definedName>
    <definedName name="PART" localSheetId="15">#REF!</definedName>
    <definedName name="PART" localSheetId="48">#REF!</definedName>
    <definedName name="PART" localSheetId="34">#REF!</definedName>
    <definedName name="PART" localSheetId="41">#REF!</definedName>
    <definedName name="PART" localSheetId="23">#REF!</definedName>
    <definedName name="PART" localSheetId="16">#REF!</definedName>
    <definedName name="PART" localSheetId="35">#REF!</definedName>
    <definedName name="PART" localSheetId="42">#REF!</definedName>
    <definedName name="PART" localSheetId="49">#REF!</definedName>
    <definedName name="PART" localSheetId="24">#REF!</definedName>
    <definedName name="PART" localSheetId="27">#REF!</definedName>
    <definedName name="PART" localSheetId="51">#REF!</definedName>
    <definedName name="PART">#REF!</definedName>
    <definedName name="_xlnm.Print_Area" localSheetId="43">'B. Summ of Reqs - CVF '!$A$1:$X$81</definedName>
    <definedName name="_xlnm.Print_Area" localSheetId="28">'B. Summ of Reqs - JJ '!$A$1:$X$97</definedName>
    <definedName name="_xlnm.Print_Area" localSheetId="36">'B. Summ of Reqs - PSOB '!$A$1:$X$55</definedName>
    <definedName name="_xlnm.Print_Area" localSheetId="9">'B. Summ of Reqs - RES '!$A$1:$X$82</definedName>
    <definedName name="_xlnm.Print_Area" localSheetId="0">'B. Summ of Reqs - S&amp;E-M&amp;A '!$A$1:$X$75</definedName>
    <definedName name="_xlnm.Print_Area" localSheetId="17">'B. Summ of Reqs -SLLEA '!$A$1:$X$169</definedName>
    <definedName name="_xlnm.Print_Area" localSheetId="10">'C. Increases Offsets  - RES '!$A$1:$G$16</definedName>
    <definedName name="_xlnm.Print_Area" localSheetId="44">'C. Increases Offsets - CVF'!$A$1:$G$17</definedName>
    <definedName name="_xlnm.Print_Area" localSheetId="29">'C. Increases Offsets - JJ'!$A$1:$G$29</definedName>
    <definedName name="_xlnm.Print_Area" localSheetId="37">'C. Increases Offsets - PSOB '!$A$1:$S$16</definedName>
    <definedName name="_xlnm.Print_Area" localSheetId="18">'C. Increases Offsets - SLLEA'!$A$1:$G$58</definedName>
    <definedName name="_xlnm.Print_Area" localSheetId="30">'D. Strat Goals &amp; Objs - JJ'!$A$1:$P$40</definedName>
    <definedName name="_xlnm.Print_Area" localSheetId="1">'D. Strat Goals &amp; Objs - S&amp;E-M&amp;A'!$A$1:$P$40</definedName>
    <definedName name="_xlnm.Print_Area" localSheetId="11">'D. Strat Goals &amp; Obs  - RES '!$A$1:$P$41</definedName>
    <definedName name="_xlnm.Print_Area" localSheetId="45">'D. Strat Goals &amp; Obs - CVF'!$A$1:$P$42</definedName>
    <definedName name="_xlnm.Print_Area" localSheetId="38">'D. Strat Goals &amp; Obs - PSOB '!$A$1:$P$36</definedName>
    <definedName name="_xlnm.Print_Area" localSheetId="19">'D. Strat Goals &amp; Obs - SLLEA'!$A$1:$P$49</definedName>
    <definedName name="_xlnm.Print_Area" localSheetId="2">'E. ATB Justification - S&amp;E-M&amp;A'!$A$1:$I$46</definedName>
    <definedName name="_xlnm.Print_Area" localSheetId="12">'F. 2011 Crosswalk  - RES '!$A$1:$O$37</definedName>
    <definedName name="_xlnm.Print_Area" localSheetId="46">'F. 2011 Crosswalk - CVF'!$A$1:$O$22</definedName>
    <definedName name="_xlnm.Print_Area" localSheetId="31">'F. 2011 Crosswalk - JJ'!$A$1:$O$46</definedName>
    <definedName name="_xlnm.Print_Area" localSheetId="39">'F. 2011 Crosswalk - PSOB '!$A$1:$O$24</definedName>
    <definedName name="_xlnm.Print_Area" localSheetId="3">'F. 2011 Crosswalk - S&amp;E-M&amp;A'!$A$1:$O$23</definedName>
    <definedName name="_xlnm.Print_Area" localSheetId="20">'F. 2011 Crosswalk - SLLEA'!$A$1:$O$93</definedName>
    <definedName name="_xlnm.Print_Area" localSheetId="25">'F. 2011 Crosswalk - W&amp;S'!$A$1:$O$23</definedName>
    <definedName name="_xlnm.Print_Area" localSheetId="13">'G. 2012 Crosswalk  - RES '!$A$1:$R$33</definedName>
    <definedName name="_xlnm.Print_Area" localSheetId="47">'G. 2012 Crosswalk - CVF'!$A$1:$R$20</definedName>
    <definedName name="_xlnm.Print_Area" localSheetId="32">'G. 2012 Crosswalk - JJ'!$A$1:$R$37</definedName>
    <definedName name="_xlnm.Print_Area" localSheetId="40">'G. 2012 Crosswalk - PSOB '!$A$1:$R$23</definedName>
    <definedName name="_xlnm.Print_Area" localSheetId="4">'G. 2012 Crosswalk - S&amp;E-M&amp;A'!$A$1:$R$20</definedName>
    <definedName name="_xlnm.Print_Area" localSheetId="21">'G. 2012 Crosswalk - SLLEA'!$A$1:$R$95</definedName>
    <definedName name="_xlnm.Print_Area" localSheetId="26">'G. 2012 Crosswalk - W&amp;S'!$A$1:$R$22</definedName>
    <definedName name="_xlnm.Print_Area" localSheetId="14">'H. Reimb Resources  - RES '!$A$1:$N$15</definedName>
    <definedName name="_xlnm.Print_Area" localSheetId="33">'H. Reimb Resources - JJ'!$A$1:$N$15</definedName>
    <definedName name="_xlnm.Print_Area" localSheetId="5">'H. Reimb Resources - S&amp;E-M&amp;A'!$A$1:$N$20</definedName>
    <definedName name="_xlnm.Print_Area" localSheetId="22">'H. Reimb Resources - SLLEA'!$A$1:$N$18</definedName>
    <definedName name="_xlnm.Print_Area" localSheetId="6">'I. Perm Positions - S&amp;E-M&amp;A'!$A$1:$K$32</definedName>
    <definedName name="_xlnm.Print_Area" localSheetId="15">'J. Finan Analysis  - RES '!$A$1:$I$19</definedName>
    <definedName name="_xlnm.Print_Area" localSheetId="48">'J. Finan Analysis - CVF'!$A$1:$G$17</definedName>
    <definedName name="_xlnm.Print_Area" localSheetId="34">'J. Finan Analysis - JJ'!$A$1:$S$17</definedName>
    <definedName name="_xlnm.Print_Area" localSheetId="41">'J. Finan Analysis - PSOB '!$A$1:$Y$12</definedName>
    <definedName name="_xlnm.Print_Area" localSheetId="23">'J. Finan Analysis - SLLEA'!$A$1:$O$61</definedName>
    <definedName name="_xlnm.Print_Area" localSheetId="7">'K. Summ by Grade - S&amp;E-M&amp;A'!$A$1:$I$29</definedName>
    <definedName name="_xlnm.Print_Area" localSheetId="16">'L. Summ by Ob Class  - RES '!$A$1:$I$43</definedName>
    <definedName name="_xlnm.Print_Area" localSheetId="8">'L. Summ by Ob Class  - S&amp;E-M&amp;A '!$A$1:$I$43</definedName>
    <definedName name="_xlnm.Print_Area" localSheetId="35">'L. Summ by Ob Class - JJ'!$A$1:$I$47</definedName>
    <definedName name="_xlnm.Print_Area" localSheetId="42">'L. Summ by Ob Class - PSOB '!$A$1:$I$44</definedName>
    <definedName name="_xlnm.Print_Area" localSheetId="49">'L. Summ by Object Class - CVF'!$A$1:$I$50</definedName>
    <definedName name="_xlnm.Print_Area" localSheetId="24">'L. Summ by Object Class - SLLEA'!$A$1:$I$48</definedName>
    <definedName name="_xlnm.Print_Area" localSheetId="27">'L. Summ by Object Class - W&amp;S'!$A$1:$I$43</definedName>
    <definedName name="_xlnm.Print_Area" localSheetId="50">'M. Studies'!$A$1:$J$41</definedName>
    <definedName name="_xlnm.Print_Area" localSheetId="51">'N. Summary of Program Changes'!$A$1:$F$179</definedName>
    <definedName name="_xlnm.Print_Area">#REF!</definedName>
    <definedName name="_xlnm.Print_Titles" localSheetId="17">'B. Summ of Reqs -SLLEA '!$1:$7</definedName>
    <definedName name="_xlnm.Print_Titles" localSheetId="18">'C. Increases Offsets - SLLEA'!$1:$7</definedName>
    <definedName name="_xlnm.Print_Titles" localSheetId="2">'E. ATB Justification - S&amp;E-M&amp;A'!$1:$5</definedName>
    <definedName name="_xlnm.Print_Titles" localSheetId="20">'F. 2011 Crosswalk - SLLEA'!$1:$10</definedName>
    <definedName name="_xlnm.Print_Titles" localSheetId="21">'G. 2012 Crosswalk - SLLEA'!$1:$10</definedName>
    <definedName name="_xlnm.Print_Titles" localSheetId="23">'J. Finan Analysis - SLLEA'!$1:$6</definedName>
    <definedName name="_xlnm.Print_Titles" localSheetId="51">'N. Summary of Program Changes'!$1:$1</definedName>
    <definedName name="REIMPRO" localSheetId="43">#REF!</definedName>
    <definedName name="REIMPRO" localSheetId="28">#REF!</definedName>
    <definedName name="REIMPRO" localSheetId="36">#REF!</definedName>
    <definedName name="REIMPRO" localSheetId="9">#REF!</definedName>
    <definedName name="REIMPRO" localSheetId="17">#REF!</definedName>
    <definedName name="REIMPRO" localSheetId="10">#REF!</definedName>
    <definedName name="REIMPRO" localSheetId="44">#REF!</definedName>
    <definedName name="REIMPRO" localSheetId="29">#REF!</definedName>
    <definedName name="REIMPRO" localSheetId="37">#REF!</definedName>
    <definedName name="REIMPRO" localSheetId="18">#REF!</definedName>
    <definedName name="REIMPRO" localSheetId="30">#REF!</definedName>
    <definedName name="REIMPRO" localSheetId="11">#REF!</definedName>
    <definedName name="REIMPRO" localSheetId="45">#REF!</definedName>
    <definedName name="REIMPRO" localSheetId="38">#REF!</definedName>
    <definedName name="REIMPRO" localSheetId="19">#REF!</definedName>
    <definedName name="REIMPRO" localSheetId="12">#REF!</definedName>
    <definedName name="REIMPRO" localSheetId="46">#REF!</definedName>
    <definedName name="REIMPRO" localSheetId="31">#REF!</definedName>
    <definedName name="REIMPRO" localSheetId="39">#REF!</definedName>
    <definedName name="REIMPRO" localSheetId="20">#REF!</definedName>
    <definedName name="REIMPRO" localSheetId="25">#REF!</definedName>
    <definedName name="REIMPRO" localSheetId="13">#REF!</definedName>
    <definedName name="REIMPRO" localSheetId="47">#REF!</definedName>
    <definedName name="REIMPRO" localSheetId="32">#REF!</definedName>
    <definedName name="REIMPRO" localSheetId="40">#REF!</definedName>
    <definedName name="REIMPRO" localSheetId="21">#REF!</definedName>
    <definedName name="REIMPRO" localSheetId="26">#REF!</definedName>
    <definedName name="REIMPRO" localSheetId="14">'H. Reimb Resources  - RES '!$A$1:$N$14</definedName>
    <definedName name="REIMPRO" localSheetId="33">'H. Reimb Resources - JJ'!$A$1:$N$14</definedName>
    <definedName name="REIMPRO" localSheetId="5">'H. Reimb Resources - S&amp;E-M&amp;A'!$A$1:$N$19</definedName>
    <definedName name="REIMPRO" localSheetId="22">'H. Reimb Resources - SLLEA'!$A$1:$N$20</definedName>
    <definedName name="REIMPRO" localSheetId="15">#REF!</definedName>
    <definedName name="REIMPRO" localSheetId="48">#REF!</definedName>
    <definedName name="REIMPRO" localSheetId="34">#REF!</definedName>
    <definedName name="REIMPRO" localSheetId="41">#REF!</definedName>
    <definedName name="REIMPRO" localSheetId="23">#REF!</definedName>
    <definedName name="REIMPRO" localSheetId="16">#REF!</definedName>
    <definedName name="REIMPRO" localSheetId="35">#REF!</definedName>
    <definedName name="REIMPRO" localSheetId="42">#REF!</definedName>
    <definedName name="REIMPRO" localSheetId="49">#REF!</definedName>
    <definedName name="REIMPRO" localSheetId="24">#REF!</definedName>
    <definedName name="REIMPRO" localSheetId="27">#REF!</definedName>
    <definedName name="REIMPRO" localSheetId="51">#REF!</definedName>
    <definedName name="REIMPRO">#REF!</definedName>
    <definedName name="REIMSOR" localSheetId="43">#REF!</definedName>
    <definedName name="REIMSOR" localSheetId="28">#REF!</definedName>
    <definedName name="REIMSOR" localSheetId="36">#REF!</definedName>
    <definedName name="REIMSOR" localSheetId="9">#REF!</definedName>
    <definedName name="REIMSOR" localSheetId="17">#REF!</definedName>
    <definedName name="REIMSOR" localSheetId="10">#REF!</definedName>
    <definedName name="REIMSOR" localSheetId="44">#REF!</definedName>
    <definedName name="REIMSOR" localSheetId="29">#REF!</definedName>
    <definedName name="REIMSOR" localSheetId="37">#REF!</definedName>
    <definedName name="REIMSOR" localSheetId="18">#REF!</definedName>
    <definedName name="REIMSOR" localSheetId="30">#REF!</definedName>
    <definedName name="REIMSOR" localSheetId="11">#REF!</definedName>
    <definedName name="REIMSOR" localSheetId="45">#REF!</definedName>
    <definedName name="REIMSOR" localSheetId="38">#REF!</definedName>
    <definedName name="REIMSOR" localSheetId="19">#REF!</definedName>
    <definedName name="REIMSOR" localSheetId="12">#REF!</definedName>
    <definedName name="REIMSOR" localSheetId="46">#REF!</definedName>
    <definedName name="REIMSOR" localSheetId="31">#REF!</definedName>
    <definedName name="REIMSOR" localSheetId="39">#REF!</definedName>
    <definedName name="REIMSOR" localSheetId="20">#REF!</definedName>
    <definedName name="REIMSOR" localSheetId="25">#REF!</definedName>
    <definedName name="REIMSOR" localSheetId="13">#REF!</definedName>
    <definedName name="REIMSOR" localSheetId="47">#REF!</definedName>
    <definedName name="REIMSOR" localSheetId="32">#REF!</definedName>
    <definedName name="REIMSOR" localSheetId="40">#REF!</definedName>
    <definedName name="REIMSOR" localSheetId="21">#REF!</definedName>
    <definedName name="REIMSOR" localSheetId="26">#REF!</definedName>
    <definedName name="REIMSOR" localSheetId="14">'H. Reimb Resources  - RES '!$P$16:$AF$28</definedName>
    <definedName name="REIMSOR" localSheetId="33">'H. Reimb Resources - JJ'!#REF!</definedName>
    <definedName name="REIMSOR" localSheetId="5">'H. Reimb Resources - S&amp;E-M&amp;A'!$P$22:$AF$34</definedName>
    <definedName name="REIMSOR" localSheetId="22">'H. Reimb Resources - SLLEA'!$P$23:$AF$35</definedName>
    <definedName name="REIMSOR" localSheetId="15">#REF!</definedName>
    <definedName name="REIMSOR" localSheetId="48">#REF!</definedName>
    <definedName name="REIMSOR" localSheetId="34">#REF!</definedName>
    <definedName name="REIMSOR" localSheetId="41">#REF!</definedName>
    <definedName name="REIMSOR" localSheetId="23">#REF!</definedName>
    <definedName name="REIMSOR" localSheetId="16">#REF!</definedName>
    <definedName name="REIMSOR" localSheetId="35">#REF!</definedName>
    <definedName name="REIMSOR" localSheetId="42">#REF!</definedName>
    <definedName name="REIMSOR" localSheetId="49">#REF!</definedName>
    <definedName name="REIMSOR" localSheetId="24">#REF!</definedName>
    <definedName name="REIMSOR" localSheetId="27">#REF!</definedName>
    <definedName name="REIMSOR" localSheetId="51">#REF!</definedName>
    <definedName name="REIMSOR">#REF!</definedName>
    <definedName name="Z_0858FC5C_8AD0_4060_88AE_AD6AA1B94ED6_.wvu.Cols" localSheetId="51" hidden="1">'N. Summary of Program Changes'!#REF!,'N. Summary of Program Changes'!#REF!,'N. Summary of Program Changes'!#REF!</definedName>
    <definedName name="Z_0858FC5C_8AD0_4060_88AE_AD6AA1B94ED6_.wvu.PrintArea" localSheetId="51" hidden="1">'N. Summary of Program Changes'!$A$1:$C$175</definedName>
    <definedName name="Z_0858FC5C_8AD0_4060_88AE_AD6AA1B94ED6_.wvu.PrintTitles" localSheetId="51" hidden="1">'N. Summary of Program Changes'!$1:$1</definedName>
    <definedName name="Z_0858FC5C_8AD0_4060_88AE_AD6AA1B94ED6_.wvu.Rows" localSheetId="51" hidden="1">'N. Summary of Program Changes'!#REF!,'N. Summary of Program Changes'!#REF!,'N. Summary of Program Changes'!#REF!,'N. Summary of Program Changes'!#REF!,'N. Summary of Program Changes'!#REF!,'N. Summary of Program Changes'!#REF!</definedName>
    <definedName name="Z_12C66D54_5067_4346_818B_6EAB1C8A9183_.wvu.Cols" localSheetId="13" hidden="1">'G. 2012 Crosswalk  - RES '!$H:$J</definedName>
    <definedName name="Z_12C66D54_5067_4346_818B_6EAB1C8A9183_.wvu.Cols" localSheetId="47" hidden="1">'G. 2012 Crosswalk - CVF'!$H:$J</definedName>
    <definedName name="Z_12C66D54_5067_4346_818B_6EAB1C8A9183_.wvu.Cols" localSheetId="32" hidden="1">'G. 2012 Crosswalk - JJ'!$H:$J</definedName>
    <definedName name="Z_12C66D54_5067_4346_818B_6EAB1C8A9183_.wvu.Cols" localSheetId="40" hidden="1">'G. 2012 Crosswalk - PSOB '!$H:$J</definedName>
    <definedName name="Z_12C66D54_5067_4346_818B_6EAB1C8A9183_.wvu.Cols" localSheetId="4" hidden="1">'G. 2012 Crosswalk - S&amp;E-M&amp;A'!$H:$J</definedName>
    <definedName name="Z_12C66D54_5067_4346_818B_6EAB1C8A9183_.wvu.Cols" localSheetId="21" hidden="1">'G. 2012 Crosswalk - SLLEA'!$H:$J</definedName>
    <definedName name="Z_12C66D54_5067_4346_818B_6EAB1C8A9183_.wvu.Cols" localSheetId="26" hidden="1">'G. 2012 Crosswalk - W&amp;S'!$H:$J</definedName>
    <definedName name="Z_12C66D54_5067_4346_818B_6EAB1C8A9183_.wvu.Cols" localSheetId="16" hidden="1">'L. Summ by Ob Class  - RES '!#REF!</definedName>
    <definedName name="Z_12C66D54_5067_4346_818B_6EAB1C8A9183_.wvu.Cols" localSheetId="8" hidden="1">'L. Summ by Ob Class  - S&amp;E-M&amp;A '!#REF!</definedName>
    <definedName name="Z_12C66D54_5067_4346_818B_6EAB1C8A9183_.wvu.Cols" localSheetId="35" hidden="1">'L. Summ by Ob Class - JJ'!#REF!</definedName>
    <definedName name="Z_12C66D54_5067_4346_818B_6EAB1C8A9183_.wvu.Cols" localSheetId="42" hidden="1">'L. Summ by Ob Class - PSOB '!#REF!</definedName>
    <definedName name="Z_12C66D54_5067_4346_818B_6EAB1C8A9183_.wvu.Cols" localSheetId="49" hidden="1">'L. Summ by Object Class - CVF'!#REF!</definedName>
    <definedName name="Z_12C66D54_5067_4346_818B_6EAB1C8A9183_.wvu.Cols" localSheetId="24" hidden="1">'L. Summ by Object Class - SLLEA'!#REF!</definedName>
    <definedName name="Z_12C66D54_5067_4346_818B_6EAB1C8A9183_.wvu.Cols" localSheetId="27" hidden="1">'L. Summ by Object Class - W&amp;S'!#REF!</definedName>
    <definedName name="Z_12C66D54_5067_4346_818B_6EAB1C8A9183_.wvu.PrintArea" localSheetId="43" hidden="1">'B. Summ of Reqs - CVF '!$A$1:$X$78</definedName>
    <definedName name="Z_12C66D54_5067_4346_818B_6EAB1C8A9183_.wvu.PrintArea" localSheetId="28" hidden="1">'B. Summ of Reqs - JJ '!$A$1:$X$93</definedName>
    <definedName name="Z_12C66D54_5067_4346_818B_6EAB1C8A9183_.wvu.PrintArea" localSheetId="36" hidden="1">'B. Summ of Reqs - PSOB '!$A$1:$X$55</definedName>
    <definedName name="Z_12C66D54_5067_4346_818B_6EAB1C8A9183_.wvu.PrintArea" localSheetId="9" hidden="1">'B. Summ of Reqs - RES '!$A$1:$X$79</definedName>
    <definedName name="Z_12C66D54_5067_4346_818B_6EAB1C8A9183_.wvu.PrintArea" localSheetId="0" hidden="1">'B. Summ of Reqs - S&amp;E-M&amp;A '!$A$1:$X$72</definedName>
    <definedName name="Z_12C66D54_5067_4346_818B_6EAB1C8A9183_.wvu.PrintArea" localSheetId="17" hidden="1">'B. Summ of Reqs -SLLEA '!$A$1:$X$166</definedName>
    <definedName name="Z_12C66D54_5067_4346_818B_6EAB1C8A9183_.wvu.PrintArea" localSheetId="10" hidden="1">'C. Increases Offsets  - RES '!$A$1:$G$16</definedName>
    <definedName name="Z_12C66D54_5067_4346_818B_6EAB1C8A9183_.wvu.PrintArea" localSheetId="44" hidden="1">'C. Increases Offsets - CVF'!$A$1:$G$17</definedName>
    <definedName name="Z_12C66D54_5067_4346_818B_6EAB1C8A9183_.wvu.PrintArea" localSheetId="29" hidden="1">'C. Increases Offsets - JJ'!$A$1:$G$27</definedName>
    <definedName name="Z_12C66D54_5067_4346_818B_6EAB1C8A9183_.wvu.PrintArea" localSheetId="37" hidden="1">'C. Increases Offsets - PSOB '!$A$1:$S$16</definedName>
    <definedName name="Z_12C66D54_5067_4346_818B_6EAB1C8A9183_.wvu.PrintArea" localSheetId="18" hidden="1">'C. Increases Offsets - SLLEA'!$A$1:$G$44</definedName>
    <definedName name="Z_12C66D54_5067_4346_818B_6EAB1C8A9183_.wvu.PrintArea" localSheetId="30" hidden="1">'D. Strat Goals &amp; Objs - JJ'!$A$1:$P$40</definedName>
    <definedName name="Z_12C66D54_5067_4346_818B_6EAB1C8A9183_.wvu.PrintArea" localSheetId="1" hidden="1">'D. Strat Goals &amp; Objs - S&amp;E-M&amp;A'!$A$1:$P$37</definedName>
    <definedName name="Z_12C66D54_5067_4346_818B_6EAB1C8A9183_.wvu.PrintArea" localSheetId="11" hidden="1">'D. Strat Goals &amp; Obs  - RES '!$A$1:$P$39</definedName>
    <definedName name="Z_12C66D54_5067_4346_818B_6EAB1C8A9183_.wvu.PrintArea" localSheetId="45" hidden="1">'D. Strat Goals &amp; Obs - CVF'!$A$1:$P$36</definedName>
    <definedName name="Z_12C66D54_5067_4346_818B_6EAB1C8A9183_.wvu.PrintArea" localSheetId="38" hidden="1">'D. Strat Goals &amp; Obs - PSOB '!$A$1:$P$36</definedName>
    <definedName name="Z_12C66D54_5067_4346_818B_6EAB1C8A9183_.wvu.PrintArea" localSheetId="19" hidden="1">'D. Strat Goals &amp; Obs - SLLEA'!$A$1:$P$40</definedName>
    <definedName name="Z_12C66D54_5067_4346_818B_6EAB1C8A9183_.wvu.PrintArea" localSheetId="2" hidden="1">'E. ATB Justification - S&amp;E-M&amp;A'!$A$1:$I$46</definedName>
    <definedName name="Z_12C66D54_5067_4346_818B_6EAB1C8A9183_.wvu.PrintArea" localSheetId="12" hidden="1">'F. 2011 Crosswalk  - RES '!$A$1:$O$42</definedName>
    <definedName name="Z_12C66D54_5067_4346_818B_6EAB1C8A9183_.wvu.PrintArea" localSheetId="46" hidden="1">'F. 2011 Crosswalk - CVF'!$A$1:$O$22</definedName>
    <definedName name="Z_12C66D54_5067_4346_818B_6EAB1C8A9183_.wvu.PrintArea" localSheetId="31" hidden="1">'F. 2011 Crosswalk - JJ'!$A$1:$O$50</definedName>
    <definedName name="Z_12C66D54_5067_4346_818B_6EAB1C8A9183_.wvu.PrintArea" localSheetId="39" hidden="1">'F. 2011 Crosswalk - PSOB '!$A$1:$O$28</definedName>
    <definedName name="Z_12C66D54_5067_4346_818B_6EAB1C8A9183_.wvu.PrintArea" localSheetId="3" hidden="1">'F. 2011 Crosswalk - S&amp;E-M&amp;A'!$A$1:$O$23</definedName>
    <definedName name="Z_12C66D54_5067_4346_818B_6EAB1C8A9183_.wvu.PrintArea" localSheetId="20" hidden="1">'F. 2011 Crosswalk - SLLEA'!$A$1:$O$95</definedName>
    <definedName name="Z_12C66D54_5067_4346_818B_6EAB1C8A9183_.wvu.PrintArea" localSheetId="25" hidden="1">'F. 2011 Crosswalk - W&amp;S'!$A$1:$O$26</definedName>
    <definedName name="Z_12C66D54_5067_4346_818B_6EAB1C8A9183_.wvu.PrintArea" localSheetId="13" hidden="1">'G. 2012 Crosswalk  - RES '!$A$1:$R$33</definedName>
    <definedName name="Z_12C66D54_5067_4346_818B_6EAB1C8A9183_.wvu.PrintArea" localSheetId="47" hidden="1">'G. 2012 Crosswalk - CVF'!$A$1:$R$20</definedName>
    <definedName name="Z_12C66D54_5067_4346_818B_6EAB1C8A9183_.wvu.PrintArea" localSheetId="32" hidden="1">'G. 2012 Crosswalk - JJ'!$A$1:$R$38</definedName>
    <definedName name="Z_12C66D54_5067_4346_818B_6EAB1C8A9183_.wvu.PrintArea" localSheetId="40" hidden="1">'G. 2012 Crosswalk - PSOB '!$A$1:$R$23</definedName>
    <definedName name="Z_12C66D54_5067_4346_818B_6EAB1C8A9183_.wvu.PrintArea" localSheetId="4" hidden="1">'G. 2012 Crosswalk - S&amp;E-M&amp;A'!$A$1:$R$20</definedName>
    <definedName name="Z_12C66D54_5067_4346_818B_6EAB1C8A9183_.wvu.PrintArea" localSheetId="21" hidden="1">'G. 2012 Crosswalk - SLLEA'!$A$1:$R$94</definedName>
    <definedName name="Z_12C66D54_5067_4346_818B_6EAB1C8A9183_.wvu.PrintArea" localSheetId="26" hidden="1">'G. 2012 Crosswalk - W&amp;S'!$A$1:$R$22</definedName>
    <definedName name="Z_12C66D54_5067_4346_818B_6EAB1C8A9183_.wvu.PrintArea" localSheetId="14" hidden="1">'H. Reimb Resources  - RES '!$A$1:$N$14</definedName>
    <definedName name="Z_12C66D54_5067_4346_818B_6EAB1C8A9183_.wvu.PrintArea" localSheetId="33" hidden="1">'H. Reimb Resources - JJ'!$A$1:$N$15</definedName>
    <definedName name="Z_12C66D54_5067_4346_818B_6EAB1C8A9183_.wvu.PrintArea" localSheetId="5" hidden="1">'H. Reimb Resources - S&amp;E-M&amp;A'!$A$1:$N$20</definedName>
    <definedName name="Z_12C66D54_5067_4346_818B_6EAB1C8A9183_.wvu.PrintArea" localSheetId="22" hidden="1">'H. Reimb Resources - SLLEA'!$A$1:$N$21</definedName>
    <definedName name="Z_12C66D54_5067_4346_818B_6EAB1C8A9183_.wvu.PrintArea" localSheetId="6" hidden="1">'I. Perm Positions - S&amp;E-M&amp;A'!$A$1:$K$32</definedName>
    <definedName name="Z_12C66D54_5067_4346_818B_6EAB1C8A9183_.wvu.PrintArea" localSheetId="15" hidden="1">'J. Finan Analysis  - RES '!$A$1:$I$17</definedName>
    <definedName name="Z_12C66D54_5067_4346_818B_6EAB1C8A9183_.wvu.PrintArea" localSheetId="48" hidden="1">'J. Finan Analysis - CVF'!$A$1:$G$17</definedName>
    <definedName name="Z_12C66D54_5067_4346_818B_6EAB1C8A9183_.wvu.PrintArea" localSheetId="34" hidden="1">'J. Finan Analysis - JJ'!$A$1:$S$17</definedName>
    <definedName name="Z_12C66D54_5067_4346_818B_6EAB1C8A9183_.wvu.PrintArea" localSheetId="41" hidden="1">'J. Finan Analysis - PSOB '!$A$1:$Y$12</definedName>
    <definedName name="Z_12C66D54_5067_4346_818B_6EAB1C8A9183_.wvu.PrintArea" localSheetId="23" hidden="1">'J. Finan Analysis - SLLEA'!$A$1:$O$19</definedName>
    <definedName name="Z_12C66D54_5067_4346_818B_6EAB1C8A9183_.wvu.PrintArea" localSheetId="7" hidden="1">'K. Summ by Grade - S&amp;E-M&amp;A'!$A$1:$I$31</definedName>
    <definedName name="Z_12C66D54_5067_4346_818B_6EAB1C8A9183_.wvu.PrintArea" localSheetId="16" hidden="1">'L. Summ by Ob Class  - RES '!$A$1:$I$43</definedName>
    <definedName name="Z_12C66D54_5067_4346_818B_6EAB1C8A9183_.wvu.PrintArea" localSheetId="8" hidden="1">'L. Summ by Ob Class  - S&amp;E-M&amp;A '!$A$1:$I$43</definedName>
    <definedName name="Z_12C66D54_5067_4346_818B_6EAB1C8A9183_.wvu.PrintArea" localSheetId="35" hidden="1">'L. Summ by Ob Class - JJ'!$A$1:$I$47</definedName>
    <definedName name="Z_12C66D54_5067_4346_818B_6EAB1C8A9183_.wvu.PrintArea" localSheetId="42" hidden="1">'L. Summ by Ob Class - PSOB '!$A$1:$I$44</definedName>
    <definedName name="Z_12C66D54_5067_4346_818B_6EAB1C8A9183_.wvu.PrintArea" localSheetId="49" hidden="1">'L. Summ by Object Class - CVF'!$A$1:$I$50</definedName>
    <definedName name="Z_12C66D54_5067_4346_818B_6EAB1C8A9183_.wvu.PrintArea" localSheetId="24" hidden="1">'L. Summ by Object Class - SLLEA'!$A$1:$I$47</definedName>
    <definedName name="Z_12C66D54_5067_4346_818B_6EAB1C8A9183_.wvu.PrintArea" localSheetId="27" hidden="1">'L. Summ by Object Class - W&amp;S'!$A$1:$I$44</definedName>
    <definedName name="Z_12C66D54_5067_4346_818B_6EAB1C8A9183_.wvu.PrintArea" localSheetId="50" hidden="1">'M. Studies'!$A$1:$J$18</definedName>
    <definedName name="Z_12C66D54_5067_4346_818B_6EAB1C8A9183_.wvu.Rows" localSheetId="30" hidden="1">'D. Strat Goals &amp; Objs - JJ'!$11:$11</definedName>
    <definedName name="Z_12C66D54_5067_4346_818B_6EAB1C8A9183_.wvu.Rows" localSheetId="1" hidden="1">'D. Strat Goals &amp; Objs - S&amp;E-M&amp;A'!$11:$11</definedName>
    <definedName name="Z_12C66D54_5067_4346_818B_6EAB1C8A9183_.wvu.Rows" localSheetId="11" hidden="1">'D. Strat Goals &amp; Obs  - RES '!$11:$11</definedName>
    <definedName name="Z_12C66D54_5067_4346_818B_6EAB1C8A9183_.wvu.Rows" localSheetId="45" hidden="1">'D. Strat Goals &amp; Obs - CVF'!$11:$11</definedName>
    <definedName name="Z_12C66D54_5067_4346_818B_6EAB1C8A9183_.wvu.Rows" localSheetId="38" hidden="1">'D. Strat Goals &amp; Obs - PSOB '!$11:$11</definedName>
    <definedName name="Z_12C66D54_5067_4346_818B_6EAB1C8A9183_.wvu.Rows" localSheetId="19" hidden="1">'D. Strat Goals &amp; Obs - SLLEA'!$11:$11</definedName>
    <definedName name="Z_27B9C207_C13F_4981_9CED_E69585BBD779_.wvu.Cols" localSheetId="37" hidden="1">'C. Increases Offsets - PSOB '!$G:$R</definedName>
    <definedName name="Z_27B9C207_C13F_4981_9CED_E69585BBD779_.wvu.Cols" localSheetId="13" hidden="1">'G. 2012 Crosswalk  - RES '!$H:$J</definedName>
    <definedName name="Z_27B9C207_C13F_4981_9CED_E69585BBD779_.wvu.Cols" localSheetId="47" hidden="1">'G. 2012 Crosswalk - CVF'!$H:$J</definedName>
    <definedName name="Z_27B9C207_C13F_4981_9CED_E69585BBD779_.wvu.Cols" localSheetId="32" hidden="1">'G. 2012 Crosswalk - JJ'!$H:$J</definedName>
    <definedName name="Z_27B9C207_C13F_4981_9CED_E69585BBD779_.wvu.Cols" localSheetId="40" hidden="1">'G. 2012 Crosswalk - PSOB '!$H:$J</definedName>
    <definedName name="Z_27B9C207_C13F_4981_9CED_E69585BBD779_.wvu.Cols" localSheetId="4" hidden="1">'G. 2012 Crosswalk - S&amp;E-M&amp;A'!$H:$J</definedName>
    <definedName name="Z_27B9C207_C13F_4981_9CED_E69585BBD779_.wvu.Cols" localSheetId="21" hidden="1">'G. 2012 Crosswalk - SLLEA'!$H:$J</definedName>
    <definedName name="Z_27B9C207_C13F_4981_9CED_E69585BBD779_.wvu.Cols" localSheetId="26" hidden="1">'G. 2012 Crosswalk - W&amp;S'!$H:$J</definedName>
    <definedName name="Z_27B9C207_C13F_4981_9CED_E69585BBD779_.wvu.Cols" localSheetId="41" hidden="1">'J. Finan Analysis - PSOB '!$F:$Y</definedName>
    <definedName name="Z_27B9C207_C13F_4981_9CED_E69585BBD779_.wvu.PrintArea" localSheetId="43" hidden="1">'B. Summ of Reqs - CVF '!$A$1:$X$81</definedName>
    <definedName name="Z_27B9C207_C13F_4981_9CED_E69585BBD779_.wvu.PrintArea" localSheetId="28" hidden="1">'B. Summ of Reqs - JJ '!$A$1:$X$97</definedName>
    <definedName name="Z_27B9C207_C13F_4981_9CED_E69585BBD779_.wvu.PrintArea" localSheetId="36" hidden="1">'B. Summ of Reqs - PSOB '!$A$1:$X$55</definedName>
    <definedName name="Z_27B9C207_C13F_4981_9CED_E69585BBD779_.wvu.PrintArea" localSheetId="9" hidden="1">'B. Summ of Reqs - RES '!$A$1:$X$82</definedName>
    <definedName name="Z_27B9C207_C13F_4981_9CED_E69585BBD779_.wvu.PrintArea" localSheetId="0" hidden="1">'B. Summ of Reqs - S&amp;E-M&amp;A '!$A$1:$X$75</definedName>
    <definedName name="Z_27B9C207_C13F_4981_9CED_E69585BBD779_.wvu.PrintArea" localSheetId="17" hidden="1">'B. Summ of Reqs -SLLEA '!$A$1:$X$169</definedName>
    <definedName name="Z_27B9C207_C13F_4981_9CED_E69585BBD779_.wvu.PrintArea" localSheetId="10" hidden="1">'C. Increases Offsets  - RES '!$A$1:$G$16</definedName>
    <definedName name="Z_27B9C207_C13F_4981_9CED_E69585BBD779_.wvu.PrintArea" localSheetId="44" hidden="1">'C. Increases Offsets - CVF'!$A$1:$G$17</definedName>
    <definedName name="Z_27B9C207_C13F_4981_9CED_E69585BBD779_.wvu.PrintArea" localSheetId="29" hidden="1">'C. Increases Offsets - JJ'!$A$1:$G$29</definedName>
    <definedName name="Z_27B9C207_C13F_4981_9CED_E69585BBD779_.wvu.PrintArea" localSheetId="37" hidden="1">'C. Increases Offsets - PSOB '!$A$1:$S$16</definedName>
    <definedName name="Z_27B9C207_C13F_4981_9CED_E69585BBD779_.wvu.PrintArea" localSheetId="18" hidden="1">'C. Increases Offsets - SLLEA'!$A$1:$G$58</definedName>
    <definedName name="Z_27B9C207_C13F_4981_9CED_E69585BBD779_.wvu.PrintArea" localSheetId="30" hidden="1">'D. Strat Goals &amp; Objs - JJ'!$A$1:$P$40</definedName>
    <definedName name="Z_27B9C207_C13F_4981_9CED_E69585BBD779_.wvu.PrintArea" localSheetId="1" hidden="1">'D. Strat Goals &amp; Objs - S&amp;E-M&amp;A'!$A$1:$P$40</definedName>
    <definedName name="Z_27B9C207_C13F_4981_9CED_E69585BBD779_.wvu.PrintArea" localSheetId="11" hidden="1">'D. Strat Goals &amp; Obs  - RES '!$A$1:$P$41</definedName>
    <definedName name="Z_27B9C207_C13F_4981_9CED_E69585BBD779_.wvu.PrintArea" localSheetId="45" hidden="1">'D. Strat Goals &amp; Obs - CVF'!$A$1:$P$42</definedName>
    <definedName name="Z_27B9C207_C13F_4981_9CED_E69585BBD779_.wvu.PrintArea" localSheetId="38" hidden="1">'D. Strat Goals &amp; Obs - PSOB '!$A$1:$P$36</definedName>
    <definedName name="Z_27B9C207_C13F_4981_9CED_E69585BBD779_.wvu.PrintArea" localSheetId="19" hidden="1">'D. Strat Goals &amp; Obs - SLLEA'!$A$1:$P$49</definedName>
    <definedName name="Z_27B9C207_C13F_4981_9CED_E69585BBD779_.wvu.PrintArea" localSheetId="2" hidden="1">'E. ATB Justification - S&amp;E-M&amp;A'!$A$1:$I$46</definedName>
    <definedName name="Z_27B9C207_C13F_4981_9CED_E69585BBD779_.wvu.PrintArea" localSheetId="12" hidden="1">'F. 2011 Crosswalk  - RES '!$A$1:$O$37</definedName>
    <definedName name="Z_27B9C207_C13F_4981_9CED_E69585BBD779_.wvu.PrintArea" localSheetId="46" hidden="1">'F. 2011 Crosswalk - CVF'!$A$1:$O$22</definedName>
    <definedName name="Z_27B9C207_C13F_4981_9CED_E69585BBD779_.wvu.PrintArea" localSheetId="31" hidden="1">'F. 2011 Crosswalk - JJ'!$A$1:$O$46</definedName>
    <definedName name="Z_27B9C207_C13F_4981_9CED_E69585BBD779_.wvu.PrintArea" localSheetId="39" hidden="1">'F. 2011 Crosswalk - PSOB '!$A$1:$O$24</definedName>
    <definedName name="Z_27B9C207_C13F_4981_9CED_E69585BBD779_.wvu.PrintArea" localSheetId="3" hidden="1">'F. 2011 Crosswalk - S&amp;E-M&amp;A'!$A$1:$O$23</definedName>
    <definedName name="Z_27B9C207_C13F_4981_9CED_E69585BBD779_.wvu.PrintArea" localSheetId="20" hidden="1">'F. 2011 Crosswalk - SLLEA'!$A$1:$O$93</definedName>
    <definedName name="Z_27B9C207_C13F_4981_9CED_E69585BBD779_.wvu.PrintArea" localSheetId="25" hidden="1">'F. 2011 Crosswalk - W&amp;S'!$A$1:$O$23</definedName>
    <definedName name="Z_27B9C207_C13F_4981_9CED_E69585BBD779_.wvu.PrintArea" localSheetId="13" hidden="1">'G. 2012 Crosswalk  - RES '!$A$1:$R$33</definedName>
    <definedName name="Z_27B9C207_C13F_4981_9CED_E69585BBD779_.wvu.PrintArea" localSheetId="47" hidden="1">'G. 2012 Crosswalk - CVF'!$A$1:$R$20</definedName>
    <definedName name="Z_27B9C207_C13F_4981_9CED_E69585BBD779_.wvu.PrintArea" localSheetId="32" hidden="1">'G. 2012 Crosswalk - JJ'!$A$1:$R$37</definedName>
    <definedName name="Z_27B9C207_C13F_4981_9CED_E69585BBD779_.wvu.PrintArea" localSheetId="40" hidden="1">'G. 2012 Crosswalk - PSOB '!$A$1:$R$23</definedName>
    <definedName name="Z_27B9C207_C13F_4981_9CED_E69585BBD779_.wvu.PrintArea" localSheetId="4" hidden="1">'G. 2012 Crosswalk - S&amp;E-M&amp;A'!$A$1:$R$20</definedName>
    <definedName name="Z_27B9C207_C13F_4981_9CED_E69585BBD779_.wvu.PrintArea" localSheetId="21" hidden="1">'G. 2012 Crosswalk - SLLEA'!$A$1:$R$95</definedName>
    <definedName name="Z_27B9C207_C13F_4981_9CED_E69585BBD779_.wvu.PrintArea" localSheetId="26" hidden="1">'G. 2012 Crosswalk - W&amp;S'!$A$1:$R$22</definedName>
    <definedName name="Z_27B9C207_C13F_4981_9CED_E69585BBD779_.wvu.PrintArea" localSheetId="14" hidden="1">'H. Reimb Resources  - RES '!$A$1:$N$15</definedName>
    <definedName name="Z_27B9C207_C13F_4981_9CED_E69585BBD779_.wvu.PrintArea" localSheetId="33" hidden="1">'H. Reimb Resources - JJ'!$A$1:$N$15</definedName>
    <definedName name="Z_27B9C207_C13F_4981_9CED_E69585BBD779_.wvu.PrintArea" localSheetId="5" hidden="1">'H. Reimb Resources - S&amp;E-M&amp;A'!$A$1:$N$20</definedName>
    <definedName name="Z_27B9C207_C13F_4981_9CED_E69585BBD779_.wvu.PrintArea" localSheetId="22" hidden="1">'H. Reimb Resources - SLLEA'!$A$1:$N$18</definedName>
    <definedName name="Z_27B9C207_C13F_4981_9CED_E69585BBD779_.wvu.PrintArea" localSheetId="6" hidden="1">'I. Perm Positions - S&amp;E-M&amp;A'!$A$1:$K$32</definedName>
    <definedName name="Z_27B9C207_C13F_4981_9CED_E69585BBD779_.wvu.PrintArea" localSheetId="15" hidden="1">'J. Finan Analysis  - RES '!$A$1:$I$19</definedName>
    <definedName name="Z_27B9C207_C13F_4981_9CED_E69585BBD779_.wvu.PrintArea" localSheetId="48" hidden="1">'J. Finan Analysis - CVF'!$A$1:$G$17</definedName>
    <definedName name="Z_27B9C207_C13F_4981_9CED_E69585BBD779_.wvu.PrintArea" localSheetId="34" hidden="1">'J. Finan Analysis - JJ'!$A$1:$S$17</definedName>
    <definedName name="Z_27B9C207_C13F_4981_9CED_E69585BBD779_.wvu.PrintArea" localSheetId="41" hidden="1">'J. Finan Analysis - PSOB '!$A$1:$Y$12</definedName>
    <definedName name="Z_27B9C207_C13F_4981_9CED_E69585BBD779_.wvu.PrintArea" localSheetId="23" hidden="1">'J. Finan Analysis - SLLEA'!$A$1:$O$61</definedName>
    <definedName name="Z_27B9C207_C13F_4981_9CED_E69585BBD779_.wvu.PrintArea" localSheetId="7" hidden="1">'K. Summ by Grade - S&amp;E-M&amp;A'!$A$1:$I$29</definedName>
    <definedName name="Z_27B9C207_C13F_4981_9CED_E69585BBD779_.wvu.PrintArea" localSheetId="16" hidden="1">'L. Summ by Ob Class  - RES '!$A$1:$I$43</definedName>
    <definedName name="Z_27B9C207_C13F_4981_9CED_E69585BBD779_.wvu.PrintArea" localSheetId="8" hidden="1">'L. Summ by Ob Class  - S&amp;E-M&amp;A '!$A$1:$I$43</definedName>
    <definedName name="Z_27B9C207_C13F_4981_9CED_E69585BBD779_.wvu.PrintArea" localSheetId="35" hidden="1">'L. Summ by Ob Class - JJ'!$A$1:$I$47</definedName>
    <definedName name="Z_27B9C207_C13F_4981_9CED_E69585BBD779_.wvu.PrintArea" localSheetId="42" hidden="1">'L. Summ by Ob Class - PSOB '!$A$1:$I$44</definedName>
    <definedName name="Z_27B9C207_C13F_4981_9CED_E69585BBD779_.wvu.PrintArea" localSheetId="49" hidden="1">'L. Summ by Object Class - CVF'!$A$1:$I$50</definedName>
    <definedName name="Z_27B9C207_C13F_4981_9CED_E69585BBD779_.wvu.PrintArea" localSheetId="24" hidden="1">'L. Summ by Object Class - SLLEA'!$A$1:$I$48</definedName>
    <definedName name="Z_27B9C207_C13F_4981_9CED_E69585BBD779_.wvu.PrintArea" localSheetId="27" hidden="1">'L. Summ by Object Class - W&amp;S'!$A$1:$I$43</definedName>
    <definedName name="Z_27B9C207_C13F_4981_9CED_E69585BBD779_.wvu.PrintArea" localSheetId="50" hidden="1">'M. Studies'!$A$1:$J$41</definedName>
    <definedName name="Z_27B9C207_C13F_4981_9CED_E69585BBD779_.wvu.PrintArea" localSheetId="51" hidden="1">'N. Summary of Program Changes'!$A$1:$F$179</definedName>
    <definedName name="Z_27B9C207_C13F_4981_9CED_E69585BBD779_.wvu.PrintTitles" localSheetId="17" hidden="1">'B. Summ of Reqs -SLLEA '!$1:$7</definedName>
    <definedName name="Z_27B9C207_C13F_4981_9CED_E69585BBD779_.wvu.PrintTitles" localSheetId="18" hidden="1">'C. Increases Offsets - SLLEA'!$1:$7</definedName>
    <definedName name="Z_27B9C207_C13F_4981_9CED_E69585BBD779_.wvu.PrintTitles" localSheetId="2" hidden="1">'E. ATB Justification - S&amp;E-M&amp;A'!$1:$5</definedName>
    <definedName name="Z_27B9C207_C13F_4981_9CED_E69585BBD779_.wvu.PrintTitles" localSheetId="20" hidden="1">'F. 2011 Crosswalk - SLLEA'!$1:$10</definedName>
    <definedName name="Z_27B9C207_C13F_4981_9CED_E69585BBD779_.wvu.PrintTitles" localSheetId="21" hidden="1">'G. 2012 Crosswalk - SLLEA'!$1:$10</definedName>
    <definedName name="Z_27B9C207_C13F_4981_9CED_E69585BBD779_.wvu.PrintTitles" localSheetId="23" hidden="1">'J. Finan Analysis - SLLEA'!$1:$6</definedName>
    <definedName name="Z_27B9C207_C13F_4981_9CED_E69585BBD779_.wvu.PrintTitles" localSheetId="51" hidden="1">'N. Summary of Program Changes'!$1:$1</definedName>
    <definedName name="Z_27B9C207_C13F_4981_9CED_E69585BBD779_.wvu.Rows" localSheetId="30" hidden="1">'D. Strat Goals &amp; Objs - JJ'!$11:$11</definedName>
    <definedName name="Z_27B9C207_C13F_4981_9CED_E69585BBD779_.wvu.Rows" localSheetId="1" hidden="1">'D. Strat Goals &amp; Objs - S&amp;E-M&amp;A'!$11:$11</definedName>
    <definedName name="Z_27B9C207_C13F_4981_9CED_E69585BBD779_.wvu.Rows" localSheetId="11" hidden="1">'D. Strat Goals &amp; Obs  - RES '!$11:$11</definedName>
    <definedName name="Z_27B9C207_C13F_4981_9CED_E69585BBD779_.wvu.Rows" localSheetId="45" hidden="1">'D. Strat Goals &amp; Obs - CVF'!$11:$11</definedName>
    <definedName name="Z_27B9C207_C13F_4981_9CED_E69585BBD779_.wvu.Rows" localSheetId="38" hidden="1">'D. Strat Goals &amp; Obs - PSOB '!$11:$11</definedName>
    <definedName name="Z_27B9C207_C13F_4981_9CED_E69585BBD779_.wvu.Rows" localSheetId="19" hidden="1">'D. Strat Goals &amp; Obs - SLLEA'!$11:$11</definedName>
    <definedName name="Z_27B9C207_C13F_4981_9CED_E69585BBD779_.wvu.Rows" localSheetId="2" hidden="1">'E. ATB Justification - S&amp;E-M&amp;A'!$10:$13</definedName>
    <definedName name="Z_27B9C207_C13F_4981_9CED_E69585BBD779_.wvu.Rows" localSheetId="39" hidden="1">'F. 2011 Crosswalk - PSOB '!$15:$20</definedName>
    <definedName name="Z_3118AF25_8423_420A_806A_487665220C68_.wvu.Cols" localSheetId="13" hidden="1">'G. 2012 Crosswalk  - RES '!$H:$J</definedName>
    <definedName name="Z_3118AF25_8423_420A_806A_487665220C68_.wvu.Cols" localSheetId="47" hidden="1">'G. 2012 Crosswalk - CVF'!$H:$J</definedName>
    <definedName name="Z_3118AF25_8423_420A_806A_487665220C68_.wvu.Cols" localSheetId="32" hidden="1">'G. 2012 Crosswalk - JJ'!$H:$J</definedName>
    <definedName name="Z_3118AF25_8423_420A_806A_487665220C68_.wvu.Cols" localSheetId="40" hidden="1">'G. 2012 Crosswalk - PSOB '!$H:$J</definedName>
    <definedName name="Z_3118AF25_8423_420A_806A_487665220C68_.wvu.Cols" localSheetId="4" hidden="1">'G. 2012 Crosswalk - S&amp;E-M&amp;A'!$H:$J</definedName>
    <definedName name="Z_3118AF25_8423_420A_806A_487665220C68_.wvu.Cols" localSheetId="21" hidden="1">'G. 2012 Crosswalk - SLLEA'!$H:$J</definedName>
    <definedName name="Z_3118AF25_8423_420A_806A_487665220C68_.wvu.Cols" localSheetId="26" hidden="1">'G. 2012 Crosswalk - W&amp;S'!$H:$J</definedName>
    <definedName name="Z_3118AF25_8423_420A_806A_487665220C68_.wvu.Cols" localSheetId="16" hidden="1">'L. Summ by Ob Class  - RES '!#REF!</definedName>
    <definedName name="Z_3118AF25_8423_420A_806A_487665220C68_.wvu.Cols" localSheetId="8" hidden="1">'L. Summ by Ob Class  - S&amp;E-M&amp;A '!#REF!</definedName>
    <definedName name="Z_3118AF25_8423_420A_806A_487665220C68_.wvu.Cols" localSheetId="35" hidden="1">'L. Summ by Ob Class - JJ'!#REF!</definedName>
    <definedName name="Z_3118AF25_8423_420A_806A_487665220C68_.wvu.Cols" localSheetId="42" hidden="1">'L. Summ by Ob Class - PSOB '!#REF!</definedName>
    <definedName name="Z_3118AF25_8423_420A_806A_487665220C68_.wvu.Cols" localSheetId="49" hidden="1">'L. Summ by Object Class - CVF'!#REF!</definedName>
    <definedName name="Z_3118AF25_8423_420A_806A_487665220C68_.wvu.Cols" localSheetId="24" hidden="1">'L. Summ by Object Class - SLLEA'!#REF!</definedName>
    <definedName name="Z_3118AF25_8423_420A_806A_487665220C68_.wvu.Cols" localSheetId="27" hidden="1">'L. Summ by Object Class - W&amp;S'!#REF!</definedName>
    <definedName name="Z_3118AF25_8423_420A_806A_487665220C68_.wvu.PrintArea" localSheetId="43" hidden="1">'B. Summ of Reqs - CVF '!$A$1:$X$78</definedName>
    <definedName name="Z_3118AF25_8423_420A_806A_487665220C68_.wvu.PrintArea" localSheetId="28" hidden="1">'B. Summ of Reqs - JJ '!$A$1:$X$93</definedName>
    <definedName name="Z_3118AF25_8423_420A_806A_487665220C68_.wvu.PrintArea" localSheetId="36" hidden="1">'B. Summ of Reqs - PSOB '!$A$1:$X$55</definedName>
    <definedName name="Z_3118AF25_8423_420A_806A_487665220C68_.wvu.PrintArea" localSheetId="9" hidden="1">'B. Summ of Reqs - RES '!$A$1:$X$79</definedName>
    <definedName name="Z_3118AF25_8423_420A_806A_487665220C68_.wvu.PrintArea" localSheetId="0" hidden="1">'B. Summ of Reqs - S&amp;E-M&amp;A '!$A$1:$X$72</definedName>
    <definedName name="Z_3118AF25_8423_420A_806A_487665220C68_.wvu.PrintArea" localSheetId="17" hidden="1">'B. Summ of Reqs -SLLEA '!$A$1:$X$166</definedName>
    <definedName name="Z_3118AF25_8423_420A_806A_487665220C68_.wvu.PrintArea" localSheetId="10" hidden="1">'C. Increases Offsets  - RES '!$A$1:$G$16</definedName>
    <definedName name="Z_3118AF25_8423_420A_806A_487665220C68_.wvu.PrintArea" localSheetId="44" hidden="1">'C. Increases Offsets - CVF'!$A$1:$G$17</definedName>
    <definedName name="Z_3118AF25_8423_420A_806A_487665220C68_.wvu.PrintArea" localSheetId="29" hidden="1">'C. Increases Offsets - JJ'!$A$1:$G$27</definedName>
    <definedName name="Z_3118AF25_8423_420A_806A_487665220C68_.wvu.PrintArea" localSheetId="37" hidden="1">'C. Increases Offsets - PSOB '!$A$1:$S$16</definedName>
    <definedName name="Z_3118AF25_8423_420A_806A_487665220C68_.wvu.PrintArea" localSheetId="18" hidden="1">'C. Increases Offsets - SLLEA'!$A$1:$G$44</definedName>
    <definedName name="Z_3118AF25_8423_420A_806A_487665220C68_.wvu.PrintArea" localSheetId="30" hidden="1">'D. Strat Goals &amp; Objs - JJ'!$A$1:$P$40</definedName>
    <definedName name="Z_3118AF25_8423_420A_806A_487665220C68_.wvu.PrintArea" localSheetId="1" hidden="1">'D. Strat Goals &amp; Objs - S&amp;E-M&amp;A'!$A$1:$P$37</definedName>
    <definedName name="Z_3118AF25_8423_420A_806A_487665220C68_.wvu.PrintArea" localSheetId="11" hidden="1">'D. Strat Goals &amp; Obs  - RES '!$A$1:$P$39</definedName>
    <definedName name="Z_3118AF25_8423_420A_806A_487665220C68_.wvu.PrintArea" localSheetId="45" hidden="1">'D. Strat Goals &amp; Obs - CVF'!$A$1:$P$36</definedName>
    <definedName name="Z_3118AF25_8423_420A_806A_487665220C68_.wvu.PrintArea" localSheetId="38" hidden="1">'D. Strat Goals &amp; Obs - PSOB '!$A$1:$P$36</definedName>
    <definedName name="Z_3118AF25_8423_420A_806A_487665220C68_.wvu.PrintArea" localSheetId="19" hidden="1">'D. Strat Goals &amp; Obs - SLLEA'!$A$1:$P$40</definedName>
    <definedName name="Z_3118AF25_8423_420A_806A_487665220C68_.wvu.PrintArea" localSheetId="2" hidden="1">'E. ATB Justification - S&amp;E-M&amp;A'!$A$1:$I$46</definedName>
    <definedName name="Z_3118AF25_8423_420A_806A_487665220C68_.wvu.PrintArea" localSheetId="12" hidden="1">'F. 2011 Crosswalk  - RES '!$A$1:$O$42</definedName>
    <definedName name="Z_3118AF25_8423_420A_806A_487665220C68_.wvu.PrintArea" localSheetId="46" hidden="1">'F. 2011 Crosswalk - CVF'!$A$1:$O$22</definedName>
    <definedName name="Z_3118AF25_8423_420A_806A_487665220C68_.wvu.PrintArea" localSheetId="31" hidden="1">'F. 2011 Crosswalk - JJ'!$A$1:$O$50</definedName>
    <definedName name="Z_3118AF25_8423_420A_806A_487665220C68_.wvu.PrintArea" localSheetId="39" hidden="1">'F. 2011 Crosswalk - PSOB '!$A$1:$O$28</definedName>
    <definedName name="Z_3118AF25_8423_420A_806A_487665220C68_.wvu.PrintArea" localSheetId="3" hidden="1">'F. 2011 Crosswalk - S&amp;E-M&amp;A'!$A$1:$O$23</definedName>
    <definedName name="Z_3118AF25_8423_420A_806A_487665220C68_.wvu.PrintArea" localSheetId="20" hidden="1">'F. 2011 Crosswalk - SLLEA'!$A$1:$O$95</definedName>
    <definedName name="Z_3118AF25_8423_420A_806A_487665220C68_.wvu.PrintArea" localSheetId="25" hidden="1">'F. 2011 Crosswalk - W&amp;S'!$A$1:$O$26</definedName>
    <definedName name="Z_3118AF25_8423_420A_806A_487665220C68_.wvu.PrintArea" localSheetId="13" hidden="1">'G. 2012 Crosswalk  - RES '!$A$1:$R$33</definedName>
    <definedName name="Z_3118AF25_8423_420A_806A_487665220C68_.wvu.PrintArea" localSheetId="47" hidden="1">'G. 2012 Crosswalk - CVF'!$A$1:$R$20</definedName>
    <definedName name="Z_3118AF25_8423_420A_806A_487665220C68_.wvu.PrintArea" localSheetId="32" hidden="1">'G. 2012 Crosswalk - JJ'!$A$1:$R$38</definedName>
    <definedName name="Z_3118AF25_8423_420A_806A_487665220C68_.wvu.PrintArea" localSheetId="40" hidden="1">'G. 2012 Crosswalk - PSOB '!$A$1:$R$23</definedName>
    <definedName name="Z_3118AF25_8423_420A_806A_487665220C68_.wvu.PrintArea" localSheetId="4" hidden="1">'G. 2012 Crosswalk - S&amp;E-M&amp;A'!$A$1:$R$20</definedName>
    <definedName name="Z_3118AF25_8423_420A_806A_487665220C68_.wvu.PrintArea" localSheetId="21" hidden="1">'G. 2012 Crosswalk - SLLEA'!$A$1:$R$94</definedName>
    <definedName name="Z_3118AF25_8423_420A_806A_487665220C68_.wvu.PrintArea" localSheetId="26" hidden="1">'G. 2012 Crosswalk - W&amp;S'!$A$1:$R$22</definedName>
    <definedName name="Z_3118AF25_8423_420A_806A_487665220C68_.wvu.PrintArea" localSheetId="14" hidden="1">'H. Reimb Resources  - RES '!$A$1:$N$14</definedName>
    <definedName name="Z_3118AF25_8423_420A_806A_487665220C68_.wvu.PrintArea" localSheetId="33" hidden="1">'H. Reimb Resources - JJ'!$A$1:$N$15</definedName>
    <definedName name="Z_3118AF25_8423_420A_806A_487665220C68_.wvu.PrintArea" localSheetId="5" hidden="1">'H. Reimb Resources - S&amp;E-M&amp;A'!$A$1:$N$20</definedName>
    <definedName name="Z_3118AF25_8423_420A_806A_487665220C68_.wvu.PrintArea" localSheetId="22" hidden="1">'H. Reimb Resources - SLLEA'!$A$1:$N$21</definedName>
    <definedName name="Z_3118AF25_8423_420A_806A_487665220C68_.wvu.PrintArea" localSheetId="6" hidden="1">'I. Perm Positions - S&amp;E-M&amp;A'!$A$1:$K$32</definedName>
    <definedName name="Z_3118AF25_8423_420A_806A_487665220C68_.wvu.PrintArea" localSheetId="15" hidden="1">'J. Finan Analysis  - RES '!$A$1:$I$17</definedName>
    <definedName name="Z_3118AF25_8423_420A_806A_487665220C68_.wvu.PrintArea" localSheetId="48" hidden="1">'J. Finan Analysis - CVF'!$A$1:$G$17</definedName>
    <definedName name="Z_3118AF25_8423_420A_806A_487665220C68_.wvu.PrintArea" localSheetId="34" hidden="1">'J. Finan Analysis - JJ'!$A$1:$S$17</definedName>
    <definedName name="Z_3118AF25_8423_420A_806A_487665220C68_.wvu.PrintArea" localSheetId="41" hidden="1">'J. Finan Analysis - PSOB '!$A$1:$Y$12</definedName>
    <definedName name="Z_3118AF25_8423_420A_806A_487665220C68_.wvu.PrintArea" localSheetId="23" hidden="1">'J. Finan Analysis - SLLEA'!$A$1:$O$19</definedName>
    <definedName name="Z_3118AF25_8423_420A_806A_487665220C68_.wvu.PrintArea" localSheetId="7" hidden="1">'K. Summ by Grade - S&amp;E-M&amp;A'!$A$1:$I$31</definedName>
    <definedName name="Z_3118AF25_8423_420A_806A_487665220C68_.wvu.PrintArea" localSheetId="16" hidden="1">'L. Summ by Ob Class  - RES '!$A$1:$I$43</definedName>
    <definedName name="Z_3118AF25_8423_420A_806A_487665220C68_.wvu.PrintArea" localSheetId="8" hidden="1">'L. Summ by Ob Class  - S&amp;E-M&amp;A '!$A$1:$I$43</definedName>
    <definedName name="Z_3118AF25_8423_420A_806A_487665220C68_.wvu.PrintArea" localSheetId="35" hidden="1">'L. Summ by Ob Class - JJ'!$A$1:$I$47</definedName>
    <definedName name="Z_3118AF25_8423_420A_806A_487665220C68_.wvu.PrintArea" localSheetId="42" hidden="1">'L. Summ by Ob Class - PSOB '!$A$1:$I$44</definedName>
    <definedName name="Z_3118AF25_8423_420A_806A_487665220C68_.wvu.PrintArea" localSheetId="49" hidden="1">'L. Summ by Object Class - CVF'!$A$1:$I$50</definedName>
    <definedName name="Z_3118AF25_8423_420A_806A_487665220C68_.wvu.PrintArea" localSheetId="24" hidden="1">'L. Summ by Object Class - SLLEA'!$A$1:$I$47</definedName>
    <definedName name="Z_3118AF25_8423_420A_806A_487665220C68_.wvu.PrintArea" localSheetId="27" hidden="1">'L. Summ by Object Class - W&amp;S'!$A$1:$I$44</definedName>
    <definedName name="Z_3118AF25_8423_420A_806A_487665220C68_.wvu.PrintArea" localSheetId="50" hidden="1">'M. Studies'!$A$1:$J$18</definedName>
    <definedName name="Z_3118AF25_8423_420A_806A_487665220C68_.wvu.Rows" localSheetId="30" hidden="1">'D. Strat Goals &amp; Objs - JJ'!$11:$11</definedName>
    <definedName name="Z_3118AF25_8423_420A_806A_487665220C68_.wvu.Rows" localSheetId="1" hidden="1">'D. Strat Goals &amp; Objs - S&amp;E-M&amp;A'!$11:$11</definedName>
    <definedName name="Z_3118AF25_8423_420A_806A_487665220C68_.wvu.Rows" localSheetId="11" hidden="1">'D. Strat Goals &amp; Obs  - RES '!$11:$11</definedName>
    <definedName name="Z_3118AF25_8423_420A_806A_487665220C68_.wvu.Rows" localSheetId="45" hidden="1">'D. Strat Goals &amp; Obs - CVF'!$11:$11</definedName>
    <definedName name="Z_3118AF25_8423_420A_806A_487665220C68_.wvu.Rows" localSheetId="38" hidden="1">'D. Strat Goals &amp; Obs - PSOB '!$11:$11</definedName>
    <definedName name="Z_3118AF25_8423_420A_806A_487665220C68_.wvu.Rows" localSheetId="19" hidden="1">'D. Strat Goals &amp; Obs - SLLEA'!$11:$11</definedName>
    <definedName name="Z_4148B88B_8ED7_4FDE_9459_DEB244AD0552_.wvu.Cols" localSheetId="12" hidden="1">'F. 2011 Crosswalk  - RES '!#REF!</definedName>
    <definedName name="Z_4148B88B_8ED7_4FDE_9459_DEB244AD0552_.wvu.Cols" localSheetId="46" hidden="1">'F. 2011 Crosswalk - CVF'!#REF!</definedName>
    <definedName name="Z_4148B88B_8ED7_4FDE_9459_DEB244AD0552_.wvu.Cols" localSheetId="31" hidden="1">'F. 2011 Crosswalk - JJ'!#REF!</definedName>
    <definedName name="Z_4148B88B_8ED7_4FDE_9459_DEB244AD0552_.wvu.Cols" localSheetId="39" hidden="1">'F. 2011 Crosswalk - PSOB '!#REF!</definedName>
    <definedName name="Z_4148B88B_8ED7_4FDE_9459_DEB244AD0552_.wvu.Cols" localSheetId="3" hidden="1">'F. 2011 Crosswalk - S&amp;E-M&amp;A'!#REF!</definedName>
    <definedName name="Z_4148B88B_8ED7_4FDE_9459_DEB244AD0552_.wvu.Cols" localSheetId="20" hidden="1">'F. 2011 Crosswalk - SLLEA'!#REF!</definedName>
    <definedName name="Z_4148B88B_8ED7_4FDE_9459_DEB244AD0552_.wvu.Cols" localSheetId="25" hidden="1">'F. 2011 Crosswalk - W&amp;S'!#REF!</definedName>
    <definedName name="Z_4148B88B_8ED7_4FDE_9459_DEB244AD0552_.wvu.Cols" localSheetId="13" hidden="1">'G. 2012 Crosswalk  - RES '!$H:$J</definedName>
    <definedName name="Z_4148B88B_8ED7_4FDE_9459_DEB244AD0552_.wvu.Cols" localSheetId="47" hidden="1">'G. 2012 Crosswalk - CVF'!$H:$J</definedName>
    <definedName name="Z_4148B88B_8ED7_4FDE_9459_DEB244AD0552_.wvu.Cols" localSheetId="32" hidden="1">'G. 2012 Crosswalk - JJ'!$H:$J</definedName>
    <definedName name="Z_4148B88B_8ED7_4FDE_9459_DEB244AD0552_.wvu.Cols" localSheetId="40" hidden="1">'G. 2012 Crosswalk - PSOB '!$H:$J</definedName>
    <definedName name="Z_4148B88B_8ED7_4FDE_9459_DEB244AD0552_.wvu.Cols" localSheetId="4" hidden="1">'G. 2012 Crosswalk - S&amp;E-M&amp;A'!$H:$J</definedName>
    <definedName name="Z_4148B88B_8ED7_4FDE_9459_DEB244AD0552_.wvu.Cols" localSheetId="21" hidden="1">'G. 2012 Crosswalk - SLLEA'!$H:$J</definedName>
    <definedName name="Z_4148B88B_8ED7_4FDE_9459_DEB244AD0552_.wvu.Cols" localSheetId="26" hidden="1">'G. 2012 Crosswalk - W&amp;S'!$H:$J</definedName>
    <definedName name="Z_4148B88B_8ED7_4FDE_9459_DEB244AD0552_.wvu.Cols" localSheetId="16" hidden="1">'L. Summ by Ob Class  - RES '!#REF!</definedName>
    <definedName name="Z_4148B88B_8ED7_4FDE_9459_DEB244AD0552_.wvu.Cols" localSheetId="8" hidden="1">'L. Summ by Ob Class  - S&amp;E-M&amp;A '!#REF!</definedName>
    <definedName name="Z_4148B88B_8ED7_4FDE_9459_DEB244AD0552_.wvu.Cols" localSheetId="35" hidden="1">'L. Summ by Ob Class - JJ'!#REF!</definedName>
    <definedName name="Z_4148B88B_8ED7_4FDE_9459_DEB244AD0552_.wvu.Cols" localSheetId="42" hidden="1">'L. Summ by Ob Class - PSOB '!#REF!</definedName>
    <definedName name="Z_4148B88B_8ED7_4FDE_9459_DEB244AD0552_.wvu.Cols" localSheetId="49" hidden="1">'L. Summ by Object Class - CVF'!#REF!</definedName>
    <definedName name="Z_4148B88B_8ED7_4FDE_9459_DEB244AD0552_.wvu.Cols" localSheetId="24" hidden="1">'L. Summ by Object Class - SLLEA'!#REF!</definedName>
    <definedName name="Z_4148B88B_8ED7_4FDE_9459_DEB244AD0552_.wvu.Cols" localSheetId="27" hidden="1">'L. Summ by Object Class - W&amp;S'!#REF!</definedName>
    <definedName name="Z_4148B88B_8ED7_4FDE_9459_DEB244AD0552_.wvu.PrintArea" localSheetId="43" hidden="1">'B. Summ of Reqs - CVF '!$A$1:$X$78</definedName>
    <definedName name="Z_4148B88B_8ED7_4FDE_9459_DEB244AD0552_.wvu.PrintArea" localSheetId="28" hidden="1">'B. Summ of Reqs - JJ '!$A$1:$X$93</definedName>
    <definedName name="Z_4148B88B_8ED7_4FDE_9459_DEB244AD0552_.wvu.PrintArea" localSheetId="36" hidden="1">'B. Summ of Reqs - PSOB '!$A$1:$X$55</definedName>
    <definedName name="Z_4148B88B_8ED7_4FDE_9459_DEB244AD0552_.wvu.PrintArea" localSheetId="9" hidden="1">'B. Summ of Reqs - RES '!$A$1:$X$79</definedName>
    <definedName name="Z_4148B88B_8ED7_4FDE_9459_DEB244AD0552_.wvu.PrintArea" localSheetId="0" hidden="1">'B. Summ of Reqs - S&amp;E-M&amp;A '!$A$1:$X$72</definedName>
    <definedName name="Z_4148B88B_8ED7_4FDE_9459_DEB244AD0552_.wvu.PrintArea" localSheetId="17" hidden="1">'B. Summ of Reqs -SLLEA '!$A$1:$X$166</definedName>
    <definedName name="Z_4148B88B_8ED7_4FDE_9459_DEB244AD0552_.wvu.PrintArea" localSheetId="10" hidden="1">'C. Increases Offsets  - RES '!$A$1:$G$16</definedName>
    <definedName name="Z_4148B88B_8ED7_4FDE_9459_DEB244AD0552_.wvu.PrintArea" localSheetId="44" hidden="1">'C. Increases Offsets - CVF'!$A$1:$G$17</definedName>
    <definedName name="Z_4148B88B_8ED7_4FDE_9459_DEB244AD0552_.wvu.PrintArea" localSheetId="29" hidden="1">'C. Increases Offsets - JJ'!$A$1:$G$27</definedName>
    <definedName name="Z_4148B88B_8ED7_4FDE_9459_DEB244AD0552_.wvu.PrintArea" localSheetId="37" hidden="1">'C. Increases Offsets - PSOB '!$A$1:$S$16</definedName>
    <definedName name="Z_4148B88B_8ED7_4FDE_9459_DEB244AD0552_.wvu.PrintArea" localSheetId="18" hidden="1">'C. Increases Offsets - SLLEA'!$A$1:$G$44</definedName>
    <definedName name="Z_4148B88B_8ED7_4FDE_9459_DEB244AD0552_.wvu.PrintArea" localSheetId="30" hidden="1">'D. Strat Goals &amp; Objs - JJ'!$A$1:$P$40</definedName>
    <definedName name="Z_4148B88B_8ED7_4FDE_9459_DEB244AD0552_.wvu.PrintArea" localSheetId="1" hidden="1">'D. Strat Goals &amp; Objs - S&amp;E-M&amp;A'!$A$1:$P$37</definedName>
    <definedName name="Z_4148B88B_8ED7_4FDE_9459_DEB244AD0552_.wvu.PrintArea" localSheetId="11" hidden="1">'D. Strat Goals &amp; Obs  - RES '!$A$1:$P$39</definedName>
    <definedName name="Z_4148B88B_8ED7_4FDE_9459_DEB244AD0552_.wvu.PrintArea" localSheetId="45" hidden="1">'D. Strat Goals &amp; Obs - CVF'!$A$1:$P$36</definedName>
    <definedName name="Z_4148B88B_8ED7_4FDE_9459_DEB244AD0552_.wvu.PrintArea" localSheetId="38" hidden="1">'D. Strat Goals &amp; Obs - PSOB '!$A$1:$P$36</definedName>
    <definedName name="Z_4148B88B_8ED7_4FDE_9459_DEB244AD0552_.wvu.PrintArea" localSheetId="19" hidden="1">'D. Strat Goals &amp; Obs - SLLEA'!$A$1:$P$40</definedName>
    <definedName name="Z_4148B88B_8ED7_4FDE_9459_DEB244AD0552_.wvu.PrintArea" localSheetId="2" hidden="1">'E. ATB Justification - S&amp;E-M&amp;A'!$A$1:$I$46</definedName>
    <definedName name="Z_4148B88B_8ED7_4FDE_9459_DEB244AD0552_.wvu.PrintArea" localSheetId="12" hidden="1">'F. 2011 Crosswalk  - RES '!$A$1:$O$42</definedName>
    <definedName name="Z_4148B88B_8ED7_4FDE_9459_DEB244AD0552_.wvu.PrintArea" localSheetId="46" hidden="1">'F. 2011 Crosswalk - CVF'!$A$1:$O$22</definedName>
    <definedName name="Z_4148B88B_8ED7_4FDE_9459_DEB244AD0552_.wvu.PrintArea" localSheetId="31" hidden="1">'F. 2011 Crosswalk - JJ'!$A$1:$O$50</definedName>
    <definedName name="Z_4148B88B_8ED7_4FDE_9459_DEB244AD0552_.wvu.PrintArea" localSheetId="39" hidden="1">'F. 2011 Crosswalk - PSOB '!$A$1:$O$28</definedName>
    <definedName name="Z_4148B88B_8ED7_4FDE_9459_DEB244AD0552_.wvu.PrintArea" localSheetId="3" hidden="1">'F. 2011 Crosswalk - S&amp;E-M&amp;A'!$A$1:$O$23</definedName>
    <definedName name="Z_4148B88B_8ED7_4FDE_9459_DEB244AD0552_.wvu.PrintArea" localSheetId="20" hidden="1">'F. 2011 Crosswalk - SLLEA'!$A$1:$O$95</definedName>
    <definedName name="Z_4148B88B_8ED7_4FDE_9459_DEB244AD0552_.wvu.PrintArea" localSheetId="25" hidden="1">'F. 2011 Crosswalk - W&amp;S'!$A$1:$O$26</definedName>
    <definedName name="Z_4148B88B_8ED7_4FDE_9459_DEB244AD0552_.wvu.PrintArea" localSheetId="13" hidden="1">'G. 2012 Crosswalk  - RES '!$A$1:$R$33</definedName>
    <definedName name="Z_4148B88B_8ED7_4FDE_9459_DEB244AD0552_.wvu.PrintArea" localSheetId="47" hidden="1">'G. 2012 Crosswalk - CVF'!$A$1:$R$20</definedName>
    <definedName name="Z_4148B88B_8ED7_4FDE_9459_DEB244AD0552_.wvu.PrintArea" localSheetId="32" hidden="1">'G. 2012 Crosswalk - JJ'!$A$1:$R$38</definedName>
    <definedName name="Z_4148B88B_8ED7_4FDE_9459_DEB244AD0552_.wvu.PrintArea" localSheetId="40" hidden="1">'G. 2012 Crosswalk - PSOB '!$A$1:$R$23</definedName>
    <definedName name="Z_4148B88B_8ED7_4FDE_9459_DEB244AD0552_.wvu.PrintArea" localSheetId="4" hidden="1">'G. 2012 Crosswalk - S&amp;E-M&amp;A'!$A$1:$R$20</definedName>
    <definedName name="Z_4148B88B_8ED7_4FDE_9459_DEB244AD0552_.wvu.PrintArea" localSheetId="21" hidden="1">'G. 2012 Crosswalk - SLLEA'!$A$1:$R$94</definedName>
    <definedName name="Z_4148B88B_8ED7_4FDE_9459_DEB244AD0552_.wvu.PrintArea" localSheetId="26" hidden="1">'G. 2012 Crosswalk - W&amp;S'!$A$1:$R$22</definedName>
    <definedName name="Z_4148B88B_8ED7_4FDE_9459_DEB244AD0552_.wvu.PrintArea" localSheetId="14" hidden="1">'H. Reimb Resources  - RES '!$A$1:$N$14</definedName>
    <definedName name="Z_4148B88B_8ED7_4FDE_9459_DEB244AD0552_.wvu.PrintArea" localSheetId="33" hidden="1">'H. Reimb Resources - JJ'!$A$1:$N$15</definedName>
    <definedName name="Z_4148B88B_8ED7_4FDE_9459_DEB244AD0552_.wvu.PrintArea" localSheetId="5" hidden="1">'H. Reimb Resources - S&amp;E-M&amp;A'!$A$1:$N$20</definedName>
    <definedName name="Z_4148B88B_8ED7_4FDE_9459_DEB244AD0552_.wvu.PrintArea" localSheetId="22" hidden="1">'H. Reimb Resources - SLLEA'!$A$1:$N$21</definedName>
    <definedName name="Z_4148B88B_8ED7_4FDE_9459_DEB244AD0552_.wvu.PrintArea" localSheetId="6" hidden="1">'I. Perm Positions - S&amp;E-M&amp;A'!$A$1:$K$32</definedName>
    <definedName name="Z_4148B88B_8ED7_4FDE_9459_DEB244AD0552_.wvu.PrintArea" localSheetId="15" hidden="1">'J. Finan Analysis  - RES '!$A$1:$I$17</definedName>
    <definedName name="Z_4148B88B_8ED7_4FDE_9459_DEB244AD0552_.wvu.PrintArea" localSheetId="48" hidden="1">'J. Finan Analysis - CVF'!$A$1:$G$17</definedName>
    <definedName name="Z_4148B88B_8ED7_4FDE_9459_DEB244AD0552_.wvu.PrintArea" localSheetId="34" hidden="1">'J. Finan Analysis - JJ'!$A$1:$S$17</definedName>
    <definedName name="Z_4148B88B_8ED7_4FDE_9459_DEB244AD0552_.wvu.PrintArea" localSheetId="41" hidden="1">'J. Finan Analysis - PSOB '!$A$1:$Y$12</definedName>
    <definedName name="Z_4148B88B_8ED7_4FDE_9459_DEB244AD0552_.wvu.PrintArea" localSheetId="23" hidden="1">'J. Finan Analysis - SLLEA'!$A$1:$O$19</definedName>
    <definedName name="Z_4148B88B_8ED7_4FDE_9459_DEB244AD0552_.wvu.PrintArea" localSheetId="7" hidden="1">'K. Summ by Grade - S&amp;E-M&amp;A'!$A$1:$I$31</definedName>
    <definedName name="Z_4148B88B_8ED7_4FDE_9459_DEB244AD0552_.wvu.PrintArea" localSheetId="16" hidden="1">'L. Summ by Ob Class  - RES '!$A$1:$I$43</definedName>
    <definedName name="Z_4148B88B_8ED7_4FDE_9459_DEB244AD0552_.wvu.PrintArea" localSheetId="8" hidden="1">'L. Summ by Ob Class  - S&amp;E-M&amp;A '!$A$1:$I$43</definedName>
    <definedName name="Z_4148B88B_8ED7_4FDE_9459_DEB244AD0552_.wvu.PrintArea" localSheetId="35" hidden="1">'L. Summ by Ob Class - JJ'!$A$1:$I$47</definedName>
    <definedName name="Z_4148B88B_8ED7_4FDE_9459_DEB244AD0552_.wvu.PrintArea" localSheetId="42" hidden="1">'L. Summ by Ob Class - PSOB '!$A$1:$I$44</definedName>
    <definedName name="Z_4148B88B_8ED7_4FDE_9459_DEB244AD0552_.wvu.PrintArea" localSheetId="49" hidden="1">'L. Summ by Object Class - CVF'!$A$1:$I$50</definedName>
    <definedName name="Z_4148B88B_8ED7_4FDE_9459_DEB244AD0552_.wvu.PrintArea" localSheetId="24" hidden="1">'L. Summ by Object Class - SLLEA'!$A$1:$I$47</definedName>
    <definedName name="Z_4148B88B_8ED7_4FDE_9459_DEB244AD0552_.wvu.PrintArea" localSheetId="27" hidden="1">'L. Summ by Object Class - W&amp;S'!$A$1:$I$44</definedName>
    <definedName name="Z_4148B88B_8ED7_4FDE_9459_DEB244AD0552_.wvu.PrintArea" localSheetId="50" hidden="1">'M. Studies'!$A$1:$J$18</definedName>
    <definedName name="Z_4148B88B_8ED7_4FDE_9459_DEB244AD0552_.wvu.Rows" localSheetId="30" hidden="1">'D. Strat Goals &amp; Objs - JJ'!$11:$11</definedName>
    <definedName name="Z_4148B88B_8ED7_4FDE_9459_DEB244AD0552_.wvu.Rows" localSheetId="1" hidden="1">'D. Strat Goals &amp; Objs - S&amp;E-M&amp;A'!$11:$11</definedName>
    <definedName name="Z_4148B88B_8ED7_4FDE_9459_DEB244AD0552_.wvu.Rows" localSheetId="11" hidden="1">'D. Strat Goals &amp; Obs  - RES '!$11:$11</definedName>
    <definedName name="Z_4148B88B_8ED7_4FDE_9459_DEB244AD0552_.wvu.Rows" localSheetId="45" hidden="1">'D. Strat Goals &amp; Obs - CVF'!$11:$11</definedName>
    <definedName name="Z_4148B88B_8ED7_4FDE_9459_DEB244AD0552_.wvu.Rows" localSheetId="38" hidden="1">'D. Strat Goals &amp; Obs - PSOB '!$11:$11</definedName>
    <definedName name="Z_4148B88B_8ED7_4FDE_9459_DEB244AD0552_.wvu.Rows" localSheetId="19" hidden="1">'D. Strat Goals &amp; Obs - SLLEA'!$11:$11</definedName>
    <definedName name="Z_4D0F9E3D_0229_48CC_A08B_F132802E9D7B_.wvu.Cols" localSheetId="37" hidden="1">'C. Increases Offsets - PSOB '!$G:$R</definedName>
    <definedName name="Z_4D0F9E3D_0229_48CC_A08B_F132802E9D7B_.wvu.Cols" localSheetId="13" hidden="1">'G. 2012 Crosswalk  - RES '!$H:$J</definedName>
    <definedName name="Z_4D0F9E3D_0229_48CC_A08B_F132802E9D7B_.wvu.Cols" localSheetId="47" hidden="1">'G. 2012 Crosswalk - CVF'!$H:$J</definedName>
    <definedName name="Z_4D0F9E3D_0229_48CC_A08B_F132802E9D7B_.wvu.Cols" localSheetId="32" hidden="1">'G. 2012 Crosswalk - JJ'!$H:$J</definedName>
    <definedName name="Z_4D0F9E3D_0229_48CC_A08B_F132802E9D7B_.wvu.Cols" localSheetId="40" hidden="1">'G. 2012 Crosswalk - PSOB '!$H:$J</definedName>
    <definedName name="Z_4D0F9E3D_0229_48CC_A08B_F132802E9D7B_.wvu.Cols" localSheetId="4" hidden="1">'G. 2012 Crosswalk - S&amp;E-M&amp;A'!$H:$J</definedName>
    <definedName name="Z_4D0F9E3D_0229_48CC_A08B_F132802E9D7B_.wvu.Cols" localSheetId="21" hidden="1">'G. 2012 Crosswalk - SLLEA'!$H:$J</definedName>
    <definedName name="Z_4D0F9E3D_0229_48CC_A08B_F132802E9D7B_.wvu.Cols" localSheetId="26" hidden="1">'G. 2012 Crosswalk - W&amp;S'!$H:$J</definedName>
    <definedName name="Z_4D0F9E3D_0229_48CC_A08B_F132802E9D7B_.wvu.Cols" localSheetId="41" hidden="1">'J. Finan Analysis - PSOB '!$F:$Y</definedName>
    <definedName name="Z_4D0F9E3D_0229_48CC_A08B_F132802E9D7B_.wvu.Cols" localSheetId="16" hidden="1">'L. Summ by Ob Class  - RES '!#REF!</definedName>
    <definedName name="Z_4D0F9E3D_0229_48CC_A08B_F132802E9D7B_.wvu.Cols" localSheetId="8" hidden="1">'L. Summ by Ob Class  - S&amp;E-M&amp;A '!#REF!</definedName>
    <definedName name="Z_4D0F9E3D_0229_48CC_A08B_F132802E9D7B_.wvu.Cols" localSheetId="35" hidden="1">'L. Summ by Ob Class - JJ'!#REF!</definedName>
    <definedName name="Z_4D0F9E3D_0229_48CC_A08B_F132802E9D7B_.wvu.Cols" localSheetId="42" hidden="1">'L. Summ by Ob Class - PSOB '!#REF!</definedName>
    <definedName name="Z_4D0F9E3D_0229_48CC_A08B_F132802E9D7B_.wvu.Cols" localSheetId="49" hidden="1">'L. Summ by Object Class - CVF'!#REF!</definedName>
    <definedName name="Z_4D0F9E3D_0229_48CC_A08B_F132802E9D7B_.wvu.Cols" localSheetId="24" hidden="1">'L. Summ by Object Class - SLLEA'!#REF!</definedName>
    <definedName name="Z_4D0F9E3D_0229_48CC_A08B_F132802E9D7B_.wvu.Cols" localSheetId="27" hidden="1">'L. Summ by Object Class - W&amp;S'!#REF!</definedName>
    <definedName name="Z_4D0F9E3D_0229_48CC_A08B_F132802E9D7B_.wvu.PrintArea" localSheetId="43" hidden="1">'B. Summ of Reqs - CVF '!$A$1:$X$78</definedName>
    <definedName name="Z_4D0F9E3D_0229_48CC_A08B_F132802E9D7B_.wvu.PrintArea" localSheetId="28" hidden="1">'B. Summ of Reqs - JJ '!$A$1:$X$93</definedName>
    <definedName name="Z_4D0F9E3D_0229_48CC_A08B_F132802E9D7B_.wvu.PrintArea" localSheetId="36" hidden="1">'B. Summ of Reqs - PSOB '!$A$1:$X$55</definedName>
    <definedName name="Z_4D0F9E3D_0229_48CC_A08B_F132802E9D7B_.wvu.PrintArea" localSheetId="9" hidden="1">'B. Summ of Reqs - RES '!$A$1:$X$79</definedName>
    <definedName name="Z_4D0F9E3D_0229_48CC_A08B_F132802E9D7B_.wvu.PrintArea" localSheetId="0" hidden="1">'B. Summ of Reqs - S&amp;E-M&amp;A '!$A$1:$X$72</definedName>
    <definedName name="Z_4D0F9E3D_0229_48CC_A08B_F132802E9D7B_.wvu.PrintArea" localSheetId="17" hidden="1">'B. Summ of Reqs -SLLEA '!$A$1:$X$166</definedName>
    <definedName name="Z_4D0F9E3D_0229_48CC_A08B_F132802E9D7B_.wvu.PrintArea" localSheetId="10" hidden="1">'C. Increases Offsets  - RES '!$A$1:$G$16</definedName>
    <definedName name="Z_4D0F9E3D_0229_48CC_A08B_F132802E9D7B_.wvu.PrintArea" localSheetId="44" hidden="1">'C. Increases Offsets - CVF'!$A$1:$G$17</definedName>
    <definedName name="Z_4D0F9E3D_0229_48CC_A08B_F132802E9D7B_.wvu.PrintArea" localSheetId="29" hidden="1">'C. Increases Offsets - JJ'!$A$1:$G$27</definedName>
    <definedName name="Z_4D0F9E3D_0229_48CC_A08B_F132802E9D7B_.wvu.PrintArea" localSheetId="37" hidden="1">'C. Increases Offsets - PSOB '!$A$1:$S$16</definedName>
    <definedName name="Z_4D0F9E3D_0229_48CC_A08B_F132802E9D7B_.wvu.PrintArea" localSheetId="18" hidden="1">'C. Increases Offsets - SLLEA'!$A$1:$G$44</definedName>
    <definedName name="Z_4D0F9E3D_0229_48CC_A08B_F132802E9D7B_.wvu.PrintArea" localSheetId="30" hidden="1">'D. Strat Goals &amp; Objs - JJ'!$A$1:$P$40</definedName>
    <definedName name="Z_4D0F9E3D_0229_48CC_A08B_F132802E9D7B_.wvu.PrintArea" localSheetId="1" hidden="1">'D. Strat Goals &amp; Objs - S&amp;E-M&amp;A'!$A$1:$P$37</definedName>
    <definedName name="Z_4D0F9E3D_0229_48CC_A08B_F132802E9D7B_.wvu.PrintArea" localSheetId="11" hidden="1">'D. Strat Goals &amp; Obs  - RES '!$A$1:$P$39</definedName>
    <definedName name="Z_4D0F9E3D_0229_48CC_A08B_F132802E9D7B_.wvu.PrintArea" localSheetId="45" hidden="1">'D. Strat Goals &amp; Obs - CVF'!$A$1:$P$36</definedName>
    <definedName name="Z_4D0F9E3D_0229_48CC_A08B_F132802E9D7B_.wvu.PrintArea" localSheetId="38" hidden="1">'D. Strat Goals &amp; Obs - PSOB '!$A$1:$P$36</definedName>
    <definedName name="Z_4D0F9E3D_0229_48CC_A08B_F132802E9D7B_.wvu.PrintArea" localSheetId="19" hidden="1">'D. Strat Goals &amp; Obs - SLLEA'!$A$1:$P$40</definedName>
    <definedName name="Z_4D0F9E3D_0229_48CC_A08B_F132802E9D7B_.wvu.PrintArea" localSheetId="2" hidden="1">'E. ATB Justification - S&amp;E-M&amp;A'!$A$1:$I$46</definedName>
    <definedName name="Z_4D0F9E3D_0229_48CC_A08B_F132802E9D7B_.wvu.PrintArea" localSheetId="12" hidden="1">'F. 2011 Crosswalk  - RES '!$A$1:$O$42</definedName>
    <definedName name="Z_4D0F9E3D_0229_48CC_A08B_F132802E9D7B_.wvu.PrintArea" localSheetId="46" hidden="1">'F. 2011 Crosswalk - CVF'!$A$1:$O$22</definedName>
    <definedName name="Z_4D0F9E3D_0229_48CC_A08B_F132802E9D7B_.wvu.PrintArea" localSheetId="31" hidden="1">'F. 2011 Crosswalk - JJ'!$A$1:$O$50</definedName>
    <definedName name="Z_4D0F9E3D_0229_48CC_A08B_F132802E9D7B_.wvu.PrintArea" localSheetId="39" hidden="1">'F. 2011 Crosswalk - PSOB '!$A$1:$O$24</definedName>
    <definedName name="Z_4D0F9E3D_0229_48CC_A08B_F132802E9D7B_.wvu.PrintArea" localSheetId="3" hidden="1">'F. 2011 Crosswalk - S&amp;E-M&amp;A'!$A$1:$O$23</definedName>
    <definedName name="Z_4D0F9E3D_0229_48CC_A08B_F132802E9D7B_.wvu.PrintArea" localSheetId="20" hidden="1">'F. 2011 Crosswalk - SLLEA'!$A$1:$O$93</definedName>
    <definedName name="Z_4D0F9E3D_0229_48CC_A08B_F132802E9D7B_.wvu.PrintArea" localSheetId="25" hidden="1">'F. 2011 Crosswalk - W&amp;S'!$A$1:$O$22</definedName>
    <definedName name="Z_4D0F9E3D_0229_48CC_A08B_F132802E9D7B_.wvu.PrintArea" localSheetId="13" hidden="1">'G. 2012 Crosswalk  - RES '!$A$1:$R$33</definedName>
    <definedName name="Z_4D0F9E3D_0229_48CC_A08B_F132802E9D7B_.wvu.PrintArea" localSheetId="47" hidden="1">'G. 2012 Crosswalk - CVF'!$A$1:$R$20</definedName>
    <definedName name="Z_4D0F9E3D_0229_48CC_A08B_F132802E9D7B_.wvu.PrintArea" localSheetId="32" hidden="1">'G. 2012 Crosswalk - JJ'!$A$1:$R$38</definedName>
    <definedName name="Z_4D0F9E3D_0229_48CC_A08B_F132802E9D7B_.wvu.PrintArea" localSheetId="40" hidden="1">'G. 2012 Crosswalk - PSOB '!$A$1:$R$23</definedName>
    <definedName name="Z_4D0F9E3D_0229_48CC_A08B_F132802E9D7B_.wvu.PrintArea" localSheetId="4" hidden="1">'G. 2012 Crosswalk - S&amp;E-M&amp;A'!$A$1:$R$20</definedName>
    <definedName name="Z_4D0F9E3D_0229_48CC_A08B_F132802E9D7B_.wvu.PrintArea" localSheetId="21" hidden="1">'G. 2012 Crosswalk - SLLEA'!$A$1:$R$95</definedName>
    <definedName name="Z_4D0F9E3D_0229_48CC_A08B_F132802E9D7B_.wvu.PrintArea" localSheetId="26" hidden="1">'G. 2012 Crosswalk - W&amp;S'!$A$1:$R$22</definedName>
    <definedName name="Z_4D0F9E3D_0229_48CC_A08B_F132802E9D7B_.wvu.PrintArea" localSheetId="14" hidden="1">'H. Reimb Resources  - RES '!$A$1:$N$14</definedName>
    <definedName name="Z_4D0F9E3D_0229_48CC_A08B_F132802E9D7B_.wvu.PrintArea" localSheetId="33" hidden="1">'H. Reimb Resources - JJ'!$A$1:$N$15</definedName>
    <definedName name="Z_4D0F9E3D_0229_48CC_A08B_F132802E9D7B_.wvu.PrintArea" localSheetId="5" hidden="1">'H. Reimb Resources - S&amp;E-M&amp;A'!$A$1:$N$20</definedName>
    <definedName name="Z_4D0F9E3D_0229_48CC_A08B_F132802E9D7B_.wvu.PrintArea" localSheetId="22" hidden="1">'H. Reimb Resources - SLLEA'!$A$1:$N$21</definedName>
    <definedName name="Z_4D0F9E3D_0229_48CC_A08B_F132802E9D7B_.wvu.PrintArea" localSheetId="6" hidden="1">'I. Perm Positions - S&amp;E-M&amp;A'!$A$1:$K$32</definedName>
    <definedName name="Z_4D0F9E3D_0229_48CC_A08B_F132802E9D7B_.wvu.PrintArea" localSheetId="15" hidden="1">'J. Finan Analysis  - RES '!$A$1:$I$17</definedName>
    <definedName name="Z_4D0F9E3D_0229_48CC_A08B_F132802E9D7B_.wvu.PrintArea" localSheetId="48" hidden="1">'J. Finan Analysis - CVF'!$A$1:$G$17</definedName>
    <definedName name="Z_4D0F9E3D_0229_48CC_A08B_F132802E9D7B_.wvu.PrintArea" localSheetId="34" hidden="1">'J. Finan Analysis - JJ'!$A$1:$S$17</definedName>
    <definedName name="Z_4D0F9E3D_0229_48CC_A08B_F132802E9D7B_.wvu.PrintArea" localSheetId="41" hidden="1">'J. Finan Analysis - PSOB '!$A$1:$Y$12</definedName>
    <definedName name="Z_4D0F9E3D_0229_48CC_A08B_F132802E9D7B_.wvu.PrintArea" localSheetId="23" hidden="1">'J. Finan Analysis - SLLEA'!$A$1:$O$61</definedName>
    <definedName name="Z_4D0F9E3D_0229_48CC_A08B_F132802E9D7B_.wvu.PrintArea" localSheetId="7" hidden="1">'K. Summ by Grade - S&amp;E-M&amp;A'!$A$1:$I$31</definedName>
    <definedName name="Z_4D0F9E3D_0229_48CC_A08B_F132802E9D7B_.wvu.PrintArea" localSheetId="16" hidden="1">'L. Summ by Ob Class  - RES '!$A$1:$I$43</definedName>
    <definedName name="Z_4D0F9E3D_0229_48CC_A08B_F132802E9D7B_.wvu.PrintArea" localSheetId="8" hidden="1">'L. Summ by Ob Class  - S&amp;E-M&amp;A '!$A$1:$I$43</definedName>
    <definedName name="Z_4D0F9E3D_0229_48CC_A08B_F132802E9D7B_.wvu.PrintArea" localSheetId="35" hidden="1">'L. Summ by Ob Class - JJ'!$A$1:$I$47</definedName>
    <definedName name="Z_4D0F9E3D_0229_48CC_A08B_F132802E9D7B_.wvu.PrintArea" localSheetId="42" hidden="1">'L. Summ by Ob Class - PSOB '!$A$1:$I$44</definedName>
    <definedName name="Z_4D0F9E3D_0229_48CC_A08B_F132802E9D7B_.wvu.PrintArea" localSheetId="49" hidden="1">'L. Summ by Object Class - CVF'!$A$1:$I$50</definedName>
    <definedName name="Z_4D0F9E3D_0229_48CC_A08B_F132802E9D7B_.wvu.PrintArea" localSheetId="24" hidden="1">'L. Summ by Object Class - SLLEA'!$A$1:$I$47</definedName>
    <definedName name="Z_4D0F9E3D_0229_48CC_A08B_F132802E9D7B_.wvu.PrintArea" localSheetId="27" hidden="1">'L. Summ by Object Class - W&amp;S'!$A$1:$I$44</definedName>
    <definedName name="Z_4D0F9E3D_0229_48CC_A08B_F132802E9D7B_.wvu.PrintArea" localSheetId="50" hidden="1">'M. Studies'!$A$1:$J$18</definedName>
    <definedName name="Z_4D0F9E3D_0229_48CC_A08B_F132802E9D7B_.wvu.PrintTitles" localSheetId="17" hidden="1">'B. Summ of Reqs -SLLEA '!$1:$7</definedName>
    <definedName name="Z_4D0F9E3D_0229_48CC_A08B_F132802E9D7B_.wvu.PrintTitles" localSheetId="20" hidden="1">'F. 2011 Crosswalk - SLLEA'!$1:$10</definedName>
    <definedName name="Z_4D0F9E3D_0229_48CC_A08B_F132802E9D7B_.wvu.PrintTitles" localSheetId="21" hidden="1">'G. 2012 Crosswalk - SLLEA'!$1:$10</definedName>
    <definedName name="Z_4D0F9E3D_0229_48CC_A08B_F132802E9D7B_.wvu.Rows" localSheetId="30" hidden="1">'D. Strat Goals &amp; Objs - JJ'!$11:$11</definedName>
    <definedName name="Z_4D0F9E3D_0229_48CC_A08B_F132802E9D7B_.wvu.Rows" localSheetId="1" hidden="1">'D. Strat Goals &amp; Objs - S&amp;E-M&amp;A'!$11:$11</definedName>
    <definedName name="Z_4D0F9E3D_0229_48CC_A08B_F132802E9D7B_.wvu.Rows" localSheetId="11" hidden="1">'D. Strat Goals &amp; Obs  - RES '!$11:$11</definedName>
    <definedName name="Z_4D0F9E3D_0229_48CC_A08B_F132802E9D7B_.wvu.Rows" localSheetId="45" hidden="1">'D. Strat Goals &amp; Obs - CVF'!$11:$11</definedName>
    <definedName name="Z_4D0F9E3D_0229_48CC_A08B_F132802E9D7B_.wvu.Rows" localSheetId="38" hidden="1">'D. Strat Goals &amp; Obs - PSOB '!$11:$11</definedName>
    <definedName name="Z_4D0F9E3D_0229_48CC_A08B_F132802E9D7B_.wvu.Rows" localSheetId="19" hidden="1">'D. Strat Goals &amp; Obs - SLLEA'!$11:$11</definedName>
    <definedName name="Z_4D0F9E3D_0229_48CC_A08B_F132802E9D7B_.wvu.Rows" localSheetId="2" hidden="1">'E. ATB Justification - S&amp;E-M&amp;A'!$10:$13,'E. ATB Justification - S&amp;E-M&amp;A'!#REF!</definedName>
    <definedName name="Z_4D0F9E3D_0229_48CC_A08B_F132802E9D7B_.wvu.Rows" localSheetId="39" hidden="1">'F. 2011 Crosswalk - PSOB '!$15:$20</definedName>
    <definedName name="Z_56C0A34E_45B4_448B_85E5_70B3A8E63333_.wvu.Cols" localSheetId="16" hidden="1">'L. Summ by Ob Class  - RES '!#REF!</definedName>
    <definedName name="Z_56C0A34E_45B4_448B_85E5_70B3A8E63333_.wvu.Cols" localSheetId="8" hidden="1">'L. Summ by Ob Class  - S&amp;E-M&amp;A '!#REF!</definedName>
    <definedName name="Z_56C0A34E_45B4_448B_85E5_70B3A8E63333_.wvu.Cols" localSheetId="35" hidden="1">'L. Summ by Ob Class - JJ'!#REF!</definedName>
    <definedName name="Z_56C0A34E_45B4_448B_85E5_70B3A8E63333_.wvu.Cols" localSheetId="42" hidden="1">'L. Summ by Ob Class - PSOB '!#REF!</definedName>
    <definedName name="Z_56C0A34E_45B4_448B_85E5_70B3A8E63333_.wvu.Cols" localSheetId="49" hidden="1">'L. Summ by Object Class - CVF'!#REF!</definedName>
    <definedName name="Z_56C0A34E_45B4_448B_85E5_70B3A8E63333_.wvu.Cols" localSheetId="24" hidden="1">'L. Summ by Object Class - SLLEA'!#REF!</definedName>
    <definedName name="Z_56C0A34E_45B4_448B_85E5_70B3A8E63333_.wvu.Cols" localSheetId="27" hidden="1">'L. Summ by Object Class - W&amp;S'!#REF!</definedName>
    <definedName name="Z_56C0A34E_45B4_448B_85E5_70B3A8E63333_.wvu.PrintArea" localSheetId="43" hidden="1">'B. Summ of Reqs - CVF '!$A$1:$X$78</definedName>
    <definedName name="Z_56C0A34E_45B4_448B_85E5_70B3A8E63333_.wvu.PrintArea" localSheetId="28" hidden="1">'B. Summ of Reqs - JJ '!$A$1:$X$93</definedName>
    <definedName name="Z_56C0A34E_45B4_448B_85E5_70B3A8E63333_.wvu.PrintArea" localSheetId="36" hidden="1">'B. Summ of Reqs - PSOB '!$A$1:$X$55</definedName>
    <definedName name="Z_56C0A34E_45B4_448B_85E5_70B3A8E63333_.wvu.PrintArea" localSheetId="9" hidden="1">'B. Summ of Reqs - RES '!$A$1:$X$79</definedName>
    <definedName name="Z_56C0A34E_45B4_448B_85E5_70B3A8E63333_.wvu.PrintArea" localSheetId="0" hidden="1">'B. Summ of Reqs - S&amp;E-M&amp;A '!$A$1:$X$72</definedName>
    <definedName name="Z_56C0A34E_45B4_448B_85E5_70B3A8E63333_.wvu.PrintArea" localSheetId="17" hidden="1">'B. Summ of Reqs -SLLEA '!$A$1:$X$166</definedName>
    <definedName name="Z_56C0A34E_45B4_448B_85E5_70B3A8E63333_.wvu.PrintArea" localSheetId="10" hidden="1">'C. Increases Offsets  - RES '!$A$1:$G$16</definedName>
    <definedName name="Z_56C0A34E_45B4_448B_85E5_70B3A8E63333_.wvu.PrintArea" localSheetId="44" hidden="1">'C. Increases Offsets - CVF'!$A$1:$G$17</definedName>
    <definedName name="Z_56C0A34E_45B4_448B_85E5_70B3A8E63333_.wvu.PrintArea" localSheetId="29" hidden="1">'C. Increases Offsets - JJ'!$A$1:$G$27</definedName>
    <definedName name="Z_56C0A34E_45B4_448B_85E5_70B3A8E63333_.wvu.PrintArea" localSheetId="37" hidden="1">'C. Increases Offsets - PSOB '!$A$1:$S$16</definedName>
    <definedName name="Z_56C0A34E_45B4_448B_85E5_70B3A8E63333_.wvu.PrintArea" localSheetId="18" hidden="1">'C. Increases Offsets - SLLEA'!$A$1:$G$44</definedName>
    <definedName name="Z_56C0A34E_45B4_448B_85E5_70B3A8E63333_.wvu.PrintArea" localSheetId="30" hidden="1">'D. Strat Goals &amp; Objs - JJ'!$A$1:$P$40</definedName>
    <definedName name="Z_56C0A34E_45B4_448B_85E5_70B3A8E63333_.wvu.PrintArea" localSheetId="1" hidden="1">'D. Strat Goals &amp; Objs - S&amp;E-M&amp;A'!$A$1:$P$37</definedName>
    <definedName name="Z_56C0A34E_45B4_448B_85E5_70B3A8E63333_.wvu.PrintArea" localSheetId="11" hidden="1">'D. Strat Goals &amp; Obs  - RES '!$A$1:$P$39</definedName>
    <definedName name="Z_56C0A34E_45B4_448B_85E5_70B3A8E63333_.wvu.PrintArea" localSheetId="45" hidden="1">'D. Strat Goals &amp; Obs - CVF'!$A$1:$P$36</definedName>
    <definedName name="Z_56C0A34E_45B4_448B_85E5_70B3A8E63333_.wvu.PrintArea" localSheetId="38" hidden="1">'D. Strat Goals &amp; Obs - PSOB '!$A$1:$P$36</definedName>
    <definedName name="Z_56C0A34E_45B4_448B_85E5_70B3A8E63333_.wvu.PrintArea" localSheetId="19" hidden="1">'D. Strat Goals &amp; Obs - SLLEA'!$A$1:$P$40</definedName>
    <definedName name="Z_56C0A34E_45B4_448B_85E5_70B3A8E63333_.wvu.PrintArea" localSheetId="2" hidden="1">'E. ATB Justification - S&amp;E-M&amp;A'!$A$1:$I$46</definedName>
    <definedName name="Z_56C0A34E_45B4_448B_85E5_70B3A8E63333_.wvu.PrintArea" localSheetId="12" hidden="1">'F. 2011 Crosswalk  - RES '!$A$1:$O$42</definedName>
    <definedName name="Z_56C0A34E_45B4_448B_85E5_70B3A8E63333_.wvu.PrintArea" localSheetId="46" hidden="1">'F. 2011 Crosswalk - CVF'!$A$1:$O$22</definedName>
    <definedName name="Z_56C0A34E_45B4_448B_85E5_70B3A8E63333_.wvu.PrintArea" localSheetId="31" hidden="1">'F. 2011 Crosswalk - JJ'!$A$1:$O$50</definedName>
    <definedName name="Z_56C0A34E_45B4_448B_85E5_70B3A8E63333_.wvu.PrintArea" localSheetId="39" hidden="1">'F. 2011 Crosswalk - PSOB '!$A$1:$O$28</definedName>
    <definedName name="Z_56C0A34E_45B4_448B_85E5_70B3A8E63333_.wvu.PrintArea" localSheetId="3" hidden="1">'F. 2011 Crosswalk - S&amp;E-M&amp;A'!$A$1:$O$23</definedName>
    <definedName name="Z_56C0A34E_45B4_448B_85E5_70B3A8E63333_.wvu.PrintArea" localSheetId="20" hidden="1">'F. 2011 Crosswalk - SLLEA'!$A$1:$O$95</definedName>
    <definedName name="Z_56C0A34E_45B4_448B_85E5_70B3A8E63333_.wvu.PrintArea" localSheetId="25" hidden="1">'F. 2011 Crosswalk - W&amp;S'!$A$1:$O$26</definedName>
    <definedName name="Z_56C0A34E_45B4_448B_85E5_70B3A8E63333_.wvu.PrintArea" localSheetId="13" hidden="1">'G. 2012 Crosswalk  - RES '!$A$1:$R$33</definedName>
    <definedName name="Z_56C0A34E_45B4_448B_85E5_70B3A8E63333_.wvu.PrintArea" localSheetId="47" hidden="1">'G. 2012 Crosswalk - CVF'!$A$1:$R$20</definedName>
    <definedName name="Z_56C0A34E_45B4_448B_85E5_70B3A8E63333_.wvu.PrintArea" localSheetId="32" hidden="1">'G. 2012 Crosswalk - JJ'!$A$1:$R$38</definedName>
    <definedName name="Z_56C0A34E_45B4_448B_85E5_70B3A8E63333_.wvu.PrintArea" localSheetId="40" hidden="1">'G. 2012 Crosswalk - PSOB '!$A$1:$R$23</definedName>
    <definedName name="Z_56C0A34E_45B4_448B_85E5_70B3A8E63333_.wvu.PrintArea" localSheetId="4" hidden="1">'G. 2012 Crosswalk - S&amp;E-M&amp;A'!$A$1:$R$20</definedName>
    <definedName name="Z_56C0A34E_45B4_448B_85E5_70B3A8E63333_.wvu.PrintArea" localSheetId="21" hidden="1">'G. 2012 Crosswalk - SLLEA'!$A$1:$R$94</definedName>
    <definedName name="Z_56C0A34E_45B4_448B_85E5_70B3A8E63333_.wvu.PrintArea" localSheetId="26" hidden="1">'G. 2012 Crosswalk - W&amp;S'!$A$1:$R$22</definedName>
    <definedName name="Z_56C0A34E_45B4_448B_85E5_70B3A8E63333_.wvu.PrintArea" localSheetId="14" hidden="1">'H. Reimb Resources  - RES '!$A$1:$N$14</definedName>
    <definedName name="Z_56C0A34E_45B4_448B_85E5_70B3A8E63333_.wvu.PrintArea" localSheetId="33" hidden="1">'H. Reimb Resources - JJ'!$A$1:$N$15</definedName>
    <definedName name="Z_56C0A34E_45B4_448B_85E5_70B3A8E63333_.wvu.PrintArea" localSheetId="5" hidden="1">'H. Reimb Resources - S&amp;E-M&amp;A'!$A$1:$N$20</definedName>
    <definedName name="Z_56C0A34E_45B4_448B_85E5_70B3A8E63333_.wvu.PrintArea" localSheetId="22" hidden="1">'H. Reimb Resources - SLLEA'!$A$1:$N$21</definedName>
    <definedName name="Z_56C0A34E_45B4_448B_85E5_70B3A8E63333_.wvu.PrintArea" localSheetId="6" hidden="1">'I. Perm Positions - S&amp;E-M&amp;A'!$A$1:$K$32</definedName>
    <definedName name="Z_56C0A34E_45B4_448B_85E5_70B3A8E63333_.wvu.PrintArea" localSheetId="15" hidden="1">'J. Finan Analysis  - RES '!$A$1:$I$17</definedName>
    <definedName name="Z_56C0A34E_45B4_448B_85E5_70B3A8E63333_.wvu.PrintArea" localSheetId="48" hidden="1">'J. Finan Analysis - CVF'!$A$1:$G$17</definedName>
    <definedName name="Z_56C0A34E_45B4_448B_85E5_70B3A8E63333_.wvu.PrintArea" localSheetId="34" hidden="1">'J. Finan Analysis - JJ'!$A$1:$S$17</definedName>
    <definedName name="Z_56C0A34E_45B4_448B_85E5_70B3A8E63333_.wvu.PrintArea" localSheetId="41" hidden="1">'J. Finan Analysis - PSOB '!$A$1:$Y$12</definedName>
    <definedName name="Z_56C0A34E_45B4_448B_85E5_70B3A8E63333_.wvu.PrintArea" localSheetId="23" hidden="1">'J. Finan Analysis - SLLEA'!$A$1:$O$19</definedName>
    <definedName name="Z_56C0A34E_45B4_448B_85E5_70B3A8E63333_.wvu.PrintArea" localSheetId="7" hidden="1">'K. Summ by Grade - S&amp;E-M&amp;A'!$A$1:$I$31</definedName>
    <definedName name="Z_56C0A34E_45B4_448B_85E5_70B3A8E63333_.wvu.PrintArea" localSheetId="16" hidden="1">'L. Summ by Ob Class  - RES '!$A$1:$I$43</definedName>
    <definedName name="Z_56C0A34E_45B4_448B_85E5_70B3A8E63333_.wvu.PrintArea" localSheetId="8" hidden="1">'L. Summ by Ob Class  - S&amp;E-M&amp;A '!$A$1:$I$43</definedName>
    <definedName name="Z_56C0A34E_45B4_448B_85E5_70B3A8E63333_.wvu.PrintArea" localSheetId="35" hidden="1">'L. Summ by Ob Class - JJ'!$A$1:$I$47</definedName>
    <definedName name="Z_56C0A34E_45B4_448B_85E5_70B3A8E63333_.wvu.PrintArea" localSheetId="42" hidden="1">'L. Summ by Ob Class - PSOB '!$A$1:$I$44</definedName>
    <definedName name="Z_56C0A34E_45B4_448B_85E5_70B3A8E63333_.wvu.PrintArea" localSheetId="49" hidden="1">'L. Summ by Object Class - CVF'!$A$1:$I$50</definedName>
    <definedName name="Z_56C0A34E_45B4_448B_85E5_70B3A8E63333_.wvu.PrintArea" localSheetId="24" hidden="1">'L. Summ by Object Class - SLLEA'!$A$1:$I$47</definedName>
    <definedName name="Z_56C0A34E_45B4_448B_85E5_70B3A8E63333_.wvu.PrintArea" localSheetId="27" hidden="1">'L. Summ by Object Class - W&amp;S'!$A$1:$I$44</definedName>
    <definedName name="Z_56C0A34E_45B4_448B_85E5_70B3A8E63333_.wvu.PrintArea" localSheetId="50" hidden="1">'M. Studies'!$A$1:$J$18</definedName>
    <definedName name="Z_56C0A34E_45B4_448B_85E5_70B3A8E63333_.wvu.Rows" localSheetId="30" hidden="1">'D. Strat Goals &amp; Objs - JJ'!$11:$11</definedName>
    <definedName name="Z_56C0A34E_45B4_448B_85E5_70B3A8E63333_.wvu.Rows" localSheetId="1" hidden="1">'D. Strat Goals &amp; Objs - S&amp;E-M&amp;A'!$11:$11</definedName>
    <definedName name="Z_56C0A34E_45B4_448B_85E5_70B3A8E63333_.wvu.Rows" localSheetId="11" hidden="1">'D. Strat Goals &amp; Obs  - RES '!$11:$11</definedName>
    <definedName name="Z_56C0A34E_45B4_448B_85E5_70B3A8E63333_.wvu.Rows" localSheetId="45" hidden="1">'D. Strat Goals &amp; Obs - CVF'!$11:$11</definedName>
    <definedName name="Z_56C0A34E_45B4_448B_85E5_70B3A8E63333_.wvu.Rows" localSheetId="38" hidden="1">'D. Strat Goals &amp; Obs - PSOB '!$11:$11</definedName>
    <definedName name="Z_56C0A34E_45B4_448B_85E5_70B3A8E63333_.wvu.Rows" localSheetId="19" hidden="1">'D. Strat Goals &amp; Obs - SLLEA'!$11:$11</definedName>
    <definedName name="Z_6F31E765_679F_4FC6_A6FD_ABDED974736A_.wvu.Cols" localSheetId="27" hidden="1">'L. Summ by Object Class - W&amp;S'!#REF!</definedName>
    <definedName name="Z_6F31E765_679F_4FC6_A6FD_ABDED974736A_.wvu.PrintArea" localSheetId="25" hidden="1">'F. 2011 Crosswalk - W&amp;S'!$A$1:$O$26</definedName>
    <definedName name="Z_6F31E765_679F_4FC6_A6FD_ABDED974736A_.wvu.PrintArea" localSheetId="27" hidden="1">'L. Summ by Object Class - W&amp;S'!$A$1:$I$44</definedName>
    <definedName name="Z_7BDFB364_C862_4B80_8C96_4E86C1CE68C8_.wvu.Cols" localSheetId="51" hidden="1">'N. Summary of Program Changes'!#REF!,'N. Summary of Program Changes'!#REF!,'N. Summary of Program Changes'!#REF!,'N. Summary of Program Changes'!#REF!,'N. Summary of Program Changes'!#REF!,'N. Summary of Program Changes'!#REF!</definedName>
    <definedName name="Z_7BDFB364_C862_4B80_8C96_4E86C1CE68C8_.wvu.PrintArea" localSheetId="51" hidden="1">'N. Summary of Program Changes'!$A$1:$D$176</definedName>
    <definedName name="Z_7BDFB364_C862_4B80_8C96_4E86C1CE68C8_.wvu.PrintTitles" localSheetId="51" hidden="1">'N. Summary of Program Changes'!$1:$1</definedName>
    <definedName name="Z_7BDFB364_C862_4B80_8C96_4E86C1CE68C8_.wvu.Rows" localSheetId="51" hidden="1">'N. Summary of Program Changes'!#REF!,'N. Summary of Program Changes'!#REF!,'N. Summary of Program Changes'!#REF!,'N. Summary of Program Changes'!#REF!</definedName>
    <definedName name="Z_9FB1A6BC_70E4_42BD_85D0_E751D5BBCA34_.wvu.Cols" localSheetId="51" hidden="1">'N. Summary of Program Changes'!#REF!,'N. Summary of Program Changes'!#REF!,'N. Summary of Program Changes'!#REF!,'N. Summary of Program Changes'!#REF!,'N. Summary of Program Changes'!#REF!,'N. Summary of Program Changes'!#REF!</definedName>
    <definedName name="Z_9FB1A6BC_70E4_42BD_85D0_E751D5BBCA34_.wvu.PrintArea" localSheetId="51" hidden="1">'N. Summary of Program Changes'!$A$1:$D$176</definedName>
    <definedName name="Z_9FB1A6BC_70E4_42BD_85D0_E751D5BBCA34_.wvu.PrintTitles" localSheetId="51" hidden="1">'N. Summary of Program Changes'!$1:$1</definedName>
    <definedName name="Z_9FB1A6BC_70E4_42BD_85D0_E751D5BBCA34_.wvu.Rows" localSheetId="51" hidden="1">'N. Summary of Program Changes'!#REF!,'N. Summary of Program Changes'!#REF!,'N. Summary of Program Changes'!#REF!,'N. Summary of Program Changes'!#REF!,'N. Summary of Program Changes'!#REF!,'N. Summary of Program Changes'!#REF!,'N. Summary of Program Changes'!#REF!,'N. Summary of Program Changes'!#REF!</definedName>
    <definedName name="Z_AB21D485_B25C_4861_87C3_6754CE948F1C_.wvu.Cols" localSheetId="13" hidden="1">'G. 2012 Crosswalk  - RES '!$H:$J</definedName>
    <definedName name="Z_AB21D485_B25C_4861_87C3_6754CE948F1C_.wvu.Cols" localSheetId="47" hidden="1">'G. 2012 Crosswalk - CVF'!$H:$J</definedName>
    <definedName name="Z_AB21D485_B25C_4861_87C3_6754CE948F1C_.wvu.Cols" localSheetId="32" hidden="1">'G. 2012 Crosswalk - JJ'!$H:$J</definedName>
    <definedName name="Z_AB21D485_B25C_4861_87C3_6754CE948F1C_.wvu.Cols" localSheetId="40" hidden="1">'G. 2012 Crosswalk - PSOB '!$H:$J</definedName>
    <definedName name="Z_AB21D485_B25C_4861_87C3_6754CE948F1C_.wvu.Cols" localSheetId="4" hidden="1">'G. 2012 Crosswalk - S&amp;E-M&amp;A'!$H:$J</definedName>
    <definedName name="Z_AB21D485_B25C_4861_87C3_6754CE948F1C_.wvu.Cols" localSheetId="26" hidden="1">'G. 2012 Crosswalk - W&amp;S'!$H:$J</definedName>
    <definedName name="Z_AB21D485_B25C_4861_87C3_6754CE948F1C_.wvu.Cols" localSheetId="16" hidden="1">'L. Summ by Ob Class  - RES '!#REF!</definedName>
    <definedName name="Z_AB21D485_B25C_4861_87C3_6754CE948F1C_.wvu.Cols" localSheetId="8" hidden="1">'L. Summ by Ob Class  - S&amp;E-M&amp;A '!#REF!</definedName>
    <definedName name="Z_AB21D485_B25C_4861_87C3_6754CE948F1C_.wvu.Cols" localSheetId="35" hidden="1">'L. Summ by Ob Class - JJ'!#REF!</definedName>
    <definedName name="Z_AB21D485_B25C_4861_87C3_6754CE948F1C_.wvu.Cols" localSheetId="42" hidden="1">'L. Summ by Ob Class - PSOB '!#REF!</definedName>
    <definedName name="Z_AB21D485_B25C_4861_87C3_6754CE948F1C_.wvu.Cols" localSheetId="49" hidden="1">'L. Summ by Object Class - CVF'!#REF!</definedName>
    <definedName name="Z_AB21D485_B25C_4861_87C3_6754CE948F1C_.wvu.PrintArea" localSheetId="43" hidden="1">'B. Summ of Reqs - CVF '!$A$1:$X$78</definedName>
    <definedName name="Z_AB21D485_B25C_4861_87C3_6754CE948F1C_.wvu.PrintArea" localSheetId="28" hidden="1">'B. Summ of Reqs - JJ '!$A$1:$X$93</definedName>
    <definedName name="Z_AB21D485_B25C_4861_87C3_6754CE948F1C_.wvu.PrintArea" localSheetId="36" hidden="1">'B. Summ of Reqs - PSOB '!$A$1:$X$55</definedName>
    <definedName name="Z_AB21D485_B25C_4861_87C3_6754CE948F1C_.wvu.PrintArea" localSheetId="9" hidden="1">'B. Summ of Reqs - RES '!$A$1:$X$79</definedName>
    <definedName name="Z_AB21D485_B25C_4861_87C3_6754CE948F1C_.wvu.PrintArea" localSheetId="0" hidden="1">'B. Summ of Reqs - S&amp;E-M&amp;A '!$A$1:$X$72</definedName>
    <definedName name="Z_AB21D485_B25C_4861_87C3_6754CE948F1C_.wvu.PrintArea" localSheetId="10" hidden="1">'C. Increases Offsets  - RES '!$A$1:$G$16</definedName>
    <definedName name="Z_AB21D485_B25C_4861_87C3_6754CE948F1C_.wvu.PrintArea" localSheetId="44" hidden="1">'C. Increases Offsets - CVF'!$A$1:$G$17</definedName>
    <definedName name="Z_AB21D485_B25C_4861_87C3_6754CE948F1C_.wvu.PrintArea" localSheetId="29" hidden="1">'C. Increases Offsets - JJ'!$A$1:$G$27</definedName>
    <definedName name="Z_AB21D485_B25C_4861_87C3_6754CE948F1C_.wvu.PrintArea" localSheetId="37" hidden="1">'C. Increases Offsets - PSOB '!$A$1:$S$16</definedName>
    <definedName name="Z_AB21D485_B25C_4861_87C3_6754CE948F1C_.wvu.PrintArea" localSheetId="30" hidden="1">'D. Strat Goals &amp; Objs - JJ'!$A$1:$P$40</definedName>
    <definedName name="Z_AB21D485_B25C_4861_87C3_6754CE948F1C_.wvu.PrintArea" localSheetId="1" hidden="1">'D. Strat Goals &amp; Objs - S&amp;E-M&amp;A'!$A$1:$P$37</definedName>
    <definedName name="Z_AB21D485_B25C_4861_87C3_6754CE948F1C_.wvu.PrintArea" localSheetId="11" hidden="1">'D. Strat Goals &amp; Obs  - RES '!$A$1:$P$39</definedName>
    <definedName name="Z_AB21D485_B25C_4861_87C3_6754CE948F1C_.wvu.PrintArea" localSheetId="45" hidden="1">'D. Strat Goals &amp; Obs - CVF'!$A$1:$P$36</definedName>
    <definedName name="Z_AB21D485_B25C_4861_87C3_6754CE948F1C_.wvu.PrintArea" localSheetId="38" hidden="1">'D. Strat Goals &amp; Obs - PSOB '!$A$1:$P$36</definedName>
    <definedName name="Z_AB21D485_B25C_4861_87C3_6754CE948F1C_.wvu.PrintArea" localSheetId="2" hidden="1">'E. ATB Justification - S&amp;E-M&amp;A'!$A$1:$I$46</definedName>
    <definedName name="Z_AB21D485_B25C_4861_87C3_6754CE948F1C_.wvu.PrintArea" localSheetId="12" hidden="1">'F. 2011 Crosswalk  - RES '!$A$1:$O$42</definedName>
    <definedName name="Z_AB21D485_B25C_4861_87C3_6754CE948F1C_.wvu.PrintArea" localSheetId="46" hidden="1">'F. 2011 Crosswalk - CVF'!$A$1:$O$22</definedName>
    <definedName name="Z_AB21D485_B25C_4861_87C3_6754CE948F1C_.wvu.PrintArea" localSheetId="31" hidden="1">'F. 2011 Crosswalk - JJ'!$A$1:$O$50</definedName>
    <definedName name="Z_AB21D485_B25C_4861_87C3_6754CE948F1C_.wvu.PrintArea" localSheetId="39" hidden="1">'F. 2011 Crosswalk - PSOB '!$A$1:$O$28</definedName>
    <definedName name="Z_AB21D485_B25C_4861_87C3_6754CE948F1C_.wvu.PrintArea" localSheetId="3" hidden="1">'F. 2011 Crosswalk - S&amp;E-M&amp;A'!$A$1:$O$23</definedName>
    <definedName name="Z_AB21D485_B25C_4861_87C3_6754CE948F1C_.wvu.PrintArea" localSheetId="13" hidden="1">'G. 2012 Crosswalk  - RES '!$A$1:$R$33</definedName>
    <definedName name="Z_AB21D485_B25C_4861_87C3_6754CE948F1C_.wvu.PrintArea" localSheetId="47" hidden="1">'G. 2012 Crosswalk - CVF'!$A$1:$R$20</definedName>
    <definedName name="Z_AB21D485_B25C_4861_87C3_6754CE948F1C_.wvu.PrintArea" localSheetId="32" hidden="1">'G. 2012 Crosswalk - JJ'!$A$1:$R$38</definedName>
    <definedName name="Z_AB21D485_B25C_4861_87C3_6754CE948F1C_.wvu.PrintArea" localSheetId="40" hidden="1">'G. 2012 Crosswalk - PSOB '!$A$1:$R$23</definedName>
    <definedName name="Z_AB21D485_B25C_4861_87C3_6754CE948F1C_.wvu.PrintArea" localSheetId="4" hidden="1">'G. 2012 Crosswalk - S&amp;E-M&amp;A'!$A$1:$R$20</definedName>
    <definedName name="Z_AB21D485_B25C_4861_87C3_6754CE948F1C_.wvu.PrintArea" localSheetId="26" hidden="1">'G. 2012 Crosswalk - W&amp;S'!$A$1:$R$22</definedName>
    <definedName name="Z_AB21D485_B25C_4861_87C3_6754CE948F1C_.wvu.PrintArea" localSheetId="14" hidden="1">'H. Reimb Resources  - RES '!$A$1:$N$14</definedName>
    <definedName name="Z_AB21D485_B25C_4861_87C3_6754CE948F1C_.wvu.PrintArea" localSheetId="33" hidden="1">'H. Reimb Resources - JJ'!$A$1:$N$15</definedName>
    <definedName name="Z_AB21D485_B25C_4861_87C3_6754CE948F1C_.wvu.PrintArea" localSheetId="5" hidden="1">'H. Reimb Resources - S&amp;E-M&amp;A'!$A$1:$N$20</definedName>
    <definedName name="Z_AB21D485_B25C_4861_87C3_6754CE948F1C_.wvu.PrintArea" localSheetId="6" hidden="1">'I. Perm Positions - S&amp;E-M&amp;A'!$A$1:$K$32</definedName>
    <definedName name="Z_AB21D485_B25C_4861_87C3_6754CE948F1C_.wvu.PrintArea" localSheetId="15" hidden="1">'J. Finan Analysis  - RES '!$A$1:$I$17</definedName>
    <definedName name="Z_AB21D485_B25C_4861_87C3_6754CE948F1C_.wvu.PrintArea" localSheetId="48" hidden="1">'J. Finan Analysis - CVF'!$A$1:$G$17</definedName>
    <definedName name="Z_AB21D485_B25C_4861_87C3_6754CE948F1C_.wvu.PrintArea" localSheetId="34" hidden="1">'J. Finan Analysis - JJ'!$A$1:$S$17</definedName>
    <definedName name="Z_AB21D485_B25C_4861_87C3_6754CE948F1C_.wvu.PrintArea" localSheetId="41" hidden="1">'J. Finan Analysis - PSOB '!$A$1:$Y$12</definedName>
    <definedName name="Z_AB21D485_B25C_4861_87C3_6754CE948F1C_.wvu.PrintArea" localSheetId="7" hidden="1">'K. Summ by Grade - S&amp;E-M&amp;A'!$A$1:$I$31</definedName>
    <definedName name="Z_AB21D485_B25C_4861_87C3_6754CE948F1C_.wvu.PrintArea" localSheetId="16" hidden="1">'L. Summ by Ob Class  - RES '!$A$1:$I$43</definedName>
    <definedName name="Z_AB21D485_B25C_4861_87C3_6754CE948F1C_.wvu.PrintArea" localSheetId="8" hidden="1">'L. Summ by Ob Class  - S&amp;E-M&amp;A '!$A$1:$I$43</definedName>
    <definedName name="Z_AB21D485_B25C_4861_87C3_6754CE948F1C_.wvu.PrintArea" localSheetId="35" hidden="1">'L. Summ by Ob Class - JJ'!$A$1:$I$47</definedName>
    <definedName name="Z_AB21D485_B25C_4861_87C3_6754CE948F1C_.wvu.PrintArea" localSheetId="42" hidden="1">'L. Summ by Ob Class - PSOB '!$A$1:$I$44</definedName>
    <definedName name="Z_AB21D485_B25C_4861_87C3_6754CE948F1C_.wvu.PrintArea" localSheetId="49" hidden="1">'L. Summ by Object Class - CVF'!$A$1:$I$50</definedName>
    <definedName name="Z_AB21D485_B25C_4861_87C3_6754CE948F1C_.wvu.PrintArea" localSheetId="50" hidden="1">'M. Studies'!$A$1:$J$18</definedName>
    <definedName name="Z_AB21D485_B25C_4861_87C3_6754CE948F1C_.wvu.Rows" localSheetId="30" hidden="1">'D. Strat Goals &amp; Objs - JJ'!$11:$11</definedName>
    <definedName name="Z_AB21D485_B25C_4861_87C3_6754CE948F1C_.wvu.Rows" localSheetId="1" hidden="1">'D. Strat Goals &amp; Objs - S&amp;E-M&amp;A'!$11:$11</definedName>
    <definedName name="Z_AB21D485_B25C_4861_87C3_6754CE948F1C_.wvu.Rows" localSheetId="11" hidden="1">'D. Strat Goals &amp; Obs  - RES '!$11:$11</definedName>
    <definedName name="Z_AB21D485_B25C_4861_87C3_6754CE948F1C_.wvu.Rows" localSheetId="45" hidden="1">'D. Strat Goals &amp; Obs - CVF'!$11:$11</definedName>
    <definedName name="Z_AB21D485_B25C_4861_87C3_6754CE948F1C_.wvu.Rows" localSheetId="38" hidden="1">'D. Strat Goals &amp; Obs - PSOB '!$11:$11</definedName>
    <definedName name="Z_DA38F665_F06D_4DFB_B852_747D93BB00EF_.wvu.Cols" localSheetId="37" hidden="1">'C. Increases Offsets - PSOB '!$G:$R</definedName>
    <definedName name="Z_DA38F665_F06D_4DFB_B852_747D93BB00EF_.wvu.Cols" localSheetId="13" hidden="1">'G. 2012 Crosswalk  - RES '!$H:$J</definedName>
    <definedName name="Z_DA38F665_F06D_4DFB_B852_747D93BB00EF_.wvu.Cols" localSheetId="47" hidden="1">'G. 2012 Crosswalk - CVF'!$H:$J</definedName>
    <definedName name="Z_DA38F665_F06D_4DFB_B852_747D93BB00EF_.wvu.Cols" localSheetId="32" hidden="1">'G. 2012 Crosswalk - JJ'!$H:$J</definedName>
    <definedName name="Z_DA38F665_F06D_4DFB_B852_747D93BB00EF_.wvu.Cols" localSheetId="40" hidden="1">'G. 2012 Crosswalk - PSOB '!$H:$J</definedName>
    <definedName name="Z_DA38F665_F06D_4DFB_B852_747D93BB00EF_.wvu.Cols" localSheetId="4" hidden="1">'G. 2012 Crosswalk - S&amp;E-M&amp;A'!$H:$J</definedName>
    <definedName name="Z_DA38F665_F06D_4DFB_B852_747D93BB00EF_.wvu.Cols" localSheetId="21" hidden="1">'G. 2012 Crosswalk - SLLEA'!$H:$J</definedName>
    <definedName name="Z_DA38F665_F06D_4DFB_B852_747D93BB00EF_.wvu.Cols" localSheetId="26" hidden="1">'G. 2012 Crosswalk - W&amp;S'!$H:$J</definedName>
    <definedName name="Z_DA38F665_F06D_4DFB_B852_747D93BB00EF_.wvu.Cols" localSheetId="41" hidden="1">'J. Finan Analysis - PSOB '!$F:$Y</definedName>
    <definedName name="Z_DA38F665_F06D_4DFB_B852_747D93BB00EF_.wvu.PrintArea" localSheetId="43" hidden="1">'B. Summ of Reqs - CVF '!$A$1:$X$78</definedName>
    <definedName name="Z_DA38F665_F06D_4DFB_B852_747D93BB00EF_.wvu.PrintArea" localSheetId="28" hidden="1">'B. Summ of Reqs - JJ '!$A$1:$X$93</definedName>
    <definedName name="Z_DA38F665_F06D_4DFB_B852_747D93BB00EF_.wvu.PrintArea" localSheetId="36" hidden="1">'B. Summ of Reqs - PSOB '!$A$1:$X$55</definedName>
    <definedName name="Z_DA38F665_F06D_4DFB_B852_747D93BB00EF_.wvu.PrintArea" localSheetId="9" hidden="1">'B. Summ of Reqs - RES '!$A$1:$X$79</definedName>
    <definedName name="Z_DA38F665_F06D_4DFB_B852_747D93BB00EF_.wvu.PrintArea" localSheetId="0" hidden="1">'B. Summ of Reqs - S&amp;E-M&amp;A '!$A$1:$X$72</definedName>
    <definedName name="Z_DA38F665_F06D_4DFB_B852_747D93BB00EF_.wvu.PrintArea" localSheetId="17" hidden="1">'B. Summ of Reqs -SLLEA '!$A$1:$X$166</definedName>
    <definedName name="Z_DA38F665_F06D_4DFB_B852_747D93BB00EF_.wvu.PrintArea" localSheetId="10" hidden="1">'C. Increases Offsets  - RES '!$A$1:$G$16</definedName>
    <definedName name="Z_DA38F665_F06D_4DFB_B852_747D93BB00EF_.wvu.PrintArea" localSheetId="44" hidden="1">'C. Increases Offsets - CVF'!$A$1:$G$17</definedName>
    <definedName name="Z_DA38F665_F06D_4DFB_B852_747D93BB00EF_.wvu.PrintArea" localSheetId="29" hidden="1">'C. Increases Offsets - JJ'!$A$1:$G$27</definedName>
    <definedName name="Z_DA38F665_F06D_4DFB_B852_747D93BB00EF_.wvu.PrintArea" localSheetId="37" hidden="1">'C. Increases Offsets - PSOB '!$A$1:$S$16</definedName>
    <definedName name="Z_DA38F665_F06D_4DFB_B852_747D93BB00EF_.wvu.PrintArea" localSheetId="18" hidden="1">'C. Increases Offsets - SLLEA'!$A$1:$G$44</definedName>
    <definedName name="Z_DA38F665_F06D_4DFB_B852_747D93BB00EF_.wvu.PrintArea" localSheetId="30" hidden="1">'D. Strat Goals &amp; Objs - JJ'!$A$1:$P$40</definedName>
    <definedName name="Z_DA38F665_F06D_4DFB_B852_747D93BB00EF_.wvu.PrintArea" localSheetId="1" hidden="1">'D. Strat Goals &amp; Objs - S&amp;E-M&amp;A'!$A$1:$P$39</definedName>
    <definedName name="Z_DA38F665_F06D_4DFB_B852_747D93BB00EF_.wvu.PrintArea" localSheetId="11" hidden="1">'D. Strat Goals &amp; Obs  - RES '!$A$1:$P$39</definedName>
    <definedName name="Z_DA38F665_F06D_4DFB_B852_747D93BB00EF_.wvu.PrintArea" localSheetId="45" hidden="1">'D. Strat Goals &amp; Obs - CVF'!$A$1:$P$36</definedName>
    <definedName name="Z_DA38F665_F06D_4DFB_B852_747D93BB00EF_.wvu.PrintArea" localSheetId="38" hidden="1">'D. Strat Goals &amp; Obs - PSOB '!$A$1:$P$36</definedName>
    <definedName name="Z_DA38F665_F06D_4DFB_B852_747D93BB00EF_.wvu.PrintArea" localSheetId="19" hidden="1">'D. Strat Goals &amp; Obs - SLLEA'!$A$1:$P$40</definedName>
    <definedName name="Z_DA38F665_F06D_4DFB_B852_747D93BB00EF_.wvu.PrintArea" localSheetId="2" hidden="1">'E. ATB Justification - S&amp;E-M&amp;A'!$A$1:$I$46</definedName>
    <definedName name="Z_DA38F665_F06D_4DFB_B852_747D93BB00EF_.wvu.PrintArea" localSheetId="12" hidden="1">'F. 2011 Crosswalk  - RES '!$A$1:$O$37</definedName>
    <definedName name="Z_DA38F665_F06D_4DFB_B852_747D93BB00EF_.wvu.PrintArea" localSheetId="46" hidden="1">'F. 2011 Crosswalk - CVF'!$A$1:$O$22</definedName>
    <definedName name="Z_DA38F665_F06D_4DFB_B852_747D93BB00EF_.wvu.PrintArea" localSheetId="31" hidden="1">'F. 2011 Crosswalk - JJ'!$A$1:$O$46</definedName>
    <definedName name="Z_DA38F665_F06D_4DFB_B852_747D93BB00EF_.wvu.PrintArea" localSheetId="39" hidden="1">'F. 2011 Crosswalk - PSOB '!$A$1:$O$24</definedName>
    <definedName name="Z_DA38F665_F06D_4DFB_B852_747D93BB00EF_.wvu.PrintArea" localSheetId="3" hidden="1">'F. 2011 Crosswalk - S&amp;E-M&amp;A'!$A$1:$O$23</definedName>
    <definedName name="Z_DA38F665_F06D_4DFB_B852_747D93BB00EF_.wvu.PrintArea" localSheetId="20" hidden="1">'F. 2011 Crosswalk - SLLEA'!$A$1:$O$93</definedName>
    <definedName name="Z_DA38F665_F06D_4DFB_B852_747D93BB00EF_.wvu.PrintArea" localSheetId="25" hidden="1">'F. 2011 Crosswalk - W&amp;S'!$A$1:$O$21</definedName>
    <definedName name="Z_DA38F665_F06D_4DFB_B852_747D93BB00EF_.wvu.PrintArea" localSheetId="13" hidden="1">'G. 2012 Crosswalk  - RES '!$A$1:$R$33</definedName>
    <definedName name="Z_DA38F665_F06D_4DFB_B852_747D93BB00EF_.wvu.PrintArea" localSheetId="47" hidden="1">'G. 2012 Crosswalk - CVF'!$A$1:$R$20</definedName>
    <definedName name="Z_DA38F665_F06D_4DFB_B852_747D93BB00EF_.wvu.PrintArea" localSheetId="32" hidden="1">'G. 2012 Crosswalk - JJ'!$A$1:$R$37</definedName>
    <definedName name="Z_DA38F665_F06D_4DFB_B852_747D93BB00EF_.wvu.PrintArea" localSheetId="40" hidden="1">'G. 2012 Crosswalk - PSOB '!$A$1:$R$23</definedName>
    <definedName name="Z_DA38F665_F06D_4DFB_B852_747D93BB00EF_.wvu.PrintArea" localSheetId="4" hidden="1">'G. 2012 Crosswalk - S&amp;E-M&amp;A'!$A$1:$R$20</definedName>
    <definedName name="Z_DA38F665_F06D_4DFB_B852_747D93BB00EF_.wvu.PrintArea" localSheetId="21" hidden="1">'G. 2012 Crosswalk - SLLEA'!$A$1:$R$95</definedName>
    <definedName name="Z_DA38F665_F06D_4DFB_B852_747D93BB00EF_.wvu.PrintArea" localSheetId="26" hidden="1">'G. 2012 Crosswalk - W&amp;S'!$A$1:$R$22</definedName>
    <definedName name="Z_DA38F665_F06D_4DFB_B852_747D93BB00EF_.wvu.PrintArea" localSheetId="14" hidden="1">'H. Reimb Resources  - RES '!$A$1:$N$13</definedName>
    <definedName name="Z_DA38F665_F06D_4DFB_B852_747D93BB00EF_.wvu.PrintArea" localSheetId="33" hidden="1">'H. Reimb Resources - JJ'!$A$1:$N$15</definedName>
    <definedName name="Z_DA38F665_F06D_4DFB_B852_747D93BB00EF_.wvu.PrintArea" localSheetId="5" hidden="1">'H. Reimb Resources - S&amp;E-M&amp;A'!$A$1:$N$20</definedName>
    <definedName name="Z_DA38F665_F06D_4DFB_B852_747D93BB00EF_.wvu.PrintArea" localSheetId="22" hidden="1">'H. Reimb Resources - SLLEA'!$A$1:$N$18</definedName>
    <definedName name="Z_DA38F665_F06D_4DFB_B852_747D93BB00EF_.wvu.PrintArea" localSheetId="6" hidden="1">'I. Perm Positions - S&amp;E-M&amp;A'!$A$1:$K$32</definedName>
    <definedName name="Z_DA38F665_F06D_4DFB_B852_747D93BB00EF_.wvu.PrintArea" localSheetId="15" hidden="1">'J. Finan Analysis  - RES '!$A$1:$I$17</definedName>
    <definedName name="Z_DA38F665_F06D_4DFB_B852_747D93BB00EF_.wvu.PrintArea" localSheetId="48" hidden="1">'J. Finan Analysis - CVF'!$A$1:$G$17</definedName>
    <definedName name="Z_DA38F665_F06D_4DFB_B852_747D93BB00EF_.wvu.PrintArea" localSheetId="34" hidden="1">'J. Finan Analysis - JJ'!$A$1:$S$17</definedName>
    <definedName name="Z_DA38F665_F06D_4DFB_B852_747D93BB00EF_.wvu.PrintArea" localSheetId="41" hidden="1">'J. Finan Analysis - PSOB '!$A$1:$Y$12</definedName>
    <definedName name="Z_DA38F665_F06D_4DFB_B852_747D93BB00EF_.wvu.PrintArea" localSheetId="23" hidden="1">'J. Finan Analysis - SLLEA'!$A$1:$O$61</definedName>
    <definedName name="Z_DA38F665_F06D_4DFB_B852_747D93BB00EF_.wvu.PrintArea" localSheetId="7" hidden="1">'K. Summ by Grade - S&amp;E-M&amp;A'!$A$1:$I$29</definedName>
    <definedName name="Z_DA38F665_F06D_4DFB_B852_747D93BB00EF_.wvu.PrintArea" localSheetId="16" hidden="1">'L. Summ by Ob Class  - RES '!$A$1:$I$43</definedName>
    <definedName name="Z_DA38F665_F06D_4DFB_B852_747D93BB00EF_.wvu.PrintArea" localSheetId="8" hidden="1">'L. Summ by Ob Class  - S&amp;E-M&amp;A '!$A$1:$I$43</definedName>
    <definedName name="Z_DA38F665_F06D_4DFB_B852_747D93BB00EF_.wvu.PrintArea" localSheetId="35" hidden="1">'L. Summ by Ob Class - JJ'!$A$1:$I$47</definedName>
    <definedName name="Z_DA38F665_F06D_4DFB_B852_747D93BB00EF_.wvu.PrintArea" localSheetId="42" hidden="1">'L. Summ by Ob Class - PSOB '!$A$1:$I$44</definedName>
    <definedName name="Z_DA38F665_F06D_4DFB_B852_747D93BB00EF_.wvu.PrintArea" localSheetId="49" hidden="1">'L. Summ by Object Class - CVF'!$A$1:$I$50</definedName>
    <definedName name="Z_DA38F665_F06D_4DFB_B852_747D93BB00EF_.wvu.PrintArea" localSheetId="24" hidden="1">'L. Summ by Object Class - SLLEA'!$A$1:$I$47</definedName>
    <definedName name="Z_DA38F665_F06D_4DFB_B852_747D93BB00EF_.wvu.PrintArea" localSheetId="27" hidden="1">'L. Summ by Object Class - W&amp;S'!$A$1:$I$43</definedName>
    <definedName name="Z_DA38F665_F06D_4DFB_B852_747D93BB00EF_.wvu.PrintArea" localSheetId="50" hidden="1">'M. Studies'!$A$1:$J$41</definedName>
    <definedName name="Z_DA38F665_F06D_4DFB_B852_747D93BB00EF_.wvu.PrintArea" localSheetId="51" hidden="1">'N. Summary of Program Changes'!$A$1:$F$179</definedName>
    <definedName name="Z_DA38F665_F06D_4DFB_B852_747D93BB00EF_.wvu.PrintTitles" localSheetId="17" hidden="1">'B. Summ of Reqs -SLLEA '!$1:$7</definedName>
    <definedName name="Z_DA38F665_F06D_4DFB_B852_747D93BB00EF_.wvu.PrintTitles" localSheetId="20" hidden="1">'F. 2011 Crosswalk - SLLEA'!$1:$10</definedName>
    <definedName name="Z_DA38F665_F06D_4DFB_B852_747D93BB00EF_.wvu.PrintTitles" localSheetId="21" hidden="1">'G. 2012 Crosswalk - SLLEA'!$1:$10</definedName>
    <definedName name="Z_DA38F665_F06D_4DFB_B852_747D93BB00EF_.wvu.PrintTitles" localSheetId="51" hidden="1">'N. Summary of Program Changes'!$1:$1</definedName>
    <definedName name="Z_DA38F665_F06D_4DFB_B852_747D93BB00EF_.wvu.Rows" localSheetId="30" hidden="1">'D. Strat Goals &amp; Objs - JJ'!$11:$11</definedName>
    <definedName name="Z_DA38F665_F06D_4DFB_B852_747D93BB00EF_.wvu.Rows" localSheetId="1" hidden="1">'D. Strat Goals &amp; Objs - S&amp;E-M&amp;A'!$11:$11</definedName>
    <definedName name="Z_DA38F665_F06D_4DFB_B852_747D93BB00EF_.wvu.Rows" localSheetId="11" hidden="1">'D. Strat Goals &amp; Obs  - RES '!$11:$11</definedName>
    <definedName name="Z_DA38F665_F06D_4DFB_B852_747D93BB00EF_.wvu.Rows" localSheetId="45" hidden="1">'D. Strat Goals &amp; Obs - CVF'!$11:$11</definedName>
    <definedName name="Z_DA38F665_F06D_4DFB_B852_747D93BB00EF_.wvu.Rows" localSheetId="38" hidden="1">'D. Strat Goals &amp; Obs - PSOB '!$11:$11</definedName>
    <definedName name="Z_DA38F665_F06D_4DFB_B852_747D93BB00EF_.wvu.Rows" localSheetId="19" hidden="1">'D. Strat Goals &amp; Obs - SLLEA'!$11:$11</definedName>
    <definedName name="Z_DA38F665_F06D_4DFB_B852_747D93BB00EF_.wvu.Rows" localSheetId="2" hidden="1">'E. ATB Justification - S&amp;E-M&amp;A'!$10:$13</definedName>
    <definedName name="Z_DA38F665_F06D_4DFB_B852_747D93BB00EF_.wvu.Rows" localSheetId="39" hidden="1">'F. 2011 Crosswalk - PSOB '!$15:$20</definedName>
    <definedName name="Z_DF1C4B63_5324_4ABC_B4AE_6180B349BED7_.wvu.Cols" localSheetId="21" hidden="1">'G. 2012 Crosswalk - SLLEA'!$H:$J</definedName>
    <definedName name="Z_DF1C4B63_5324_4ABC_B4AE_6180B349BED7_.wvu.Cols" localSheetId="24" hidden="1">'L. Summ by Object Class - SLLEA'!#REF!</definedName>
    <definedName name="Z_DF1C4B63_5324_4ABC_B4AE_6180B349BED7_.wvu.PrintArea" localSheetId="17" hidden="1">'B. Summ of Reqs -SLLEA '!$A$1:$X$166</definedName>
    <definedName name="Z_DF1C4B63_5324_4ABC_B4AE_6180B349BED7_.wvu.PrintArea" localSheetId="18" hidden="1">'C. Increases Offsets - SLLEA'!$A$1:$G$44</definedName>
    <definedName name="Z_DF1C4B63_5324_4ABC_B4AE_6180B349BED7_.wvu.PrintArea" localSheetId="19" hidden="1">'D. Strat Goals &amp; Obs - SLLEA'!$A$1:$P$40</definedName>
    <definedName name="Z_DF1C4B63_5324_4ABC_B4AE_6180B349BED7_.wvu.PrintArea" localSheetId="20" hidden="1">'F. 2011 Crosswalk - SLLEA'!$A$1:$O$95</definedName>
    <definedName name="Z_DF1C4B63_5324_4ABC_B4AE_6180B349BED7_.wvu.PrintArea" localSheetId="21" hidden="1">'G. 2012 Crosswalk - SLLEA'!$A$1:$R$94</definedName>
    <definedName name="Z_DF1C4B63_5324_4ABC_B4AE_6180B349BED7_.wvu.PrintArea" localSheetId="22" hidden="1">'H. Reimb Resources - SLLEA'!$A$1:$N$21</definedName>
    <definedName name="Z_DF1C4B63_5324_4ABC_B4AE_6180B349BED7_.wvu.PrintArea" localSheetId="23" hidden="1">'J. Finan Analysis - SLLEA'!$A$1:$O$19</definedName>
    <definedName name="Z_DF1C4B63_5324_4ABC_B4AE_6180B349BED7_.wvu.PrintArea" localSheetId="24" hidden="1">'L. Summ by Object Class - SLLEA'!$A$1:$I$47</definedName>
    <definedName name="Z_DF1C4B63_5324_4ABC_B4AE_6180B349BED7_.wvu.Rows" localSheetId="19" hidden="1">'D. Strat Goals &amp; Obs - SLLEA'!$11:$11</definedName>
    <definedName name="Z_F6772377_6B25_4EEA_B255_4C2F62B37855_.wvu.Cols" localSheetId="37" hidden="1">'C. Increases Offsets - PSOB '!$G:$R</definedName>
    <definedName name="Z_F6772377_6B25_4EEA_B255_4C2F62B37855_.wvu.Cols" localSheetId="13" hidden="1">'G. 2012 Crosswalk  - RES '!$H:$J</definedName>
    <definedName name="Z_F6772377_6B25_4EEA_B255_4C2F62B37855_.wvu.Cols" localSheetId="47" hidden="1">'G. 2012 Crosswalk - CVF'!$H:$J</definedName>
    <definedName name="Z_F6772377_6B25_4EEA_B255_4C2F62B37855_.wvu.Cols" localSheetId="32" hidden="1">'G. 2012 Crosswalk - JJ'!$H:$J</definedName>
    <definedName name="Z_F6772377_6B25_4EEA_B255_4C2F62B37855_.wvu.Cols" localSheetId="40" hidden="1">'G. 2012 Crosswalk - PSOB '!$H:$J</definedName>
    <definedName name="Z_F6772377_6B25_4EEA_B255_4C2F62B37855_.wvu.Cols" localSheetId="4" hidden="1">'G. 2012 Crosswalk - S&amp;E-M&amp;A'!$H:$J</definedName>
    <definedName name="Z_F6772377_6B25_4EEA_B255_4C2F62B37855_.wvu.Cols" localSheetId="21" hidden="1">'G. 2012 Crosswalk - SLLEA'!$H:$J</definedName>
    <definedName name="Z_F6772377_6B25_4EEA_B255_4C2F62B37855_.wvu.Cols" localSheetId="26" hidden="1">'G. 2012 Crosswalk - W&amp;S'!$H:$J</definedName>
    <definedName name="Z_F6772377_6B25_4EEA_B255_4C2F62B37855_.wvu.Cols" localSheetId="41" hidden="1">'J. Finan Analysis - PSOB '!$F:$Y</definedName>
    <definedName name="Z_F6772377_6B25_4EEA_B255_4C2F62B37855_.wvu.PrintArea" localSheetId="43" hidden="1">'B. Summ of Reqs - CVF '!$A$1:$X$78</definedName>
    <definedName name="Z_F6772377_6B25_4EEA_B255_4C2F62B37855_.wvu.PrintArea" localSheetId="28" hidden="1">'B. Summ of Reqs - JJ '!$A$1:$X$93</definedName>
    <definedName name="Z_F6772377_6B25_4EEA_B255_4C2F62B37855_.wvu.PrintArea" localSheetId="36" hidden="1">'B. Summ of Reqs - PSOB '!$A$1:$X$55</definedName>
    <definedName name="Z_F6772377_6B25_4EEA_B255_4C2F62B37855_.wvu.PrintArea" localSheetId="9" hidden="1">'B. Summ of Reqs - RES '!$A$1:$X$79</definedName>
    <definedName name="Z_F6772377_6B25_4EEA_B255_4C2F62B37855_.wvu.PrintArea" localSheetId="0" hidden="1">'B. Summ of Reqs - S&amp;E-M&amp;A '!$A$1:$X$72</definedName>
    <definedName name="Z_F6772377_6B25_4EEA_B255_4C2F62B37855_.wvu.PrintArea" localSheetId="17" hidden="1">'B. Summ of Reqs -SLLEA '!$A$1:$X$166</definedName>
    <definedName name="Z_F6772377_6B25_4EEA_B255_4C2F62B37855_.wvu.PrintArea" localSheetId="10" hidden="1">'C. Increases Offsets  - RES '!$A$1:$G$16</definedName>
    <definedName name="Z_F6772377_6B25_4EEA_B255_4C2F62B37855_.wvu.PrintArea" localSheetId="44" hidden="1">'C. Increases Offsets - CVF'!$A$1:$G$17</definedName>
    <definedName name="Z_F6772377_6B25_4EEA_B255_4C2F62B37855_.wvu.PrintArea" localSheetId="29" hidden="1">'C. Increases Offsets - JJ'!$A$1:$G$27</definedName>
    <definedName name="Z_F6772377_6B25_4EEA_B255_4C2F62B37855_.wvu.PrintArea" localSheetId="37" hidden="1">'C. Increases Offsets - PSOB '!$A$1:$S$16</definedName>
    <definedName name="Z_F6772377_6B25_4EEA_B255_4C2F62B37855_.wvu.PrintArea" localSheetId="18" hidden="1">'C. Increases Offsets - SLLEA'!$A$1:$G$57</definedName>
    <definedName name="Z_F6772377_6B25_4EEA_B255_4C2F62B37855_.wvu.PrintArea" localSheetId="30" hidden="1">'D. Strat Goals &amp; Objs - JJ'!$A$1:$P$40</definedName>
    <definedName name="Z_F6772377_6B25_4EEA_B255_4C2F62B37855_.wvu.PrintArea" localSheetId="1" hidden="1">'D. Strat Goals &amp; Objs - S&amp;E-M&amp;A'!$A$1:$P$39</definedName>
    <definedName name="Z_F6772377_6B25_4EEA_B255_4C2F62B37855_.wvu.PrintArea" localSheetId="11" hidden="1">'D. Strat Goals &amp; Obs  - RES '!$A$1:$P$39</definedName>
    <definedName name="Z_F6772377_6B25_4EEA_B255_4C2F62B37855_.wvu.PrintArea" localSheetId="45" hidden="1">'D. Strat Goals &amp; Obs - CVF'!$A$1:$P$42</definedName>
    <definedName name="Z_F6772377_6B25_4EEA_B255_4C2F62B37855_.wvu.PrintArea" localSheetId="38" hidden="1">'D. Strat Goals &amp; Obs - PSOB '!$A$1:$P$36</definedName>
    <definedName name="Z_F6772377_6B25_4EEA_B255_4C2F62B37855_.wvu.PrintArea" localSheetId="19" hidden="1">'D. Strat Goals &amp; Obs - SLLEA'!$A$1:$P$47</definedName>
    <definedName name="Z_F6772377_6B25_4EEA_B255_4C2F62B37855_.wvu.PrintArea" localSheetId="2" hidden="1">'E. ATB Justification - S&amp;E-M&amp;A'!$A$1:$I$46</definedName>
    <definedName name="Z_F6772377_6B25_4EEA_B255_4C2F62B37855_.wvu.PrintArea" localSheetId="12" hidden="1">'F. 2011 Crosswalk  - RES '!$A$1:$O$37</definedName>
    <definedName name="Z_F6772377_6B25_4EEA_B255_4C2F62B37855_.wvu.PrintArea" localSheetId="46" hidden="1">'F. 2011 Crosswalk - CVF'!$A$1:$O$22</definedName>
    <definedName name="Z_F6772377_6B25_4EEA_B255_4C2F62B37855_.wvu.PrintArea" localSheetId="31" hidden="1">'F. 2011 Crosswalk - JJ'!$A$1:$O$46</definedName>
    <definedName name="Z_F6772377_6B25_4EEA_B255_4C2F62B37855_.wvu.PrintArea" localSheetId="39" hidden="1">'F. 2011 Crosswalk - PSOB '!$A$1:$O$24</definedName>
    <definedName name="Z_F6772377_6B25_4EEA_B255_4C2F62B37855_.wvu.PrintArea" localSheetId="3" hidden="1">'F. 2011 Crosswalk - S&amp;E-M&amp;A'!$A$1:$O$23</definedName>
    <definedName name="Z_F6772377_6B25_4EEA_B255_4C2F62B37855_.wvu.PrintArea" localSheetId="20" hidden="1">'F. 2011 Crosswalk - SLLEA'!$A$1:$O$93</definedName>
    <definedName name="Z_F6772377_6B25_4EEA_B255_4C2F62B37855_.wvu.PrintArea" localSheetId="25" hidden="1">'F. 2011 Crosswalk - W&amp;S'!$A$1:$O$21</definedName>
    <definedName name="Z_F6772377_6B25_4EEA_B255_4C2F62B37855_.wvu.PrintArea" localSheetId="13" hidden="1">'G. 2012 Crosswalk  - RES '!$A$1:$R$33</definedName>
    <definedName name="Z_F6772377_6B25_4EEA_B255_4C2F62B37855_.wvu.PrintArea" localSheetId="47" hidden="1">'G. 2012 Crosswalk - CVF'!$A$1:$R$20</definedName>
    <definedName name="Z_F6772377_6B25_4EEA_B255_4C2F62B37855_.wvu.PrintArea" localSheetId="32" hidden="1">'G. 2012 Crosswalk - JJ'!$A$1:$R$37</definedName>
    <definedName name="Z_F6772377_6B25_4EEA_B255_4C2F62B37855_.wvu.PrintArea" localSheetId="40" hidden="1">'G. 2012 Crosswalk - PSOB '!$A$1:$R$23</definedName>
    <definedName name="Z_F6772377_6B25_4EEA_B255_4C2F62B37855_.wvu.PrintArea" localSheetId="4" hidden="1">'G. 2012 Crosswalk - S&amp;E-M&amp;A'!$A$1:$R$20</definedName>
    <definedName name="Z_F6772377_6B25_4EEA_B255_4C2F62B37855_.wvu.PrintArea" localSheetId="21" hidden="1">'G. 2012 Crosswalk - SLLEA'!$A$1:$R$95</definedName>
    <definedName name="Z_F6772377_6B25_4EEA_B255_4C2F62B37855_.wvu.PrintArea" localSheetId="26" hidden="1">'G. 2012 Crosswalk - W&amp;S'!$A$1:$R$22</definedName>
    <definedName name="Z_F6772377_6B25_4EEA_B255_4C2F62B37855_.wvu.PrintArea" localSheetId="14" hidden="1">'H. Reimb Resources  - RES '!$A$1:$N$13</definedName>
    <definedName name="Z_F6772377_6B25_4EEA_B255_4C2F62B37855_.wvu.PrintArea" localSheetId="33" hidden="1">'H. Reimb Resources - JJ'!$A$1:$N$15</definedName>
    <definedName name="Z_F6772377_6B25_4EEA_B255_4C2F62B37855_.wvu.PrintArea" localSheetId="5" hidden="1">'H. Reimb Resources - S&amp;E-M&amp;A'!$A$1:$N$20</definedName>
    <definedName name="Z_F6772377_6B25_4EEA_B255_4C2F62B37855_.wvu.PrintArea" localSheetId="22" hidden="1">'H. Reimb Resources - SLLEA'!$A$1:$N$18</definedName>
    <definedName name="Z_F6772377_6B25_4EEA_B255_4C2F62B37855_.wvu.PrintArea" localSheetId="6" hidden="1">'I. Perm Positions - S&amp;E-M&amp;A'!$A$1:$K$32</definedName>
    <definedName name="Z_F6772377_6B25_4EEA_B255_4C2F62B37855_.wvu.PrintArea" localSheetId="15" hidden="1">'J. Finan Analysis  - RES '!$A$1:$I$17</definedName>
    <definedName name="Z_F6772377_6B25_4EEA_B255_4C2F62B37855_.wvu.PrintArea" localSheetId="48" hidden="1">'J. Finan Analysis - CVF'!$A$1:$G$17</definedName>
    <definedName name="Z_F6772377_6B25_4EEA_B255_4C2F62B37855_.wvu.PrintArea" localSheetId="34" hidden="1">'J. Finan Analysis - JJ'!$A$1:$S$17</definedName>
    <definedName name="Z_F6772377_6B25_4EEA_B255_4C2F62B37855_.wvu.PrintArea" localSheetId="41" hidden="1">'J. Finan Analysis - PSOB '!$A$1:$Y$12</definedName>
    <definedName name="Z_F6772377_6B25_4EEA_B255_4C2F62B37855_.wvu.PrintArea" localSheetId="23" hidden="1">'J. Finan Analysis - SLLEA'!$A$1:$O$61</definedName>
    <definedName name="Z_F6772377_6B25_4EEA_B255_4C2F62B37855_.wvu.PrintArea" localSheetId="7" hidden="1">'K. Summ by Grade - S&amp;E-M&amp;A'!$A$1:$I$29</definedName>
    <definedName name="Z_F6772377_6B25_4EEA_B255_4C2F62B37855_.wvu.PrintArea" localSheetId="16" hidden="1">'L. Summ by Ob Class  - RES '!$A$1:$I$43</definedName>
    <definedName name="Z_F6772377_6B25_4EEA_B255_4C2F62B37855_.wvu.PrintArea" localSheetId="8" hidden="1">'L. Summ by Ob Class  - S&amp;E-M&amp;A '!$A$1:$I$43</definedName>
    <definedName name="Z_F6772377_6B25_4EEA_B255_4C2F62B37855_.wvu.PrintArea" localSheetId="35" hidden="1">'L. Summ by Ob Class - JJ'!$A$1:$I$47</definedName>
    <definedName name="Z_F6772377_6B25_4EEA_B255_4C2F62B37855_.wvu.PrintArea" localSheetId="42" hidden="1">'L. Summ by Ob Class - PSOB '!$A$1:$I$44</definedName>
    <definedName name="Z_F6772377_6B25_4EEA_B255_4C2F62B37855_.wvu.PrintArea" localSheetId="49" hidden="1">'L. Summ by Object Class - CVF'!$A$1:$I$50</definedName>
    <definedName name="Z_F6772377_6B25_4EEA_B255_4C2F62B37855_.wvu.PrintArea" localSheetId="24" hidden="1">'L. Summ by Object Class - SLLEA'!$A$1:$I$47</definedName>
    <definedName name="Z_F6772377_6B25_4EEA_B255_4C2F62B37855_.wvu.PrintArea" localSheetId="27" hidden="1">'L. Summ by Object Class - W&amp;S'!$A$1:$I$43</definedName>
    <definedName name="Z_F6772377_6B25_4EEA_B255_4C2F62B37855_.wvu.PrintArea" localSheetId="50" hidden="1">'M. Studies'!$A$1:$J$41</definedName>
    <definedName name="Z_F6772377_6B25_4EEA_B255_4C2F62B37855_.wvu.PrintArea" localSheetId="51" hidden="1">'N. Summary of Program Changes'!$A$1:$F$178</definedName>
    <definedName name="Z_F6772377_6B25_4EEA_B255_4C2F62B37855_.wvu.PrintTitles" localSheetId="17" hidden="1">'B. Summ of Reqs -SLLEA '!$1:$7</definedName>
    <definedName name="Z_F6772377_6B25_4EEA_B255_4C2F62B37855_.wvu.PrintTitles" localSheetId="20" hidden="1">'F. 2011 Crosswalk - SLLEA'!$1:$10</definedName>
    <definedName name="Z_F6772377_6B25_4EEA_B255_4C2F62B37855_.wvu.PrintTitles" localSheetId="21" hidden="1">'G. 2012 Crosswalk - SLLEA'!$1:$10</definedName>
    <definedName name="Z_F6772377_6B25_4EEA_B255_4C2F62B37855_.wvu.PrintTitles" localSheetId="51" hidden="1">'N. Summary of Program Changes'!$1:$1</definedName>
    <definedName name="Z_F6772377_6B25_4EEA_B255_4C2F62B37855_.wvu.Rows" localSheetId="30" hidden="1">'D. Strat Goals &amp; Objs - JJ'!$11:$11</definedName>
    <definedName name="Z_F6772377_6B25_4EEA_B255_4C2F62B37855_.wvu.Rows" localSheetId="1" hidden="1">'D. Strat Goals &amp; Objs - S&amp;E-M&amp;A'!$11:$11</definedName>
    <definedName name="Z_F6772377_6B25_4EEA_B255_4C2F62B37855_.wvu.Rows" localSheetId="11" hidden="1">'D. Strat Goals &amp; Obs  - RES '!$11:$11</definedName>
    <definedName name="Z_F6772377_6B25_4EEA_B255_4C2F62B37855_.wvu.Rows" localSheetId="45" hidden="1">'D. Strat Goals &amp; Obs - CVF'!$11:$11</definedName>
    <definedName name="Z_F6772377_6B25_4EEA_B255_4C2F62B37855_.wvu.Rows" localSheetId="38" hidden="1">'D. Strat Goals &amp; Obs - PSOB '!$11:$11</definedName>
    <definedName name="Z_F6772377_6B25_4EEA_B255_4C2F62B37855_.wvu.Rows" localSheetId="19" hidden="1">'D. Strat Goals &amp; Obs - SLLEA'!$11:$11</definedName>
    <definedName name="Z_F6772377_6B25_4EEA_B255_4C2F62B37855_.wvu.Rows" localSheetId="2" hidden="1">'E. ATB Justification - S&amp;E-M&amp;A'!$10:$13</definedName>
    <definedName name="Z_F6772377_6B25_4EEA_B255_4C2F62B37855_.wvu.Rows" localSheetId="39" hidden="1">'F. 2011 Crosswalk - PSOB '!$15:$20</definedName>
    <definedName name="Z_FE71BCE8_2CFB_4FC5_AE69_13623C7B8C8F_.wvu.Cols" localSheetId="51" hidden="1">'N. Summary of Program Changes'!#REF!,'N. Summary of Program Changes'!#REF!,'N. Summary of Program Changes'!#REF!,'N. Summary of Program Changes'!#REF!,'N. Summary of Program Changes'!#REF!</definedName>
    <definedName name="Z_FE71BCE8_2CFB_4FC5_AE69_13623C7B8C8F_.wvu.PrintArea" localSheetId="51" hidden="1">'N. Summary of Program Changes'!$A$1:$D$176</definedName>
    <definedName name="Z_FE71BCE8_2CFB_4FC5_AE69_13623C7B8C8F_.wvu.PrintTitles" localSheetId="51" hidden="1">'N. Summary of Program Changes'!$1:$1</definedName>
    <definedName name="Z_FE71BCE8_2CFB_4FC5_AE69_13623C7B8C8F_.wvu.Rows" localSheetId="51" hidden="1">'N. Summary of Program Changes'!#REF!,'N. Summary of Program Changes'!#REF!,'N. Summary of Program Changes'!#REF!,'N. Summary of Program Changes'!#REF!,'N. Summary of Program Changes'!#REF!,'N. Summary of Program Changes'!#REF!,'N. Summary of Program Changes'!#REF!,'N. Summary of Program Changes'!#REF!</definedName>
  </definedNames>
  <calcPr calcId="125725"/>
  <customWorkbookViews>
    <customWorkbookView name="Nyesha Newton - Personal View" guid="{DA38F665-F06D-4DFB-B852-747D93BB00EF}" mergeInterval="0" personalView="1" maximized="1" xWindow="1" yWindow="1" windowWidth="1276" windowHeight="761" tabRatio="891" activeSheetId="57" showComments="commIndAndComment"/>
    <customWorkbookView name="mschneck - Personal View" guid="{3118AF25-8423-420A-806A-487665220C68}" mergeInterval="0" personalView="1" maximized="1" xWindow="1" yWindow="1" windowWidth="1680" windowHeight="797" tabRatio="889" activeSheetId="51" showComments="commIndAndComment"/>
    <customWorkbookView name="debjones - Personal View" guid="{56C0A34E-45B4-448B-85E5-70B3A8E63333}" mergeInterval="0" personalView="1" maximized="1" xWindow="1" yWindow="1" windowWidth="1680" windowHeight="820" tabRatio="889" activeSheetId="1" showComments="commIndAndComment"/>
    <customWorkbookView name="matsatt - Personal View" guid="{4148B88B-8ED7-4FDE-9459-DEB244AD0552}" mergeInterval="0" personalView="1" maximized="1" xWindow="1" yWindow="1" windowWidth="1246" windowHeight="743" tabRatio="889" activeSheetId="1"/>
    <customWorkbookView name="mcupertino - Personal View" guid="{12C66D54-5067-4346-818B-6EAB1C8A9183}" mergeInterval="0" personalView="1" maximized="1" xWindow="1" yWindow="1" windowWidth="1280" windowHeight="833" tabRatio="889" activeSheetId="1"/>
    <customWorkbookView name="besst - Personal View" guid="{AB21D485-B25C-4861-87C3-6754CE948F1C}" mergeInterval="0" personalView="1" maximized="1" xWindow="1" yWindow="1" windowWidth="1276" windowHeight="803" tabRatio="889" activeSheetId="4"/>
    <customWorkbookView name="alamink - Personal View" guid="{4D0F9E3D-0229-48CC-A08B-F132802E9D7B}" mergeInterval="0" personalView="1" maximized="1" xWindow="1" yWindow="1" windowWidth="1276" windowHeight="764" tabRatio="891" activeSheetId="51"/>
    <customWorkbookView name="mattockc - Personal View" guid="{F6772377-6B25-4EEA-B255-4C2F62B37855}" mergeInterval="0" personalView="1" maximized="1" xWindow="1" yWindow="1" windowWidth="1276" windowHeight="803" tabRatio="891" activeSheetId="1"/>
    <customWorkbookView name="morser - Personal View" guid="{27B9C207-C13F-4981-9CED-E69585BBD779}" mergeInterval="0" personalView="1" maximized="1" xWindow="1" yWindow="1" windowWidth="1020" windowHeight="499" tabRatio="891" activeSheetId="18" showComments="commIndAndComment"/>
  </customWorkbookViews>
</workbook>
</file>

<file path=xl/calcChain.xml><?xml version="1.0" encoding="utf-8"?>
<calcChain xmlns="http://schemas.openxmlformats.org/spreadsheetml/2006/main">
  <c r="G63" i="1"/>
  <c r="I81" i="29"/>
  <c r="O36" i="32"/>
  <c r="L36"/>
  <c r="K36"/>
  <c r="D38" i="22"/>
  <c r="D86" s="1"/>
  <c r="R45"/>
  <c r="E17" i="6" l="1"/>
  <c r="E142" i="57"/>
  <c r="F138"/>
  <c r="E138"/>
  <c r="D138"/>
  <c r="I28" i="25"/>
  <c r="I29"/>
  <c r="I30"/>
  <c r="I31"/>
  <c r="I32"/>
  <c r="D87" i="57"/>
  <c r="I145" i="18"/>
  <c r="O111"/>
  <c r="X111" s="1"/>
  <c r="U145"/>
  <c r="N32" i="20"/>
  <c r="N30" s="1"/>
  <c r="L63" i="1"/>
  <c r="H60" i="24"/>
  <c r="H59"/>
  <c r="H58"/>
  <c r="H57"/>
  <c r="H56"/>
  <c r="H55"/>
  <c r="H54"/>
  <c r="O46"/>
  <c r="O45"/>
  <c r="O44"/>
  <c r="O43"/>
  <c r="O42"/>
  <c r="O41"/>
  <c r="O40"/>
  <c r="M18"/>
  <c r="M17"/>
  <c r="M16"/>
  <c r="M15"/>
  <c r="M14"/>
  <c r="M13"/>
  <c r="M12"/>
  <c r="K18"/>
  <c r="K17"/>
  <c r="K16"/>
  <c r="K15"/>
  <c r="K14"/>
  <c r="K13"/>
  <c r="K12"/>
  <c r="I46"/>
  <c r="I45"/>
  <c r="I44"/>
  <c r="I43"/>
  <c r="I42"/>
  <c r="I41"/>
  <c r="I40"/>
  <c r="N47"/>
  <c r="O47"/>
  <c r="I18"/>
  <c r="I17"/>
  <c r="I16"/>
  <c r="I15"/>
  <c r="I14"/>
  <c r="I13"/>
  <c r="I12"/>
  <c r="G12"/>
  <c r="O12"/>
  <c r="O13"/>
  <c r="O14"/>
  <c r="O15"/>
  <c r="O16"/>
  <c r="O17"/>
  <c r="O18"/>
  <c r="J19"/>
  <c r="K19"/>
  <c r="L19"/>
  <c r="M19"/>
  <c r="N19"/>
  <c r="O19"/>
  <c r="B33"/>
  <c r="C32"/>
  <c r="C31"/>
  <c r="C30"/>
  <c r="C29"/>
  <c r="C28"/>
  <c r="C27"/>
  <c r="C26"/>
  <c r="C33" s="1"/>
  <c r="E26"/>
  <c r="G26"/>
  <c r="I26"/>
  <c r="K26"/>
  <c r="M26"/>
  <c r="O26"/>
  <c r="E27"/>
  <c r="G27"/>
  <c r="I27"/>
  <c r="K27"/>
  <c r="M27"/>
  <c r="O27"/>
  <c r="E28"/>
  <c r="G28"/>
  <c r="I28"/>
  <c r="K28"/>
  <c r="M28"/>
  <c r="O28"/>
  <c r="E29"/>
  <c r="G29"/>
  <c r="I29"/>
  <c r="K29"/>
  <c r="M29"/>
  <c r="O29"/>
  <c r="E30"/>
  <c r="G30"/>
  <c r="I30"/>
  <c r="K30"/>
  <c r="M30"/>
  <c r="O30"/>
  <c r="E31"/>
  <c r="G31"/>
  <c r="I31"/>
  <c r="K31"/>
  <c r="M31"/>
  <c r="O31"/>
  <c r="E32"/>
  <c r="G32"/>
  <c r="I32"/>
  <c r="K32"/>
  <c r="M32"/>
  <c r="O32"/>
  <c r="D33"/>
  <c r="E33"/>
  <c r="F33"/>
  <c r="G33"/>
  <c r="H33"/>
  <c r="I33"/>
  <c r="J33"/>
  <c r="K33"/>
  <c r="L33"/>
  <c r="M33"/>
  <c r="N33"/>
  <c r="O33"/>
  <c r="G16" i="19"/>
  <c r="X37" i="18"/>
  <c r="E87" i="57"/>
  <c r="F40"/>
  <c r="X95" i="18"/>
  <c r="R145"/>
  <c r="X81"/>
  <c r="E128" i="57"/>
  <c r="C33" i="25"/>
  <c r="I19" i="24" l="1"/>
  <c r="N13" i="27"/>
  <c r="O72" i="22" l="1"/>
  <c r="C30" i="17"/>
  <c r="L20" i="13"/>
  <c r="L19"/>
  <c r="L18"/>
  <c r="L17"/>
  <c r="L14"/>
  <c r="L12"/>
  <c r="L22"/>
  <c r="L21"/>
  <c r="O28" i="33" l="1"/>
  <c r="R26"/>
  <c r="N28"/>
  <c r="L15" i="32" l="1"/>
  <c r="L20"/>
  <c r="O22" i="14"/>
  <c r="O21"/>
  <c r="O18"/>
  <c r="O16"/>
  <c r="O12"/>
  <c r="J12" i="13"/>
  <c r="J18"/>
  <c r="J17"/>
  <c r="J14"/>
  <c r="C41" i="36" l="1"/>
  <c r="C33"/>
  <c r="O20" i="21" l="1"/>
  <c r="O17"/>
  <c r="O18"/>
  <c r="O11"/>
  <c r="G47"/>
  <c r="G82"/>
  <c r="D83"/>
  <c r="G28"/>
  <c r="G62"/>
  <c r="G32"/>
  <c r="G60"/>
  <c r="G39"/>
  <c r="G56"/>
  <c r="G46"/>
  <c r="G44"/>
  <c r="G43"/>
  <c r="G42"/>
  <c r="G61"/>
  <c r="G37"/>
  <c r="G71"/>
  <c r="G13"/>
  <c r="O13" s="1"/>
  <c r="G14"/>
  <c r="G34"/>
  <c r="G35"/>
  <c r="G30"/>
  <c r="G26"/>
  <c r="G25"/>
  <c r="G24"/>
  <c r="G12"/>
  <c r="G29"/>
  <c r="F79" i="18" l="1"/>
  <c r="P44" i="20"/>
  <c r="P43"/>
  <c r="G52" i="19"/>
  <c r="G55"/>
  <c r="G54"/>
  <c r="G53"/>
  <c r="G51"/>
  <c r="G57" s="1"/>
  <c r="F57"/>
  <c r="F44"/>
  <c r="X156" i="18"/>
  <c r="X155"/>
  <c r="X154"/>
  <c r="X153"/>
  <c r="X152"/>
  <c r="R157"/>
  <c r="X157" s="1"/>
  <c r="X66"/>
  <c r="X16"/>
  <c r="G31" i="9" l="1"/>
  <c r="C31"/>
  <c r="G16" l="1"/>
  <c r="C36" l="1"/>
  <c r="G28" i="8" l="1"/>
  <c r="O62" i="1"/>
  <c r="X62" s="1"/>
  <c r="X38"/>
  <c r="X31"/>
  <c r="G15" i="16"/>
  <c r="G14"/>
  <c r="G13"/>
  <c r="G12"/>
  <c r="E12"/>
  <c r="E15"/>
  <c r="E14"/>
  <c r="E13"/>
  <c r="C15"/>
  <c r="C14"/>
  <c r="C13"/>
  <c r="C12"/>
  <c r="D36" i="32"/>
  <c r="E44" i="50"/>
  <c r="E38"/>
  <c r="C38"/>
  <c r="C42"/>
  <c r="C17" i="49"/>
  <c r="G15"/>
  <c r="G14"/>
  <c r="G13"/>
  <c r="G12"/>
  <c r="E16"/>
  <c r="E17" s="1"/>
  <c r="D17"/>
  <c r="O12" i="47"/>
  <c r="G16" i="49" l="1"/>
  <c r="C44" i="50"/>
  <c r="P40" i="46" l="1"/>
  <c r="R69" i="44"/>
  <c r="X69" s="1"/>
  <c r="U61"/>
  <c r="U70" s="1"/>
  <c r="R61"/>
  <c r="R70" s="1"/>
  <c r="L61"/>
  <c r="L70" s="1"/>
  <c r="I61"/>
  <c r="I70" s="1"/>
  <c r="F61"/>
  <c r="F70" s="1"/>
  <c r="X35"/>
  <c r="X32"/>
  <c r="I29" i="17"/>
  <c r="I27"/>
  <c r="I20"/>
  <c r="I19"/>
  <c r="I26"/>
  <c r="I25"/>
  <c r="I24"/>
  <c r="I23"/>
  <c r="I22"/>
  <c r="I21"/>
  <c r="G30"/>
  <c r="I15" i="16"/>
  <c r="I14"/>
  <c r="I13"/>
  <c r="I12"/>
  <c r="G14" i="13"/>
  <c r="L30" i="12"/>
  <c r="F16" i="11"/>
  <c r="G15"/>
  <c r="R69" i="10"/>
  <c r="X31"/>
  <c r="X17"/>
  <c r="R12" i="27"/>
  <c r="Q13"/>
  <c r="Q15" s="1"/>
  <c r="P13"/>
  <c r="O13"/>
  <c r="M13"/>
  <c r="L13"/>
  <c r="L15" s="1"/>
  <c r="L19" s="1"/>
  <c r="K13"/>
  <c r="J13"/>
  <c r="I13"/>
  <c r="I15" s="1"/>
  <c r="I19" s="1"/>
  <c r="H13"/>
  <c r="G13"/>
  <c r="F13"/>
  <c r="F15" s="1"/>
  <c r="F19" s="1"/>
  <c r="E13"/>
  <c r="D13"/>
  <c r="C13"/>
  <c r="C15" s="1"/>
  <c r="C19" s="1"/>
  <c r="B13"/>
  <c r="R13"/>
  <c r="A4"/>
  <c r="X36" i="44" l="1"/>
  <c r="Q19" i="27"/>
  <c r="G28" i="33"/>
  <c r="N14" i="41" l="1"/>
  <c r="O12" i="40" l="1"/>
  <c r="O13"/>
  <c r="F57" i="57"/>
  <c r="F86"/>
  <c r="F75"/>
  <c r="F66"/>
  <c r="F85"/>
  <c r="F84"/>
  <c r="F83"/>
  <c r="F82"/>
  <c r="F81"/>
  <c r="F80"/>
  <c r="F79"/>
  <c r="F78"/>
  <c r="F77"/>
  <c r="F76"/>
  <c r="F74"/>
  <c r="F73"/>
  <c r="F72"/>
  <c r="F71"/>
  <c r="F70"/>
  <c r="F69"/>
  <c r="F68"/>
  <c r="F67"/>
  <c r="F65"/>
  <c r="F64"/>
  <c r="F63"/>
  <c r="F62"/>
  <c r="F61"/>
  <c r="F60"/>
  <c r="F59"/>
  <c r="F58"/>
  <c r="F55"/>
  <c r="F54"/>
  <c r="F44"/>
  <c r="F45"/>
  <c r="F46"/>
  <c r="F47"/>
  <c r="F48"/>
  <c r="F49"/>
  <c r="F50"/>
  <c r="F51"/>
  <c r="F52"/>
  <c r="F53"/>
  <c r="F43"/>
  <c r="F42"/>
  <c r="F36"/>
  <c r="F37"/>
  <c r="F38"/>
  <c r="F39"/>
  <c r="F41"/>
  <c r="F35"/>
  <c r="F34"/>
  <c r="F32"/>
  <c r="F22"/>
  <c r="F23"/>
  <c r="F24"/>
  <c r="F25"/>
  <c r="F26"/>
  <c r="F27"/>
  <c r="F28"/>
  <c r="F29"/>
  <c r="F30"/>
  <c r="F31"/>
  <c r="F21"/>
  <c r="F87" s="1"/>
  <c r="X55" i="18"/>
  <c r="G40" i="19"/>
  <c r="F134" i="57"/>
  <c r="H46" i="3"/>
  <c r="A5" i="17"/>
  <c r="A5" i="16"/>
  <c r="A5" i="15"/>
  <c r="A5" i="14"/>
  <c r="A5" i="13"/>
  <c r="A5" i="12"/>
  <c r="A6" i="11"/>
  <c r="A52" i="1"/>
  <c r="D157" i="57"/>
  <c r="E157"/>
  <c r="C157"/>
  <c r="F156"/>
  <c r="F157" s="1"/>
  <c r="F152"/>
  <c r="D148"/>
  <c r="E148"/>
  <c r="C148"/>
  <c r="F146"/>
  <c r="F148" s="1"/>
  <c r="D142"/>
  <c r="F123"/>
  <c r="F142" s="1"/>
  <c r="W23" i="44"/>
  <c r="V23"/>
  <c r="X23"/>
  <c r="G14" i="11"/>
  <c r="G13"/>
  <c r="C142" i="57"/>
  <c r="F107"/>
  <c r="E107"/>
  <c r="D107"/>
  <c r="C107"/>
  <c r="C87"/>
  <c r="F15" i="45"/>
  <c r="L72" i="10"/>
  <c r="X18" i="1"/>
  <c r="G16" i="11" l="1"/>
  <c r="C18" i="57"/>
  <c r="C116" s="1"/>
  <c r="D18"/>
  <c r="D116" s="1"/>
  <c r="E18"/>
  <c r="F18"/>
  <c r="F116" s="1"/>
  <c r="P30" i="12"/>
  <c r="E116" i="57" l="1"/>
  <c r="E117" s="1"/>
  <c r="F125"/>
  <c r="F144"/>
  <c r="F150" s="1"/>
  <c r="C144"/>
  <c r="C150" s="1"/>
  <c r="C125"/>
  <c r="D144"/>
  <c r="D150" s="1"/>
  <c r="D125"/>
  <c r="J30" i="31"/>
  <c r="G30" i="20"/>
  <c r="L32"/>
  <c r="P32" s="1"/>
  <c r="E125" i="57" l="1"/>
  <c r="E144"/>
  <c r="E150" s="1"/>
  <c r="H10" i="6"/>
  <c r="R17" i="14"/>
  <c r="E11" i="42"/>
  <c r="A4"/>
  <c r="A5"/>
  <c r="D12"/>
  <c r="F12"/>
  <c r="H12"/>
  <c r="J12"/>
  <c r="L12"/>
  <c r="N12"/>
  <c r="R12"/>
  <c r="T12"/>
  <c r="V12"/>
  <c r="E12"/>
  <c r="G12"/>
  <c r="I12"/>
  <c r="K12"/>
  <c r="M12"/>
  <c r="O12"/>
  <c r="S12"/>
  <c r="U12"/>
  <c r="W12"/>
  <c r="P12"/>
  <c r="Q12"/>
  <c r="X11"/>
  <c r="X12" s="1"/>
  <c r="Y11"/>
  <c r="R14" i="14"/>
  <c r="R15"/>
  <c r="C12" i="42" l="1"/>
  <c r="Y12"/>
  <c r="B12"/>
  <c r="W20" i="1"/>
  <c r="V20"/>
  <c r="D38" i="20" l="1"/>
  <c r="C38" i="25"/>
  <c r="E33" i="50"/>
  <c r="E24"/>
  <c r="I16"/>
  <c r="H16"/>
  <c r="G16"/>
  <c r="F16"/>
  <c r="E16"/>
  <c r="E35" s="1"/>
  <c r="D16"/>
  <c r="C16"/>
  <c r="C35" s="1"/>
  <c r="B16"/>
  <c r="A5"/>
  <c r="A4"/>
  <c r="A4" i="49"/>
  <c r="A5"/>
  <c r="B17"/>
  <c r="F17"/>
  <c r="O13" i="48"/>
  <c r="N13"/>
  <c r="M13"/>
  <c r="L13"/>
  <c r="L15" s="1"/>
  <c r="L19" s="1"/>
  <c r="K13"/>
  <c r="J13"/>
  <c r="I13"/>
  <c r="I15" s="1"/>
  <c r="I19" s="1"/>
  <c r="H13"/>
  <c r="G13"/>
  <c r="F13"/>
  <c r="F15" s="1"/>
  <c r="F19" s="1"/>
  <c r="E13"/>
  <c r="D13"/>
  <c r="C13"/>
  <c r="C15" s="1"/>
  <c r="C19" s="1"/>
  <c r="B13"/>
  <c r="R12"/>
  <c r="R13" s="1"/>
  <c r="Q13"/>
  <c r="Q15" s="1"/>
  <c r="P13"/>
  <c r="A5"/>
  <c r="A4"/>
  <c r="L13" i="47"/>
  <c r="K13"/>
  <c r="J13"/>
  <c r="I13"/>
  <c r="I15" s="1"/>
  <c r="I19" s="1"/>
  <c r="H13"/>
  <c r="G13"/>
  <c r="F13"/>
  <c r="F15" s="1"/>
  <c r="F19" s="1"/>
  <c r="E13"/>
  <c r="D13"/>
  <c r="C13"/>
  <c r="C15" s="1"/>
  <c r="C19" s="1"/>
  <c r="B13"/>
  <c r="O13"/>
  <c r="N13"/>
  <c r="M13"/>
  <c r="A5"/>
  <c r="A4"/>
  <c r="P34" i="46"/>
  <c r="O34"/>
  <c r="N34"/>
  <c r="M34"/>
  <c r="L34"/>
  <c r="K34"/>
  <c r="J34"/>
  <c r="I34"/>
  <c r="G34"/>
  <c r="F34"/>
  <c r="D34"/>
  <c r="C34"/>
  <c r="O27"/>
  <c r="N27"/>
  <c r="M27"/>
  <c r="K27"/>
  <c r="I27"/>
  <c r="G27"/>
  <c r="F27"/>
  <c r="D27"/>
  <c r="C27"/>
  <c r="L22"/>
  <c r="L27" s="1"/>
  <c r="J22"/>
  <c r="J27" s="1"/>
  <c r="P18"/>
  <c r="O18"/>
  <c r="O36" s="1"/>
  <c r="N18"/>
  <c r="M18"/>
  <c r="M36" s="1"/>
  <c r="L18"/>
  <c r="K18"/>
  <c r="K36" s="1"/>
  <c r="J18"/>
  <c r="I18"/>
  <c r="I36" s="1"/>
  <c r="G18"/>
  <c r="F18"/>
  <c r="F36" s="1"/>
  <c r="D18"/>
  <c r="C18"/>
  <c r="C36" s="1"/>
  <c r="A5"/>
  <c r="A4"/>
  <c r="E15" i="45"/>
  <c r="D15"/>
  <c r="C15"/>
  <c r="G13"/>
  <c r="G15" s="1"/>
  <c r="A6"/>
  <c r="A5"/>
  <c r="W70" i="44"/>
  <c r="W73" s="1"/>
  <c r="V70"/>
  <c r="T70"/>
  <c r="T73" s="1"/>
  <c r="T78" s="1"/>
  <c r="S70"/>
  <c r="Q70"/>
  <c r="Q73" s="1"/>
  <c r="Q78" s="1"/>
  <c r="P70"/>
  <c r="N70"/>
  <c r="N73" s="1"/>
  <c r="N78" s="1"/>
  <c r="M70"/>
  <c r="K70"/>
  <c r="K73" s="1"/>
  <c r="K78" s="1"/>
  <c r="J70"/>
  <c r="H70"/>
  <c r="H73" s="1"/>
  <c r="H78" s="1"/>
  <c r="G70"/>
  <c r="E70"/>
  <c r="E73" s="1"/>
  <c r="E78" s="1"/>
  <c r="D70"/>
  <c r="X68"/>
  <c r="X67"/>
  <c r="X66"/>
  <c r="X65"/>
  <c r="X64"/>
  <c r="X63"/>
  <c r="O60"/>
  <c r="O61" s="1"/>
  <c r="O70" s="1"/>
  <c r="A49"/>
  <c r="X24"/>
  <c r="X17"/>
  <c r="X19" s="1"/>
  <c r="W17"/>
  <c r="W19" s="1"/>
  <c r="W25" s="1"/>
  <c r="W38" s="1"/>
  <c r="V17"/>
  <c r="V19" s="1"/>
  <c r="V25" s="1"/>
  <c r="V38" s="1"/>
  <c r="D36" i="46" l="1"/>
  <c r="D42" s="1"/>
  <c r="G36"/>
  <c r="G42" s="1"/>
  <c r="J36"/>
  <c r="J42" s="1"/>
  <c r="L36"/>
  <c r="L42" s="1"/>
  <c r="N36"/>
  <c r="N42" s="1"/>
  <c r="X25" i="44"/>
  <c r="G34" i="50"/>
  <c r="I34" s="1"/>
  <c r="G33"/>
  <c r="I33" s="1"/>
  <c r="G27"/>
  <c r="G25"/>
  <c r="G26"/>
  <c r="G24"/>
  <c r="I24" s="1"/>
  <c r="G17" i="49"/>
  <c r="Q19" i="48"/>
  <c r="N19" i="47"/>
  <c r="P22" i="46"/>
  <c r="P27" s="1"/>
  <c r="P36" s="1"/>
  <c r="P42" s="1"/>
  <c r="W78" i="44"/>
  <c r="X60"/>
  <c r="X61" s="1"/>
  <c r="X70" s="1"/>
  <c r="X37" l="1"/>
  <c r="X38"/>
  <c r="I27" i="50"/>
  <c r="G35"/>
  <c r="G38" s="1"/>
  <c r="G44" s="1"/>
  <c r="I26"/>
  <c r="I25"/>
  <c r="I35" l="1"/>
  <c r="I33" i="43" l="1"/>
  <c r="G16"/>
  <c r="G34" s="1"/>
  <c r="G38" s="1"/>
  <c r="F16"/>
  <c r="E16"/>
  <c r="D16"/>
  <c r="C16"/>
  <c r="C34" s="1"/>
  <c r="C38" s="1"/>
  <c r="B16"/>
  <c r="A5"/>
  <c r="A4"/>
  <c r="O14" i="41"/>
  <c r="M14"/>
  <c r="L14"/>
  <c r="L16" s="1"/>
  <c r="L20" s="1"/>
  <c r="K14"/>
  <c r="J14"/>
  <c r="I14"/>
  <c r="I16" s="1"/>
  <c r="I20" s="1"/>
  <c r="H14"/>
  <c r="G14"/>
  <c r="F14"/>
  <c r="F16" s="1"/>
  <c r="F20" s="1"/>
  <c r="E14"/>
  <c r="D14"/>
  <c r="C14"/>
  <c r="C16" s="1"/>
  <c r="C20" s="1"/>
  <c r="B14"/>
  <c r="R13"/>
  <c r="R12"/>
  <c r="Q14"/>
  <c r="Q16" s="1"/>
  <c r="P14"/>
  <c r="A5"/>
  <c r="A4"/>
  <c r="N19" i="40"/>
  <c r="N18"/>
  <c r="N15"/>
  <c r="L14"/>
  <c r="K14"/>
  <c r="J14"/>
  <c r="I14"/>
  <c r="I16" s="1"/>
  <c r="I20" s="1"/>
  <c r="H14"/>
  <c r="G14"/>
  <c r="F14"/>
  <c r="F16" s="1"/>
  <c r="F20" s="1"/>
  <c r="E14"/>
  <c r="D14"/>
  <c r="C14"/>
  <c r="C16" s="1"/>
  <c r="C20" s="1"/>
  <c r="B14"/>
  <c r="M14"/>
  <c r="A5"/>
  <c r="A4"/>
  <c r="O34" i="39"/>
  <c r="N34"/>
  <c r="M34"/>
  <c r="L34"/>
  <c r="K34"/>
  <c r="J34"/>
  <c r="I34"/>
  <c r="G34"/>
  <c r="F34"/>
  <c r="D34"/>
  <c r="C34"/>
  <c r="P30"/>
  <c r="P34" s="1"/>
  <c r="P27"/>
  <c r="O27"/>
  <c r="N27"/>
  <c r="M27"/>
  <c r="L27"/>
  <c r="K27"/>
  <c r="J27"/>
  <c r="I27"/>
  <c r="G27"/>
  <c r="F27"/>
  <c r="D27"/>
  <c r="C27"/>
  <c r="P18"/>
  <c r="O18"/>
  <c r="O36" s="1"/>
  <c r="N18"/>
  <c r="M18"/>
  <c r="M36" s="1"/>
  <c r="L18"/>
  <c r="L36" s="1"/>
  <c r="K18"/>
  <c r="K36" s="1"/>
  <c r="J18"/>
  <c r="J36" s="1"/>
  <c r="I18"/>
  <c r="I36" s="1"/>
  <c r="G18"/>
  <c r="G36" s="1"/>
  <c r="F18"/>
  <c r="F36" s="1"/>
  <c r="D18"/>
  <c r="D36" s="1"/>
  <c r="C18"/>
  <c r="C36" s="1"/>
  <c r="A5"/>
  <c r="A4"/>
  <c r="R15" i="38"/>
  <c r="Q15"/>
  <c r="P15"/>
  <c r="O15"/>
  <c r="N15"/>
  <c r="M15"/>
  <c r="L15"/>
  <c r="K15"/>
  <c r="J15"/>
  <c r="I15"/>
  <c r="H15"/>
  <c r="G15"/>
  <c r="F15"/>
  <c r="E15"/>
  <c r="D15"/>
  <c r="C15"/>
  <c r="S13"/>
  <c r="S15" s="1"/>
  <c r="A6"/>
  <c r="A5"/>
  <c r="W47" i="37"/>
  <c r="W50" s="1"/>
  <c r="V47"/>
  <c r="U47"/>
  <c r="T47"/>
  <c r="T50" s="1"/>
  <c r="T55" s="1"/>
  <c r="S47"/>
  <c r="R47"/>
  <c r="Q47"/>
  <c r="Q50" s="1"/>
  <c r="Q55" s="1"/>
  <c r="P47"/>
  <c r="O47"/>
  <c r="N47"/>
  <c r="N50" s="1"/>
  <c r="N55" s="1"/>
  <c r="M47"/>
  <c r="L47"/>
  <c r="K47"/>
  <c r="K50" s="1"/>
  <c r="K55" s="1"/>
  <c r="J47"/>
  <c r="I47"/>
  <c r="H47"/>
  <c r="H50" s="1"/>
  <c r="H55" s="1"/>
  <c r="G47"/>
  <c r="F47"/>
  <c r="E47"/>
  <c r="E50" s="1"/>
  <c r="E55" s="1"/>
  <c r="D47"/>
  <c r="X46"/>
  <c r="X45"/>
  <c r="A34"/>
  <c r="X21"/>
  <c r="X22" s="1"/>
  <c r="W21"/>
  <c r="W22" s="1"/>
  <c r="V21"/>
  <c r="V22" s="1"/>
  <c r="X17"/>
  <c r="X18" s="1"/>
  <c r="X23" s="1"/>
  <c r="X24" s="1"/>
  <c r="W17"/>
  <c r="W18" s="1"/>
  <c r="V17"/>
  <c r="V18" s="1"/>
  <c r="V23" s="1"/>
  <c r="V24" s="1"/>
  <c r="W23" l="1"/>
  <c r="W24" s="1"/>
  <c r="X47"/>
  <c r="R14" i="41"/>
  <c r="O14" i="40"/>
  <c r="N14"/>
  <c r="N16" s="1"/>
  <c r="N36" i="39"/>
  <c r="E34" i="43"/>
  <c r="I16"/>
  <c r="I34" s="1"/>
  <c r="H16"/>
  <c r="Q20" i="41"/>
  <c r="N20" i="40"/>
  <c r="P36" i="39"/>
  <c r="W55" i="37"/>
  <c r="E38" i="43" l="1"/>
  <c r="G16" i="36" l="1"/>
  <c r="F16"/>
  <c r="E16"/>
  <c r="D16"/>
  <c r="C16"/>
  <c r="C34" s="1"/>
  <c r="B16"/>
  <c r="A5"/>
  <c r="A4"/>
  <c r="Q17" i="35"/>
  <c r="P17"/>
  <c r="O17"/>
  <c r="N17"/>
  <c r="M17"/>
  <c r="L17"/>
  <c r="K17"/>
  <c r="J17"/>
  <c r="I17"/>
  <c r="H17"/>
  <c r="G17"/>
  <c r="F17"/>
  <c r="E17"/>
  <c r="D17"/>
  <c r="C17"/>
  <c r="B17"/>
  <c r="S16"/>
  <c r="S15"/>
  <c r="S14"/>
  <c r="S13"/>
  <c r="S12"/>
  <c r="S17" s="1"/>
  <c r="R17"/>
  <c r="A5"/>
  <c r="A4"/>
  <c r="K12" i="34"/>
  <c r="J12"/>
  <c r="I12"/>
  <c r="H12"/>
  <c r="G12"/>
  <c r="F12"/>
  <c r="E12"/>
  <c r="D12"/>
  <c r="C12"/>
  <c r="N10"/>
  <c r="N12" s="1"/>
  <c r="M12"/>
  <c r="L12"/>
  <c r="A5"/>
  <c r="A4"/>
  <c r="M28" i="33"/>
  <c r="L28"/>
  <c r="L30" s="1"/>
  <c r="L34" s="1"/>
  <c r="K28"/>
  <c r="J28"/>
  <c r="I28"/>
  <c r="I30" s="1"/>
  <c r="I34" s="1"/>
  <c r="H28"/>
  <c r="F28"/>
  <c r="F30" s="1"/>
  <c r="F34" s="1"/>
  <c r="E28"/>
  <c r="D28"/>
  <c r="C28"/>
  <c r="C30" s="1"/>
  <c r="C34" s="1"/>
  <c r="B28"/>
  <c r="R27"/>
  <c r="R25"/>
  <c r="R24"/>
  <c r="R23"/>
  <c r="R22"/>
  <c r="Q28"/>
  <c r="Q30" s="1"/>
  <c r="P28"/>
  <c r="R21"/>
  <c r="R20"/>
  <c r="R19"/>
  <c r="R18"/>
  <c r="R17"/>
  <c r="R16"/>
  <c r="R15"/>
  <c r="R14"/>
  <c r="R12"/>
  <c r="A5"/>
  <c r="A4"/>
  <c r="I36" i="32"/>
  <c r="I38" s="1"/>
  <c r="I42" s="1"/>
  <c r="H36"/>
  <c r="F36"/>
  <c r="F38" s="1"/>
  <c r="F42" s="1"/>
  <c r="E36"/>
  <c r="C36"/>
  <c r="C38" s="1"/>
  <c r="C42" s="1"/>
  <c r="B36"/>
  <c r="O35"/>
  <c r="G34"/>
  <c r="O34" s="1"/>
  <c r="G33"/>
  <c r="O32"/>
  <c r="O31"/>
  <c r="O30"/>
  <c r="O29"/>
  <c r="O28"/>
  <c r="O27"/>
  <c r="O26"/>
  <c r="O25"/>
  <c r="O24"/>
  <c r="J23"/>
  <c r="J36" s="1"/>
  <c r="K22"/>
  <c r="O22" s="1"/>
  <c r="O21"/>
  <c r="O20"/>
  <c r="O19"/>
  <c r="O18"/>
  <c r="O17"/>
  <c r="O16"/>
  <c r="O15"/>
  <c r="L14"/>
  <c r="K14"/>
  <c r="O14"/>
  <c r="O13"/>
  <c r="N36"/>
  <c r="N38" s="1"/>
  <c r="M36"/>
  <c r="O12"/>
  <c r="A5"/>
  <c r="A4"/>
  <c r="D38" i="31"/>
  <c r="D37"/>
  <c r="P36"/>
  <c r="G36"/>
  <c r="D36"/>
  <c r="N34"/>
  <c r="M34"/>
  <c r="L34"/>
  <c r="K34"/>
  <c r="G34"/>
  <c r="F34"/>
  <c r="D34"/>
  <c r="C34"/>
  <c r="P30"/>
  <c r="P34" s="1"/>
  <c r="J34"/>
  <c r="I34"/>
  <c r="N27"/>
  <c r="M27"/>
  <c r="L27"/>
  <c r="K27"/>
  <c r="G27"/>
  <c r="F27"/>
  <c r="D27"/>
  <c r="C27"/>
  <c r="J27"/>
  <c r="I27"/>
  <c r="N18"/>
  <c r="M18"/>
  <c r="M40" s="1"/>
  <c r="L18"/>
  <c r="K18"/>
  <c r="K40" s="1"/>
  <c r="G18"/>
  <c r="F18"/>
  <c r="F40" s="1"/>
  <c r="D18"/>
  <c r="C18"/>
  <c r="C40" s="1"/>
  <c r="J18"/>
  <c r="I18"/>
  <c r="I40" s="1"/>
  <c r="A5"/>
  <c r="A4"/>
  <c r="F27" i="30"/>
  <c r="E27"/>
  <c r="D27"/>
  <c r="C27"/>
  <c r="G25"/>
  <c r="G24"/>
  <c r="G23"/>
  <c r="G22"/>
  <c r="G27" s="1"/>
  <c r="F17"/>
  <c r="E17"/>
  <c r="D17"/>
  <c r="C17"/>
  <c r="G16"/>
  <c r="G15"/>
  <c r="G14"/>
  <c r="G13"/>
  <c r="G17" s="1"/>
  <c r="A6"/>
  <c r="A5"/>
  <c r="T85" i="29"/>
  <c r="T88" s="1"/>
  <c r="T93" s="1"/>
  <c r="S85"/>
  <c r="Q85"/>
  <c r="Q88" s="1"/>
  <c r="Q93" s="1"/>
  <c r="P85"/>
  <c r="N85"/>
  <c r="N88" s="1"/>
  <c r="N93" s="1"/>
  <c r="M85"/>
  <c r="K85"/>
  <c r="K88" s="1"/>
  <c r="K93" s="1"/>
  <c r="J85"/>
  <c r="H85"/>
  <c r="H88" s="1"/>
  <c r="H93" s="1"/>
  <c r="G85"/>
  <c r="E85"/>
  <c r="E88" s="1"/>
  <c r="E93" s="1"/>
  <c r="D85"/>
  <c r="U81"/>
  <c r="U85" s="1"/>
  <c r="T81"/>
  <c r="S81"/>
  <c r="R81"/>
  <c r="R85" s="1"/>
  <c r="Q81"/>
  <c r="P81"/>
  <c r="N81"/>
  <c r="M81"/>
  <c r="L81"/>
  <c r="L85" s="1"/>
  <c r="K81"/>
  <c r="J81"/>
  <c r="I85"/>
  <c r="H81"/>
  <c r="G81"/>
  <c r="F81"/>
  <c r="F85" s="1"/>
  <c r="E81"/>
  <c r="D81"/>
  <c r="X80"/>
  <c r="O79"/>
  <c r="X79" s="1"/>
  <c r="O78"/>
  <c r="X78" s="1"/>
  <c r="O77"/>
  <c r="X77" s="1"/>
  <c r="O76"/>
  <c r="X76" s="1"/>
  <c r="O75"/>
  <c r="X75" s="1"/>
  <c r="O74"/>
  <c r="X74" s="1"/>
  <c r="O73"/>
  <c r="X73" s="1"/>
  <c r="O72"/>
  <c r="X72" s="1"/>
  <c r="O71"/>
  <c r="X71" s="1"/>
  <c r="O70"/>
  <c r="X70" s="1"/>
  <c r="O69"/>
  <c r="X69" s="1"/>
  <c r="O68"/>
  <c r="X68" s="1"/>
  <c r="O67"/>
  <c r="X67" s="1"/>
  <c r="W66"/>
  <c r="W85" s="1"/>
  <c r="W88" s="1"/>
  <c r="W93" s="1"/>
  <c r="V66"/>
  <c r="V85" s="1"/>
  <c r="O66"/>
  <c r="A55"/>
  <c r="X39"/>
  <c r="W39"/>
  <c r="V39"/>
  <c r="X33"/>
  <c r="W33"/>
  <c r="V33"/>
  <c r="X25"/>
  <c r="W25"/>
  <c r="V41"/>
  <c r="X21"/>
  <c r="W21"/>
  <c r="V21"/>
  <c r="X18"/>
  <c r="W18"/>
  <c r="V18"/>
  <c r="O81" l="1"/>
  <c r="X26"/>
  <c r="V40"/>
  <c r="X40"/>
  <c r="X41" s="1"/>
  <c r="O33" i="32"/>
  <c r="G36"/>
  <c r="O23"/>
  <c r="V25" i="29"/>
  <c r="V26" s="1"/>
  <c r="V43" s="1"/>
  <c r="V44" s="1"/>
  <c r="W40"/>
  <c r="O85"/>
  <c r="D35" i="31"/>
  <c r="D40" s="1"/>
  <c r="G35"/>
  <c r="L35"/>
  <c r="L40" s="1"/>
  <c r="N35"/>
  <c r="N40" s="1"/>
  <c r="G40"/>
  <c r="E34" i="36"/>
  <c r="I33" s="1"/>
  <c r="I16"/>
  <c r="H16"/>
  <c r="Q34" i="33"/>
  <c r="R13"/>
  <c r="R28" s="1"/>
  <c r="N42" i="32"/>
  <c r="J35" i="31"/>
  <c r="J40" s="1"/>
  <c r="O18"/>
  <c r="O27"/>
  <c r="O34"/>
  <c r="P18"/>
  <c r="P27"/>
  <c r="W42" i="29"/>
  <c r="W26"/>
  <c r="W43" s="1"/>
  <c r="W44" s="1"/>
  <c r="W41"/>
  <c r="V42"/>
  <c r="X66"/>
  <c r="V81"/>
  <c r="W81"/>
  <c r="X81" l="1"/>
  <c r="X85" s="1"/>
  <c r="X43"/>
  <c r="X44"/>
  <c r="P35" i="31"/>
  <c r="P40" s="1"/>
  <c r="E41" i="36"/>
  <c r="G31"/>
  <c r="G24"/>
  <c r="O40" i="31"/>
  <c r="I31" i="36" l="1"/>
  <c r="I27"/>
  <c r="I26"/>
  <c r="I24"/>
  <c r="G34"/>
  <c r="G41" l="1"/>
  <c r="I34"/>
  <c r="G16" i="28" l="1"/>
  <c r="G33" s="1"/>
  <c r="G38" s="1"/>
  <c r="F16"/>
  <c r="E16"/>
  <c r="D16"/>
  <c r="C16"/>
  <c r="C33" s="1"/>
  <c r="C38" s="1"/>
  <c r="B16"/>
  <c r="L13" i="26"/>
  <c r="K13"/>
  <c r="J13"/>
  <c r="I13"/>
  <c r="I15" s="1"/>
  <c r="I19" s="1"/>
  <c r="H13"/>
  <c r="G13"/>
  <c r="F13"/>
  <c r="F15" s="1"/>
  <c r="F19" s="1"/>
  <c r="E13"/>
  <c r="D13"/>
  <c r="C13"/>
  <c r="C15" s="1"/>
  <c r="C19" s="1"/>
  <c r="B13"/>
  <c r="O12"/>
  <c r="O13" s="1"/>
  <c r="N13"/>
  <c r="N15" s="1"/>
  <c r="N19" s="1"/>
  <c r="M13"/>
  <c r="E33" i="28" l="1"/>
  <c r="H16"/>
  <c r="I16"/>
  <c r="I33" s="1"/>
  <c r="E38" l="1"/>
  <c r="E41" i="25" l="1"/>
  <c r="C39"/>
  <c r="E37"/>
  <c r="C37"/>
  <c r="E33"/>
  <c r="I22"/>
  <c r="I21"/>
  <c r="I20"/>
  <c r="I18"/>
  <c r="I16"/>
  <c r="H16"/>
  <c r="G16"/>
  <c r="F16"/>
  <c r="E16"/>
  <c r="D16"/>
  <c r="C16"/>
  <c r="C34" s="1"/>
  <c r="B16"/>
  <c r="A5"/>
  <c r="A4"/>
  <c r="F61" i="24"/>
  <c r="D61"/>
  <c r="B61"/>
  <c r="L47"/>
  <c r="J47"/>
  <c r="H47"/>
  <c r="D47"/>
  <c r="B47"/>
  <c r="G60"/>
  <c r="E60"/>
  <c r="M46"/>
  <c r="K46"/>
  <c r="G46"/>
  <c r="E46"/>
  <c r="C46"/>
  <c r="G59"/>
  <c r="E59"/>
  <c r="M45"/>
  <c r="K45"/>
  <c r="G45"/>
  <c r="E45"/>
  <c r="C45"/>
  <c r="G58"/>
  <c r="E58"/>
  <c r="M44"/>
  <c r="K44"/>
  <c r="G44"/>
  <c r="E44"/>
  <c r="C44"/>
  <c r="G57"/>
  <c r="E57"/>
  <c r="M43"/>
  <c r="K43"/>
  <c r="G43"/>
  <c r="E43"/>
  <c r="C43"/>
  <c r="G56"/>
  <c r="E56"/>
  <c r="M42"/>
  <c r="K42"/>
  <c r="G42"/>
  <c r="E42"/>
  <c r="C42"/>
  <c r="G55"/>
  <c r="E55"/>
  <c r="M41"/>
  <c r="K41"/>
  <c r="G41"/>
  <c r="E41"/>
  <c r="C41"/>
  <c r="H61"/>
  <c r="G54"/>
  <c r="G61" s="1"/>
  <c r="E54"/>
  <c r="M40"/>
  <c r="M47" s="1"/>
  <c r="K40"/>
  <c r="K47" s="1"/>
  <c r="I47"/>
  <c r="G40"/>
  <c r="G47" s="1"/>
  <c r="E40"/>
  <c r="E47" s="1"/>
  <c r="C40"/>
  <c r="C47" s="1"/>
  <c r="F19"/>
  <c r="D19"/>
  <c r="B19"/>
  <c r="G18"/>
  <c r="E18"/>
  <c r="C18"/>
  <c r="G17"/>
  <c r="E17"/>
  <c r="C17"/>
  <c r="G16"/>
  <c r="E16"/>
  <c r="C16"/>
  <c r="G15"/>
  <c r="E15"/>
  <c r="C15"/>
  <c r="G14"/>
  <c r="E14"/>
  <c r="C14"/>
  <c r="G13"/>
  <c r="E13"/>
  <c r="C13"/>
  <c r="E12"/>
  <c r="C12"/>
  <c r="A5"/>
  <c r="A4"/>
  <c r="M18" i="23"/>
  <c r="L18"/>
  <c r="J18"/>
  <c r="I18"/>
  <c r="G18"/>
  <c r="F18"/>
  <c r="D18"/>
  <c r="C18"/>
  <c r="E16"/>
  <c r="E13"/>
  <c r="E12"/>
  <c r="E10"/>
  <c r="E18" s="1"/>
  <c r="A5"/>
  <c r="A4"/>
  <c r="M86" i="22"/>
  <c r="L86"/>
  <c r="L88" s="1"/>
  <c r="L92" s="1"/>
  <c r="K86"/>
  <c r="J86"/>
  <c r="I86"/>
  <c r="I88" s="1"/>
  <c r="I92" s="1"/>
  <c r="H86"/>
  <c r="F86"/>
  <c r="F88" s="1"/>
  <c r="F92" s="1"/>
  <c r="E86"/>
  <c r="C86"/>
  <c r="C88" s="1"/>
  <c r="C92" s="1"/>
  <c r="B86"/>
  <c r="G85"/>
  <c r="G86" s="1"/>
  <c r="O84"/>
  <c r="N84"/>
  <c r="R84" s="1"/>
  <c r="R83"/>
  <c r="R82"/>
  <c r="R81"/>
  <c r="O80"/>
  <c r="N80"/>
  <c r="R79"/>
  <c r="R78"/>
  <c r="R77"/>
  <c r="R76"/>
  <c r="R75"/>
  <c r="R74"/>
  <c r="R73"/>
  <c r="R72"/>
  <c r="R71"/>
  <c r="R70"/>
  <c r="R69"/>
  <c r="R68"/>
  <c r="R67"/>
  <c r="R66"/>
  <c r="R65"/>
  <c r="R64"/>
  <c r="R63"/>
  <c r="R62"/>
  <c r="R61"/>
  <c r="R60"/>
  <c r="R59"/>
  <c r="R58"/>
  <c r="R57"/>
  <c r="R56"/>
  <c r="R55"/>
  <c r="R54"/>
  <c r="R53"/>
  <c r="R52"/>
  <c r="R51"/>
  <c r="R50"/>
  <c r="R49"/>
  <c r="R48"/>
  <c r="R47"/>
  <c r="R46"/>
  <c r="R44"/>
  <c r="R43"/>
  <c r="R42"/>
  <c r="N41"/>
  <c r="R41" s="1"/>
  <c r="N40"/>
  <c r="R40" s="1"/>
  <c r="R39"/>
  <c r="N38"/>
  <c r="R38" s="1"/>
  <c r="R37"/>
  <c r="R36"/>
  <c r="R35"/>
  <c r="R34"/>
  <c r="R33"/>
  <c r="R32"/>
  <c r="R31"/>
  <c r="R30"/>
  <c r="R29"/>
  <c r="R28"/>
  <c r="R27"/>
  <c r="R26"/>
  <c r="R25"/>
  <c r="R24"/>
  <c r="R23"/>
  <c r="R22"/>
  <c r="R21"/>
  <c r="R20"/>
  <c r="R18"/>
  <c r="R17"/>
  <c r="R16"/>
  <c r="R15"/>
  <c r="R14"/>
  <c r="R13"/>
  <c r="O12"/>
  <c r="R11"/>
  <c r="Q11"/>
  <c r="Q86" s="1"/>
  <c r="Q88" s="1"/>
  <c r="Q92" s="1"/>
  <c r="P11"/>
  <c r="P86" s="1"/>
  <c r="A5"/>
  <c r="A4"/>
  <c r="N83" i="21"/>
  <c r="N85" s="1"/>
  <c r="M83"/>
  <c r="K83"/>
  <c r="J83"/>
  <c r="I83"/>
  <c r="I85" s="1"/>
  <c r="I89" s="1"/>
  <c r="H83"/>
  <c r="F83"/>
  <c r="F85" s="1"/>
  <c r="F89" s="1"/>
  <c r="E83"/>
  <c r="C83"/>
  <c r="C85" s="1"/>
  <c r="C89" s="1"/>
  <c r="B83"/>
  <c r="O82"/>
  <c r="O81"/>
  <c r="G80"/>
  <c r="O80" s="1"/>
  <c r="O79"/>
  <c r="O78"/>
  <c r="G77"/>
  <c r="G83" s="1"/>
  <c r="O76"/>
  <c r="O75"/>
  <c r="O74"/>
  <c r="O73"/>
  <c r="O72"/>
  <c r="O71"/>
  <c r="O70"/>
  <c r="O69"/>
  <c r="O68"/>
  <c r="O67"/>
  <c r="O66"/>
  <c r="O65"/>
  <c r="O64"/>
  <c r="O63"/>
  <c r="O62"/>
  <c r="O61"/>
  <c r="O60"/>
  <c r="O59"/>
  <c r="O58"/>
  <c r="O57"/>
  <c r="O56"/>
  <c r="O55"/>
  <c r="O54"/>
  <c r="O53"/>
  <c r="O52"/>
  <c r="O51"/>
  <c r="O50"/>
  <c r="O49"/>
  <c r="O48"/>
  <c r="O47"/>
  <c r="O45"/>
  <c r="O44"/>
  <c r="O43"/>
  <c r="O42"/>
  <c r="O41"/>
  <c r="O40"/>
  <c r="O38"/>
  <c r="O37"/>
  <c r="O36"/>
  <c r="O35"/>
  <c r="O33"/>
  <c r="O31"/>
  <c r="O30"/>
  <c r="O29"/>
  <c r="O28"/>
  <c r="O27"/>
  <c r="O26"/>
  <c r="O25"/>
  <c r="O23"/>
  <c r="O22"/>
  <c r="O21"/>
  <c r="O19"/>
  <c r="O15"/>
  <c r="O14"/>
  <c r="A5"/>
  <c r="A4"/>
  <c r="D37" i="20"/>
  <c r="M34"/>
  <c r="K34"/>
  <c r="G34"/>
  <c r="F34"/>
  <c r="C34"/>
  <c r="I34"/>
  <c r="N27"/>
  <c r="M27"/>
  <c r="L27"/>
  <c r="K27"/>
  <c r="G27"/>
  <c r="F27"/>
  <c r="C27"/>
  <c r="P22"/>
  <c r="P27" s="1"/>
  <c r="I27"/>
  <c r="N18"/>
  <c r="M18"/>
  <c r="L18"/>
  <c r="K18"/>
  <c r="G18"/>
  <c r="G35" s="1"/>
  <c r="G40" s="1"/>
  <c r="G47" s="1"/>
  <c r="F18"/>
  <c r="D18"/>
  <c r="C18"/>
  <c r="J18"/>
  <c r="I18"/>
  <c r="A5"/>
  <c r="A4"/>
  <c r="A3"/>
  <c r="N34"/>
  <c r="E44" i="19"/>
  <c r="D44"/>
  <c r="C44"/>
  <c r="G42"/>
  <c r="G41"/>
  <c r="G39"/>
  <c r="G38"/>
  <c r="G37"/>
  <c r="G36"/>
  <c r="G35"/>
  <c r="G34"/>
  <c r="G33"/>
  <c r="G32"/>
  <c r="G31"/>
  <c r="G30"/>
  <c r="G29"/>
  <c r="G28"/>
  <c r="G27"/>
  <c r="F22"/>
  <c r="E22"/>
  <c r="D22"/>
  <c r="C22"/>
  <c r="G20"/>
  <c r="G19"/>
  <c r="G18"/>
  <c r="G17"/>
  <c r="G15"/>
  <c r="G14"/>
  <c r="G13"/>
  <c r="A6"/>
  <c r="A5"/>
  <c r="W150" i="18"/>
  <c r="W158" s="1"/>
  <c r="V150"/>
  <c r="V158" s="1"/>
  <c r="T150"/>
  <c r="T158" s="1"/>
  <c r="S150"/>
  <c r="S158" s="1"/>
  <c r="Q150"/>
  <c r="Q158" s="1"/>
  <c r="P150"/>
  <c r="P158" s="1"/>
  <c r="N150"/>
  <c r="N158" s="1"/>
  <c r="M150"/>
  <c r="M158" s="1"/>
  <c r="K150"/>
  <c r="K158" s="1"/>
  <c r="J150"/>
  <c r="J158" s="1"/>
  <c r="H150"/>
  <c r="H158" s="1"/>
  <c r="G150"/>
  <c r="G158" s="1"/>
  <c r="E150"/>
  <c r="E158" s="1"/>
  <c r="D150"/>
  <c r="D158" s="1"/>
  <c r="I146"/>
  <c r="U150"/>
  <c r="U158" s="1"/>
  <c r="R150"/>
  <c r="R158" s="1"/>
  <c r="L145"/>
  <c r="L150" s="1"/>
  <c r="L158" s="1"/>
  <c r="I150"/>
  <c r="I158" s="1"/>
  <c r="O144"/>
  <c r="J22" i="20" s="1"/>
  <c r="J27" s="1"/>
  <c r="F144" i="18"/>
  <c r="D22" i="20" s="1"/>
  <c r="D27" s="1"/>
  <c r="O143" i="18"/>
  <c r="X143" s="1"/>
  <c r="F143"/>
  <c r="O142"/>
  <c r="X142" s="1"/>
  <c r="F142"/>
  <c r="O141"/>
  <c r="X141" s="1"/>
  <c r="F141"/>
  <c r="O140"/>
  <c r="X140" s="1"/>
  <c r="F140"/>
  <c r="O139"/>
  <c r="X139" s="1"/>
  <c r="F139"/>
  <c r="O138"/>
  <c r="X138" s="1"/>
  <c r="F138"/>
  <c r="O137"/>
  <c r="X137" s="1"/>
  <c r="F137"/>
  <c r="O136"/>
  <c r="X136" s="1"/>
  <c r="O135"/>
  <c r="X135" s="1"/>
  <c r="F135"/>
  <c r="O134"/>
  <c r="X134" s="1"/>
  <c r="F134"/>
  <c r="O133"/>
  <c r="X133" s="1"/>
  <c r="O132"/>
  <c r="X132" s="1"/>
  <c r="F132"/>
  <c r="O131"/>
  <c r="X131" s="1"/>
  <c r="F131"/>
  <c r="O130"/>
  <c r="X130" s="1"/>
  <c r="F130"/>
  <c r="O129"/>
  <c r="X129" s="1"/>
  <c r="F129"/>
  <c r="O128"/>
  <c r="X128" s="1"/>
  <c r="F128"/>
  <c r="O127"/>
  <c r="F127"/>
  <c r="O123"/>
  <c r="X123" s="1"/>
  <c r="F123"/>
  <c r="O122"/>
  <c r="X122" s="1"/>
  <c r="F122"/>
  <c r="O121"/>
  <c r="X121" s="1"/>
  <c r="O120"/>
  <c r="X120" s="1"/>
  <c r="F120"/>
  <c r="O119"/>
  <c r="X119" s="1"/>
  <c r="F119"/>
  <c r="O118"/>
  <c r="X118" s="1"/>
  <c r="F118"/>
  <c r="O117"/>
  <c r="X117" s="1"/>
  <c r="F117"/>
  <c r="O116"/>
  <c r="X116" s="1"/>
  <c r="F116"/>
  <c r="O115"/>
  <c r="X115" s="1"/>
  <c r="F115"/>
  <c r="O114"/>
  <c r="X114" s="1"/>
  <c r="F114"/>
  <c r="O113"/>
  <c r="X113" s="1"/>
  <c r="F113"/>
  <c r="O112"/>
  <c r="X112" s="1"/>
  <c r="O110"/>
  <c r="X110" s="1"/>
  <c r="O109"/>
  <c r="X109" s="1"/>
  <c r="O108"/>
  <c r="X108" s="1"/>
  <c r="O107"/>
  <c r="X107" s="1"/>
  <c r="F107"/>
  <c r="O106"/>
  <c r="X106" s="1"/>
  <c r="F106"/>
  <c r="O105"/>
  <c r="X105" s="1"/>
  <c r="O104"/>
  <c r="X104" s="1"/>
  <c r="F104"/>
  <c r="O103"/>
  <c r="X103" s="1"/>
  <c r="F103"/>
  <c r="O102"/>
  <c r="X102" s="1"/>
  <c r="F102"/>
  <c r="O101"/>
  <c r="X101" s="1"/>
  <c r="F101"/>
  <c r="O100"/>
  <c r="X100" s="1"/>
  <c r="F100"/>
  <c r="O99"/>
  <c r="X99" s="1"/>
  <c r="F99"/>
  <c r="O98"/>
  <c r="X98" s="1"/>
  <c r="F98"/>
  <c r="O97"/>
  <c r="O96"/>
  <c r="X96" s="1"/>
  <c r="F96"/>
  <c r="O94"/>
  <c r="X94" s="1"/>
  <c r="F94"/>
  <c r="O93"/>
  <c r="X93" s="1"/>
  <c r="F93"/>
  <c r="O92"/>
  <c r="O91"/>
  <c r="O90"/>
  <c r="O89"/>
  <c r="O88"/>
  <c r="X88" s="1"/>
  <c r="F88"/>
  <c r="O87"/>
  <c r="O86"/>
  <c r="X86" s="1"/>
  <c r="O84"/>
  <c r="X84" s="1"/>
  <c r="F84"/>
  <c r="O83"/>
  <c r="X83" s="1"/>
  <c r="F83"/>
  <c r="O82"/>
  <c r="X82" s="1"/>
  <c r="F82"/>
  <c r="F145" s="1"/>
  <c r="O80"/>
  <c r="X80" s="1"/>
  <c r="O79"/>
  <c r="X79" s="1"/>
  <c r="O78"/>
  <c r="X78" s="1"/>
  <c r="O77"/>
  <c r="X77" s="1"/>
  <c r="O76"/>
  <c r="W55"/>
  <c r="V55"/>
  <c r="W37"/>
  <c r="V37"/>
  <c r="X21"/>
  <c r="X25" s="1"/>
  <c r="X19"/>
  <c r="W19"/>
  <c r="W26" s="1"/>
  <c r="V19"/>
  <c r="V26" s="1"/>
  <c r="O86" i="22" l="1"/>
  <c r="O145" i="18"/>
  <c r="R12" i="22"/>
  <c r="C42" i="25"/>
  <c r="E34"/>
  <c r="C60" i="24"/>
  <c r="I60" s="1"/>
  <c r="C54"/>
  <c r="C58"/>
  <c r="I58" s="1"/>
  <c r="C55"/>
  <c r="I55" s="1"/>
  <c r="C59"/>
  <c r="I59" s="1"/>
  <c r="C56"/>
  <c r="I56" s="1"/>
  <c r="C57"/>
  <c r="I57" s="1"/>
  <c r="F150" i="18"/>
  <c r="F158" s="1"/>
  <c r="D32" i="20"/>
  <c r="D30" s="1"/>
  <c r="D34" s="1"/>
  <c r="D35" s="1"/>
  <c r="D40" s="1"/>
  <c r="D47" s="1"/>
  <c r="X127" i="18"/>
  <c r="J32" i="20"/>
  <c r="L83" i="21"/>
  <c r="E61" i="24"/>
  <c r="C35" i="20"/>
  <c r="C40" s="1"/>
  <c r="C47" s="1"/>
  <c r="F40"/>
  <c r="F47" s="1"/>
  <c r="K40"/>
  <c r="K47" s="1"/>
  <c r="M40"/>
  <c r="M47" s="1"/>
  <c r="E161" i="18"/>
  <c r="E166" s="1"/>
  <c r="H161"/>
  <c r="H166" s="1"/>
  <c r="K161"/>
  <c r="K166" s="1"/>
  <c r="N161"/>
  <c r="N166" s="1"/>
  <c r="Q161"/>
  <c r="Q166" s="1"/>
  <c r="T161"/>
  <c r="T166" s="1"/>
  <c r="W161"/>
  <c r="G44" i="19"/>
  <c r="W56" i="18"/>
  <c r="W57" s="1"/>
  <c r="W68" s="1"/>
  <c r="E19" i="24"/>
  <c r="G22" i="19"/>
  <c r="L30" i="20" s="1"/>
  <c r="P30" s="1"/>
  <c r="N35"/>
  <c r="N40" s="1"/>
  <c r="N47" s="1"/>
  <c r="R80" i="22"/>
  <c r="O77" i="21"/>
  <c r="O24"/>
  <c r="O32"/>
  <c r="O34"/>
  <c r="O39"/>
  <c r="O46"/>
  <c r="V56" i="18"/>
  <c r="V57" s="1"/>
  <c r="V68" s="1"/>
  <c r="X56"/>
  <c r="X26"/>
  <c r="O150"/>
  <c r="W166"/>
  <c r="G19" i="24"/>
  <c r="G27" i="25"/>
  <c r="G25"/>
  <c r="G23"/>
  <c r="G19"/>
  <c r="E42"/>
  <c r="G33"/>
  <c r="I33" s="1"/>
  <c r="G26"/>
  <c r="G24"/>
  <c r="C19" i="24"/>
  <c r="H12" i="23"/>
  <c r="K12" s="1"/>
  <c r="N12" s="1"/>
  <c r="H16"/>
  <c r="K16" s="1"/>
  <c r="N16" s="1"/>
  <c r="H14"/>
  <c r="K14" s="1"/>
  <c r="N14" s="1"/>
  <c r="H15"/>
  <c r="K15" s="1"/>
  <c r="N15" s="1"/>
  <c r="H11"/>
  <c r="K11" s="1"/>
  <c r="N11" s="1"/>
  <c r="H13"/>
  <c r="K13" s="1"/>
  <c r="N13" s="1"/>
  <c r="H10"/>
  <c r="N86" i="22"/>
  <c r="R85"/>
  <c r="N89" i="21"/>
  <c r="O12"/>
  <c r="I40" i="20"/>
  <c r="I47" s="1"/>
  <c r="I35"/>
  <c r="P18"/>
  <c r="O18"/>
  <c r="O27"/>
  <c r="O34"/>
  <c r="F35"/>
  <c r="K35"/>
  <c r="M35"/>
  <c r="X76" i="18"/>
  <c r="X145" s="1"/>
  <c r="R86" i="22" l="1"/>
  <c r="I54" i="24"/>
  <c r="C61"/>
  <c r="G34" i="25"/>
  <c r="G42" s="1"/>
  <c r="O158" i="18"/>
  <c r="J30" i="20"/>
  <c r="J34" s="1"/>
  <c r="J35" s="1"/>
  <c r="J40" s="1"/>
  <c r="J47" s="1"/>
  <c r="X150" i="18"/>
  <c r="X158" s="1"/>
  <c r="O83" i="21"/>
  <c r="L34" i="20"/>
  <c r="L35" s="1"/>
  <c r="L40" s="1"/>
  <c r="L47" s="1"/>
  <c r="P34"/>
  <c r="P35" s="1"/>
  <c r="P40" s="1"/>
  <c r="P47" s="1"/>
  <c r="X57" i="18"/>
  <c r="I61" i="24"/>
  <c r="I24" i="25"/>
  <c r="I23"/>
  <c r="I27"/>
  <c r="I26"/>
  <c r="I19"/>
  <c r="I25"/>
  <c r="H18" i="23"/>
  <c r="K10"/>
  <c r="O40" i="20"/>
  <c r="O47" s="1"/>
  <c r="O35"/>
  <c r="X67" i="18" l="1"/>
  <c r="X68" s="1"/>
  <c r="X69"/>
  <c r="X59"/>
  <c r="I34" i="25"/>
  <c r="K18" i="23"/>
  <c r="N10"/>
  <c r="N18" s="1"/>
  <c r="A4" i="17" l="1"/>
  <c r="B16"/>
  <c r="C16"/>
  <c r="D16"/>
  <c r="E16"/>
  <c r="E31" s="1"/>
  <c r="E37" s="1"/>
  <c r="F16"/>
  <c r="G16"/>
  <c r="G31" s="1"/>
  <c r="G37" s="1"/>
  <c r="H16"/>
  <c r="I16"/>
  <c r="E30"/>
  <c r="C31"/>
  <c r="C37" s="1"/>
  <c r="A4" i="16"/>
  <c r="K13" i="15"/>
  <c r="J13"/>
  <c r="I13"/>
  <c r="H13"/>
  <c r="G13"/>
  <c r="F13"/>
  <c r="E13"/>
  <c r="D13"/>
  <c r="C13"/>
  <c r="N11"/>
  <c r="N10"/>
  <c r="N13" s="1"/>
  <c r="L13"/>
  <c r="A4"/>
  <c r="O24" i="14"/>
  <c r="N24"/>
  <c r="M24"/>
  <c r="L24"/>
  <c r="L26" s="1"/>
  <c r="L30" s="1"/>
  <c r="K24"/>
  <c r="J24"/>
  <c r="I24"/>
  <c r="I26" s="1"/>
  <c r="I30" s="1"/>
  <c r="H24"/>
  <c r="G24"/>
  <c r="F24"/>
  <c r="F26" s="1"/>
  <c r="F30" s="1"/>
  <c r="E24"/>
  <c r="D24"/>
  <c r="C24"/>
  <c r="C26" s="1"/>
  <c r="C30" s="1"/>
  <c r="B24"/>
  <c r="R23"/>
  <c r="R22"/>
  <c r="R21"/>
  <c r="R20"/>
  <c r="R19"/>
  <c r="R18"/>
  <c r="R16"/>
  <c r="R13"/>
  <c r="R12"/>
  <c r="R24" s="1"/>
  <c r="Q12"/>
  <c r="Q24" s="1"/>
  <c r="Q26" s="1"/>
  <c r="P12"/>
  <c r="P24" s="1"/>
  <c r="A4"/>
  <c r="N27" i="13"/>
  <c r="N29" s="1"/>
  <c r="M27"/>
  <c r="L27"/>
  <c r="K27"/>
  <c r="J27"/>
  <c r="I27"/>
  <c r="I29" s="1"/>
  <c r="I33" s="1"/>
  <c r="H27"/>
  <c r="G27"/>
  <c r="F27"/>
  <c r="F29" s="1"/>
  <c r="F33" s="1"/>
  <c r="E27"/>
  <c r="D27"/>
  <c r="C27"/>
  <c r="C29" s="1"/>
  <c r="C33" s="1"/>
  <c r="B27"/>
  <c r="O26"/>
  <c r="O25"/>
  <c r="O24"/>
  <c r="O23"/>
  <c r="O22"/>
  <c r="O21"/>
  <c r="O20"/>
  <c r="O19"/>
  <c r="O18"/>
  <c r="O17"/>
  <c r="O16"/>
  <c r="O15"/>
  <c r="O14"/>
  <c r="O13"/>
  <c r="O12"/>
  <c r="A4"/>
  <c r="O34" i="12"/>
  <c r="N34"/>
  <c r="M34"/>
  <c r="K34"/>
  <c r="J34"/>
  <c r="I34"/>
  <c r="G34"/>
  <c r="F34"/>
  <c r="D34"/>
  <c r="C34"/>
  <c r="L34"/>
  <c r="P27"/>
  <c r="O27"/>
  <c r="N27"/>
  <c r="M27"/>
  <c r="L27"/>
  <c r="K27"/>
  <c r="J27"/>
  <c r="I27"/>
  <c r="G27"/>
  <c r="F27"/>
  <c r="D27"/>
  <c r="C27"/>
  <c r="P18"/>
  <c r="O18"/>
  <c r="O39" s="1"/>
  <c r="N18"/>
  <c r="M18"/>
  <c r="M39" s="1"/>
  <c r="L18"/>
  <c r="K18"/>
  <c r="K39" s="1"/>
  <c r="J18"/>
  <c r="I18"/>
  <c r="I39" s="1"/>
  <c r="G18"/>
  <c r="F18"/>
  <c r="F39" s="1"/>
  <c r="D18"/>
  <c r="C18"/>
  <c r="C39" s="1"/>
  <c r="A4"/>
  <c r="E16" i="11"/>
  <c r="D16"/>
  <c r="C16"/>
  <c r="A5"/>
  <c r="E16" i="16" l="1"/>
  <c r="G16"/>
  <c r="G17" s="1"/>
  <c r="C16"/>
  <c r="C17" s="1"/>
  <c r="I30" i="17"/>
  <c r="I31"/>
  <c r="M13" i="15"/>
  <c r="N35" i="12"/>
  <c r="N39" s="1"/>
  <c r="L35"/>
  <c r="L39" s="1"/>
  <c r="D35"/>
  <c r="D39" s="1"/>
  <c r="G35"/>
  <c r="G39" s="1"/>
  <c r="J35"/>
  <c r="J39" s="1"/>
  <c r="O27" i="13"/>
  <c r="E17" i="16"/>
  <c r="D17"/>
  <c r="Q30" i="14"/>
  <c r="N33" i="13"/>
  <c r="P34" i="12"/>
  <c r="P35" s="1"/>
  <c r="P39" s="1"/>
  <c r="I16" i="16" l="1"/>
  <c r="I17" s="1"/>
  <c r="H17"/>
  <c r="B17"/>
  <c r="V20" i="10" l="1"/>
  <c r="V25" s="1"/>
  <c r="W20"/>
  <c r="W25" s="1"/>
  <c r="W35" s="1"/>
  <c r="W36" s="1"/>
  <c r="X20"/>
  <c r="X24"/>
  <c r="X25" s="1"/>
  <c r="V31"/>
  <c r="V32" s="1"/>
  <c r="W31"/>
  <c r="X32"/>
  <c r="X33" s="1"/>
  <c r="X35" s="1"/>
  <c r="X36" s="1"/>
  <c r="W32"/>
  <c r="A47"/>
  <c r="X58"/>
  <c r="X59"/>
  <c r="X60"/>
  <c r="X61"/>
  <c r="X62"/>
  <c r="X63"/>
  <c r="X64"/>
  <c r="X65"/>
  <c r="X66"/>
  <c r="X67"/>
  <c r="X68"/>
  <c r="D69"/>
  <c r="E69"/>
  <c r="F69"/>
  <c r="F72" s="1"/>
  <c r="G69"/>
  <c r="H69"/>
  <c r="H72" s="1"/>
  <c r="I69"/>
  <c r="J69"/>
  <c r="J72" s="1"/>
  <c r="K69"/>
  <c r="M69"/>
  <c r="M72" s="1"/>
  <c r="N69"/>
  <c r="N72" s="1"/>
  <c r="O69"/>
  <c r="P69"/>
  <c r="P72" s="1"/>
  <c r="Q69"/>
  <c r="Q72" s="1"/>
  <c r="R72"/>
  <c r="S69"/>
  <c r="T69"/>
  <c r="T72" s="1"/>
  <c r="U69"/>
  <c r="U72" s="1"/>
  <c r="V69"/>
  <c r="V72" s="1"/>
  <c r="G72"/>
  <c r="I72"/>
  <c r="K72"/>
  <c r="O72"/>
  <c r="S72"/>
  <c r="E74"/>
  <c r="E79" s="1"/>
  <c r="K74"/>
  <c r="K79" s="1"/>
  <c r="Q74" l="1"/>
  <c r="Q79" s="1"/>
  <c r="X69"/>
  <c r="X72" s="1"/>
  <c r="V35"/>
  <c r="V36" s="1"/>
  <c r="N74"/>
  <c r="N79" s="1"/>
  <c r="H74"/>
  <c r="H79" s="1"/>
  <c r="W69"/>
  <c r="W74" s="1"/>
  <c r="W79" s="1"/>
  <c r="T74"/>
  <c r="T79" s="1"/>
  <c r="W72" l="1"/>
  <c r="X32" i="1" l="1"/>
  <c r="G44" i="3" l="1"/>
  <c r="G46" s="1"/>
  <c r="I26"/>
  <c r="I44" s="1"/>
  <c r="I46" s="1"/>
  <c r="G26" i="8" l="1"/>
  <c r="B26" l="1"/>
  <c r="V31" i="1" l="1"/>
  <c r="V32" s="1"/>
  <c r="W31"/>
  <c r="W32" s="1"/>
  <c r="W33" s="1"/>
  <c r="X33"/>
  <c r="V33"/>
  <c r="A5" i="51"/>
  <c r="A5" i="3"/>
  <c r="A5" i="2"/>
  <c r="X34" i="1" l="1"/>
  <c r="X39" s="1"/>
  <c r="X40" s="1"/>
  <c r="R12" i="5"/>
  <c r="O12" i="4"/>
  <c r="N15" i="6"/>
  <c r="N12"/>
  <c r="N11"/>
  <c r="N10"/>
  <c r="I31" i="9"/>
  <c r="I30"/>
  <c r="I29"/>
  <c r="I28"/>
  <c r="I27"/>
  <c r="I26"/>
  <c r="I25"/>
  <c r="I24"/>
  <c r="I23"/>
  <c r="I22"/>
  <c r="I21"/>
  <c r="I20"/>
  <c r="I19"/>
  <c r="I18"/>
  <c r="H15"/>
  <c r="H10"/>
  <c r="H11"/>
  <c r="I15"/>
  <c r="I11"/>
  <c r="I10"/>
  <c r="N12" i="4"/>
  <c r="M12"/>
  <c r="H26" i="8" l="1"/>
  <c r="N17" i="6" l="1"/>
  <c r="L17"/>
  <c r="Q12" i="5"/>
  <c r="P12"/>
  <c r="O13"/>
  <c r="N13"/>
  <c r="L13" i="4"/>
  <c r="A51" i="1"/>
  <c r="Q13" i="5" l="1"/>
  <c r="E16" i="9"/>
  <c r="E32" s="1"/>
  <c r="D16"/>
  <c r="C16"/>
  <c r="C32" s="1"/>
  <c r="C37" s="1"/>
  <c r="B16"/>
  <c r="M13" i="5"/>
  <c r="L13"/>
  <c r="L15" s="1"/>
  <c r="L19" s="1"/>
  <c r="K13"/>
  <c r="J13"/>
  <c r="I13"/>
  <c r="I15" s="1"/>
  <c r="I19" s="1"/>
  <c r="H13"/>
  <c r="G13"/>
  <c r="F13"/>
  <c r="F15" s="1"/>
  <c r="F19" s="1"/>
  <c r="E13"/>
  <c r="D13"/>
  <c r="C13"/>
  <c r="C15" s="1"/>
  <c r="C19" s="1"/>
  <c r="B13"/>
  <c r="R13"/>
  <c r="A5"/>
  <c r="A4"/>
  <c r="W62" i="1"/>
  <c r="V62"/>
  <c r="A4" i="2"/>
  <c r="N34"/>
  <c r="M34"/>
  <c r="L34"/>
  <c r="K34"/>
  <c r="J34"/>
  <c r="I34"/>
  <c r="G34"/>
  <c r="F34"/>
  <c r="D34"/>
  <c r="D37" s="1"/>
  <c r="C34"/>
  <c r="P30"/>
  <c r="O30"/>
  <c r="N27"/>
  <c r="M27"/>
  <c r="L27"/>
  <c r="K27"/>
  <c r="J27"/>
  <c r="I27"/>
  <c r="G27"/>
  <c r="F27"/>
  <c r="D27"/>
  <c r="C27"/>
  <c r="N18"/>
  <c r="M18"/>
  <c r="L18"/>
  <c r="K18"/>
  <c r="J18"/>
  <c r="I18"/>
  <c r="G18"/>
  <c r="F18"/>
  <c r="D18"/>
  <c r="C18"/>
  <c r="D63" i="1"/>
  <c r="D65" s="1"/>
  <c r="E63"/>
  <c r="F63"/>
  <c r="F65" s="1"/>
  <c r="G65"/>
  <c r="H63"/>
  <c r="I63"/>
  <c r="I65" s="1"/>
  <c r="J63"/>
  <c r="J65" s="1"/>
  <c r="K63"/>
  <c r="L65"/>
  <c r="M63"/>
  <c r="M65" s="1"/>
  <c r="N63"/>
  <c r="O63"/>
  <c r="O65" s="1"/>
  <c r="P63"/>
  <c r="P65" s="1"/>
  <c r="Q63"/>
  <c r="R63"/>
  <c r="R65" s="1"/>
  <c r="S63"/>
  <c r="S65" s="1"/>
  <c r="T63"/>
  <c r="U63"/>
  <c r="U65" s="1"/>
  <c r="J17" i="6"/>
  <c r="D17"/>
  <c r="G17"/>
  <c r="H32" i="7"/>
  <c r="I32"/>
  <c r="G32"/>
  <c r="D13" i="4"/>
  <c r="B32" i="7"/>
  <c r="B28"/>
  <c r="I28"/>
  <c r="E28"/>
  <c r="H17" i="6"/>
  <c r="C17"/>
  <c r="A5" i="9"/>
  <c r="A4"/>
  <c r="D32" i="7"/>
  <c r="K28"/>
  <c r="H28"/>
  <c r="G28"/>
  <c r="F28"/>
  <c r="C28"/>
  <c r="A6" i="8"/>
  <c r="A5"/>
  <c r="A6" i="7"/>
  <c r="A5"/>
  <c r="A4" i="3"/>
  <c r="A5" i="6"/>
  <c r="A4"/>
  <c r="A5" i="4"/>
  <c r="A4"/>
  <c r="C32" i="7"/>
  <c r="E32"/>
  <c r="F32"/>
  <c r="F17" i="6"/>
  <c r="I17"/>
  <c r="K17"/>
  <c r="M17"/>
  <c r="B13" i="4"/>
  <c r="C13"/>
  <c r="C15" s="1"/>
  <c r="C19" s="1"/>
  <c r="E13"/>
  <c r="F13"/>
  <c r="F15" s="1"/>
  <c r="F19" s="1"/>
  <c r="G13"/>
  <c r="H13"/>
  <c r="I13"/>
  <c r="I15" s="1"/>
  <c r="I19" s="1"/>
  <c r="J13"/>
  <c r="K13"/>
  <c r="N13"/>
  <c r="N15" s="1"/>
  <c r="N19" s="1"/>
  <c r="Q67" i="1" l="1"/>
  <c r="Q72" s="1"/>
  <c r="Q65"/>
  <c r="K67"/>
  <c r="K72" s="1"/>
  <c r="K65"/>
  <c r="E67"/>
  <c r="E72" s="1"/>
  <c r="E65"/>
  <c r="T67"/>
  <c r="T72" s="1"/>
  <c r="T65"/>
  <c r="N67"/>
  <c r="N72" s="1"/>
  <c r="N65"/>
  <c r="H67"/>
  <c r="H72" s="1"/>
  <c r="H65"/>
  <c r="K32" i="7"/>
  <c r="H12" i="9"/>
  <c r="H16" s="1"/>
  <c r="I12"/>
  <c r="I16" s="1"/>
  <c r="I32" s="1"/>
  <c r="F16"/>
  <c r="G32"/>
  <c r="J32" i="7"/>
  <c r="P18" i="2"/>
  <c r="J37"/>
  <c r="N37"/>
  <c r="P34"/>
  <c r="F37"/>
  <c r="O27"/>
  <c r="C37"/>
  <c r="P27"/>
  <c r="I37"/>
  <c r="O18"/>
  <c r="L37"/>
  <c r="O34"/>
  <c r="M37"/>
  <c r="G37"/>
  <c r="K37"/>
  <c r="W63" i="1"/>
  <c r="V63"/>
  <c r="V65" s="1"/>
  <c r="X63"/>
  <c r="X65" s="1"/>
  <c r="P13" i="5"/>
  <c r="Q15"/>
  <c r="Q19" s="1"/>
  <c r="O13" i="4"/>
  <c r="M13"/>
  <c r="W34" i="1"/>
  <c r="V34"/>
  <c r="V39" s="1"/>
  <c r="W67" l="1"/>
  <c r="W72" s="1"/>
  <c r="W65"/>
  <c r="G37" i="9"/>
  <c r="P37" i="2"/>
  <c r="O37"/>
  <c r="W40" i="1"/>
  <c r="V40"/>
  <c r="E37" i="9" l="1"/>
</calcChain>
</file>

<file path=xl/sharedStrings.xml><?xml version="1.0" encoding="utf-8"?>
<sst xmlns="http://schemas.openxmlformats.org/spreadsheetml/2006/main" count="5223" uniqueCount="697">
  <si>
    <t>end of line</t>
  </si>
  <si>
    <t xml:space="preserve">          Total DIRECT requirements</t>
  </si>
  <si>
    <t>23.1  GSA rent (Reimbursable)</t>
  </si>
  <si>
    <t>25.3 DHS Security (Reimbursable)</t>
  </si>
  <si>
    <t>Agt./Atty.</t>
  </si>
  <si>
    <t>Adjustments to Base</t>
  </si>
  <si>
    <t>List and justify separately each item for your organization.  Your explanation should show specifically the reason for the technical adjustment.</t>
  </si>
  <si>
    <t>ATBs</t>
  </si>
  <si>
    <t>11.1  Direct FTE &amp; personnel compensation</t>
  </si>
  <si>
    <t xml:space="preserve">       Total </t>
  </si>
  <si>
    <t>Average SES Salary</t>
  </si>
  <si>
    <t>Perm. Pos.</t>
  </si>
  <si>
    <t>Reprogrammings / Transfers</t>
  </si>
  <si>
    <t>end of sheet</t>
  </si>
  <si>
    <t>Program Decreases</t>
  </si>
  <si>
    <t>Total Pr. Changes</t>
  </si>
  <si>
    <t>Total Authorized</t>
  </si>
  <si>
    <t>Total Reimbursable</t>
  </si>
  <si>
    <t>I: Detail of Permanent Positions by Category</t>
  </si>
  <si>
    <t>23.2 Moving/Lease Expirations/Contract Parking</t>
  </si>
  <si>
    <t>Total Adjustments to Base and Technical Adjustments</t>
  </si>
  <si>
    <t xml:space="preserve">Total Adjustments to Base </t>
  </si>
  <si>
    <t>Increase/Decrease</t>
  </si>
  <si>
    <t>Decision Unit</t>
  </si>
  <si>
    <t xml:space="preserve">     Total</t>
  </si>
  <si>
    <t>FTE</t>
  </si>
  <si>
    <t>Total</t>
  </si>
  <si>
    <t>Detail of Permanent Positions by Category</t>
  </si>
  <si>
    <t>Category</t>
  </si>
  <si>
    <t>Transfers</t>
  </si>
  <si>
    <t>Grades and Salary Ranges</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</si>
  <si>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</si>
  <si>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</si>
  <si>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</si>
  <si>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</si>
  <si>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</si>
  <si>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</si>
  <si>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</si>
  <si>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</si>
  <si>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</si>
  <si>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</si>
  <si>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</si>
  <si>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</si>
  <si>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</si>
  <si>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</si>
  <si>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</si>
  <si>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</si>
  <si>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</si>
  <si>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</si>
  <si>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</si>
  <si>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</si>
  <si>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Average GS Salary</t>
  </si>
  <si>
    <t>Average GS Grade</t>
  </si>
  <si>
    <t>Object Classes</t>
  </si>
  <si>
    <t>Other Object Classes:</t>
  </si>
  <si>
    <t>Summary of Reimbursable Resources</t>
  </si>
  <si>
    <t>Decision Unit 2</t>
  </si>
  <si>
    <t>Decision Unit 3</t>
  </si>
  <si>
    <t>Decision Unit 4</t>
  </si>
  <si>
    <t>Summary of Requirements by Object Class</t>
  </si>
  <si>
    <t>Overtime</t>
  </si>
  <si>
    <t>Technical Adjustments</t>
  </si>
  <si>
    <t>Program Changes</t>
  </si>
  <si>
    <t>Total Program Changes</t>
  </si>
  <si>
    <t>Attorneys (905)</t>
  </si>
  <si>
    <t>Paralegals / Other Law (900-998)</t>
  </si>
  <si>
    <t>Information &amp; Arts (1000-1099)</t>
  </si>
  <si>
    <t>Business &amp; Industry (1100-1199)</t>
  </si>
  <si>
    <t>Library (1400-1499)</t>
  </si>
  <si>
    <t>Equipment/Facilities Services (1600-1699)</t>
  </si>
  <si>
    <t>Supply Services (2000-2099)</t>
  </si>
  <si>
    <t>M.  Status of Congressionally Requested Studies, Reports, and Evaluations</t>
  </si>
  <si>
    <t>GS-4, $30,456 - 39,590</t>
  </si>
  <si>
    <t>GS-5, $34,075 - 44,293</t>
  </si>
  <si>
    <t>GS-6, $37,983 - 49,375</t>
  </si>
  <si>
    <t>GS-7, $42,209 - 54,875</t>
  </si>
  <si>
    <t>GS-8, $46,745 - 60,765</t>
  </si>
  <si>
    <t>GS-9, $51,630 - 67,114</t>
  </si>
  <si>
    <t>GS-10, $56,857 - 73,917</t>
  </si>
  <si>
    <t>GS-11, $62,467 - 81,204</t>
  </si>
  <si>
    <t>GS-12, $74,872 - 97,333</t>
  </si>
  <si>
    <t>GS-13, $89,033 - 115,742</t>
  </si>
  <si>
    <t>GS-14, $105,211 - 136,771</t>
  </si>
  <si>
    <t>GS-15, $123,758 - 155,500</t>
  </si>
  <si>
    <t>SES, $119,554 - 179,700</t>
  </si>
  <si>
    <t>2012 template</t>
  </si>
  <si>
    <t>Information Technology Mgmt  (2210)</t>
  </si>
  <si>
    <t>23.1  GSA rent</t>
  </si>
  <si>
    <t>25.4  Operation and maintenance of facilities</t>
  </si>
  <si>
    <t>L: Summary of Requirements by Object Class</t>
  </si>
  <si>
    <t>K: Summary of Requirements by Grade</t>
  </si>
  <si>
    <t>Program Increases</t>
  </si>
  <si>
    <t>25.7 Operation and maintenance of equipment</t>
  </si>
  <si>
    <t>Justification for Base Adjustments</t>
  </si>
  <si>
    <t>POS</t>
  </si>
  <si>
    <t>Total Increase:</t>
  </si>
  <si>
    <t>Total ATB:</t>
  </si>
  <si>
    <t>List and justify separately each item for your organization.  Your explanation should show specifically the reason for the transfer, arithmetic calculations, and the current services to which the transfer applies.</t>
  </si>
  <si>
    <t>(Dollars in Thousands)</t>
  </si>
  <si>
    <t>Salaries and Expenses</t>
  </si>
  <si>
    <t>Other FTE:</t>
  </si>
  <si>
    <t>Total Comp. FTE</t>
  </si>
  <si>
    <t>Total FTE</t>
  </si>
  <si>
    <t>Reimbursable FTE</t>
  </si>
  <si>
    <t>Other FTE</t>
  </si>
  <si>
    <t>Total Compensable FTE</t>
  </si>
  <si>
    <t>Headquarters (Washington, D.C.)</t>
  </si>
  <si>
    <t>Summary of Requirements</t>
  </si>
  <si>
    <t>Reimbursable FTE:</t>
  </si>
  <si>
    <t>Rescissions</t>
  </si>
  <si>
    <t>Supplementals</t>
  </si>
  <si>
    <t xml:space="preserve">     Subtotal Increases</t>
  </si>
  <si>
    <t>Collections by Source</t>
  </si>
  <si>
    <t>Budgetary Resources:</t>
  </si>
  <si>
    <t>Estimates by budget activity</t>
  </si>
  <si>
    <t>Pos.</t>
  </si>
  <si>
    <t xml:space="preserve"> </t>
  </si>
  <si>
    <t>Amount</t>
  </si>
  <si>
    <t>Increases</t>
  </si>
  <si>
    <t>Personnel Management (200-299)</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</si>
  <si>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</si>
  <si>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</si>
  <si>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</si>
  <si>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</si>
  <si>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</si>
  <si>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</si>
  <si>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</si>
  <si>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</si>
  <si>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</si>
  <si>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</si>
  <si>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</si>
  <si>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r>
      <t xml:space="preserve">   1.1 Prevent, disrupt, and defeat terrorist operations before they occur</t>
    </r>
    <r>
      <rPr>
        <b/>
        <sz val="10"/>
        <rFont val="Times New Roman"/>
        <family val="1"/>
      </rPr>
      <t xml:space="preserve"> </t>
    </r>
  </si>
  <si>
    <t>Subtotal, Goal 1</t>
  </si>
  <si>
    <t>Subtotal, Goal 2</t>
  </si>
  <si>
    <t>Subtotal, Goal 3</t>
  </si>
  <si>
    <t>GRAND TOTAL</t>
  </si>
  <si>
    <t>Crosswalk of 2011 Availability</t>
  </si>
  <si>
    <t>2011 Availability</t>
  </si>
  <si>
    <t>Status of Congressionally Requested Studies, Reports, and Evaluations</t>
  </si>
  <si>
    <t>GSA Rent</t>
  </si>
  <si>
    <t>Retirement</t>
  </si>
  <si>
    <t>Carryover</t>
  </si>
  <si>
    <t>Recoveries</t>
  </si>
  <si>
    <t xml:space="preserve">Increase/Decrease </t>
  </si>
  <si>
    <t>B: Summary of Requirements</t>
  </si>
  <si>
    <t>D: Resources by DOJ Strategic Goal and Strategic Objective</t>
  </si>
  <si>
    <t>E.  Justification for Base Adjustments</t>
  </si>
  <si>
    <t>H: Summary of Reimbursable Resources</t>
  </si>
  <si>
    <t>FY 2013 Request</t>
  </si>
  <si>
    <t>2012 Rescissions</t>
  </si>
  <si>
    <t>2013 Current Services</t>
  </si>
  <si>
    <t>2013 Adjustments to Base and Technical Adjustments</t>
  </si>
  <si>
    <t>2013 Increases</t>
  </si>
  <si>
    <t>2013 Offsets</t>
  </si>
  <si>
    <t>2013 Request</t>
  </si>
  <si>
    <t>Delete the Transfer section if it does not pertain to you.</t>
  </si>
  <si>
    <t>F: Crosswalk of 2011 Availability</t>
  </si>
  <si>
    <t>2012 Availability</t>
  </si>
  <si>
    <t>Crosswalk of 2012 Availability</t>
  </si>
  <si>
    <t>2012 Planned</t>
  </si>
  <si>
    <t>Miscellaneous Inspectors Series (1802)</t>
  </si>
  <si>
    <t xml:space="preserve">     Total, Appropriated Positions</t>
  </si>
  <si>
    <t>2011 Actuals</t>
  </si>
  <si>
    <t>25.3 Purchases of goods &amp; services from Government accounts (Antennas, DHS Sec. Etc.)</t>
  </si>
  <si>
    <t>Increases:</t>
  </si>
  <si>
    <t>2012 
Enacted</t>
  </si>
  <si>
    <t>2012 Enacted</t>
  </si>
  <si>
    <t>2011 Enacted</t>
  </si>
  <si>
    <t>2012 
Estimate</t>
  </si>
  <si>
    <t>2011 Appropriation Enacted w/Rescissions</t>
  </si>
  <si>
    <t>2011 Enacted w/Rescissions</t>
  </si>
  <si>
    <t>2012 Enacted (without Rescissions, direct only)</t>
  </si>
  <si>
    <t>2011 Enacted (without Rescissions, direct only)</t>
  </si>
  <si>
    <t>2011 Appropriation Enacted</t>
  </si>
  <si>
    <t>2011
Enacted</t>
  </si>
  <si>
    <t xml:space="preserve">   1.2  Prosecute those involved in terrorist acts</t>
  </si>
  <si>
    <t xml:space="preserve">    1.3  Combat espionage against the United States </t>
  </si>
  <si>
    <t xml:space="preserve">   2.1  Combat the threat, incidence, and prevalence of violent crime</t>
  </si>
  <si>
    <t xml:space="preserve">   2.4 Combat corruption, economic crimes, and international organized crime</t>
  </si>
  <si>
    <t xml:space="preserve">   2.5 Promote and protect Americans' civil rights</t>
  </si>
  <si>
    <t xml:space="preserve">   2.6 Protect the federal fisc and defend the interests of the United States</t>
  </si>
  <si>
    <t xml:space="preserve">   2.3  Combat the threat, trafficking, and use of illegal drugs and the diversion of
          licit drugs</t>
  </si>
  <si>
    <t xml:space="preserve">   2.2  Prevent and intervene in crimes against vulnerable populations, uphold the
          rights of, and improve services to, America's crime victims</t>
  </si>
  <si>
    <t xml:space="preserve">   3.1 Promote and strengthen relationships and strategies for the administration of 
          justice with state, local, tribal and international law enforcement</t>
  </si>
  <si>
    <t xml:space="preserve">   3.2 Protect judges, witnesses, and other participants in federal proceedings; 
         apprehend fugitives; and ensure the appearance of criminal defendants for 
         judicial proceedings or confinement</t>
  </si>
  <si>
    <t xml:space="preserve">   3.3  Provide for the safe, secure, humane, and cost-effective confinement of 
          detainees awaiting trial and/or sentencing, and those in the custody of the
          Federal Prison System </t>
  </si>
  <si>
    <t xml:space="preserve">   3.4  Adjudicate all immigration cases promptly and impartially in accordance with
          due process</t>
  </si>
  <si>
    <t>Goal 1: Prevent Terrorism and Promote the Nation's Security
            Consistent with the Rule of Law</t>
  </si>
  <si>
    <t>Goal 2: Prevent Crime, Protect the Rights of the 
             American People, and Enforce Federal Law</t>
  </si>
  <si>
    <t xml:space="preserve">Goal 3: Ensure and Support the Fair, Impartial, Efficient, and 
             Transparent Administration of Justice at the Federal,
             State, Local, Tribal and International Levels        </t>
  </si>
  <si>
    <t>Office of Justice Programs</t>
  </si>
  <si>
    <t>Social Scientist, Economic and Kindred (100-199)</t>
  </si>
  <si>
    <t>Engineering and Architecture (800-899)</t>
  </si>
  <si>
    <t>Physical Sciences (1300-1399)</t>
  </si>
  <si>
    <t>Mathematics and Statistics (1500-1599)</t>
  </si>
  <si>
    <t>Department of Justice</t>
  </si>
  <si>
    <t>Executive Level IV, $145,700-199,700</t>
  </si>
  <si>
    <t>25.6 Medical Care</t>
  </si>
  <si>
    <t>Department of Homeland Security</t>
  </si>
  <si>
    <t>Executive Office of the President</t>
  </si>
  <si>
    <t>Department of Interior</t>
  </si>
  <si>
    <t>General Services Administration</t>
  </si>
  <si>
    <t>Independent Agencies</t>
  </si>
  <si>
    <t>G: Crosswalk of 2012 Availability</t>
  </si>
  <si>
    <t>Salaries and Expenses Account</t>
  </si>
  <si>
    <t>Reprogramming</t>
  </si>
  <si>
    <t>Subtotal</t>
  </si>
  <si>
    <t>FY 2011 Total</t>
  </si>
  <si>
    <t>Salaries and Expenses/Management &amp; Administration</t>
  </si>
  <si>
    <t>FERS Rate</t>
  </si>
  <si>
    <t>Pay raise</t>
  </si>
  <si>
    <t>Health Insurance</t>
  </si>
  <si>
    <t>Compensable Days</t>
  </si>
  <si>
    <t>DHS Security</t>
  </si>
  <si>
    <t>Reprogramming transfer to Salaries and Expenses</t>
  </si>
  <si>
    <t>Under SLLEA</t>
  </si>
  <si>
    <t>Paul Coverdell Grants</t>
  </si>
  <si>
    <t>Medical Malpractice</t>
  </si>
  <si>
    <t>Under COPS</t>
  </si>
  <si>
    <t>Sexual Assault Nurse Examiners</t>
  </si>
  <si>
    <t>DNA Backlog</t>
  </si>
  <si>
    <t>DNA Related and Forensic Program and Activities</t>
  </si>
  <si>
    <t>PROTET Our Children Act</t>
  </si>
  <si>
    <t>Missing and Exploited Children</t>
  </si>
  <si>
    <t>Regional Information Sharing System (RISS)</t>
  </si>
  <si>
    <t>Victim Notification System (SAVIN)</t>
  </si>
  <si>
    <t>Transfer - NIST/OLES</t>
  </si>
  <si>
    <t>Evaluation Clearinghouse/What Works Repository</t>
  </si>
  <si>
    <t>DNA and Forensics</t>
  </si>
  <si>
    <t>Research, Development and Evaluation Programs</t>
  </si>
  <si>
    <t>National Crime Victimization Survey</t>
  </si>
  <si>
    <t>Criminal Justice Statistics Programs</t>
  </si>
  <si>
    <t>2013 Total Request</t>
  </si>
  <si>
    <t>2013 Rescission of Balances</t>
  </si>
  <si>
    <t>2013 Subtotal Request</t>
  </si>
  <si>
    <t>Subtotal Increases</t>
  </si>
  <si>
    <t>Restoration of FY 2012 Rescission</t>
  </si>
  <si>
    <t>Total 2012 Enacted (with Rescissions)</t>
  </si>
  <si>
    <t>Total 2011</t>
  </si>
  <si>
    <t>Reprogramming to Salaries and Expenses Account</t>
  </si>
  <si>
    <t>C: Program Increases/Offsets By Decision Unit</t>
  </si>
  <si>
    <t>FY 2013 Program Increases/Offsets By Decision Unit</t>
  </si>
  <si>
    <t>Location of Description by Decision Unit</t>
  </si>
  <si>
    <t>Research, Evaluation, and Statistics (formerly known as Justice Assistance)</t>
  </si>
  <si>
    <t>Total Increases</t>
  </si>
  <si>
    <t>Research, Development and Evaluation Program</t>
  </si>
  <si>
    <t>Total Program Increases</t>
  </si>
  <si>
    <t>Program Offsets</t>
  </si>
  <si>
    <t>Total Offsets</t>
  </si>
  <si>
    <t>Subtotal, All Goals</t>
  </si>
  <si>
    <t>Rescission</t>
  </si>
  <si>
    <t>Criminal Justice Statistics Program</t>
  </si>
  <si>
    <t>Research, Development, and Evaluation Programs</t>
  </si>
  <si>
    <t>Post-Conviction DNA Testing</t>
  </si>
  <si>
    <t>Management and Administration</t>
  </si>
  <si>
    <t>Gun Violence Prosecution</t>
  </si>
  <si>
    <t>Police Corps</t>
  </si>
  <si>
    <t>Offender Reentry</t>
  </si>
  <si>
    <t>CITA</t>
  </si>
  <si>
    <t>Redesign of the NCVS</t>
  </si>
  <si>
    <t>Redesign and Development of Data Collection Programs for Indian Country</t>
  </si>
  <si>
    <t>Other Programs</t>
  </si>
  <si>
    <t>Undistributed Rescission</t>
  </si>
  <si>
    <t xml:space="preserve">   J: Financial Analysis of Program Changes</t>
  </si>
  <si>
    <t>Financial Analysis of Program Changes</t>
  </si>
  <si>
    <t>Increase</t>
  </si>
  <si>
    <t>Research, Development, and Evaluation Program</t>
  </si>
  <si>
    <t>Offset</t>
  </si>
  <si>
    <t>Inc. 2</t>
  </si>
  <si>
    <t>Inc. 1</t>
  </si>
  <si>
    <t xml:space="preserve">Amount  </t>
  </si>
  <si>
    <t>Travel and transportation of persons</t>
  </si>
  <si>
    <t>Communication, rents, and utilities</t>
  </si>
  <si>
    <t>Printing</t>
  </si>
  <si>
    <t>Advisory and assistance services</t>
  </si>
  <si>
    <t>Other services</t>
  </si>
  <si>
    <t>Purchases of goods &amp; services from Government accounts</t>
  </si>
  <si>
    <t>Grants, subsidies, and contributions</t>
  </si>
  <si>
    <t xml:space="preserve">  Total, 2013 Program Changes Requested</t>
  </si>
  <si>
    <t>41.0 Grants Subsidies, and Contributions</t>
  </si>
  <si>
    <t>25.5 Research and development contracts</t>
  </si>
  <si>
    <t>State and Local Law Enforcement Assistance</t>
  </si>
  <si>
    <t>Transfers from COPS</t>
  </si>
  <si>
    <t>Transfers from OVW</t>
  </si>
  <si>
    <t xml:space="preserve"> Byrne Competitive Grants</t>
  </si>
  <si>
    <t xml:space="preserve"> Byrne Criminal Justice Innovation Program</t>
  </si>
  <si>
    <t xml:space="preserve"> Economic, High-tech, Cybercrime Prevention</t>
  </si>
  <si>
    <t xml:space="preserve"> Justice Information Sharing and Technology (JIST): Nationwide Suspicious Activity Reporting Initiative (NSI)</t>
  </si>
  <si>
    <t xml:space="preserve"> Residential Substance Abuse Treatment</t>
  </si>
  <si>
    <t xml:space="preserve"> Second Chance Act/Offender Re-entry</t>
  </si>
  <si>
    <t xml:space="preserve"> Subtotal Increases</t>
  </si>
  <si>
    <t>Offsets:</t>
  </si>
  <si>
    <t xml:space="preserve"> Border Initiatives</t>
  </si>
  <si>
    <t xml:space="preserve"> Capital Litigation Improvement Grant Program</t>
  </si>
  <si>
    <t xml:space="preserve"> Children Exposed to Violence</t>
  </si>
  <si>
    <t xml:space="preserve"> Court Appointed Special Advocate Program</t>
  </si>
  <si>
    <t xml:space="preserve"> DNA Related and Forensic Programs and Activities</t>
  </si>
  <si>
    <t xml:space="preserve"> Drug Court Program </t>
  </si>
  <si>
    <t xml:space="preserve"> Implementation of Adam Walsh Act</t>
  </si>
  <si>
    <t xml:space="preserve"> Indian Country Initiatives</t>
  </si>
  <si>
    <t xml:space="preserve"> John R. Justice Loan Repayment Grant Program</t>
  </si>
  <si>
    <t xml:space="preserve"> Mentally Ill Offender Act Program </t>
  </si>
  <si>
    <t xml:space="preserve"> Missing Alzheimer's Patient Alert Program</t>
  </si>
  <si>
    <t xml:space="preserve"> Paul Coverdell Grants </t>
  </si>
  <si>
    <t xml:space="preserve"> State Criminal Alien Assistance Program (SCAAP)</t>
  </si>
  <si>
    <t xml:space="preserve"> Victims of Trafficking</t>
  </si>
  <si>
    <t xml:space="preserve"> Subtotal Offsets</t>
  </si>
  <si>
    <t>Border Initiatives</t>
  </si>
  <si>
    <t>Bulletproof Vests Partnership</t>
  </si>
  <si>
    <t>NIST Transfer</t>
  </si>
  <si>
    <t>Byrne Competitive Grants</t>
  </si>
  <si>
    <t>Byrne Criminal Justice Innovation Program</t>
  </si>
  <si>
    <t>Capital Litigation Improvement Grant Program</t>
  </si>
  <si>
    <t>JFAA / Wrongful Conviction Review</t>
  </si>
  <si>
    <t xml:space="preserve">Child Sexual Predator Elimination </t>
  </si>
  <si>
    <t xml:space="preserve">National Sex Offender Public Website </t>
  </si>
  <si>
    <t>Sex Offender Management Assistance (Adam Walsh Act)</t>
  </si>
  <si>
    <t>Under CVF</t>
  </si>
  <si>
    <t xml:space="preserve">Drug Court Program </t>
  </si>
  <si>
    <t>Economic, High-tech, Cybercrime Prevention</t>
  </si>
  <si>
    <t>Implementation of Adam Walsh Act</t>
  </si>
  <si>
    <t>Indian Alcohol and Substance Abuse Program</t>
  </si>
  <si>
    <t>Indian Country Prison Grants</t>
  </si>
  <si>
    <t>Legal Assistance</t>
  </si>
  <si>
    <t xml:space="preserve">Tribal Courts </t>
  </si>
  <si>
    <t>John R. Justice Loan Repayment Grant Program</t>
  </si>
  <si>
    <t>Justice Assistance Grants (JAG)</t>
  </si>
  <si>
    <t>Comprehensive Criminal Justice Reform and Recidivism Reduction</t>
  </si>
  <si>
    <t>LE Technology</t>
  </si>
  <si>
    <t>State and Local Antiterrorism Training (SLATT)</t>
  </si>
  <si>
    <t>Research on Domestic Radicalization</t>
  </si>
  <si>
    <t>Presidential Nominating Conventions</t>
  </si>
  <si>
    <t>State and Local Assistance Help Desk and Diagnostic Center (E2l)</t>
  </si>
  <si>
    <t>VALOR Initiative</t>
  </si>
  <si>
    <t>Justice Information Sharing and Technology (JIST): Nationwide Suspicious Activity Reporting Initiative (NSI)</t>
  </si>
  <si>
    <t xml:space="preserve">Mentally Ill Offender Act Program </t>
  </si>
  <si>
    <t>Missing Alzheimer's Patient Alert Program</t>
  </si>
  <si>
    <t>Northern Border Prosecutor Initiative</t>
  </si>
  <si>
    <t>Prescription Drug Monitoring Program</t>
  </si>
  <si>
    <t>Prison Rape Prevention and Prosecution Program</t>
  </si>
  <si>
    <t>Problem Solving Courts (Drug, Mental Health, Other) / Problem Solving Justice</t>
  </si>
  <si>
    <t>Residential Substance Abuse Treatment</t>
  </si>
  <si>
    <t>Adult and Juvenile Offender State and Local Reentry Demonstration</t>
  </si>
  <si>
    <t>Evaluation and Improvement of Education at Prisons, Jails and Juvenile Facilities</t>
  </si>
  <si>
    <t>Family-based Substance Abuse Treatment</t>
  </si>
  <si>
    <t>Mentoring Grants</t>
  </si>
  <si>
    <t>Offender Reentry Substance Abuse and Criminal Justice Collaboration</t>
  </si>
  <si>
    <t>Pay for Success</t>
  </si>
  <si>
    <t>Prisoner Reentry Research</t>
  </si>
  <si>
    <t>Reentry Courts (State, local, and tribal)</t>
  </si>
  <si>
    <t>Smart Probation</t>
  </si>
  <si>
    <t>Technology Careers Training Demonstration Grants</t>
  </si>
  <si>
    <t>Southwest Border Prosecutor Initiative</t>
  </si>
  <si>
    <t>State Criminal Alien Assistance Program (SCAAP)</t>
  </si>
  <si>
    <t>State Criminal Justice Reform and Recidivism Reduction</t>
  </si>
  <si>
    <t>Victims of Trafficking</t>
  </si>
  <si>
    <t>Location of Description 
by Decision Unit</t>
  </si>
  <si>
    <t>Second Chance Act/Offender Re-entry</t>
  </si>
  <si>
    <t>Children Exposed to Violence</t>
  </si>
  <si>
    <t>Court Appointed Special Advocate Program</t>
  </si>
  <si>
    <t>DNA Related and Forensic Programs and Activities</t>
  </si>
  <si>
    <t>Indian Country Initiatives</t>
  </si>
  <si>
    <t xml:space="preserve">National Instant Criminal Background Check System (NICS) </t>
  </si>
  <si>
    <t xml:space="preserve">Paul Coverdell Grants </t>
  </si>
  <si>
    <t>NIJ Research and Evaluation on Violence Against Women</t>
  </si>
  <si>
    <t>Byrne Discretionary</t>
  </si>
  <si>
    <t>Byrne Formula Grants</t>
  </si>
  <si>
    <t>Civil Legal Assistance (OVW)</t>
  </si>
  <si>
    <t>G20 Summit</t>
  </si>
  <si>
    <t>Grants to Encourage Arrest Policies - OVW</t>
  </si>
  <si>
    <t xml:space="preserve">JAIBG Formula </t>
  </si>
  <si>
    <t>Law Enforcement Family Support</t>
  </si>
  <si>
    <t>Local Law Enforcement Block Grants (LLEBG)</t>
  </si>
  <si>
    <t>National Criminal Intelligence Sharing Plan (NCISP)</t>
  </si>
  <si>
    <t>President-Elect Security</t>
  </si>
  <si>
    <t>Presidential Inauguration Security</t>
  </si>
  <si>
    <t>Safe Havens for Children - OVW</t>
  </si>
  <si>
    <t>Safe Start OJJDP</t>
  </si>
  <si>
    <t>STOP Grants/Law Enforcement and Prosecution - OVW</t>
  </si>
  <si>
    <t>STOP Grants/Earmarks for VAWA Research - OVW</t>
  </si>
  <si>
    <t>STOP Grants/Rural Domestic Violence &amp; Child Abuse Enforcement - OVW</t>
  </si>
  <si>
    <t>Violent Offender Initiative/Truth in Sentencing</t>
  </si>
  <si>
    <t>Grants</t>
  </si>
  <si>
    <t>G: Crosswalk of 2011 Availability</t>
  </si>
  <si>
    <t>Rescission (Undistributed)</t>
  </si>
  <si>
    <t xml:space="preserve">Central Intelligence Agency </t>
  </si>
  <si>
    <t>Department of Education</t>
  </si>
  <si>
    <t>Department of Health and Human Services</t>
  </si>
  <si>
    <t xml:space="preserve">Department of Homeland Security </t>
  </si>
  <si>
    <t>Department of Housing and Urban Development</t>
  </si>
  <si>
    <t>Department of the Interior</t>
  </si>
  <si>
    <t xml:space="preserve">Court Appointed Special Advocate Program </t>
  </si>
  <si>
    <t>Drug Court Program</t>
  </si>
  <si>
    <t xml:space="preserve">Grants, subsidies, and contributions </t>
  </si>
  <si>
    <t>Unobligated balance, rescinded</t>
  </si>
  <si>
    <t>Reprogramming Transferred to Salaries and Expenses/ Transfers</t>
  </si>
  <si>
    <t>Transfers from COPS and OVW</t>
  </si>
  <si>
    <t>Weed and Seed Program Fund</t>
  </si>
  <si>
    <t>Weed and Seed Program</t>
  </si>
  <si>
    <t>Juvenile Justice Programs</t>
  </si>
  <si>
    <t>Reprogramming Transfer to Salaries and Expenses</t>
  </si>
  <si>
    <t xml:space="preserve">Transfer from DoD </t>
  </si>
  <si>
    <t>Total 2011 Enacted (with Rescissions)</t>
  </si>
  <si>
    <t xml:space="preserve">Increases: </t>
  </si>
  <si>
    <t>Part B: Formula Programs</t>
  </si>
  <si>
    <t>Title V: Local Delinquency Prevention Incentive Grants</t>
  </si>
  <si>
    <t>Community-Based Violence Prevention Initiatives</t>
  </si>
  <si>
    <t>Evidence-Based Competitive Demonstration Program</t>
  </si>
  <si>
    <t xml:space="preserve">Offsets: </t>
  </si>
  <si>
    <t>VOCA - Improving Investigation and Prosecution of Child Abuse Program</t>
  </si>
  <si>
    <t>Youth Mentoring</t>
  </si>
  <si>
    <t>Child Abuse Training Programs for Judicial Personnel and Practitioners</t>
  </si>
  <si>
    <t>Subtotal Offsets</t>
  </si>
  <si>
    <t>Incentive Grants</t>
  </si>
  <si>
    <t>Tribal Youth Program</t>
  </si>
  <si>
    <t>Gang Prevention/Education</t>
  </si>
  <si>
    <t>Enforcing Underage Drinking Laws</t>
  </si>
  <si>
    <t>Juvenile Accountability Block Grant (JABG) Program</t>
  </si>
  <si>
    <t>Safe Start</t>
  </si>
  <si>
    <t>Under RES</t>
  </si>
  <si>
    <t>National Forum on Youth Violence Prevention</t>
  </si>
  <si>
    <t>Transfer from DoD</t>
  </si>
  <si>
    <t xml:space="preserve"> Part B: Formula Programs</t>
  </si>
  <si>
    <t>Part E: Dev., Testing and Demonstrating Promising New Initiatives and Programs</t>
  </si>
  <si>
    <t>JAIBG</t>
  </si>
  <si>
    <t>Part A: Concentration of Federal Efforts</t>
  </si>
  <si>
    <t>Part C:  JJ Institute</t>
  </si>
  <si>
    <t>Part D:  Research, Evaluation, TA Training</t>
  </si>
  <si>
    <t>Project Sentry</t>
  </si>
  <si>
    <t>Part E: Challenge</t>
  </si>
  <si>
    <t>Formula Grants Technical Assistance (2% in Legislation)</t>
  </si>
  <si>
    <t>JAIBG Formula</t>
  </si>
  <si>
    <t>Special Emphasis</t>
  </si>
  <si>
    <t>JABG Training and Technical Assistance</t>
  </si>
  <si>
    <t>JABG Research, Evaluation, and Demonstration Program</t>
  </si>
  <si>
    <t>Juvenile Accountability Black Grant (JABG) Program</t>
  </si>
  <si>
    <t>Enacted Rescissions:  $9M unobligated balance rescission as required by P.L. 112-55.</t>
  </si>
  <si>
    <t>41.0  Grants, subsidies, and contributions</t>
  </si>
  <si>
    <t>Reprogramming Transferred to Salaries and Expenses</t>
  </si>
  <si>
    <t>Public Safety Officers' Benefits</t>
  </si>
  <si>
    <t>Public Safety Officers' Death Benefit Program</t>
  </si>
  <si>
    <t>PSOB Death Benefits</t>
  </si>
  <si>
    <t>PSOB Disability and Education Benefits</t>
  </si>
  <si>
    <t>Public Safety Officers Benefits</t>
  </si>
  <si>
    <t>PSOB Death</t>
  </si>
  <si>
    <t>PSOB</t>
  </si>
  <si>
    <t>Inc.1</t>
  </si>
  <si>
    <t>Public Safety Officers Death Benefit Program</t>
  </si>
  <si>
    <t>Crime Victims Fund</t>
  </si>
  <si>
    <t xml:space="preserve">Crime Victims Fund </t>
  </si>
  <si>
    <t>Implementation of the Adam Walsh Act</t>
  </si>
  <si>
    <t xml:space="preserve">Missing and Exploited Children </t>
  </si>
  <si>
    <t>Grants to Combat Violence Against Women (STOP) - OVW</t>
  </si>
  <si>
    <t>Grants, Subsidies, and Contributions</t>
  </si>
  <si>
    <t>41.0  Grants, Subsidies, and Contributions</t>
  </si>
  <si>
    <t>42.0  Insurance Claims and Indemnities</t>
  </si>
  <si>
    <t>2012 Rescission</t>
  </si>
  <si>
    <t>Restoration of FY 2012 Rescission:</t>
  </si>
  <si>
    <t>40,918</t>
  </si>
  <si>
    <t>3,000</t>
  </si>
  <si>
    <t>1,000</t>
  </si>
  <si>
    <t>Research, Evaluation, and Statistics (formerly Justice Assistance)</t>
  </si>
  <si>
    <t xml:space="preserve">Child Abuse Training Programs for Judicial Personnel and Practitioners </t>
  </si>
  <si>
    <t xml:space="preserve">Children Exposed to Violence </t>
  </si>
  <si>
    <t xml:space="preserve">DNA Related and Forensic Programs and Activities </t>
  </si>
  <si>
    <t xml:space="preserve">Grants for the Closed Circuit Televising of Testimony of Children </t>
  </si>
  <si>
    <t xml:space="preserve">National Criminal Records History Improvement Program (NCHIP) </t>
  </si>
  <si>
    <t xml:space="preserve">Research on Violence Against Women in Indian Country </t>
  </si>
  <si>
    <t xml:space="preserve">Second Chance Act/Offender Re-entry </t>
  </si>
  <si>
    <t xml:space="preserve">S&amp;L Gun Crime Prosecution Assistance/Violent Gang and Gun Crime Reduction </t>
  </si>
  <si>
    <t xml:space="preserve">Training Program to Assist Probation and Parole Officers </t>
  </si>
  <si>
    <t>VAWA II National Stalker and Domestic Violence Reduction Program</t>
  </si>
  <si>
    <t>Grants for the Closed Circuit Televising of Testimony of Children</t>
  </si>
  <si>
    <t xml:space="preserve">Indian Country Initiatives </t>
  </si>
  <si>
    <t>Research on Violence Against Women in Indian Country</t>
  </si>
  <si>
    <t>Training Program to Assist Probation and Parole Officers</t>
  </si>
  <si>
    <t xml:space="preserve">VAWA II National Stalker and Domestic Violence Reduction Program </t>
  </si>
  <si>
    <t>Enacted Rescission: $42M unobligated balance rescission as required by P.L. 112-55.</t>
  </si>
  <si>
    <t>Enacted Rescission: $4.0M unobligated balance rescission as required by P.L. 112-55.</t>
  </si>
  <si>
    <t xml:space="preserve">   3.1 Promote and strengthen relationships and strategies for the administration        
         of justice with state, local, tribal and international law enforcement</t>
  </si>
  <si>
    <t xml:space="preserve">   3.4  Adjudicate all immigration cases promptly and impartially in accordance 
          with due process</t>
  </si>
  <si>
    <t xml:space="preserve">   3.4  Adjudicate all immigration cases promptly and impartially in accordance 
           with due process</t>
  </si>
  <si>
    <t xml:space="preserve">   3.1 Promote and strengthen relationships and strategies for the administration 
         of justice with state, local, tribal and international law enforcement</t>
  </si>
  <si>
    <t xml:space="preserve">   2.3  Combat the threat, trafficking, and use of illegal drugs and the diversion 
           of licit drugs</t>
  </si>
  <si>
    <r>
      <rPr>
        <b/>
        <i/>
        <sz val="12"/>
        <rFont val="Times New Roman"/>
        <family val="1"/>
      </rPr>
      <t xml:space="preserve">Status of Report: </t>
    </r>
    <r>
      <rPr>
        <i/>
        <sz val="12"/>
        <rFont val="Times New Roman"/>
        <family val="1"/>
      </rPr>
      <t xml:space="preserve"> Submitted with the FY 2012 President's Budget request.</t>
    </r>
  </si>
  <si>
    <r>
      <rPr>
        <b/>
        <i/>
        <sz val="12"/>
        <rFont val="Times New Roman"/>
        <family val="1"/>
      </rPr>
      <t xml:space="preserve">Status of Report:  </t>
    </r>
    <r>
      <rPr>
        <i/>
        <sz val="12"/>
        <rFont val="Times New Roman"/>
        <family val="1"/>
      </rPr>
      <t>This report was submitted to Congress on May 24, 2011.</t>
    </r>
  </si>
  <si>
    <r>
      <rPr>
        <b/>
        <i/>
        <sz val="12"/>
        <rFont val="Times New Roman"/>
        <family val="1"/>
      </rPr>
      <t xml:space="preserve">Status of Report: </t>
    </r>
    <r>
      <rPr>
        <i/>
        <sz val="12"/>
        <rFont val="Times New Roman"/>
        <family val="1"/>
      </rPr>
      <t xml:space="preserve"> This report was submitted to Congress on May 24, 2011.</t>
    </r>
  </si>
  <si>
    <r>
      <rPr>
        <b/>
        <i/>
        <sz val="12"/>
        <rFont val="Times New Roman"/>
        <family val="1"/>
      </rPr>
      <t xml:space="preserve">Status of Report:  </t>
    </r>
    <r>
      <rPr>
        <i/>
        <sz val="12"/>
        <rFont val="Times New Roman"/>
        <family val="1"/>
      </rPr>
      <t xml:space="preserve">This report was submitted to Congress on May 24, 2011. </t>
    </r>
  </si>
  <si>
    <t>Employee Compensation Fund</t>
  </si>
  <si>
    <t>42.0  Insurance Claims &amp; Indemnities</t>
  </si>
  <si>
    <t>Administered by</t>
  </si>
  <si>
    <t>FY 2011 Enacted 
(P.L. 112-10)</t>
  </si>
  <si>
    <t>FY 2012 Enacted 
(P.L. 112-55)</t>
  </si>
  <si>
    <t>FY 2013 Pres Bud vs. 
FY 2012 Enacted</t>
  </si>
  <si>
    <t>6/</t>
  </si>
  <si>
    <t>Subtotal, S&amp;E</t>
  </si>
  <si>
    <t>Justice Assistance/Research, Evaluation, and Statistics</t>
  </si>
  <si>
    <t>BJS</t>
  </si>
  <si>
    <t>OJJDP</t>
  </si>
  <si>
    <t>BJA</t>
  </si>
  <si>
    <t xml:space="preserve">Regional Information Sharing System (RISS) </t>
  </si>
  <si>
    <t>NIJ</t>
  </si>
  <si>
    <t>OAAG</t>
  </si>
  <si>
    <t>OJP</t>
  </si>
  <si>
    <t>under COPS</t>
  </si>
  <si>
    <t>COPS</t>
  </si>
  <si>
    <t>SMART</t>
  </si>
  <si>
    <t>under CVF</t>
  </si>
  <si>
    <t>BJA/NIJ</t>
  </si>
  <si>
    <t>BJA/OJJDP</t>
  </si>
  <si>
    <t>S&amp;L Gun Crime Prosecution Assistance/Violent Gang and Gun Crime Reduction</t>
  </si>
  <si>
    <t>BJS/OVC/BJA</t>
  </si>
  <si>
    <t xml:space="preserve">Juvenile Justice Programs </t>
  </si>
  <si>
    <t>Community-Based Violence Prevention Initiative</t>
  </si>
  <si>
    <t>Evidence-Based Competitive Demonstration Program (NEW in FY 2013 PB)</t>
  </si>
  <si>
    <t xml:space="preserve">Juvenile Accountability Block Grant (JABG) Program </t>
  </si>
  <si>
    <t>Under JA</t>
  </si>
  <si>
    <t>Part B: Formula Grants</t>
  </si>
  <si>
    <t xml:space="preserve">Safe Start Program </t>
  </si>
  <si>
    <t>OJJDP/BJA</t>
  </si>
  <si>
    <t>Gang Prevention/Gang and Youth Violence Prevention and Intervention Initiatives</t>
  </si>
  <si>
    <t>Regional Children's Advocacy Centers</t>
  </si>
  <si>
    <t>Public Safety Officers Disability Benefit Program</t>
  </si>
  <si>
    <t>Public Safety Officers Education Assistance</t>
  </si>
  <si>
    <t>Subtotal, PSOB Discretionary</t>
  </si>
  <si>
    <t xml:space="preserve">New Flexible Tribal Grant - Set Aside </t>
  </si>
  <si>
    <t>Federal Inmate Research and Evaluation (transfer to BOP)</t>
  </si>
  <si>
    <t xml:space="preserve">Public Safety Officers Benefits (Death Mandatory) </t>
  </si>
  <si>
    <t>Subtotal, PSOB Mandatory</t>
  </si>
  <si>
    <t>Total, OJP Discretionary and PSOB Mandatory</t>
  </si>
  <si>
    <t>OVC</t>
  </si>
  <si>
    <t>CVF Obligations Cap</t>
  </si>
  <si>
    <t>DNA Initiative</t>
  </si>
  <si>
    <t>Missing and Exploited Children Act</t>
  </si>
  <si>
    <t>BJA/OVC</t>
  </si>
  <si>
    <t>OVW</t>
  </si>
  <si>
    <t>Antiterrorism Emergency Reserve (non-mandatory, non-add)</t>
  </si>
  <si>
    <t>Total Crime Victims Fund (non add)</t>
  </si>
  <si>
    <t>Total, OJP Mandatory (PSOB, CVF and Med. Mal.)</t>
  </si>
  <si>
    <t>Total, OJP Discretionary/Mandatory</t>
  </si>
  <si>
    <t xml:space="preserve">Total OJP Programs Funded Under Violence Against Women </t>
  </si>
  <si>
    <t>Total OJP Programs Funded Under COPS</t>
  </si>
  <si>
    <t>Total, Transfers-in/Reimbursements</t>
  </si>
  <si>
    <t xml:space="preserve">The following programs are listed for informative/comparative and display purposes.  </t>
  </si>
  <si>
    <t xml:space="preserve">OJP Programs Funded Under Violence Against Women: </t>
  </si>
  <si>
    <t xml:space="preserve">NIJ Research and Eval Violence Against Women </t>
  </si>
  <si>
    <t>Total, VAW</t>
  </si>
  <si>
    <t xml:space="preserve">OJP Programs Funded Under COPS: </t>
  </si>
  <si>
    <t>Transfer to NIST/OLES</t>
  </si>
  <si>
    <r>
      <t>Salaries and Expenses</t>
    </r>
    <r>
      <rPr>
        <sz val="12"/>
        <color indexed="9"/>
        <rFont val="Times New Roman"/>
        <family val="1"/>
      </rPr>
      <t/>
    </r>
  </si>
  <si>
    <r>
      <t xml:space="preserve">Missing and Exploited Children </t>
    </r>
    <r>
      <rPr>
        <vertAlign val="superscript"/>
        <sz val="12"/>
        <rFont val="Times New Roman"/>
        <family val="1"/>
      </rPr>
      <t xml:space="preserve">5/ </t>
    </r>
    <r>
      <rPr>
        <i/>
        <vertAlign val="superscript"/>
        <sz val="12"/>
        <rFont val="Times New Roman"/>
        <family val="1"/>
      </rPr>
      <t xml:space="preserve"> </t>
    </r>
    <r>
      <rPr>
        <i/>
        <sz val="12"/>
        <rFont val="Times New Roman"/>
        <family val="1"/>
      </rPr>
      <t>(under Juvenile Justice Programs account in FY 2012)</t>
    </r>
  </si>
  <si>
    <r>
      <t xml:space="preserve">Subtotal, JA/RES </t>
    </r>
    <r>
      <rPr>
        <b/>
        <vertAlign val="superscript"/>
        <sz val="12"/>
        <rFont val="Times New Roman"/>
        <family val="1"/>
      </rPr>
      <t>2/</t>
    </r>
  </si>
  <si>
    <r>
      <t xml:space="preserve">DNA Related and Forensic Programs and Activities </t>
    </r>
    <r>
      <rPr>
        <vertAlign val="superscript"/>
        <sz val="12"/>
        <rFont val="Times New Roman"/>
        <family val="1"/>
      </rPr>
      <t>4/</t>
    </r>
  </si>
  <si>
    <r>
      <t>Grants for the Closed Circuit Televising of Testimony of Children</t>
    </r>
    <r>
      <rPr>
        <vertAlign val="superscript"/>
        <sz val="12"/>
        <rFont val="Times New Roman"/>
        <family val="1"/>
      </rPr>
      <t xml:space="preserve"> </t>
    </r>
  </si>
  <si>
    <r>
      <t>National Criminal Records History Improvement Program (NCHIP)</t>
    </r>
    <r>
      <rPr>
        <vertAlign val="superscript"/>
        <sz val="12"/>
        <rFont val="Times New Roman"/>
        <family val="1"/>
      </rPr>
      <t xml:space="preserve"> </t>
    </r>
  </si>
  <si>
    <r>
      <t xml:space="preserve">Paul Coverdell Grants </t>
    </r>
    <r>
      <rPr>
        <vertAlign val="superscript"/>
        <sz val="12"/>
        <rFont val="Times New Roman"/>
        <family val="1"/>
      </rPr>
      <t>4/</t>
    </r>
  </si>
  <si>
    <r>
      <t>Total, State and Local Law Enforcement Asst</t>
    </r>
    <r>
      <rPr>
        <b/>
        <vertAlign val="superscript"/>
        <sz val="12"/>
        <rFont val="Times New Roman"/>
        <family val="1"/>
      </rPr>
      <t xml:space="preserve"> 2/</t>
    </r>
  </si>
  <si>
    <r>
      <t xml:space="preserve">Missing and Exploited Children </t>
    </r>
    <r>
      <rPr>
        <vertAlign val="superscript"/>
        <sz val="12"/>
        <rFont val="Times New Roman"/>
        <family val="1"/>
      </rPr>
      <t>7/</t>
    </r>
  </si>
  <si>
    <r>
      <t xml:space="preserve">Subtotal, JJ </t>
    </r>
    <r>
      <rPr>
        <b/>
        <vertAlign val="superscript"/>
        <sz val="12"/>
        <rFont val="Times New Roman"/>
        <family val="1"/>
      </rPr>
      <t>2/</t>
    </r>
  </si>
  <si>
    <r>
      <t>Total, OJP Discretionary</t>
    </r>
    <r>
      <rPr>
        <sz val="12"/>
        <rFont val="Times New Roman"/>
        <family val="1"/>
      </rPr>
      <t xml:space="preserve"> (including S&amp;E)</t>
    </r>
  </si>
  <si>
    <r>
      <t>OJP, Grand Total</t>
    </r>
    <r>
      <rPr>
        <b/>
        <vertAlign val="superscript"/>
        <sz val="12"/>
        <rFont val="Times New Roman"/>
        <family val="1"/>
      </rPr>
      <t xml:space="preserve"> 3/</t>
    </r>
  </si>
  <si>
    <r>
      <t xml:space="preserve">Total, COPS </t>
    </r>
    <r>
      <rPr>
        <b/>
        <vertAlign val="superscript"/>
        <sz val="12"/>
        <rFont val="Times New Roman"/>
        <family val="1"/>
      </rPr>
      <t>2/</t>
    </r>
  </si>
  <si>
    <r>
      <t>*</t>
    </r>
    <r>
      <rPr>
        <sz val="14"/>
        <rFont val="Times New Roman"/>
        <family val="1"/>
      </rPr>
      <t>In addition to the funding levels provided for the Crime Victims Fund, there is $50 million available for the Antiterrorism Reserve carried over from prior year balances.</t>
    </r>
  </si>
  <si>
    <r>
      <t>2/</t>
    </r>
    <r>
      <rPr>
        <sz val="14"/>
        <rFont val="Times New Roman"/>
        <family val="1"/>
      </rPr>
      <t xml:space="preserve"> Due to rounding, some Account Totals for the FY 2011 columns for H.R 1473 may not match the official totals provided on the FY 2011 Full Cycle Table.</t>
    </r>
  </si>
  <si>
    <r>
      <t>3/</t>
    </r>
    <r>
      <rPr>
        <sz val="14"/>
        <rFont val="Times New Roman"/>
        <family val="1"/>
      </rPr>
      <t xml:space="preserve"> Due to rounding, the Grand Totals for the FY 2011 columns for H.R 1473 may not match the official totals provided on the FY 2011 Full Cycle Table.</t>
    </r>
  </si>
  <si>
    <r>
      <t xml:space="preserve">4/ </t>
    </r>
    <r>
      <rPr>
        <sz val="14"/>
        <rFont val="Times New Roman"/>
        <family val="1"/>
      </rPr>
      <t>In FY 2013, funding for this program is proposed under the Research, Evaluation, and Statistics Appropriation Account.</t>
    </r>
  </si>
  <si>
    <r>
      <t xml:space="preserve">5/ </t>
    </r>
    <r>
      <rPr>
        <sz val="14"/>
        <rFont val="Times New Roman"/>
        <family val="1"/>
      </rPr>
      <t>In FY 2013, funding for this program is proposed under the Juvenile Justice Account.</t>
    </r>
  </si>
  <si>
    <t>Reprogramming-State and Local</t>
  </si>
  <si>
    <t>Reprogramming-Juvenile Justice</t>
  </si>
  <si>
    <t>M&amp;A costs are reimbursable in FY 2012 and FY 2013.</t>
  </si>
  <si>
    <r>
      <t>Retirement:</t>
    </r>
    <r>
      <rPr>
        <sz val="11"/>
        <rFont val="Times New Roman"/>
        <family val="1"/>
      </rPr>
      <t xml:space="preserve"> Agency retirement contributions increase as employees under CSRS retire and are replaced by FERS employees.  Based on OPM government-wide estimates, we project that the DOJ workforce will convert from CSRS to FERS at a rate of 1.3 percent per year.  The requested increase of  $304K  is necessary to meet our increased retirement obligations as a result of this conversion.</t>
    </r>
  </si>
  <si>
    <r>
      <t>FERS Rate Increase:</t>
    </r>
    <r>
      <rPr>
        <sz val="11"/>
        <rFont val="Times New Roman"/>
        <family val="1"/>
      </rPr>
      <t xml:space="preserve"> On June 11, 2010, the Board of Actuaries of the Civil Service Retirement System recommended a new set of economic assumptions for the Civil Service Retirement System (CSRS) and the Federal Employees Retirement System (FERS). In accordance with this change, effective October 1, 2011 (FY 2012), the total Normal Cost of Regular retirement under FERS will increase from the current level of 12.5% of pay to 12.7%. The total FERS contribution for Law Enforcement retirement will increase from 27.0% to 27.6%. This will result in new agency contribution  rates of 11.9% for normal costs (up from the current 11.7%) and 26.3% for law enforcement  personnel (up from the current 25.7%). The amount requested,$54K, represents the funds needed to cover this increase.</t>
    </r>
  </si>
  <si>
    <r>
      <t>Employees Compensation Fund:</t>
    </r>
    <r>
      <rPr>
        <sz val="11"/>
        <rFont val="Times New Roman"/>
        <family val="1"/>
      </rPr>
      <t xml:space="preserve"> The $50K  increase reflects payments to the Department of Labor for injury benefits paid in the past year under the Federal Employee Compensation Act.  This estimate is based on the first quarter of prior year billing and current year estimates.</t>
    </r>
  </si>
  <si>
    <r>
      <t>Health Insurance</t>
    </r>
    <r>
      <rPr>
        <sz val="11"/>
        <rFont val="Times New Roman"/>
        <family val="1"/>
      </rPr>
      <t>:  Effective January 2013, this component's contribution to Federal employees' health insurance premiums increased by  8.3 percent.  Applied against the 2012 estimate of $4,994K, the additional amount required is $378 K.</t>
    </r>
  </si>
  <si>
    <r>
      <t xml:space="preserve">Changes in Compensable Days: </t>
    </r>
    <r>
      <rPr>
        <sz val="11"/>
        <rFont val="Times New Roman"/>
        <family val="1"/>
      </rPr>
      <t>The increased cost for one more compensable day in FY 2013 compared to FY 2012 is calculated by dividing the FY 2012 estimated personnel compensation $82,378K and applicable benefits $17,773K by 261 compensable days.</t>
    </r>
  </si>
  <si>
    <r>
      <t>General Services Administration (GSA) Rent:</t>
    </r>
    <r>
      <rPr>
        <sz val="11"/>
        <color indexed="8"/>
        <rFont val="Times New Roman"/>
        <family val="1"/>
      </rPr>
      <t xml:space="preserve"> GSA will continue to charge rental rates that approximate those charged to commercial tenants for equivalent space and related services.  The requested increase of $1,686K is required to meet our commitment to GSA.  The costs associated with GSA rent were derived through the use of an automated system, which uses the latest inventory data, including rate increases to be effective in FY 2013 for each building currently occupied by Department of Justice components, as well as the costs of new space to be occupied.  GSA provided data on the rate increases.</t>
    </r>
  </si>
  <si>
    <r>
      <t>DHS Security Charges</t>
    </r>
    <r>
      <rPr>
        <sz val="11"/>
        <color indexed="8"/>
        <rFont val="Times New Roman"/>
        <family val="1"/>
      </rPr>
      <t>.  The Department of Homeland Security (DHS) will continue to charge Basic Security and Building Specific Security.  The requested increase of $13K  is required to meet our commitment to DHS, and cost estimates were developed by DHS.</t>
    </r>
  </si>
  <si>
    <t>PSOB Education &amp; Disability</t>
  </si>
  <si>
    <t xml:space="preserve"> Implementation of the Adam Walsh Act</t>
  </si>
  <si>
    <t xml:space="preserve"> Missing and Exploited Children </t>
  </si>
  <si>
    <t xml:space="preserve"> Grants to Combat Violence Against Women (STOP) - OVW</t>
  </si>
  <si>
    <t>Child Sexual Predator Elimination</t>
  </si>
  <si>
    <t>Justice Information Sharing and Technology (JIST)</t>
  </si>
  <si>
    <t>Problem Solving Justice</t>
  </si>
  <si>
    <t>Internet Crimes Against Children</t>
  </si>
  <si>
    <t>[22,000]</t>
  </si>
  <si>
    <r>
      <t xml:space="preserve">1/ </t>
    </r>
    <r>
      <rPr>
        <sz val="14"/>
        <rFont val="Times New Roman"/>
        <family val="1"/>
      </rPr>
      <t>In FY 2013, OJP proposes a 2 percent set-aside for research, evaluation, or statistical purposes.</t>
    </r>
  </si>
  <si>
    <r>
      <t>Research, Evaluation, and Statistics Set Aside</t>
    </r>
    <r>
      <rPr>
        <i/>
        <vertAlign val="superscript"/>
        <sz val="12"/>
        <rFont val="Times New Roman"/>
        <family val="1"/>
      </rPr>
      <t>1/</t>
    </r>
  </si>
  <si>
    <t>Review of CJS Policies and Strategies</t>
  </si>
  <si>
    <t>Rescission of Balances</t>
  </si>
  <si>
    <t>2012 - 2013 Total Change (without Rescission of Balances)</t>
  </si>
  <si>
    <t>2012 
Enacted w/ Rescission</t>
  </si>
  <si>
    <t>FY 2011 Enacted Without Balance Rescissions</t>
  </si>
  <si>
    <t>Enacted Rescissions:  $6.3M unobligated balance rescission as required by P.L. 112-10.</t>
  </si>
  <si>
    <t>FY 2012 Enacted Without Balance Rescissions</t>
  </si>
  <si>
    <t>FY 2011 Enacted Without  Balance Rescissions</t>
  </si>
  <si>
    <t>Research, Evaluation, and Statistics</t>
  </si>
  <si>
    <t>Total 2012 Enacted (without Rescissions)</t>
  </si>
  <si>
    <t>Funds transferred to OJP - State and Local Law Enforcement Assistance Appropriation:</t>
  </si>
  <si>
    <t>Subtotal Transfers OJP - State and Local Law Enforcement Assistance</t>
  </si>
  <si>
    <t>Funds transferred to OVW Prevention &amp; Prosecution of Violence Against Women Appropriation:</t>
  </si>
  <si>
    <t>Subtotal Transfers OVW - STOP Program</t>
  </si>
  <si>
    <t>2013 Total Funds transferred</t>
  </si>
  <si>
    <t>2013 Total Request (with transfers)</t>
  </si>
  <si>
    <t>2012 - 2013 Total Change (without transfers)</t>
  </si>
  <si>
    <t>Crime Victims Fund Increase in Obligation Limitation</t>
  </si>
  <si>
    <t xml:space="preserve">Total </t>
  </si>
  <si>
    <t>Funds transferred to OJP and OVW Appropriations:</t>
  </si>
  <si>
    <t>Total (with transfers)</t>
  </si>
  <si>
    <t>Subtotal, Transfers</t>
  </si>
  <si>
    <t>Funds transferred to OJP - State and Local Law Enforcement Assistance  and OVW - Prevention &amp; Prosecution of Violence Against Women</t>
  </si>
  <si>
    <t>GRAND TOTAL (with transfers)</t>
  </si>
  <si>
    <t>Amount *</t>
  </si>
  <si>
    <t>* Recoveries are unavailable in FY 2011.</t>
  </si>
  <si>
    <t>Transfer to OJP -State and Local Law Enforcement Assistance</t>
  </si>
  <si>
    <t>Transfer to OVW - Prevention &amp; Prosecution of Violence Against Women</t>
  </si>
  <si>
    <t xml:space="preserve">2012 Availability   </t>
  </si>
  <si>
    <t>Transfer Out</t>
  </si>
  <si>
    <t>Restore Reserve Fund</t>
  </si>
  <si>
    <t xml:space="preserve">          Total obligations (with transfers)</t>
  </si>
  <si>
    <t>Reprogramming-Research, Evaluation, and Statistics (formerly known as Justice Assistance)</t>
  </si>
  <si>
    <t xml:space="preserve">    Medical Malpractice - Management and Administration</t>
  </si>
  <si>
    <t>Total Program Changes:</t>
  </si>
  <si>
    <r>
      <rPr>
        <b/>
        <sz val="12"/>
        <rFont val="Times New Roman"/>
        <family val="1"/>
      </rPr>
      <t>Note:</t>
    </r>
    <r>
      <rPr>
        <sz val="12"/>
        <rFont val="Times New Roman"/>
        <family val="1"/>
      </rPr>
      <t xml:space="preserve">  Management and Administration costs in FY 2012 and FY 2013 are funded within OJP grant programs.</t>
    </r>
  </si>
  <si>
    <t>Reprogramming: $44.146M was transferred to Salaries and Expenses from the Justice Assistance, State and Local Law Enforcement Assistance, and the Juvenile Justice Program accounts.</t>
  </si>
  <si>
    <t>Unobligated balance, expiring</t>
  </si>
  <si>
    <r>
      <rPr>
        <u/>
        <sz val="11"/>
        <rFont val="Times New Roman"/>
        <family val="1"/>
      </rPr>
      <t>Professional Responsibility Advisory Office (PRAO)</t>
    </r>
    <r>
      <rPr>
        <sz val="11"/>
        <rFont val="Times New Roman"/>
        <family val="1"/>
      </rPr>
      <t>.  Transfer to the PRAO into the General Administration appropriation will centralize appropriated funding and eliminate the current reimbursable financing process.  The centralization of the funding is administratively advantageous because it eliminates the paper-intensive reimbursement process.</t>
    </r>
  </si>
  <si>
    <r>
      <rPr>
        <u/>
        <sz val="11"/>
        <rFont val="Times New Roman"/>
        <family val="1"/>
      </rPr>
      <t>Office of Information Policy</t>
    </r>
    <r>
      <rPr>
        <sz val="11"/>
        <rFont val="Times New Roman"/>
        <family val="1"/>
      </rPr>
      <t>.  Transfer to the Office of Information Policy (OIP) into the General Administration appropriation will centralize appropriated funding and eliminate the current reimbursable financing process.  The centralization of the funding is administratively advantageous because it eliminates the paper-intensive reimbursement process.</t>
    </r>
  </si>
  <si>
    <r>
      <rPr>
        <u/>
        <sz val="11"/>
        <rFont val="Times New Roman"/>
        <family val="1"/>
      </rPr>
      <t xml:space="preserve">JCON and JCON S/TS: </t>
    </r>
    <r>
      <rPr>
        <sz val="11"/>
        <rFont val="Times New Roman"/>
        <family val="1"/>
      </rPr>
      <t xml:space="preserve"> A transfer of $34K is included in support of the Department’s Justice Consolidated Office Network (JCON) and JCON S/TS programs which will be moved to the Working Capital Fund and provided as a billable service in FY 2013.</t>
    </r>
  </si>
  <si>
    <r>
      <rPr>
        <b/>
        <sz val="12"/>
        <rFont val="Times New Roman"/>
        <family val="1"/>
      </rPr>
      <t xml:space="preserve">Note:  </t>
    </r>
    <r>
      <rPr>
        <sz val="12"/>
        <rFont val="Times New Roman"/>
        <family val="1"/>
      </rPr>
      <t>In FY 2012 and FY 2013 Research, Evaluation, and Statistics grant programs are assessed a portion for OJP Salaries and Expenses.</t>
    </r>
  </si>
  <si>
    <t xml:space="preserve"> Problem Solving Justice</t>
  </si>
  <si>
    <t>2013 Total Request (with Rescission of Balances)</t>
  </si>
  <si>
    <t>Funds transferred from Crime Victims Fund (Mandatory):</t>
  </si>
  <si>
    <t>Missing and Exploited Children's Program</t>
  </si>
  <si>
    <t>Subtotal, Funds transferred from Crime Victims Fund (Mandatory)</t>
  </si>
  <si>
    <t>2013 Total Request  - Discretionary and Mandatory</t>
  </si>
  <si>
    <t>2013 Total Request  - Discretionary and Mandatory (with Rescission of Balances)</t>
  </si>
  <si>
    <t>2012 - 2013 Total Change - Discretionary (without Rescission of Balances)</t>
  </si>
  <si>
    <t xml:space="preserve"> Subtotal, Funds transferred from Crime Victims Fund (Mandatory)</t>
  </si>
  <si>
    <t>Total - Discretionary and Mandatory (with Rescission of Balances)</t>
  </si>
  <si>
    <r>
      <rPr>
        <b/>
        <sz val="12"/>
        <rFont val="Times New Roman"/>
        <family val="1"/>
      </rPr>
      <t xml:space="preserve">Note: </t>
    </r>
    <r>
      <rPr>
        <sz val="12"/>
        <rFont val="Times New Roman"/>
        <family val="1"/>
      </rPr>
      <t xml:space="preserve"> In FY 2012 and FY 2013, State and Local Law Enforcement Assistance grant programs are assessed a portion for OJP Salaries and Expenses.</t>
    </r>
  </si>
  <si>
    <t>Funds transferred from Crime Victims Fund (Mandatory)</t>
  </si>
  <si>
    <r>
      <rPr>
        <b/>
        <sz val="12"/>
        <rFont val="Times New Roman"/>
        <family val="1"/>
      </rPr>
      <t>Note:</t>
    </r>
    <r>
      <rPr>
        <sz val="12"/>
        <rFont val="Times New Roman"/>
        <family val="1"/>
      </rPr>
      <t xml:space="preserve">  In FY 2012 and FY 2013 Juvenile Justice grant programs are assessed a portion for OJP Salaries and Expenses.</t>
    </r>
  </si>
  <si>
    <r>
      <rPr>
        <b/>
        <sz val="12"/>
        <rFont val="Times New Roman"/>
        <family val="1"/>
      </rPr>
      <t>Note:</t>
    </r>
    <r>
      <rPr>
        <sz val="12"/>
        <rFont val="Times New Roman"/>
        <family val="1"/>
      </rPr>
      <t xml:space="preserve">  In FY 2013, $67.0 million is funded through receipts from the Crime Victims Fund for the Missing and Exploited program.  </t>
    </r>
  </si>
  <si>
    <t>2012 
Enacted w/Rescissions</t>
  </si>
  <si>
    <t>FY 2012 Enacted Without 
Balance Rescissions</t>
  </si>
  <si>
    <t>Transfers: Reprogramming of $6.860M transferred to the Salaries and Expenses appropriation account.</t>
  </si>
  <si>
    <t>Other Program</t>
  </si>
  <si>
    <t>Carryforward/Recoveries: $9.676M is for direct carryover; $9.880M is for recoveries which consist of $6.221M for direct recoveries and $3.659M for direct refunds.</t>
  </si>
  <si>
    <t>Crime Victims Fund (Discretionary)</t>
  </si>
  <si>
    <t>[144,500]</t>
  </si>
  <si>
    <t>Review of Criminal Justice System Policies and Strategies</t>
  </si>
  <si>
    <t>Intellectual Property Enforcement Program</t>
  </si>
  <si>
    <r>
      <rPr>
        <u/>
        <sz val="11"/>
        <rFont val="Times New Roman"/>
        <family val="1"/>
      </rPr>
      <t>2013 Pay Raise:</t>
    </r>
    <r>
      <rPr>
        <sz val="11"/>
        <rFont val="Times New Roman"/>
        <family val="1"/>
      </rPr>
      <t xml:space="preserve">  This request provides for a proposed 0.5 percent pay raise to be effective in January of 2013.  The increase only includes the general pay raise.  The amount requested, $253K, represents the pay amounts for 3/4 of the fiscal year plus appropriate benefits ($230 for pay and $23 for benefits).</t>
    </r>
  </si>
  <si>
    <t>Byrne Justice Assistance Grants (JAG)</t>
  </si>
  <si>
    <t>Presidential Nominating Convention Security Assistance</t>
  </si>
  <si>
    <t>Children Exposed To Violence</t>
  </si>
  <si>
    <t xml:space="preserve"> Byrne Justice Assistance Grants (JAG)</t>
  </si>
  <si>
    <t xml:space="preserve"> Presidential Nominating Convention Security Assistance</t>
  </si>
  <si>
    <r>
      <rPr>
        <b/>
        <sz val="12"/>
        <rFont val="Times New Roman"/>
        <family val="1"/>
      </rPr>
      <t>Note:</t>
    </r>
    <r>
      <rPr>
        <sz val="12"/>
        <rFont val="Times New Roman"/>
        <family val="1"/>
      </rPr>
      <t xml:space="preserve">  In FY 2012 and FY 2013 Crime Victims Fund grant programs are assessed a portion for OJP Salaries and Expenses.</t>
    </r>
  </si>
  <si>
    <t>NOTE: All FTE numbers in this table reflect authorized FTE, which is the total number of FTE available to a component. Because the FY 2013 President's Budget Appendix builds the FTE request using actual FTE rather than authorized, it may not match the FY 2012 FTE enacted and FY 2013 FTE request reflected in this table.</t>
  </si>
  <si>
    <t>FY 2012 and FY 2013 reflect the M&amp;A amounts within the reimbursable.  FY 2012 M&amp;A amount is $175.056M and FY 2013 amount is $183.175M.</t>
  </si>
  <si>
    <t xml:space="preserve">FY 2013 Pres Bud Request
</t>
  </si>
  <si>
    <t>Medical Malpractice Grants to States/Research, Evaluation &amp; Statistics (Mandatory)</t>
  </si>
  <si>
    <r>
      <t>6/</t>
    </r>
    <r>
      <rPr>
        <sz val="14"/>
        <rFont val="Times New Roman"/>
        <family val="1"/>
      </rPr>
      <t xml:space="preserve"> The FY 2012 and FY 2013 appropriations reestablishes previous practices allowing OJP to support management and administration expenses with program funding.</t>
    </r>
  </si>
  <si>
    <t>Enacted Rescissions: $25.817M unobligated balance rescission as required by P.L. 112-10.</t>
  </si>
  <si>
    <t>Enacted Rescission: $2.596 M unobligated balance rescission as required by P.L. 112-10.</t>
  </si>
  <si>
    <r>
      <t>Evaluation Clearinghouse/What Works Repository</t>
    </r>
    <r>
      <rPr>
        <vertAlign val="superscript"/>
        <sz val="12"/>
        <rFont val="Times New Roman"/>
        <family val="1"/>
      </rPr>
      <t>/</t>
    </r>
  </si>
  <si>
    <r>
      <rPr>
        <vertAlign val="superscript"/>
        <sz val="14"/>
        <rFont val="Times New Roman"/>
        <family val="1"/>
      </rPr>
      <t>7/</t>
    </r>
    <r>
      <rPr>
        <sz val="14"/>
        <rFont val="Times New Roman"/>
        <family val="1"/>
      </rPr>
      <t xml:space="preserve"> In FY 2013, OJP is requesting an additional $365M in discretionary funding to support programs that provide victim-related support including: DNA –Related and Forensic and Related Activities, the Missing and Exploited Children program, Victims of Trafficking programs, implementation of the Adam Walsh Act, the Children Exposed to Violence initiative, and grants to Combat Violence against Women.</t>
    </r>
  </si>
  <si>
    <t xml:space="preserve">Rescission (from Unobligated Balances) </t>
  </si>
  <si>
    <r>
      <t>Crime Victims Fund (Mandatory)</t>
    </r>
    <r>
      <rPr>
        <b/>
        <vertAlign val="superscript"/>
        <sz val="12"/>
        <rFont val="Times New Roman"/>
        <family val="1"/>
      </rPr>
      <t xml:space="preserve"> *, 7/</t>
    </r>
  </si>
  <si>
    <t xml:space="preserve"> Prison Rape Prevention and Prosecution Program</t>
  </si>
  <si>
    <t>Salaries and expenses/Management &amp; Administration</t>
  </si>
  <si>
    <t>Other Programs ($100K or less)</t>
  </si>
  <si>
    <t>Enacted Rescission consists of the unobligated balance rescission of $7.264M as required by P.L. 112-10.</t>
  </si>
  <si>
    <t>Carryforward/Recoveries: $264K is direct carryover; $4.0M for direct recoveries as of December 2011.</t>
  </si>
  <si>
    <t xml:space="preserve"> Restoration of FY 2011 Rescission</t>
  </si>
  <si>
    <t>Transfers: Reprogramming of $31.230M transferred to the Salaries and Expenses account. Total of $171.147M transferred from COPS ($168.153M) and OVW ($2.994M) to the S&amp;E account.</t>
  </si>
  <si>
    <t>Transfers from Crime Victims Fund</t>
  </si>
  <si>
    <t>Transfers: Reprogramming of $6.055M transferred to Salaries and Expenses appropriation account and $20M from DOD for the Youth Mentoring Program.</t>
  </si>
  <si>
    <t>Carryforward/Recoveries: $10.167M is direct carryover; $7.538M for recoveries which consist of $7.012M for direct recoveries and $526K for direct refunds.</t>
  </si>
  <si>
    <t>Carryforward/Recoveries: $1.501M is direct carryover; $0.026M direct recoveries as of September 2011.</t>
  </si>
  <si>
    <t>Carryforward/Recoveries: $74,637 is direct carryover; $26.546M is recoveries which consist of $23.399M for direct recoveries and $3.037M for direct refunds.</t>
  </si>
  <si>
    <t xml:space="preserve">Carryforward/Recoveries: $46.582M is direct carryover; $6.817M is for recoveries which consist of $6.652M for direct recoveries and $165K for refunds as of December 2011. </t>
  </si>
  <si>
    <t>Carryforward/Recoveries: $2.625M is direct carryover; $1.533M direct recoveries as of September 30, 2011.</t>
  </si>
  <si>
    <t>Carryforward/Recoveries: $1.652M is direct carryover; no direct recoveries as of December 2011.</t>
  </si>
  <si>
    <t>Carryforward: $2.279M is for direct carryforward, and there are no direct recoveries as of December 2011.</t>
  </si>
  <si>
    <r>
      <rPr>
        <b/>
        <sz val="12"/>
        <rFont val="Times New Roman"/>
        <family val="1"/>
      </rPr>
      <t xml:space="preserve">1.  T/TA and Research and Statistics Activities Spend Plan. </t>
    </r>
    <r>
      <rPr>
        <sz val="12"/>
        <rFont val="Times New Roman"/>
        <family val="1"/>
      </rPr>
      <t xml:space="preserve"> As part of the Department's spend plan for FY 2011, the Committee instructs OJP to provide detailed information on training and technical assistance, research, and statistics activities.  It should differentiate activities performed via grant, via interagency agreement, under contract, and performed directly by OJP. 
</t>
    </r>
    <r>
      <rPr>
        <b/>
        <i/>
        <sz val="12"/>
        <rFont val="Times New Roman"/>
        <family val="1"/>
      </rPr>
      <t/>
    </r>
  </si>
  <si>
    <r>
      <rPr>
        <b/>
        <sz val="12"/>
        <rFont val="Times New Roman"/>
        <family val="1"/>
      </rPr>
      <t xml:space="preserve">2.  FY 2012 T/TA and Research and Statistics Activities.  </t>
    </r>
    <r>
      <rPr>
        <sz val="12"/>
        <rFont val="Times New Roman"/>
        <family val="1"/>
      </rPr>
      <t xml:space="preserve">The Department is directed, as part of the FY 2012 budget submission, to provide details of OJP's planned training and technical assistance activities and research and statistics activities for FY 2012.
</t>
    </r>
    <r>
      <rPr>
        <b/>
        <i/>
        <sz val="12"/>
        <rFont val="Times New Roman"/>
        <family val="1"/>
      </rPr>
      <t/>
    </r>
  </si>
  <si>
    <r>
      <rPr>
        <b/>
        <sz val="12"/>
        <rFont val="Times New Roman"/>
        <family val="1"/>
      </rPr>
      <t>3.</t>
    </r>
    <r>
      <rPr>
        <sz val="12"/>
        <rFont val="Times New Roman"/>
        <family val="1"/>
      </rPr>
      <t xml:space="preserve"> </t>
    </r>
    <r>
      <rPr>
        <b/>
        <sz val="12"/>
        <rFont val="Times New Roman"/>
        <family val="1"/>
      </rPr>
      <t>Missing and Exploited Children Spend Plan.</t>
    </r>
    <r>
      <rPr>
        <sz val="12"/>
        <rFont val="Times New Roman"/>
        <family val="1"/>
      </rPr>
      <t xml:space="preserve">  The Conference Report does not prescribe a distribution of funds for the $70.0 million enacted for MEC, except that $30.0 million of that amount shall be available for the ICAC program.  The Report directs OJP to provide a spend plan to the House and Senate Committees on Appropriations, as part of the Department's FY 2011 spend plan, for the use of the remainder of funds for MEC.</t>
    </r>
    <r>
      <rPr>
        <b/>
        <i/>
        <sz val="12"/>
        <rFont val="Times New Roman"/>
        <family val="1"/>
      </rPr>
      <t/>
    </r>
  </si>
  <si>
    <r>
      <rPr>
        <b/>
        <sz val="12"/>
        <rFont val="Times New Roman"/>
        <family val="1"/>
      </rPr>
      <t>4.</t>
    </r>
    <r>
      <rPr>
        <sz val="12"/>
        <rFont val="Times New Roman"/>
        <family val="1"/>
      </rPr>
      <t xml:space="preserve">  </t>
    </r>
    <r>
      <rPr>
        <b/>
        <sz val="12"/>
        <rFont val="Times New Roman"/>
        <family val="1"/>
      </rPr>
      <t xml:space="preserve">National Institute of Justice Spend Plan.  </t>
    </r>
    <r>
      <rPr>
        <sz val="12"/>
        <rFont val="Times New Roman"/>
        <family val="1"/>
      </rPr>
      <t xml:space="preserve">As part of the Department's FY 2011 spend plan, NIJ is directed to submit a spend plan for use of appropriated (base) funding, less the $5 million carveout for Forensics and DNA. 
</t>
    </r>
    <r>
      <rPr>
        <b/>
        <i/>
        <sz val="12"/>
        <rFont val="Times New Roman"/>
        <family val="1"/>
      </rPr>
      <t/>
    </r>
  </si>
  <si>
    <r>
      <rPr>
        <b/>
        <sz val="12"/>
        <rFont val="Times New Roman"/>
        <family val="1"/>
      </rPr>
      <t xml:space="preserve">6.  Victims of Trafficking Spend Plan.  </t>
    </r>
    <r>
      <rPr>
        <sz val="12"/>
        <rFont val="Times New Roman"/>
        <family val="1"/>
      </rPr>
      <t xml:space="preserve">As part of the Department's FY 2011 spend plan, OJP is directed to provide a plan for the use of these funds.
</t>
    </r>
    <r>
      <rPr>
        <b/>
        <i/>
        <sz val="12"/>
        <rFont val="Times New Roman"/>
        <family val="1"/>
      </rPr>
      <t/>
    </r>
  </si>
  <si>
    <r>
      <rPr>
        <b/>
        <sz val="12"/>
        <rFont val="Times New Roman"/>
        <family val="1"/>
      </rPr>
      <t>7.</t>
    </r>
    <r>
      <rPr>
        <sz val="12"/>
        <rFont val="Times New Roman"/>
        <family val="1"/>
      </rPr>
      <t xml:space="preserve"> </t>
    </r>
    <r>
      <rPr>
        <b/>
        <sz val="12"/>
        <rFont val="Times New Roman"/>
        <family val="1"/>
      </rPr>
      <t xml:space="preserve">Economic, High-tech and Cybercrime Prevention Spend Plan.  </t>
    </r>
    <r>
      <rPr>
        <sz val="12"/>
        <rFont val="Times New Roman"/>
        <family val="1"/>
      </rPr>
      <t xml:space="preserve">As part of the Department's FY 2011 spend plan, OJP is directed to provide a plan for the use of these funds provided for economic, high-tech and cybercrime prevention grants. 
</t>
    </r>
    <r>
      <rPr>
        <b/>
        <i/>
        <sz val="12"/>
        <rFont val="Times New Roman"/>
        <family val="1"/>
      </rPr>
      <t/>
    </r>
  </si>
  <si>
    <r>
      <rPr>
        <b/>
        <sz val="12"/>
        <rFont val="Times New Roman"/>
        <family val="1"/>
      </rPr>
      <t>8. Youth Mentoring Grants Spend Plan.</t>
    </r>
    <r>
      <rPr>
        <sz val="12"/>
        <rFont val="Times New Roman"/>
        <family val="1"/>
      </rPr>
      <t xml:space="preserve">  OJP is directed to provide a report and spend plan detailing the criteria and methodology that will be used to award these grants.  It is expected that national programs that have received funding under the Byrne Discretionary Grants program or the Juvenile Justice Part E program will be eligible for funding under this competitive program, including programs for which specific amounts are designated in the FY 2011 full year CR.
</t>
    </r>
  </si>
  <si>
    <r>
      <rPr>
        <b/>
        <sz val="12"/>
        <rFont val="Times New Roman"/>
        <family val="1"/>
      </rPr>
      <t>5.  Byrne Competitive Grants Spend Plan.</t>
    </r>
    <r>
      <rPr>
        <sz val="12"/>
        <rFont val="Times New Roman"/>
        <family val="1"/>
      </rPr>
      <t xml:space="preserve">  OJP is directed to submit a plan detailing the criteria and methodology that will be used to award these grants. The Congressional conferees expect that national programs that have previously received funding under the Byrne Discretionary program or the Juvenile Justice Part E program will be eligible to compete for funding under this competitive program, including programs for which specific amounts are designated in the FY 2010 Consolidated Appropriations Act. 
</t>
    </r>
    <r>
      <rPr>
        <b/>
        <i/>
        <sz val="12"/>
        <rFont val="Times New Roman"/>
        <family val="1"/>
      </rPr>
      <t/>
    </r>
  </si>
  <si>
    <t>Carryforward/Recoveries: $5.381M is direct carryover; $9.000M is for recoveries as of December 2011.</t>
  </si>
  <si>
    <t>Note: All FTE numbers in this table reflect authorized FTE, which is the total number of FTE available to a component. Because the FY 2013 President's Budget Appendix builds the FTE request using actual FTE rather than authorized, it may not match the FY 2012
FTE enacted and FY 2013 FTE request reflected in this table.</t>
  </si>
</sst>
</file>

<file path=xl/styles.xml><?xml version="1.0" encoding="utf-8"?>
<styleSheet xmlns="http://schemas.openxmlformats.org/spreadsheetml/2006/main">
  <numFmts count="9">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7" formatCode="_(* #,##0_);_(* \(#,##0\);_(* &quot;-&quot;??_);_(@_)"/>
    <numFmt numFmtId="168" formatCode="_(&quot;$&quot;* #,##0_);_(&quot;$&quot;* \(#,##0\);_(&quot;$&quot;* &quot;-&quot;??_);_(@_)"/>
    <numFmt numFmtId="170" formatCode="0_);\(0\)"/>
  </numFmts>
  <fonts count="89">
    <font>
      <sz val="12"/>
      <name val="Arial"/>
    </font>
    <font>
      <sz val="11"/>
      <color theme="1"/>
      <name val="Calibri"/>
      <family val="2"/>
      <scheme val="minor"/>
    </font>
    <font>
      <u/>
      <sz val="12"/>
      <name val="TimesNewRomanPS"/>
    </font>
    <font>
      <sz val="12"/>
      <name val="TimesNewRomanPS"/>
    </font>
    <font>
      <sz val="12"/>
      <name val="Times New Roman"/>
      <family val="1"/>
    </font>
    <font>
      <sz val="12"/>
      <name val="Times New Roman"/>
      <family val="1"/>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13"/>
      <name val="Times New Roman"/>
      <family val="1"/>
    </font>
    <font>
      <sz val="8"/>
      <color indexed="8"/>
      <name val="Times New Roman"/>
      <family val="1"/>
    </font>
    <font>
      <b/>
      <sz val="12"/>
      <name val="Arial"/>
      <family val="2"/>
    </font>
    <font>
      <sz val="12"/>
      <name val="Arial"/>
      <family val="2"/>
    </font>
    <font>
      <sz val="10"/>
      <name val="Arial"/>
      <family val="2"/>
    </font>
    <font>
      <b/>
      <sz val="12"/>
      <name val="Times New Roman"/>
      <family val="1"/>
    </font>
    <font>
      <b/>
      <sz val="16"/>
      <name val="Times New Roman"/>
      <family val="1"/>
    </font>
    <font>
      <sz val="12"/>
      <color indexed="8"/>
      <name val="TMS"/>
    </font>
    <font>
      <u/>
      <sz val="12"/>
      <color indexed="8"/>
      <name val="TMS"/>
    </font>
    <font>
      <sz val="10"/>
      <name val="Arial"/>
      <family val="2"/>
    </font>
    <font>
      <b/>
      <u/>
      <sz val="12"/>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sz val="14"/>
      <name val="Arial"/>
      <family val="2"/>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u/>
      <sz val="9"/>
      <name val="Times New Roman"/>
      <family val="1"/>
    </font>
    <font>
      <b/>
      <u/>
      <sz val="14"/>
      <name val="Arial"/>
      <family val="2"/>
    </font>
    <font>
      <sz val="14"/>
      <name val="Arial"/>
      <family val="2"/>
    </font>
    <font>
      <sz val="20"/>
      <name val="Arial"/>
      <family val="2"/>
    </font>
    <font>
      <sz val="8"/>
      <name val="Arial"/>
      <family val="2"/>
    </font>
    <font>
      <sz val="9"/>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8"/>
      <color indexed="9"/>
      <name val="Arial"/>
      <family val="2"/>
    </font>
    <font>
      <sz val="8"/>
      <color indexed="9"/>
      <name val="Arial"/>
      <family val="2"/>
    </font>
    <font>
      <sz val="8"/>
      <name val="Times New Roman"/>
      <family val="1"/>
    </font>
    <font>
      <sz val="8"/>
      <color indexed="9"/>
      <name val="Times New Roman"/>
      <family val="1"/>
    </font>
    <font>
      <sz val="8"/>
      <color indexed="9"/>
      <name val="Times New Roman"/>
      <family val="1"/>
    </font>
    <font>
      <sz val="8"/>
      <name val="Times New Roman"/>
      <family val="1"/>
    </font>
    <font>
      <sz val="12"/>
      <name val="Arial"/>
      <family val="2"/>
    </font>
    <font>
      <sz val="16"/>
      <name val="Arial"/>
      <family val="2"/>
    </font>
    <font>
      <i/>
      <sz val="12"/>
      <name val="Times New Roman"/>
      <family val="1"/>
    </font>
    <font>
      <u/>
      <sz val="12"/>
      <name val="Times New Roman"/>
      <family val="1"/>
    </font>
    <font>
      <b/>
      <sz val="9"/>
      <name val="Times New Roman"/>
      <family val="1"/>
    </font>
    <font>
      <sz val="16"/>
      <name val="Times New Roman"/>
      <family val="1"/>
    </font>
    <font>
      <u/>
      <sz val="10"/>
      <name val="Times New Roman"/>
      <family val="1"/>
    </font>
    <font>
      <b/>
      <sz val="10"/>
      <name val="Arial"/>
      <family val="2"/>
    </font>
    <font>
      <i/>
      <sz val="10"/>
      <name val="Times New Roman"/>
      <family val="1"/>
    </font>
    <font>
      <b/>
      <u/>
      <sz val="12"/>
      <name val="Times New Roman"/>
      <family val="1"/>
    </font>
    <font>
      <u/>
      <sz val="16"/>
      <name val="Arial"/>
      <family val="2"/>
    </font>
    <font>
      <sz val="10"/>
      <name val="Arial"/>
      <family val="2"/>
    </font>
    <font>
      <sz val="12"/>
      <color theme="0"/>
      <name val="Arial"/>
      <family val="2"/>
    </font>
    <font>
      <b/>
      <u/>
      <sz val="14"/>
      <name val="Times New Roman"/>
      <family val="1"/>
    </font>
    <font>
      <b/>
      <vertAlign val="superscript"/>
      <sz val="12"/>
      <name val="Times New Roman"/>
      <family val="1"/>
    </font>
    <font>
      <vertAlign val="superscript"/>
      <sz val="12"/>
      <name val="Times New Roman"/>
      <family val="1"/>
    </font>
    <font>
      <sz val="18"/>
      <name val="Arial"/>
      <family val="2"/>
    </font>
    <font>
      <i/>
      <sz val="10"/>
      <name val="Arial"/>
      <family val="2"/>
    </font>
    <font>
      <b/>
      <i/>
      <sz val="10"/>
      <name val="Arial"/>
      <family val="2"/>
    </font>
    <font>
      <sz val="16"/>
      <color indexed="8"/>
      <name val="Times New Roman"/>
      <family val="1"/>
    </font>
    <font>
      <sz val="10"/>
      <color indexed="9"/>
      <name val="TMS"/>
    </font>
    <font>
      <sz val="8"/>
      <color indexed="8"/>
      <name val="Arial"/>
      <family val="2"/>
    </font>
    <font>
      <sz val="10"/>
      <color indexed="8"/>
      <name val="TMS"/>
    </font>
    <font>
      <sz val="12"/>
      <color indexed="9"/>
      <name val="TMS"/>
    </font>
    <font>
      <b/>
      <i/>
      <sz val="12"/>
      <name val="Times New Roman"/>
      <family val="1"/>
    </font>
    <font>
      <i/>
      <vertAlign val="superscript"/>
      <sz val="12"/>
      <name val="Times New Roman"/>
      <family val="1"/>
    </font>
    <font>
      <i/>
      <u/>
      <sz val="12"/>
      <name val="Times New Roman"/>
      <family val="1"/>
    </font>
    <font>
      <vertAlign val="superscript"/>
      <sz val="14"/>
      <name val="Times New Roman"/>
      <family val="1"/>
    </font>
    <font>
      <b/>
      <sz val="10"/>
      <color indexed="10"/>
      <name val="Times New Roman"/>
      <family val="1"/>
    </font>
    <font>
      <sz val="10"/>
      <color indexed="10"/>
      <name val="Times New Roman"/>
      <family val="1"/>
    </font>
    <font>
      <u/>
      <sz val="11"/>
      <name val="Times New Roman"/>
      <family val="1"/>
    </font>
    <font>
      <sz val="11"/>
      <name val="Times New Roman"/>
      <family val="1"/>
    </font>
    <font>
      <sz val="11"/>
      <name val="Arial"/>
      <family val="2"/>
    </font>
    <font>
      <u/>
      <sz val="11"/>
      <color indexed="8"/>
      <name val="Times New Roman"/>
      <family val="1"/>
    </font>
    <font>
      <sz val="11"/>
      <color indexed="8"/>
      <name val="Times New Roman"/>
      <family val="1"/>
    </font>
    <font>
      <b/>
      <u/>
      <sz val="11"/>
      <name val="Times New Roman"/>
      <family val="1"/>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s>
  <borders count="192">
    <border>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style="thin">
        <color indexed="64"/>
      </left>
      <right/>
      <top style="thin">
        <color indexed="23"/>
      </top>
      <bottom style="thin">
        <color indexed="23"/>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right/>
      <top/>
      <bottom style="thin">
        <color indexed="8"/>
      </bottom>
      <diagonal/>
    </border>
    <border>
      <left/>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
      <left/>
      <right/>
      <top style="thin">
        <color indexed="23"/>
      </top>
      <bottom style="hair">
        <color indexed="64"/>
      </bottom>
      <diagonal/>
    </border>
    <border>
      <left style="thin">
        <color indexed="64"/>
      </left>
      <right/>
      <top style="thin">
        <color indexed="23"/>
      </top>
      <bottom style="hair">
        <color indexed="64"/>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8"/>
      </left>
      <right/>
      <top/>
      <bottom style="hair">
        <color indexed="8"/>
      </bottom>
      <diagonal/>
    </border>
    <border>
      <left/>
      <right style="thin">
        <color indexed="8"/>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bottom/>
      <diagonal/>
    </border>
    <border>
      <left/>
      <right style="thin">
        <color indexed="8"/>
      </right>
      <top style="hair">
        <color indexed="23"/>
      </top>
      <bottom style="hair">
        <color indexed="8"/>
      </bottom>
      <diagonal/>
    </border>
    <border>
      <left style="thin">
        <color indexed="8"/>
      </left>
      <right/>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thin">
        <color indexed="64"/>
      </right>
      <top style="hair">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top style="thin">
        <color indexed="8"/>
      </top>
      <bottom style="medium">
        <color indexed="64"/>
      </bottom>
      <diagonal/>
    </border>
    <border>
      <left style="thin">
        <color indexed="64"/>
      </left>
      <right/>
      <top style="medium">
        <color indexed="64"/>
      </top>
      <bottom style="hair">
        <color indexed="8"/>
      </bottom>
      <diagonal/>
    </border>
    <border>
      <left/>
      <right style="thin">
        <color indexed="64"/>
      </right>
      <top style="medium">
        <color indexed="64"/>
      </top>
      <bottom style="hair">
        <color indexed="8"/>
      </bottom>
      <diagonal/>
    </border>
    <border>
      <left style="thin">
        <color auto="1"/>
      </left>
      <right/>
      <top/>
      <bottom/>
      <diagonal/>
    </border>
    <border>
      <left style="thin">
        <color indexed="64"/>
      </left>
      <right/>
      <top style="thin">
        <color indexed="8"/>
      </top>
      <bottom style="thin">
        <color indexed="8"/>
      </bottom>
      <diagonal/>
    </border>
    <border>
      <left/>
      <right style="medium">
        <color indexed="8"/>
      </right>
      <top/>
      <bottom/>
      <diagonal/>
    </border>
    <border>
      <left style="thin">
        <color indexed="64"/>
      </left>
      <right/>
      <top style="medium">
        <color indexed="64"/>
      </top>
      <bottom style="thin">
        <color indexed="23"/>
      </bottom>
      <diagonal/>
    </border>
    <border>
      <left/>
      <right/>
      <top style="medium">
        <color indexed="64"/>
      </top>
      <bottom style="thin">
        <color indexed="23"/>
      </bottom>
      <diagonal/>
    </border>
    <border>
      <left/>
      <right style="thin">
        <color indexed="64"/>
      </right>
      <top style="medium">
        <color indexed="64"/>
      </top>
      <bottom style="thin">
        <color indexed="23"/>
      </bottom>
      <diagonal/>
    </border>
    <border>
      <left/>
      <right style="thin">
        <color indexed="64"/>
      </right>
      <top style="thin">
        <color indexed="23"/>
      </top>
      <bottom style="thin">
        <color indexed="23"/>
      </bottom>
      <diagonal/>
    </border>
    <border>
      <left/>
      <right style="thin">
        <color indexed="64"/>
      </right>
      <top style="thin">
        <color indexed="23"/>
      </top>
      <bottom style="thin">
        <color indexed="64"/>
      </bottom>
      <diagonal/>
    </border>
    <border>
      <left/>
      <right style="thin">
        <color indexed="64"/>
      </right>
      <top style="thin">
        <color indexed="23"/>
      </top>
      <bottom style="hair">
        <color indexed="64"/>
      </bottom>
      <diagonal/>
    </border>
    <border>
      <left/>
      <right style="thin">
        <color indexed="64"/>
      </right>
      <top/>
      <bottom style="thin">
        <color indexed="8"/>
      </bottom>
      <diagonal/>
    </border>
    <border>
      <left style="thin">
        <color indexed="64"/>
      </left>
      <right style="thin">
        <color indexed="64"/>
      </right>
      <top style="thin">
        <color indexed="64"/>
      </top>
      <bottom style="hair">
        <color indexed="8"/>
      </bottom>
      <diagonal/>
    </border>
    <border>
      <left style="thin">
        <color indexed="64"/>
      </left>
      <right style="thin">
        <color indexed="64"/>
      </right>
      <top/>
      <bottom style="hair">
        <color indexed="8"/>
      </bottom>
      <diagonal/>
    </border>
    <border>
      <left/>
      <right style="thin">
        <color indexed="8"/>
      </right>
      <top/>
      <bottom style="medium">
        <color indexed="64"/>
      </bottom>
      <diagonal/>
    </border>
    <border>
      <left/>
      <right/>
      <top style="thin">
        <color indexed="8"/>
      </top>
      <bottom style="thin">
        <color indexed="64"/>
      </bottom>
      <diagonal/>
    </border>
    <border>
      <left/>
      <right style="thin">
        <color indexed="8"/>
      </right>
      <top style="thin">
        <color indexed="64"/>
      </top>
      <bottom/>
      <diagonal/>
    </border>
    <border>
      <left style="thin">
        <color indexed="64"/>
      </left>
      <right style="thin">
        <color indexed="64"/>
      </right>
      <top style="thin">
        <color indexed="8"/>
      </top>
      <bottom style="thin">
        <color indexed="23"/>
      </bottom>
      <diagonal/>
    </border>
    <border>
      <left style="thin">
        <color indexed="64"/>
      </left>
      <right style="thin">
        <color indexed="64"/>
      </right>
      <top style="thin">
        <color indexed="23"/>
      </top>
      <bottom style="hair">
        <color indexed="23"/>
      </bottom>
      <diagonal/>
    </border>
    <border>
      <left style="thin">
        <color indexed="64"/>
      </left>
      <right style="thin">
        <color indexed="64"/>
      </right>
      <top style="hair">
        <color indexed="23"/>
      </top>
      <bottom style="hair">
        <color indexed="23"/>
      </bottom>
      <diagonal/>
    </border>
    <border>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style="thin">
        <color indexed="64"/>
      </right>
      <top style="thin">
        <color indexed="8"/>
      </top>
      <bottom style="thin">
        <color indexed="64"/>
      </bottom>
      <diagonal/>
    </border>
    <border>
      <left/>
      <right/>
      <top style="medium">
        <color indexed="64"/>
      </top>
      <bottom/>
      <diagonal/>
    </border>
    <border>
      <left style="thin">
        <color auto="1"/>
      </left>
      <right style="thin">
        <color auto="1"/>
      </right>
      <top style="thin">
        <color auto="1"/>
      </top>
      <bottom/>
      <diagonal/>
    </border>
    <border>
      <left style="hair">
        <color indexed="64"/>
      </left>
      <right/>
      <top style="hair">
        <color indexed="64"/>
      </top>
      <bottom style="hair">
        <color indexed="64"/>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hair">
        <color indexed="23"/>
      </top>
      <bottom style="thin">
        <color indexed="64"/>
      </bottom>
      <diagonal/>
    </border>
    <border>
      <left style="hair">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right/>
      <top style="thin">
        <color auto="1"/>
      </top>
      <bottom/>
      <diagonal/>
    </border>
    <border>
      <left style="thin">
        <color auto="1"/>
      </left>
      <right/>
      <top/>
      <bottom style="medium">
        <color indexed="64"/>
      </bottom>
      <diagonal/>
    </border>
    <border>
      <left/>
      <right style="thin">
        <color indexed="64"/>
      </right>
      <top style="thin">
        <color indexed="64"/>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diagonal/>
    </border>
    <border>
      <left/>
      <right style="thin">
        <color indexed="8"/>
      </right>
      <top style="thin">
        <color indexed="8"/>
      </top>
      <bottom style="medium">
        <color indexed="64"/>
      </bottom>
      <diagonal/>
    </border>
    <border>
      <left style="thin">
        <color indexed="64"/>
      </left>
      <right/>
      <top style="thin">
        <color indexed="8"/>
      </top>
      <bottom style="thin">
        <color indexed="8"/>
      </bottom>
      <diagonal/>
    </border>
    <border>
      <left/>
      <right style="thin">
        <color indexed="64"/>
      </right>
      <top style="thin">
        <color indexed="64"/>
      </top>
      <bottom style="medium">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23"/>
      </top>
      <bottom style="hair">
        <color indexed="64"/>
      </bottom>
      <diagonal/>
    </border>
    <border>
      <left/>
      <right style="thin">
        <color indexed="64"/>
      </right>
      <top style="hair">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indexed="64"/>
      </bottom>
      <diagonal/>
    </border>
  </borders>
  <cellStyleXfs count="16">
    <xf numFmtId="0" fontId="0" fillId="0" borderId="0"/>
    <xf numFmtId="43" fontId="20" fillId="0" borderId="0" applyFont="0" applyFill="0" applyBorder="0" applyAlignment="0" applyProtection="0"/>
    <xf numFmtId="43" fontId="1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0" fontId="14" fillId="0" borderId="0"/>
    <xf numFmtId="0" fontId="64" fillId="0" borderId="0"/>
    <xf numFmtId="0" fontId="15" fillId="0" borderId="0"/>
    <xf numFmtId="0" fontId="20" fillId="0" borderId="0"/>
    <xf numFmtId="0" fontId="15" fillId="0" borderId="0"/>
    <xf numFmtId="0" fontId="15" fillId="0" borderId="0"/>
    <xf numFmtId="0" fontId="15" fillId="0" borderId="0"/>
    <xf numFmtId="0" fontId="1" fillId="0" borderId="0"/>
    <xf numFmtId="0" fontId="14" fillId="0" borderId="0"/>
    <xf numFmtId="0" fontId="15" fillId="0" borderId="0"/>
    <xf numFmtId="9" fontId="15" fillId="0" borderId="0" applyFont="0" applyFill="0" applyBorder="0" applyAlignment="0" applyProtection="0"/>
  </cellStyleXfs>
  <cellXfs count="2187">
    <xf numFmtId="0" fontId="0" fillId="0" borderId="0" xfId="0"/>
    <xf numFmtId="165" fontId="3" fillId="0" borderId="0" xfId="0" applyNumberFormat="1" applyFont="1" applyAlignment="1"/>
    <xf numFmtId="165" fontId="3" fillId="0" borderId="0" xfId="0" applyNumberFormat="1" applyFont="1" applyBorder="1" applyAlignment="1"/>
    <xf numFmtId="165" fontId="6" fillId="0" borderId="0" xfId="0" applyNumberFormat="1" applyFont="1"/>
    <xf numFmtId="3" fontId="6" fillId="0" borderId="0" xfId="0" applyNumberFormat="1" applyFont="1" applyAlignment="1"/>
    <xf numFmtId="3" fontId="6" fillId="0" borderId="0" xfId="0" applyNumberFormat="1" applyFont="1" applyAlignment="1">
      <alignment horizontal="fill"/>
    </xf>
    <xf numFmtId="165" fontId="9" fillId="0" borderId="0" xfId="0" applyNumberFormat="1" applyFont="1" applyAlignment="1"/>
    <xf numFmtId="165" fontId="6" fillId="0" borderId="0" xfId="0" applyNumberFormat="1" applyFont="1" applyAlignment="1"/>
    <xf numFmtId="165" fontId="5" fillId="0" borderId="0" xfId="0" applyNumberFormat="1" applyFont="1" applyAlignment="1"/>
    <xf numFmtId="165" fontId="2" fillId="0" borderId="0" xfId="0" applyNumberFormat="1" applyFont="1" applyAlignment="1"/>
    <xf numFmtId="165" fontId="5" fillId="0" borderId="0" xfId="0" applyNumberFormat="1" applyFont="1" applyBorder="1" applyAlignment="1"/>
    <xf numFmtId="165" fontId="0" fillId="0" borderId="0" xfId="0" applyNumberFormat="1"/>
    <xf numFmtId="165" fontId="0" fillId="0" borderId="0" xfId="0" applyNumberFormat="1" applyBorder="1"/>
    <xf numFmtId="165" fontId="7" fillId="2" borderId="0" xfId="0" applyNumberFormat="1" applyFont="1" applyFill="1" applyAlignment="1"/>
    <xf numFmtId="165" fontId="7" fillId="2" borderId="0" xfId="0" applyNumberFormat="1" applyFont="1" applyFill="1" applyBorder="1" applyAlignment="1"/>
    <xf numFmtId="165" fontId="8" fillId="2" borderId="0" xfId="0" applyNumberFormat="1" applyFont="1" applyFill="1" applyBorder="1" applyAlignment="1"/>
    <xf numFmtId="165" fontId="12" fillId="2" borderId="0" xfId="0" applyNumberFormat="1" applyFont="1" applyFill="1" applyAlignment="1"/>
    <xf numFmtId="3" fontId="17" fillId="0" borderId="0" xfId="0" applyNumberFormat="1" applyFont="1" applyAlignment="1"/>
    <xf numFmtId="165" fontId="4" fillId="0" borderId="0" xfId="0" applyNumberFormat="1" applyFont="1" applyAlignment="1"/>
    <xf numFmtId="165" fontId="18" fillId="2" borderId="0" xfId="0" applyNumberFormat="1" applyFont="1" applyFill="1" applyAlignment="1"/>
    <xf numFmtId="165" fontId="19" fillId="2" borderId="0" xfId="0" applyNumberFormat="1" applyFont="1" applyFill="1" applyAlignment="1">
      <alignment horizontal="centerContinuous"/>
    </xf>
    <xf numFmtId="165" fontId="18" fillId="2" borderId="0" xfId="0" applyNumberFormat="1" applyFont="1" applyFill="1" applyAlignment="1">
      <alignment horizontal="centerContinuous"/>
    </xf>
    <xf numFmtId="165" fontId="6" fillId="0" borderId="0" xfId="0" applyNumberFormat="1" applyFont="1" applyBorder="1"/>
    <xf numFmtId="165" fontId="3" fillId="3" borderId="0" xfId="0" applyNumberFormat="1" applyFont="1" applyFill="1" applyAlignment="1"/>
    <xf numFmtId="165" fontId="15" fillId="3" borderId="0" xfId="0" applyNumberFormat="1" applyFont="1" applyFill="1" applyBorder="1"/>
    <xf numFmtId="0" fontId="31" fillId="0" borderId="0" xfId="0" applyFont="1"/>
    <xf numFmtId="165" fontId="3" fillId="0" borderId="0" xfId="0" applyNumberFormat="1" applyFont="1" applyFill="1" applyAlignment="1"/>
    <xf numFmtId="165" fontId="30" fillId="0" borderId="0" xfId="0" applyNumberFormat="1" applyFont="1" applyFill="1" applyBorder="1"/>
    <xf numFmtId="165" fontId="0" fillId="0" borderId="0" xfId="0" applyNumberFormat="1" applyFill="1" applyBorder="1"/>
    <xf numFmtId="165" fontId="6" fillId="0" borderId="0" xfId="0" applyNumberFormat="1" applyFont="1" applyFill="1" applyAlignment="1"/>
    <xf numFmtId="165" fontId="7" fillId="4" borderId="0" xfId="0" applyNumberFormat="1" applyFont="1" applyFill="1" applyAlignment="1">
      <alignment horizontal="right"/>
    </xf>
    <xf numFmtId="165" fontId="7" fillId="4" borderId="0" xfId="0" applyNumberFormat="1" applyFont="1" applyFill="1" applyAlignment="1"/>
    <xf numFmtId="5" fontId="27" fillId="2" borderId="11" xfId="0" applyNumberFormat="1" applyFont="1" applyFill="1" applyBorder="1" applyAlignment="1"/>
    <xf numFmtId="5" fontId="27" fillId="2" borderId="10" xfId="0" applyNumberFormat="1" applyFont="1" applyFill="1" applyBorder="1" applyAlignment="1"/>
    <xf numFmtId="0" fontId="0" fillId="0" borderId="0" xfId="0" applyBorder="1" applyAlignment="1">
      <alignment horizontal="center"/>
    </xf>
    <xf numFmtId="0" fontId="31" fillId="0" borderId="0" xfId="0" applyFont="1" applyBorder="1" applyAlignment="1">
      <alignment horizontal="center"/>
    </xf>
    <xf numFmtId="0" fontId="0" fillId="0" borderId="0" xfId="0" applyAlignment="1">
      <alignment horizontal="center"/>
    </xf>
    <xf numFmtId="3" fontId="16" fillId="0" borderId="0" xfId="0" applyNumberFormat="1" applyFont="1" applyAlignment="1">
      <alignment horizontal="centerContinuous"/>
    </xf>
    <xf numFmtId="165" fontId="16" fillId="0" borderId="0" xfId="0" applyNumberFormat="1" applyFont="1" applyAlignment="1">
      <alignment horizontal="centerContinuous"/>
    </xf>
    <xf numFmtId="165" fontId="14" fillId="4" borderId="0" xfId="0" applyNumberFormat="1" applyFont="1" applyFill="1"/>
    <xf numFmtId="165" fontId="7" fillId="0" borderId="0" xfId="0" applyNumberFormat="1" applyFont="1" applyFill="1" applyBorder="1" applyAlignment="1"/>
    <xf numFmtId="165" fontId="14" fillId="4" borderId="0" xfId="0" applyNumberFormat="1" applyFont="1" applyFill="1" applyAlignment="1"/>
    <xf numFmtId="165" fontId="38" fillId="4" borderId="0" xfId="0" applyNumberFormat="1" applyFont="1" applyFill="1" applyAlignment="1">
      <alignment horizontal="centerContinuous"/>
    </xf>
    <xf numFmtId="0" fontId="14" fillId="4" borderId="0" xfId="0" applyFont="1" applyFill="1"/>
    <xf numFmtId="0" fontId="14" fillId="0" borderId="0" xfId="0" applyFont="1" applyFill="1" applyBorder="1" applyAlignment="1">
      <alignment vertical="top" wrapText="1"/>
    </xf>
    <xf numFmtId="0" fontId="14" fillId="0" borderId="0" xfId="0" applyFont="1" applyFill="1" applyBorder="1" applyAlignment="1"/>
    <xf numFmtId="165" fontId="21" fillId="4" borderId="0" xfId="0" applyNumberFormat="1" applyFont="1" applyFill="1" applyAlignment="1">
      <alignment horizontal="centerContinuous"/>
    </xf>
    <xf numFmtId="165" fontId="21" fillId="4" borderId="0" xfId="0" applyNumberFormat="1" applyFont="1" applyFill="1" applyBorder="1" applyAlignment="1">
      <alignment horizontal="centerContinuous"/>
    </xf>
    <xf numFmtId="165" fontId="14" fillId="4" borderId="0" xfId="0" applyNumberFormat="1" applyFont="1" applyFill="1" applyBorder="1" applyAlignment="1">
      <alignment horizontal="centerContinuous"/>
    </xf>
    <xf numFmtId="0" fontId="40" fillId="0" borderId="0" xfId="0" applyFont="1" applyFill="1" applyBorder="1" applyAlignment="1">
      <alignment vertical="top" wrapText="1"/>
    </xf>
    <xf numFmtId="165" fontId="6" fillId="0" borderId="0" xfId="0" applyNumberFormat="1" applyFont="1" applyBorder="1" applyAlignment="1"/>
    <xf numFmtId="164" fontId="25" fillId="2" borderId="10" xfId="0" applyNumberFormat="1" applyFont="1" applyFill="1" applyBorder="1" applyAlignment="1"/>
    <xf numFmtId="165" fontId="43" fillId="0" borderId="0" xfId="0" applyNumberFormat="1" applyFont="1"/>
    <xf numFmtId="165" fontId="44" fillId="0" borderId="0" xfId="0" applyNumberFormat="1" applyFont="1" applyAlignment="1"/>
    <xf numFmtId="165" fontId="45" fillId="2" borderId="0" xfId="0" applyNumberFormat="1" applyFont="1" applyFill="1" applyAlignment="1"/>
    <xf numFmtId="170" fontId="3" fillId="3" borderId="0" xfId="0" applyNumberFormat="1" applyFont="1" applyFill="1" applyAlignment="1"/>
    <xf numFmtId="170" fontId="27" fillId="2" borderId="14" xfId="0" applyNumberFormat="1" applyFont="1" applyFill="1" applyBorder="1" applyAlignment="1"/>
    <xf numFmtId="0" fontId="48" fillId="0" borderId="0" xfId="0" applyFont="1"/>
    <xf numFmtId="165" fontId="47" fillId="0" borderId="0" xfId="0" applyNumberFormat="1" applyFont="1"/>
    <xf numFmtId="165" fontId="30" fillId="0" borderId="0" xfId="0" applyNumberFormat="1" applyFont="1"/>
    <xf numFmtId="165" fontId="47" fillId="0" borderId="0" xfId="0" applyNumberFormat="1" applyFont="1" applyAlignment="1"/>
    <xf numFmtId="165" fontId="30" fillId="0" borderId="0" xfId="0" applyNumberFormat="1" applyFont="1" applyAlignment="1"/>
    <xf numFmtId="0" fontId="30" fillId="0" borderId="0" xfId="0" applyFont="1"/>
    <xf numFmtId="165" fontId="48" fillId="0" borderId="0" xfId="0" applyNumberFormat="1" applyFont="1"/>
    <xf numFmtId="165" fontId="48" fillId="0" borderId="0" xfId="0" applyNumberFormat="1" applyFont="1" applyBorder="1"/>
    <xf numFmtId="165" fontId="51" fillId="0" borderId="0" xfId="0" applyNumberFormat="1" applyFont="1" applyAlignment="1"/>
    <xf numFmtId="165" fontId="52" fillId="0" borderId="0" xfId="0" applyNumberFormat="1" applyFont="1" applyAlignment="1"/>
    <xf numFmtId="3" fontId="50" fillId="0" borderId="0" xfId="0" applyNumberFormat="1" applyFont="1" applyAlignment="1"/>
    <xf numFmtId="3" fontId="49" fillId="0" borderId="0" xfId="0" applyNumberFormat="1" applyFont="1" applyAlignment="1"/>
    <xf numFmtId="37" fontId="6" fillId="0" borderId="11" xfId="0" applyNumberFormat="1" applyFont="1" applyBorder="1" applyAlignment="1"/>
    <xf numFmtId="37" fontId="16" fillId="0" borderId="17" xfId="0" applyNumberFormat="1" applyFont="1" applyBorder="1" applyAlignment="1"/>
    <xf numFmtId="37" fontId="6" fillId="0" borderId="4" xfId="0" applyNumberFormat="1" applyFont="1" applyBorder="1" applyAlignment="1"/>
    <xf numFmtId="37" fontId="7" fillId="2" borderId="11" xfId="0" applyNumberFormat="1" applyFont="1" applyFill="1" applyBorder="1" applyAlignment="1"/>
    <xf numFmtId="37" fontId="0" fillId="3" borderId="0" xfId="0" applyNumberFormat="1" applyFill="1" applyBorder="1"/>
    <xf numFmtId="37" fontId="24" fillId="2" borderId="14" xfId="0" applyNumberFormat="1" applyFont="1" applyFill="1" applyBorder="1" applyAlignment="1"/>
    <xf numFmtId="37" fontId="24" fillId="2" borderId="10" xfId="0" applyNumberFormat="1" applyFont="1" applyFill="1" applyBorder="1" applyAlignment="1"/>
    <xf numFmtId="37" fontId="25" fillId="2" borderId="20" xfId="0" applyNumberFormat="1" applyFont="1" applyFill="1" applyBorder="1" applyAlignment="1"/>
    <xf numFmtId="4" fontId="24" fillId="2" borderId="14" xfId="0" applyNumberFormat="1" applyFont="1" applyFill="1" applyBorder="1" applyAlignment="1"/>
    <xf numFmtId="4" fontId="24" fillId="2" borderId="14" xfId="0" applyNumberFormat="1" applyFont="1" applyFill="1" applyBorder="1" applyAlignment="1">
      <alignment horizontal="right"/>
    </xf>
    <xf numFmtId="4" fontId="24" fillId="2" borderId="21" xfId="0" applyNumberFormat="1" applyFont="1" applyFill="1" applyBorder="1" applyAlignment="1">
      <alignment horizontal="right"/>
    </xf>
    <xf numFmtId="4" fontId="24" fillId="2" borderId="21" xfId="0" applyNumberFormat="1" applyFont="1" applyFill="1" applyBorder="1" applyAlignment="1"/>
    <xf numFmtId="37" fontId="7" fillId="2" borderId="14" xfId="0" applyNumberFormat="1" applyFont="1" applyFill="1" applyBorder="1" applyAlignment="1"/>
    <xf numFmtId="37" fontId="7" fillId="2" borderId="10" xfId="0" applyNumberFormat="1" applyFont="1" applyFill="1" applyBorder="1" applyAlignment="1"/>
    <xf numFmtId="37" fontId="7" fillId="2" borderId="14" xfId="0" applyNumberFormat="1" applyFont="1" applyFill="1" applyBorder="1" applyAlignment="1">
      <alignment horizontal="right"/>
    </xf>
    <xf numFmtId="37" fontId="7" fillId="0" borderId="14" xfId="0" applyNumberFormat="1" applyFont="1" applyFill="1" applyBorder="1" applyAlignment="1"/>
    <xf numFmtId="37" fontId="7" fillId="0" borderId="10" xfId="0" applyNumberFormat="1" applyFont="1" applyFill="1" applyBorder="1" applyAlignment="1"/>
    <xf numFmtId="37" fontId="7" fillId="0" borderId="11" xfId="0" applyNumberFormat="1" applyFont="1" applyFill="1" applyBorder="1" applyAlignment="1"/>
    <xf numFmtId="37" fontId="8" fillId="2" borderId="14" xfId="0" applyNumberFormat="1" applyFont="1" applyFill="1" applyBorder="1" applyAlignment="1"/>
    <xf numFmtId="37" fontId="8" fillId="2" borderId="10" xfId="0" applyNumberFormat="1" applyFont="1" applyFill="1" applyBorder="1" applyAlignment="1"/>
    <xf numFmtId="37" fontId="8" fillId="2" borderId="11" xfId="0" applyNumberFormat="1" applyFont="1" applyFill="1" applyBorder="1" applyAlignment="1"/>
    <xf numFmtId="37" fontId="7" fillId="2" borderId="7" xfId="0" applyNumberFormat="1" applyFont="1" applyFill="1" applyBorder="1" applyAlignment="1"/>
    <xf numFmtId="37" fontId="7" fillId="2" borderId="0" xfId="0" applyNumberFormat="1" applyFont="1" applyFill="1" applyBorder="1" applyAlignment="1"/>
    <xf numFmtId="37" fontId="7" fillId="2" borderId="20" xfId="0" applyNumberFormat="1" applyFont="1" applyFill="1" applyBorder="1" applyAlignment="1"/>
    <xf numFmtId="37" fontId="7" fillId="2" borderId="23" xfId="0" applyNumberFormat="1" applyFont="1" applyFill="1" applyBorder="1" applyAlignment="1"/>
    <xf numFmtId="0" fontId="0" fillId="0" borderId="0" xfId="0" applyAlignment="1">
      <alignment vertical="top"/>
    </xf>
    <xf numFmtId="0" fontId="31" fillId="0" borderId="0" xfId="0" applyFont="1" applyAlignment="1">
      <alignment vertical="top"/>
    </xf>
    <xf numFmtId="0" fontId="50" fillId="0" borderId="0" xfId="0" applyFont="1" applyAlignment="1">
      <alignment vertical="top"/>
    </xf>
    <xf numFmtId="37" fontId="7" fillId="2" borderId="25" xfId="0" applyNumberFormat="1" applyFont="1" applyFill="1" applyBorder="1" applyAlignment="1"/>
    <xf numFmtId="37" fontId="7" fillId="0" borderId="25" xfId="0" applyNumberFormat="1" applyFont="1" applyFill="1" applyBorder="1" applyAlignment="1"/>
    <xf numFmtId="37" fontId="16" fillId="0" borderId="13" xfId="0" applyNumberFormat="1" applyFont="1" applyBorder="1" applyAlignment="1">
      <alignment horizontal="right"/>
    </xf>
    <xf numFmtId="37" fontId="25" fillId="2" borderId="23" xfId="0" applyNumberFormat="1" applyFont="1" applyFill="1" applyBorder="1" applyAlignment="1"/>
    <xf numFmtId="165" fontId="39" fillId="0" borderId="0" xfId="0" applyNumberFormat="1" applyFont="1" applyAlignment="1"/>
    <xf numFmtId="164" fontId="16" fillId="0" borderId="28" xfId="0" applyNumberFormat="1" applyFont="1" applyBorder="1" applyAlignment="1"/>
    <xf numFmtId="3" fontId="25" fillId="2" borderId="29" xfId="0" applyNumberFormat="1" applyFont="1" applyFill="1" applyBorder="1" applyAlignment="1"/>
    <xf numFmtId="165" fontId="14" fillId="3" borderId="0" xfId="0" applyNumberFormat="1" applyFont="1" applyFill="1" applyBorder="1"/>
    <xf numFmtId="1" fontId="16" fillId="0" borderId="16" xfId="0" applyNumberFormat="1" applyFont="1" applyBorder="1" applyAlignment="1">
      <alignment horizontal="right"/>
    </xf>
    <xf numFmtId="37" fontId="16" fillId="0" borderId="17" xfId="0" applyNumberFormat="1" applyFont="1" applyBorder="1" applyAlignment="1">
      <alignment horizontal="right"/>
    </xf>
    <xf numFmtId="37" fontId="6" fillId="0" borderId="14" xfId="0" applyNumberFormat="1" applyFont="1" applyBorder="1" applyAlignment="1">
      <alignment horizontal="center"/>
    </xf>
    <xf numFmtId="37" fontId="6" fillId="0" borderId="10" xfId="0" applyNumberFormat="1" applyFont="1" applyBorder="1" applyAlignment="1">
      <alignment horizontal="center"/>
    </xf>
    <xf numFmtId="37" fontId="6" fillId="0" borderId="10" xfId="0" applyNumberFormat="1" applyFont="1" applyBorder="1" applyAlignment="1"/>
    <xf numFmtId="3" fontId="6" fillId="0" borderId="11" xfId="0" applyNumberFormat="1" applyFont="1" applyBorder="1" applyAlignment="1"/>
    <xf numFmtId="164" fontId="16" fillId="0" borderId="2" xfId="0" applyNumberFormat="1" applyFont="1" applyBorder="1" applyAlignment="1"/>
    <xf numFmtId="164" fontId="16" fillId="0" borderId="3" xfId="0" applyNumberFormat="1" applyFont="1" applyBorder="1" applyAlignment="1"/>
    <xf numFmtId="3" fontId="6" fillId="0" borderId="2" xfId="0" applyNumberFormat="1" applyFont="1" applyBorder="1" applyAlignment="1"/>
    <xf numFmtId="0" fontId="24" fillId="2" borderId="14" xfId="0" applyNumberFormat="1" applyFont="1" applyFill="1" applyBorder="1" applyAlignment="1">
      <alignment horizontal="left"/>
    </xf>
    <xf numFmtId="0" fontId="25" fillId="2" borderId="20" xfId="0" applyNumberFormat="1" applyFont="1" applyFill="1" applyBorder="1" applyAlignment="1">
      <alignment horizontal="left"/>
    </xf>
    <xf numFmtId="0" fontId="25" fillId="2" borderId="14" xfId="0" applyNumberFormat="1" applyFont="1" applyFill="1" applyBorder="1" applyAlignment="1">
      <alignment horizontal="left"/>
    </xf>
    <xf numFmtId="0" fontId="25" fillId="2" borderId="21" xfId="0" applyNumberFormat="1" applyFont="1" applyFill="1" applyBorder="1" applyAlignment="1">
      <alignment horizontal="left"/>
    </xf>
    <xf numFmtId="0" fontId="25" fillId="2" borderId="32" xfId="0" applyNumberFormat="1" applyFont="1" applyFill="1" applyBorder="1" applyAlignment="1">
      <alignment horizontal="right"/>
    </xf>
    <xf numFmtId="0" fontId="25" fillId="2" borderId="33" xfId="0" applyNumberFormat="1" applyFont="1" applyFill="1" applyBorder="1" applyAlignment="1">
      <alignment horizontal="right"/>
    </xf>
    <xf numFmtId="0" fontId="7" fillId="2" borderId="35" xfId="0" applyNumberFormat="1" applyFont="1" applyFill="1" applyBorder="1" applyAlignment="1">
      <alignment horizontal="left" indent="1"/>
    </xf>
    <xf numFmtId="0" fontId="7" fillId="2" borderId="12" xfId="0" applyNumberFormat="1" applyFont="1" applyFill="1" applyBorder="1" applyAlignment="1">
      <alignment horizontal="left" indent="1"/>
    </xf>
    <xf numFmtId="0" fontId="8" fillId="2" borderId="12" xfId="0" applyNumberFormat="1" applyFont="1" applyFill="1" applyBorder="1" applyAlignment="1">
      <alignment horizontal="left" indent="2"/>
    </xf>
    <xf numFmtId="0" fontId="7" fillId="2" borderId="25" xfId="0" applyNumberFormat="1" applyFont="1" applyFill="1" applyBorder="1" applyAlignment="1">
      <alignment horizontal="left" indent="1"/>
    </xf>
    <xf numFmtId="0" fontId="7" fillId="2" borderId="12" xfId="0" applyNumberFormat="1" applyFont="1" applyFill="1" applyBorder="1" applyAlignment="1">
      <alignment horizontal="left" indent="2"/>
    </xf>
    <xf numFmtId="0" fontId="27" fillId="2" borderId="12" xfId="0" applyNumberFormat="1" applyFont="1" applyFill="1" applyBorder="1" applyAlignment="1">
      <alignment horizontal="left" indent="3"/>
    </xf>
    <xf numFmtId="0" fontId="7" fillId="0" borderId="12" xfId="0" applyNumberFormat="1" applyFont="1" applyFill="1" applyBorder="1" applyAlignment="1">
      <alignment horizontal="left" indent="2"/>
    </xf>
    <xf numFmtId="0" fontId="6" fillId="0" borderId="14" xfId="0" applyNumberFormat="1" applyFont="1" applyBorder="1" applyAlignment="1"/>
    <xf numFmtId="0" fontId="6" fillId="0" borderId="10" xfId="0" applyNumberFormat="1" applyFont="1" applyBorder="1" applyAlignment="1"/>
    <xf numFmtId="0" fontId="6" fillId="0" borderId="6" xfId="0" applyNumberFormat="1" applyFont="1" applyBorder="1" applyAlignment="1"/>
    <xf numFmtId="0" fontId="16" fillId="0" borderId="2" xfId="0" applyNumberFormat="1" applyFont="1" applyBorder="1" applyAlignment="1"/>
    <xf numFmtId="0" fontId="6" fillId="0" borderId="38" xfId="0" applyNumberFormat="1" applyFont="1" applyBorder="1" applyAlignment="1"/>
    <xf numFmtId="0" fontId="6" fillId="0" borderId="10" xfId="0" applyNumberFormat="1" applyFont="1" applyBorder="1" applyAlignment="1">
      <alignment horizontal="fill"/>
    </xf>
    <xf numFmtId="0" fontId="6" fillId="0" borderId="2" xfId="0" applyNumberFormat="1" applyFont="1" applyBorder="1" applyAlignment="1">
      <alignment horizontal="fill"/>
    </xf>
    <xf numFmtId="0" fontId="6" fillId="0" borderId="2" xfId="0" applyNumberFormat="1" applyFont="1" applyBorder="1" applyAlignment="1"/>
    <xf numFmtId="0" fontId="6" fillId="0" borderId="32" xfId="0" applyNumberFormat="1" applyFont="1" applyBorder="1" applyAlignment="1">
      <alignment horizontal="right"/>
    </xf>
    <xf numFmtId="0" fontId="6" fillId="0" borderId="33" xfId="0" applyNumberFormat="1" applyFont="1" applyBorder="1" applyAlignment="1">
      <alignment horizontal="center"/>
    </xf>
    <xf numFmtId="0" fontId="6" fillId="0" borderId="33" xfId="0" applyNumberFormat="1" applyFont="1" applyBorder="1" applyAlignment="1">
      <alignment horizontal="right"/>
    </xf>
    <xf numFmtId="0" fontId="6" fillId="0" borderId="32" xfId="0" applyNumberFormat="1" applyFont="1" applyBorder="1" applyAlignment="1">
      <alignment horizontal="center"/>
    </xf>
    <xf numFmtId="0" fontId="6" fillId="0" borderId="34" xfId="0" applyNumberFormat="1" applyFont="1" applyBorder="1" applyAlignment="1">
      <alignment horizontal="right"/>
    </xf>
    <xf numFmtId="37" fontId="16" fillId="0" borderId="25" xfId="0" applyNumberFormat="1" applyFont="1" applyBorder="1" applyAlignment="1">
      <alignment horizontal="center"/>
    </xf>
    <xf numFmtId="37" fontId="16" fillId="0" borderId="2" xfId="0" applyNumberFormat="1" applyFont="1" applyBorder="1" applyAlignment="1">
      <alignment horizontal="center"/>
    </xf>
    <xf numFmtId="37" fontId="6" fillId="0" borderId="6" xfId="0" applyNumberFormat="1" applyFont="1" applyBorder="1" applyAlignment="1">
      <alignment horizontal="center"/>
    </xf>
    <xf numFmtId="37" fontId="6" fillId="0" borderId="2" xfId="0" applyNumberFormat="1" applyFont="1" applyBorder="1" applyAlignment="1">
      <alignment horizontal="center"/>
    </xf>
    <xf numFmtId="37" fontId="6" fillId="0" borderId="6" xfId="0" applyNumberFormat="1" applyFont="1" applyBorder="1" applyAlignment="1"/>
    <xf numFmtId="37" fontId="6" fillId="0" borderId="2" xfId="0" applyNumberFormat="1" applyFont="1" applyBorder="1" applyAlignment="1"/>
    <xf numFmtId="37" fontId="6" fillId="0" borderId="14" xfId="0" applyNumberFormat="1" applyFont="1" applyBorder="1" applyAlignment="1"/>
    <xf numFmtId="0" fontId="6" fillId="0" borderId="0" xfId="0" applyFont="1"/>
    <xf numFmtId="0" fontId="16" fillId="0" borderId="0" xfId="0" applyFont="1"/>
    <xf numFmtId="5" fontId="7" fillId="2" borderId="10" xfId="0" applyNumberFormat="1" applyFont="1" applyFill="1" applyBorder="1" applyAlignment="1"/>
    <xf numFmtId="5" fontId="7" fillId="2" borderId="11" xfId="0" applyNumberFormat="1" applyFont="1" applyFill="1" applyBorder="1" applyAlignment="1"/>
    <xf numFmtId="165" fontId="3" fillId="0" borderId="0" xfId="0" applyNumberFormat="1" applyFont="1" applyBorder="1"/>
    <xf numFmtId="0" fontId="0" fillId="4" borderId="0" xfId="0" applyFill="1" applyBorder="1" applyAlignment="1">
      <alignment horizontal="center" vertical="top"/>
    </xf>
    <xf numFmtId="0" fontId="31" fillId="4" borderId="0" xfId="0" applyFont="1" applyFill="1" applyBorder="1" applyAlignment="1">
      <alignment horizontal="center" vertical="top"/>
    </xf>
    <xf numFmtId="0" fontId="39" fillId="4" borderId="0" xfId="0" applyFont="1" applyFill="1" applyBorder="1" applyAlignment="1">
      <alignment vertical="top" wrapText="1"/>
    </xf>
    <xf numFmtId="0" fontId="6" fillId="0" borderId="20" xfId="0" applyNumberFormat="1" applyFont="1" applyBorder="1" applyAlignment="1"/>
    <xf numFmtId="0" fontId="16" fillId="0" borderId="32" xfId="0" applyNumberFormat="1" applyFont="1" applyBorder="1" applyAlignment="1">
      <alignment horizontal="right"/>
    </xf>
    <xf numFmtId="0" fontId="16" fillId="0" borderId="33" xfId="0" applyNumberFormat="1" applyFont="1" applyBorder="1" applyAlignment="1">
      <alignment horizontal="right"/>
    </xf>
    <xf numFmtId="0" fontId="16" fillId="0" borderId="34" xfId="0" applyNumberFormat="1" applyFont="1" applyBorder="1" applyAlignment="1">
      <alignment horizontal="right"/>
    </xf>
    <xf numFmtId="37" fontId="6" fillId="0" borderId="6" xfId="0" applyNumberFormat="1" applyFont="1" applyFill="1" applyBorder="1" applyAlignment="1"/>
    <xf numFmtId="37" fontId="6" fillId="0" borderId="2" xfId="0" applyNumberFormat="1" applyFont="1" applyFill="1" applyBorder="1" applyAlignment="1"/>
    <xf numFmtId="37" fontId="6" fillId="0" borderId="3" xfId="0" applyNumberFormat="1" applyFont="1" applyFill="1" applyBorder="1" applyAlignment="1"/>
    <xf numFmtId="0" fontId="16" fillId="0" borderId="20" xfId="0" applyNumberFormat="1" applyFont="1" applyBorder="1" applyAlignment="1">
      <alignment horizontal="left" indent="3"/>
    </xf>
    <xf numFmtId="37" fontId="16" fillId="0" borderId="6" xfId="0" applyNumberFormat="1" applyFont="1" applyBorder="1" applyAlignment="1"/>
    <xf numFmtId="37" fontId="16" fillId="0" borderId="2" xfId="0" applyNumberFormat="1" applyFont="1" applyBorder="1" applyAlignment="1"/>
    <xf numFmtId="5" fontId="16" fillId="0" borderId="2" xfId="0" applyNumberFormat="1" applyFont="1" applyBorder="1" applyAlignment="1"/>
    <xf numFmtId="5" fontId="16" fillId="0" borderId="23" xfId="0" applyNumberFormat="1" applyFont="1" applyBorder="1" applyAlignment="1"/>
    <xf numFmtId="5" fontId="16" fillId="0" borderId="3" xfId="0" applyNumberFormat="1" applyFont="1" applyBorder="1" applyAlignment="1"/>
    <xf numFmtId="37" fontId="6" fillId="0" borderId="3" xfId="0" applyNumberFormat="1" applyFont="1" applyBorder="1" applyAlignment="1"/>
    <xf numFmtId="37" fontId="6" fillId="0" borderId="20" xfId="0" applyNumberFormat="1" applyFont="1" applyBorder="1" applyAlignment="1"/>
    <xf numFmtId="37" fontId="6" fillId="0" borderId="23" xfId="0" applyNumberFormat="1" applyFont="1" applyBorder="1" applyAlignment="1"/>
    <xf numFmtId="37" fontId="6" fillId="0" borderId="18" xfId="0" applyNumberFormat="1" applyFont="1" applyBorder="1" applyAlignment="1"/>
    <xf numFmtId="0" fontId="6" fillId="0" borderId="36" xfId="0" applyNumberFormat="1" applyFont="1" applyBorder="1" applyAlignment="1"/>
    <xf numFmtId="0" fontId="6" fillId="0" borderId="12" xfId="0" applyNumberFormat="1" applyFont="1" applyBorder="1" applyAlignment="1">
      <alignment horizontal="left" indent="3"/>
    </xf>
    <xf numFmtId="0" fontId="6" fillId="0" borderId="25" xfId="0" applyNumberFormat="1" applyFont="1" applyBorder="1" applyAlignment="1">
      <alignment horizontal="left" indent="3"/>
    </xf>
    <xf numFmtId="5" fontId="6" fillId="0" borderId="2" xfId="0" applyNumberFormat="1" applyFont="1" applyBorder="1" applyAlignment="1"/>
    <xf numFmtId="5" fontId="6" fillId="0" borderId="3" xfId="0" applyNumberFormat="1" applyFont="1" applyBorder="1" applyAlignment="1"/>
    <xf numFmtId="165" fontId="6" fillId="0" borderId="0" xfId="0" applyNumberFormat="1" applyFont="1" applyAlignment="1">
      <alignment horizontal="centerContinuous"/>
    </xf>
    <xf numFmtId="0" fontId="16" fillId="0" borderId="0" xfId="0" applyNumberFormat="1" applyFont="1" applyBorder="1" applyAlignment="1">
      <alignment horizontal="left" indent="5"/>
    </xf>
    <xf numFmtId="37" fontId="16" fillId="0" borderId="0" xfId="0" applyNumberFormat="1" applyFont="1" applyBorder="1" applyAlignment="1"/>
    <xf numFmtId="5" fontId="16" fillId="0" borderId="0" xfId="0" applyNumberFormat="1" applyFont="1" applyBorder="1" applyAlignment="1"/>
    <xf numFmtId="165" fontId="50" fillId="0" borderId="0" xfId="0" applyNumberFormat="1" applyFont="1" applyAlignment="1"/>
    <xf numFmtId="165" fontId="49" fillId="0" borderId="0" xfId="0" applyNumberFormat="1" applyFont="1" applyAlignment="1"/>
    <xf numFmtId="37" fontId="6" fillId="0" borderId="22" xfId="0" applyNumberFormat="1" applyFont="1" applyBorder="1" applyAlignment="1"/>
    <xf numFmtId="0" fontId="56" fillId="0" borderId="7" xfId="0" applyNumberFormat="1" applyFont="1" applyBorder="1" applyAlignment="1"/>
    <xf numFmtId="0" fontId="56" fillId="0" borderId="0" xfId="0" applyNumberFormat="1" applyFont="1" applyBorder="1" applyAlignment="1"/>
    <xf numFmtId="0" fontId="56" fillId="0" borderId="22" xfId="0" applyNumberFormat="1" applyFont="1" applyBorder="1" applyAlignment="1"/>
    <xf numFmtId="0" fontId="56" fillId="0" borderId="0" xfId="0" applyNumberFormat="1" applyFont="1" applyAlignment="1"/>
    <xf numFmtId="0" fontId="46" fillId="0" borderId="0" xfId="8" applyFont="1"/>
    <xf numFmtId="0" fontId="0" fillId="0" borderId="0" xfId="0" applyAlignment="1"/>
    <xf numFmtId="0" fontId="20" fillId="0" borderId="0" xfId="8"/>
    <xf numFmtId="0" fontId="16" fillId="0" borderId="0" xfId="8" applyFont="1"/>
    <xf numFmtId="0" fontId="22" fillId="0" borderId="0" xfId="8" applyFont="1"/>
    <xf numFmtId="0" fontId="9" fillId="0" borderId="0" xfId="8" applyFont="1"/>
    <xf numFmtId="0" fontId="9" fillId="0" borderId="0" xfId="8" applyFont="1" applyFill="1" applyAlignment="1">
      <alignment vertical="center"/>
    </xf>
    <xf numFmtId="0" fontId="22" fillId="0" borderId="0" xfId="8" applyFont="1" applyFill="1" applyBorder="1" applyAlignment="1">
      <alignment horizontal="centerContinuous"/>
    </xf>
    <xf numFmtId="0" fontId="9" fillId="0" borderId="7" xfId="8" applyFont="1" applyFill="1" applyBorder="1" applyAlignment="1">
      <alignment horizontal="center"/>
    </xf>
    <xf numFmtId="0" fontId="9" fillId="0" borderId="22" xfId="8" applyFont="1" applyFill="1" applyBorder="1" applyAlignment="1">
      <alignment horizontal="center"/>
    </xf>
    <xf numFmtId="0" fontId="9" fillId="0" borderId="0" xfId="8" applyFont="1" applyFill="1"/>
    <xf numFmtId="0" fontId="9" fillId="0" borderId="0" xfId="8" applyFont="1" applyFill="1" applyBorder="1" applyAlignment="1">
      <alignment horizontal="center"/>
    </xf>
    <xf numFmtId="0" fontId="9" fillId="0" borderId="6" xfId="8" applyFont="1" applyFill="1" applyBorder="1" applyAlignment="1">
      <alignment horizontal="center" wrapText="1"/>
    </xf>
    <xf numFmtId="0" fontId="9" fillId="0" borderId="3" xfId="8" applyFont="1" applyFill="1" applyBorder="1" applyAlignment="1">
      <alignment horizontal="center" wrapText="1"/>
    </xf>
    <xf numFmtId="0" fontId="59" fillId="0" borderId="0" xfId="8" applyFont="1" applyFill="1" applyBorder="1" applyAlignment="1">
      <alignment horizontal="center"/>
    </xf>
    <xf numFmtId="0" fontId="9" fillId="0" borderId="1" xfId="8" applyFont="1" applyBorder="1"/>
    <xf numFmtId="37" fontId="9" fillId="0" borderId="7" xfId="8" applyNumberFormat="1" applyFont="1" applyBorder="1"/>
    <xf numFmtId="37" fontId="9" fillId="0" borderId="22" xfId="8" applyNumberFormat="1" applyFont="1" applyBorder="1"/>
    <xf numFmtId="3" fontId="9" fillId="0" borderId="0" xfId="8" applyNumberFormat="1" applyFont="1"/>
    <xf numFmtId="37" fontId="9" fillId="0" borderId="0" xfId="8" applyNumberFormat="1" applyFont="1" applyBorder="1"/>
    <xf numFmtId="37" fontId="9" fillId="0" borderId="37" xfId="8" applyNumberFormat="1" applyFont="1" applyBorder="1"/>
    <xf numFmtId="0" fontId="9" fillId="0" borderId="0" xfId="8" applyFont="1" applyBorder="1"/>
    <xf numFmtId="0" fontId="22" fillId="0" borderId="5" xfId="8" applyFont="1" applyBorder="1"/>
    <xf numFmtId="37" fontId="9" fillId="0" borderId="22" xfId="3" applyNumberFormat="1" applyFont="1" applyBorder="1"/>
    <xf numFmtId="168" fontId="22" fillId="0" borderId="0" xfId="3" applyNumberFormat="1" applyFont="1" applyBorder="1"/>
    <xf numFmtId="0" fontId="9" fillId="0" borderId="5" xfId="8" applyFont="1" applyBorder="1"/>
    <xf numFmtId="3" fontId="9" fillId="0" borderId="7" xfId="1" applyNumberFormat="1" applyFont="1" applyBorder="1"/>
    <xf numFmtId="3" fontId="9" fillId="0" borderId="5" xfId="1" applyNumberFormat="1" applyFont="1" applyBorder="1"/>
    <xf numFmtId="167" fontId="9" fillId="0" borderId="0" xfId="1" applyNumberFormat="1" applyFont="1" applyBorder="1"/>
    <xf numFmtId="167" fontId="22" fillId="0" borderId="0" xfId="1" applyNumberFormat="1" applyFont="1" applyBorder="1"/>
    <xf numFmtId="0" fontId="60" fillId="0" borderId="0" xfId="8" applyFont="1"/>
    <xf numFmtId="170" fontId="9" fillId="0" borderId="0" xfId="8" applyNumberFormat="1" applyFont="1"/>
    <xf numFmtId="37" fontId="9" fillId="0" borderId="0" xfId="8" applyNumberFormat="1" applyFont="1"/>
    <xf numFmtId="37" fontId="9" fillId="0" borderId="7" xfId="8" applyNumberFormat="1" applyFont="1" applyBorder="1" applyAlignment="1"/>
    <xf numFmtId="37" fontId="9" fillId="0" borderId="22" xfId="8" applyNumberFormat="1" applyFont="1" applyBorder="1" applyAlignment="1"/>
    <xf numFmtId="37" fontId="22" fillId="0" borderId="20" xfId="1" applyNumberFormat="1" applyFont="1" applyBorder="1"/>
    <xf numFmtId="0" fontId="22" fillId="0" borderId="41" xfId="8" applyFont="1" applyBorder="1" applyAlignment="1">
      <alignment horizontal="left"/>
    </xf>
    <xf numFmtId="0" fontId="22" fillId="0" borderId="42" xfId="8" applyFont="1" applyBorder="1" applyAlignment="1">
      <alignment horizontal="left"/>
    </xf>
    <xf numFmtId="167" fontId="22" fillId="0" borderId="0" xfId="8" applyNumberFormat="1" applyFont="1" applyBorder="1" applyAlignment="1">
      <alignment horizontal="left"/>
    </xf>
    <xf numFmtId="168" fontId="22" fillId="0" borderId="0" xfId="3" applyNumberFormat="1" applyFont="1" applyBorder="1" applyAlignment="1">
      <alignment horizontal="left"/>
    </xf>
    <xf numFmtId="0" fontId="60" fillId="0" borderId="0" xfId="8" applyFont="1" applyAlignment="1">
      <alignment horizontal="left"/>
    </xf>
    <xf numFmtId="0" fontId="60" fillId="0" borderId="0" xfId="8" applyFont="1" applyBorder="1" applyAlignment="1">
      <alignment horizontal="left"/>
    </xf>
    <xf numFmtId="0" fontId="22" fillId="0" borderId="0" xfId="8" applyFont="1" applyBorder="1" applyAlignment="1">
      <alignment horizontal="left"/>
    </xf>
    <xf numFmtId="0" fontId="15" fillId="0" borderId="0" xfId="8" applyFont="1" applyFill="1"/>
    <xf numFmtId="0" fontId="14" fillId="0" borderId="0" xfId="0" applyFont="1" applyFill="1" applyBorder="1" applyAlignment="1">
      <alignment wrapText="1"/>
    </xf>
    <xf numFmtId="0" fontId="14" fillId="5" borderId="0" xfId="0" applyFont="1" applyFill="1" applyBorder="1" applyAlignment="1">
      <alignment vertical="top" wrapText="1"/>
    </xf>
    <xf numFmtId="0" fontId="14" fillId="5" borderId="0" xfId="0" applyFont="1" applyFill="1" applyBorder="1" applyAlignment="1"/>
    <xf numFmtId="0" fontId="15" fillId="5" borderId="0" xfId="8" applyFont="1" applyFill="1"/>
    <xf numFmtId="0" fontId="65" fillId="0" borderId="0" xfId="0" applyFont="1"/>
    <xf numFmtId="0" fontId="7" fillId="2" borderId="14" xfId="0" applyNumberFormat="1" applyFont="1" applyFill="1" applyBorder="1" applyAlignment="1">
      <alignment horizontal="left" indent="1"/>
    </xf>
    <xf numFmtId="0" fontId="27" fillId="0" borderId="38" xfId="0" applyNumberFormat="1" applyFont="1" applyFill="1" applyBorder="1" applyAlignment="1">
      <alignment horizontal="left" indent="2"/>
    </xf>
    <xf numFmtId="37" fontId="27" fillId="0" borderId="38" xfId="0" applyNumberFormat="1" applyFont="1" applyFill="1" applyBorder="1" applyAlignment="1"/>
    <xf numFmtId="0" fontId="27" fillId="0" borderId="47" xfId="0" applyNumberFormat="1" applyFont="1" applyFill="1" applyBorder="1" applyAlignment="1">
      <alignment horizontal="left" indent="2"/>
    </xf>
    <xf numFmtId="37" fontId="27" fillId="0" borderId="35" xfId="0" applyNumberFormat="1" applyFont="1" applyFill="1" applyBorder="1" applyAlignment="1"/>
    <xf numFmtId="37" fontId="27" fillId="0" borderId="48" xfId="0" applyNumberFormat="1" applyFont="1" applyFill="1" applyBorder="1" applyAlignment="1"/>
    <xf numFmtId="37" fontId="27" fillId="0" borderId="49" xfId="0" applyNumberFormat="1" applyFont="1" applyFill="1" applyBorder="1" applyAlignment="1"/>
    <xf numFmtId="37" fontId="7" fillId="2" borderId="18" xfId="0" applyNumberFormat="1" applyFont="1" applyFill="1" applyBorder="1" applyAlignment="1"/>
    <xf numFmtId="3" fontId="17" fillId="0" borderId="0" xfId="5" applyNumberFormat="1" applyFont="1" applyAlignment="1"/>
    <xf numFmtId="0" fontId="15" fillId="0" borderId="0" xfId="7"/>
    <xf numFmtId="0" fontId="14" fillId="2" borderId="0" xfId="9" applyFont="1" applyFill="1" applyAlignment="1">
      <alignment horizontal="center"/>
    </xf>
    <xf numFmtId="0" fontId="15" fillId="2" borderId="0" xfId="9" applyFont="1" applyFill="1"/>
    <xf numFmtId="0" fontId="13" fillId="2" borderId="0" xfId="9" applyFont="1" applyFill="1"/>
    <xf numFmtId="0" fontId="63" fillId="2" borderId="0" xfId="9" applyFont="1" applyFill="1"/>
    <xf numFmtId="37" fontId="7" fillId="2" borderId="12" xfId="0" applyNumberFormat="1" applyFont="1" applyFill="1" applyBorder="1" applyAlignment="1"/>
    <xf numFmtId="0" fontId="21" fillId="4" borderId="0" xfId="0" applyFont="1" applyFill="1" applyBorder="1" applyAlignment="1">
      <alignment horizontal="center" vertical="top"/>
    </xf>
    <xf numFmtId="3" fontId="14" fillId="0" borderId="0" xfId="0" applyNumberFormat="1" applyFont="1" applyAlignment="1"/>
    <xf numFmtId="165" fontId="14" fillId="0" borderId="0" xfId="0" applyNumberFormat="1" applyFont="1" applyAlignment="1"/>
    <xf numFmtId="3" fontId="30" fillId="0" borderId="0" xfId="0" applyNumberFormat="1" applyFont="1" applyAlignment="1"/>
    <xf numFmtId="3" fontId="14" fillId="4" borderId="0" xfId="0" applyNumberFormat="1" applyFont="1" applyFill="1" applyAlignment="1"/>
    <xf numFmtId="165" fontId="14" fillId="0" borderId="0" xfId="0" applyNumberFormat="1" applyFont="1" applyFill="1" applyAlignment="1"/>
    <xf numFmtId="0" fontId="14" fillId="4" borderId="0" xfId="0" applyFont="1" applyFill="1" applyBorder="1" applyAlignment="1">
      <alignment wrapText="1"/>
    </xf>
    <xf numFmtId="0" fontId="14" fillId="4" borderId="0" xfId="0" applyFont="1" applyFill="1" applyBorder="1" applyAlignment="1"/>
    <xf numFmtId="165" fontId="14" fillId="0" borderId="0" xfId="0" applyNumberFormat="1" applyFont="1"/>
    <xf numFmtId="0" fontId="14" fillId="4" borderId="0" xfId="0" applyFont="1" applyFill="1" applyBorder="1" applyAlignment="1">
      <alignment wrapText="1"/>
    </xf>
    <xf numFmtId="5" fontId="16" fillId="0" borderId="4" xfId="0" applyNumberFormat="1" applyFont="1" applyBorder="1" applyAlignment="1"/>
    <xf numFmtId="37" fontId="6" fillId="0" borderId="24" xfId="0" applyNumberFormat="1" applyFont="1" applyBorder="1" applyAlignment="1"/>
    <xf numFmtId="5" fontId="6" fillId="0" borderId="4" xfId="0" applyNumberFormat="1" applyFont="1" applyBorder="1" applyAlignment="1"/>
    <xf numFmtId="0" fontId="16" fillId="0" borderId="54" xfId="0" applyNumberFormat="1" applyFont="1" applyBorder="1" applyAlignment="1">
      <alignment horizontal="center"/>
    </xf>
    <xf numFmtId="0" fontId="16" fillId="0" borderId="33" xfId="0" applyNumberFormat="1" applyFont="1" applyBorder="1" applyAlignment="1">
      <alignment horizontal="center"/>
    </xf>
    <xf numFmtId="37" fontId="16" fillId="0" borderId="20" xfId="0" applyNumberFormat="1" applyFont="1" applyBorder="1" applyAlignment="1"/>
    <xf numFmtId="37" fontId="16" fillId="0" borderId="23" xfId="0" applyNumberFormat="1" applyFont="1" applyBorder="1" applyAlignment="1"/>
    <xf numFmtId="5" fontId="7" fillId="2" borderId="26" xfId="0" applyNumberFormat="1" applyFont="1" applyFill="1" applyBorder="1" applyAlignment="1"/>
    <xf numFmtId="5" fontId="7" fillId="2" borderId="27" xfId="0" applyNumberFormat="1" applyFont="1" applyFill="1" applyBorder="1" applyAlignment="1"/>
    <xf numFmtId="3" fontId="4" fillId="0" borderId="0" xfId="0" applyNumberFormat="1" applyFont="1" applyAlignment="1"/>
    <xf numFmtId="3" fontId="14" fillId="5" borderId="0" xfId="0" applyNumberFormat="1" applyFont="1" applyFill="1" applyAlignment="1"/>
    <xf numFmtId="165" fontId="14" fillId="5" borderId="0" xfId="0" applyNumberFormat="1" applyFont="1" applyFill="1" applyAlignment="1"/>
    <xf numFmtId="0" fontId="15" fillId="0" borderId="0" xfId="8" applyFont="1" applyAlignment="1">
      <alignment horizontal="left" vertical="top" wrapText="1"/>
    </xf>
    <xf numFmtId="0" fontId="15" fillId="0" borderId="0" xfId="8" applyFont="1" applyAlignment="1">
      <alignment vertical="top" wrapText="1"/>
    </xf>
    <xf numFmtId="0" fontId="14" fillId="4" borderId="0" xfId="0" applyFont="1" applyFill="1" applyBorder="1" applyAlignment="1">
      <alignment wrapText="1"/>
    </xf>
    <xf numFmtId="37" fontId="16" fillId="0" borderId="4" xfId="0" applyNumberFormat="1" applyFont="1" applyBorder="1" applyAlignment="1">
      <alignment horizontal="right"/>
    </xf>
    <xf numFmtId="37" fontId="29" fillId="0" borderId="23" xfId="0" applyNumberFormat="1" applyFont="1" applyBorder="1"/>
    <xf numFmtId="37" fontId="28" fillId="2" borderId="77" xfId="0" applyNumberFormat="1" applyFont="1" applyFill="1" applyBorder="1" applyAlignment="1"/>
    <xf numFmtId="37" fontId="29" fillId="0" borderId="24" xfId="0" applyNumberFormat="1" applyFont="1" applyBorder="1"/>
    <xf numFmtId="37" fontId="28" fillId="2" borderId="40" xfId="0" applyNumberFormat="1" applyFont="1" applyFill="1" applyBorder="1" applyAlignment="1"/>
    <xf numFmtId="37" fontId="9" fillId="0" borderId="63" xfId="0" applyNumberFormat="1" applyFont="1" applyBorder="1"/>
    <xf numFmtId="37" fontId="9" fillId="0" borderId="78" xfId="0" applyNumberFormat="1" applyFont="1" applyBorder="1"/>
    <xf numFmtId="37" fontId="7" fillId="2" borderId="78" xfId="0" applyNumberFormat="1" applyFont="1" applyFill="1" applyBorder="1" applyAlignment="1"/>
    <xf numFmtId="37" fontId="7" fillId="2" borderId="63" xfId="0" applyNumberFormat="1" applyFont="1" applyFill="1" applyBorder="1" applyAlignment="1"/>
    <xf numFmtId="37" fontId="9" fillId="0" borderId="76" xfId="0" applyNumberFormat="1" applyFont="1" applyBorder="1"/>
    <xf numFmtId="37" fontId="9" fillId="0" borderId="79" xfId="0" applyNumberFormat="1" applyFont="1" applyBorder="1"/>
    <xf numFmtId="37" fontId="7" fillId="2" borderId="79" xfId="0" applyNumberFormat="1" applyFont="1" applyFill="1" applyBorder="1" applyAlignment="1"/>
    <xf numFmtId="37" fontId="7" fillId="2" borderId="76" xfId="0" applyNumberFormat="1" applyFont="1" applyFill="1" applyBorder="1" applyAlignment="1"/>
    <xf numFmtId="37" fontId="9" fillId="0" borderId="26" xfId="0" applyNumberFormat="1" applyFont="1" applyBorder="1"/>
    <xf numFmtId="37" fontId="9" fillId="0" borderId="9" xfId="0" applyNumberFormat="1" applyFont="1" applyBorder="1"/>
    <xf numFmtId="37" fontId="7" fillId="2" borderId="9" xfId="0" applyNumberFormat="1" applyFont="1" applyFill="1" applyBorder="1" applyAlignment="1"/>
    <xf numFmtId="37" fontId="7" fillId="2" borderId="26" xfId="0" applyNumberFormat="1" applyFont="1" applyFill="1" applyBorder="1" applyAlignment="1"/>
    <xf numFmtId="165" fontId="4" fillId="0" borderId="0" xfId="0" applyNumberFormat="1" applyFont="1"/>
    <xf numFmtId="165" fontId="49" fillId="0" borderId="0" xfId="0" applyNumberFormat="1" applyFont="1"/>
    <xf numFmtId="0" fontId="4" fillId="0" borderId="0" xfId="0" applyFont="1"/>
    <xf numFmtId="165" fontId="4" fillId="4" borderId="0" xfId="0" applyNumberFormat="1" applyFont="1" applyFill="1" applyAlignment="1"/>
    <xf numFmtId="0" fontId="4" fillId="0" borderId="0" xfId="0" applyFont="1" applyAlignment="1"/>
    <xf numFmtId="165" fontId="4" fillId="4" borderId="0" xfId="0" applyNumberFormat="1" applyFont="1" applyFill="1"/>
    <xf numFmtId="0" fontId="25" fillId="2" borderId="83" xfId="0" applyNumberFormat="1" applyFont="1" applyFill="1" applyBorder="1" applyAlignment="1">
      <alignment horizontal="right"/>
    </xf>
    <xf numFmtId="5" fontId="24" fillId="2" borderId="85" xfId="0" applyNumberFormat="1" applyFont="1" applyFill="1" applyBorder="1" applyAlignment="1"/>
    <xf numFmtId="5" fontId="25" fillId="2" borderId="86" xfId="0" applyNumberFormat="1" applyFont="1" applyFill="1" applyBorder="1" applyAlignment="1"/>
    <xf numFmtId="5" fontId="24" fillId="2" borderId="87" xfId="0" applyNumberFormat="1" applyFont="1" applyFill="1" applyBorder="1" applyAlignment="1"/>
    <xf numFmtId="5" fontId="24" fillId="2" borderId="88" xfId="0" applyNumberFormat="1" applyFont="1" applyFill="1" applyBorder="1" applyAlignment="1"/>
    <xf numFmtId="0" fontId="22" fillId="0" borderId="5" xfId="8" applyFont="1" applyBorder="1" applyAlignment="1">
      <alignment vertical="top" wrapText="1"/>
    </xf>
    <xf numFmtId="0" fontId="9" fillId="0" borderId="5" xfId="0" applyFont="1" applyBorder="1" applyAlignment="1">
      <alignment vertical="top" wrapText="1"/>
    </xf>
    <xf numFmtId="0" fontId="9" fillId="0" borderId="5" xfId="0" applyFont="1" applyBorder="1" applyAlignment="1">
      <alignment vertical="top"/>
    </xf>
    <xf numFmtId="0" fontId="22" fillId="0" borderId="4" xfId="8" applyFont="1" applyBorder="1" applyAlignment="1">
      <alignment vertical="top"/>
    </xf>
    <xf numFmtId="0" fontId="9" fillId="0" borderId="5" xfId="8" applyFont="1" applyBorder="1" applyAlignment="1">
      <alignment vertical="top"/>
    </xf>
    <xf numFmtId="37" fontId="9" fillId="0" borderId="7" xfId="1" applyNumberFormat="1" applyFont="1" applyBorder="1"/>
    <xf numFmtId="37" fontId="9" fillId="0" borderId="22" xfId="1" applyNumberFormat="1" applyFont="1" applyBorder="1"/>
    <xf numFmtId="37" fontId="9" fillId="0" borderId="0" xfId="1" applyNumberFormat="1" applyFont="1" applyBorder="1"/>
    <xf numFmtId="37" fontId="22" fillId="0" borderId="18" xfId="1" applyNumberFormat="1" applyFont="1" applyBorder="1"/>
    <xf numFmtId="3" fontId="22" fillId="0" borderId="37" xfId="1" applyNumberFormat="1" applyFont="1" applyBorder="1"/>
    <xf numFmtId="3" fontId="22" fillId="0" borderId="1" xfId="1" applyNumberFormat="1" applyFont="1" applyBorder="1"/>
    <xf numFmtId="37" fontId="22" fillId="0" borderId="37" xfId="1" applyNumberFormat="1" applyFont="1" applyBorder="1"/>
    <xf numFmtId="37" fontId="22" fillId="0" borderId="1" xfId="1" applyNumberFormat="1" applyFont="1" applyBorder="1"/>
    <xf numFmtId="37" fontId="22" fillId="0" borderId="23" xfId="1" applyNumberFormat="1" applyFont="1" applyBorder="1"/>
    <xf numFmtId="37" fontId="9" fillId="0" borderId="6" xfId="8" applyNumberFormat="1" applyFont="1" applyBorder="1"/>
    <xf numFmtId="37" fontId="9" fillId="0" borderId="3" xfId="8" applyNumberFormat="1" applyFont="1" applyBorder="1"/>
    <xf numFmtId="0" fontId="0" fillId="0" borderId="0" xfId="0" applyAlignment="1">
      <alignment horizontal="center"/>
    </xf>
    <xf numFmtId="0" fontId="0" fillId="0" borderId="0" xfId="0"/>
    <xf numFmtId="0" fontId="0" fillId="0" borderId="0" xfId="0" applyBorder="1" applyAlignment="1">
      <alignment horizontal="center"/>
    </xf>
    <xf numFmtId="0" fontId="4" fillId="0" borderId="35" xfId="0" applyNumberFormat="1" applyFont="1" applyBorder="1" applyAlignment="1">
      <alignment horizontal="left"/>
    </xf>
    <xf numFmtId="0" fontId="25" fillId="2" borderId="49" xfId="0" applyNumberFormat="1" applyFont="1" applyFill="1" applyBorder="1" applyAlignment="1">
      <alignment horizontal="right"/>
    </xf>
    <xf numFmtId="5" fontId="24" fillId="2" borderId="90" xfId="0" applyNumberFormat="1" applyFont="1" applyFill="1" applyBorder="1" applyAlignment="1"/>
    <xf numFmtId="0" fontId="25" fillId="2" borderId="84" xfId="0" applyNumberFormat="1" applyFont="1" applyFill="1" applyBorder="1" applyAlignment="1">
      <alignment horizontal="right"/>
    </xf>
    <xf numFmtId="37" fontId="24" fillId="2" borderId="14" xfId="0" applyNumberFormat="1" applyFont="1" applyFill="1" applyBorder="1" applyAlignment="1">
      <alignment horizontal="right"/>
    </xf>
    <xf numFmtId="170" fontId="24" fillId="2" borderId="35" xfId="0" applyNumberFormat="1" applyFont="1" applyFill="1" applyBorder="1" applyAlignment="1">
      <alignment horizontal="right"/>
    </xf>
    <xf numFmtId="0" fontId="4" fillId="0" borderId="12" xfId="0" applyNumberFormat="1" applyFont="1" applyBorder="1" applyAlignment="1"/>
    <xf numFmtId="0" fontId="4" fillId="0" borderId="50" xfId="0" applyNumberFormat="1" applyFont="1" applyBorder="1" applyAlignment="1"/>
    <xf numFmtId="37" fontId="6" fillId="0" borderId="12" xfId="0" applyNumberFormat="1" applyFont="1" applyBorder="1" applyAlignment="1"/>
    <xf numFmtId="37" fontId="6" fillId="0" borderId="39" xfId="0" applyNumberFormat="1" applyFont="1" applyBorder="1" applyAlignment="1"/>
    <xf numFmtId="37" fontId="6" fillId="0" borderId="50" xfId="0" applyNumberFormat="1" applyFont="1" applyBorder="1" applyAlignment="1"/>
    <xf numFmtId="0" fontId="4" fillId="0" borderId="38" xfId="0" applyNumberFormat="1" applyFont="1" applyBorder="1" applyAlignment="1"/>
    <xf numFmtId="0" fontId="4" fillId="0" borderId="46" xfId="0" applyNumberFormat="1" applyFont="1" applyBorder="1" applyAlignment="1"/>
    <xf numFmtId="0" fontId="24" fillId="2" borderId="49" xfId="0" applyNumberFormat="1" applyFont="1" applyFill="1" applyBorder="1" applyAlignment="1">
      <alignment horizontal="right"/>
    </xf>
    <xf numFmtId="0" fontId="4" fillId="0" borderId="35" xfId="0" applyNumberFormat="1" applyFont="1" applyBorder="1" applyAlignment="1">
      <alignment horizontal="left"/>
    </xf>
    <xf numFmtId="37" fontId="16" fillId="0" borderId="20" xfId="0" applyNumberFormat="1" applyFont="1" applyBorder="1" applyAlignment="1">
      <alignment horizontal="center"/>
    </xf>
    <xf numFmtId="37" fontId="16" fillId="0" borderId="23" xfId="0" applyNumberFormat="1" applyFont="1" applyBorder="1" applyAlignment="1">
      <alignment horizontal="center"/>
    </xf>
    <xf numFmtId="164" fontId="4" fillId="0" borderId="23" xfId="0" applyNumberFormat="1" applyFont="1" applyBorder="1" applyAlignment="1"/>
    <xf numFmtId="0" fontId="31" fillId="0" borderId="0" xfId="5" applyFont="1" applyBorder="1" applyAlignment="1">
      <alignment vertical="top" wrapText="1"/>
    </xf>
    <xf numFmtId="0" fontId="37" fillId="0" borderId="0" xfId="5" applyFont="1" applyBorder="1" applyAlignment="1">
      <alignment horizontal="center" vertical="top" wrapText="1"/>
    </xf>
    <xf numFmtId="0" fontId="31" fillId="0" borderId="0" xfId="5" applyFont="1" applyBorder="1" applyAlignment="1">
      <alignment horizontal="center" vertical="top"/>
    </xf>
    <xf numFmtId="0" fontId="37" fillId="0" borderId="0" xfId="5" applyFont="1" applyBorder="1" applyAlignment="1">
      <alignment vertical="top" wrapText="1"/>
    </xf>
    <xf numFmtId="0" fontId="42" fillId="0" borderId="0" xfId="5" applyFont="1" applyBorder="1" applyAlignment="1">
      <alignment vertical="top" wrapText="1"/>
    </xf>
    <xf numFmtId="0" fontId="14" fillId="0" borderId="0" xfId="5" applyAlignment="1">
      <alignment vertical="top"/>
    </xf>
    <xf numFmtId="0" fontId="14" fillId="0" borderId="53" xfId="0" applyNumberFormat="1" applyFont="1" applyBorder="1" applyAlignment="1"/>
    <xf numFmtId="37" fontId="22" fillId="0" borderId="43" xfId="8" applyNumberFormat="1" applyFont="1" applyBorder="1" applyAlignment="1">
      <alignment horizontal="right"/>
    </xf>
    <xf numFmtId="5" fontId="22" fillId="0" borderId="44" xfId="3" applyNumberFormat="1" applyFont="1" applyBorder="1" applyAlignment="1">
      <alignment horizontal="right"/>
    </xf>
    <xf numFmtId="0" fontId="22" fillId="0" borderId="42" xfId="8" applyFont="1" applyBorder="1" applyAlignment="1">
      <alignment horizontal="right"/>
    </xf>
    <xf numFmtId="0" fontId="27" fillId="6" borderId="32" xfId="0" applyNumberFormat="1" applyFont="1" applyFill="1" applyBorder="1" applyAlignment="1">
      <alignment horizontal="right"/>
    </xf>
    <xf numFmtId="0" fontId="27" fillId="6" borderId="33" xfId="0" applyNumberFormat="1" applyFont="1" applyFill="1" applyBorder="1" applyAlignment="1">
      <alignment horizontal="right"/>
    </xf>
    <xf numFmtId="0" fontId="27" fillId="6" borderId="34" xfId="0" applyNumberFormat="1" applyFont="1" applyFill="1" applyBorder="1" applyAlignment="1">
      <alignment horizontal="right"/>
    </xf>
    <xf numFmtId="0" fontId="4" fillId="6" borderId="47" xfId="0" applyNumberFormat="1" applyFont="1" applyFill="1" applyBorder="1" applyAlignment="1">
      <alignment wrapText="1"/>
    </xf>
    <xf numFmtId="0" fontId="24" fillId="6" borderId="14" xfId="0" applyNumberFormat="1" applyFont="1" applyFill="1" applyBorder="1" applyAlignment="1">
      <alignment horizontal="left"/>
    </xf>
    <xf numFmtId="4" fontId="6" fillId="6" borderId="14" xfId="0" applyNumberFormat="1" applyFont="1" applyFill="1" applyBorder="1" applyAlignment="1"/>
    <xf numFmtId="0" fontId="4" fillId="0" borderId="12" xfId="0" applyNumberFormat="1" applyFont="1" applyBorder="1" applyAlignment="1">
      <alignment horizontal="left" indent="4"/>
    </xf>
    <xf numFmtId="0" fontId="4" fillId="0" borderId="20" xfId="0" applyNumberFormat="1" applyFont="1" applyBorder="1" applyAlignment="1"/>
    <xf numFmtId="0" fontId="4" fillId="0" borderId="12" xfId="0" applyNumberFormat="1" applyFont="1" applyBorder="1" applyAlignment="1">
      <alignment horizontal="left" indent="2"/>
    </xf>
    <xf numFmtId="0" fontId="4" fillId="0" borderId="39" xfId="0" applyNumberFormat="1" applyFont="1" applyBorder="1" applyAlignment="1">
      <alignment horizontal="left" indent="2"/>
    </xf>
    <xf numFmtId="0" fontId="4" fillId="0" borderId="12" xfId="0" applyNumberFormat="1" applyFont="1" applyFill="1" applyBorder="1" applyAlignment="1">
      <alignment horizontal="left" indent="4"/>
    </xf>
    <xf numFmtId="0" fontId="0" fillId="0" borderId="0" xfId="0"/>
    <xf numFmtId="3" fontId="17" fillId="0" borderId="0" xfId="0" applyNumberFormat="1" applyFont="1" applyAlignment="1"/>
    <xf numFmtId="0" fontId="0" fillId="0" borderId="0" xfId="0" applyBorder="1" applyAlignment="1">
      <alignment horizontal="center"/>
    </xf>
    <xf numFmtId="0" fontId="0" fillId="0" borderId="0" xfId="0" applyFill="1" applyBorder="1" applyAlignment="1">
      <alignment vertical="top" wrapText="1"/>
    </xf>
    <xf numFmtId="0" fontId="0" fillId="0" borderId="0" xfId="0" applyBorder="1" applyAlignment="1">
      <alignment vertical="top" wrapText="1"/>
    </xf>
    <xf numFmtId="0" fontId="14" fillId="4" borderId="0" xfId="0" applyFont="1" applyFill="1" applyBorder="1" applyAlignment="1">
      <alignment wrapText="1"/>
    </xf>
    <xf numFmtId="0" fontId="16" fillId="0" borderId="32" xfId="0" applyNumberFormat="1" applyFont="1" applyBorder="1" applyAlignment="1">
      <alignment horizontal="center"/>
    </xf>
    <xf numFmtId="0" fontId="4" fillId="0" borderId="12" xfId="0" applyNumberFormat="1" applyFont="1" applyBorder="1" applyAlignment="1">
      <alignment horizontal="left"/>
    </xf>
    <xf numFmtId="0" fontId="4" fillId="0" borderId="25" xfId="0" applyNumberFormat="1" applyFont="1" applyBorder="1" applyAlignment="1">
      <alignment horizontal="left"/>
    </xf>
    <xf numFmtId="0" fontId="26" fillId="4" borderId="0" xfId="0" applyFont="1" applyFill="1" applyBorder="1" applyAlignment="1">
      <alignment vertical="top" wrapText="1"/>
    </xf>
    <xf numFmtId="0" fontId="4" fillId="0" borderId="35" xfId="0" applyNumberFormat="1" applyFont="1" applyBorder="1" applyAlignment="1">
      <alignment horizontal="left"/>
    </xf>
    <xf numFmtId="0" fontId="17" fillId="6" borderId="0" xfId="0" applyNumberFormat="1" applyFont="1" applyFill="1" applyAlignment="1"/>
    <xf numFmtId="0" fontId="0" fillId="0" borderId="0" xfId="0" applyBorder="1"/>
    <xf numFmtId="0" fontId="4" fillId="0" borderId="0" xfId="0" applyNumberFormat="1" applyFont="1" applyBorder="1" applyAlignment="1">
      <alignment horizontal="left" indent="5"/>
    </xf>
    <xf numFmtId="165" fontId="4" fillId="0" borderId="0" xfId="0" applyNumberFormat="1" applyFont="1" applyFill="1" applyAlignment="1"/>
    <xf numFmtId="3" fontId="4" fillId="0" borderId="0" xfId="0" applyNumberFormat="1" applyFont="1" applyAlignment="1">
      <alignment horizontal="fill"/>
    </xf>
    <xf numFmtId="37" fontId="4" fillId="0" borderId="3" xfId="0" applyNumberFormat="1" applyFont="1" applyBorder="1" applyAlignment="1"/>
    <xf numFmtId="37" fontId="4" fillId="0" borderId="2" xfId="0" applyNumberFormat="1" applyFont="1" applyBorder="1" applyAlignment="1">
      <alignment horizontal="center"/>
    </xf>
    <xf numFmtId="37" fontId="4" fillId="0" borderId="6" xfId="0" applyNumberFormat="1" applyFont="1" applyBorder="1" applyAlignment="1"/>
    <xf numFmtId="37" fontId="4" fillId="0" borderId="2" xfId="0" applyNumberFormat="1" applyFont="1" applyBorder="1" applyAlignment="1"/>
    <xf numFmtId="3" fontId="4" fillId="0" borderId="2" xfId="0" applyNumberFormat="1" applyFont="1" applyBorder="1" applyAlignment="1"/>
    <xf numFmtId="37" fontId="4" fillId="0" borderId="6" xfId="0" applyNumberFormat="1" applyFont="1" applyBorder="1" applyAlignment="1">
      <alignment horizontal="center"/>
    </xf>
    <xf numFmtId="0" fontId="4" fillId="0" borderId="6" xfId="0" applyNumberFormat="1" applyFont="1" applyBorder="1" applyAlignment="1"/>
    <xf numFmtId="0" fontId="4" fillId="0" borderId="2" xfId="0" applyNumberFormat="1" applyFont="1" applyBorder="1" applyAlignment="1"/>
    <xf numFmtId="0" fontId="4" fillId="0" borderId="2" xfId="0" applyNumberFormat="1" applyFont="1" applyBorder="1" applyAlignment="1">
      <alignment horizontal="fill"/>
    </xf>
    <xf numFmtId="37" fontId="4" fillId="0" borderId="11" xfId="0" applyNumberFormat="1" applyFont="1" applyBorder="1" applyAlignment="1"/>
    <xf numFmtId="37" fontId="4" fillId="0" borderId="39" xfId="0" applyNumberFormat="1" applyFont="1" applyBorder="1" applyAlignment="1">
      <alignment horizontal="center"/>
    </xf>
    <xf numFmtId="37" fontId="4" fillId="0" borderId="14" xfId="0" applyNumberFormat="1" applyFont="1" applyBorder="1" applyAlignment="1"/>
    <xf numFmtId="37" fontId="4" fillId="0" borderId="10" xfId="0" applyNumberFormat="1" applyFont="1" applyBorder="1" applyAlignment="1"/>
    <xf numFmtId="37" fontId="4" fillId="0" borderId="10" xfId="0" applyNumberFormat="1" applyFont="1" applyBorder="1" applyAlignment="1">
      <alignment horizontal="center"/>
    </xf>
    <xf numFmtId="3" fontId="4" fillId="0" borderId="10" xfId="0" applyNumberFormat="1" applyFont="1" applyBorder="1" applyAlignment="1"/>
    <xf numFmtId="37" fontId="4" fillId="0" borderId="14" xfId="0" applyNumberFormat="1" applyFont="1" applyBorder="1" applyAlignment="1">
      <alignment horizontal="center"/>
    </xf>
    <xf numFmtId="0" fontId="4" fillId="0" borderId="10" xfId="0" applyNumberFormat="1" applyFont="1" applyBorder="1" applyAlignment="1"/>
    <xf numFmtId="0" fontId="4" fillId="0" borderId="10" xfId="0" applyNumberFormat="1" applyFont="1" applyBorder="1" applyAlignment="1">
      <alignment horizontal="fill"/>
    </xf>
    <xf numFmtId="0" fontId="4" fillId="0" borderId="14" xfId="0" applyNumberFormat="1" applyFont="1" applyBorder="1" applyAlignment="1"/>
    <xf numFmtId="37" fontId="4" fillId="0" borderId="22" xfId="0" applyNumberFormat="1" applyFont="1" applyBorder="1" applyAlignment="1"/>
    <xf numFmtId="37" fontId="4" fillId="0" borderId="0" xfId="0" applyNumberFormat="1" applyFont="1" applyBorder="1" applyAlignment="1"/>
    <xf numFmtId="37" fontId="4" fillId="0" borderId="7" xfId="0" applyNumberFormat="1" applyFont="1" applyBorder="1" applyAlignment="1"/>
    <xf numFmtId="37" fontId="4" fillId="0" borderId="0" xfId="0" applyNumberFormat="1" applyFont="1" applyAlignment="1"/>
    <xf numFmtId="37" fontId="4" fillId="0" borderId="0" xfId="0" applyNumberFormat="1" applyFont="1" applyAlignment="1">
      <alignment horizontal="center"/>
    </xf>
    <xf numFmtId="37" fontId="4" fillId="0" borderId="7" xfId="0" applyNumberFormat="1" applyFont="1" applyBorder="1" applyAlignment="1">
      <alignment horizontal="center"/>
    </xf>
    <xf numFmtId="37" fontId="4" fillId="0" borderId="23" xfId="0" applyNumberFormat="1" applyFont="1" applyBorder="1" applyAlignment="1">
      <alignment horizontal="center"/>
    </xf>
    <xf numFmtId="37" fontId="4" fillId="0" borderId="20" xfId="0" applyNumberFormat="1" applyFont="1" applyBorder="1" applyAlignment="1">
      <alignment horizontal="center"/>
    </xf>
    <xf numFmtId="0" fontId="16" fillId="0" borderId="6" xfId="0" applyNumberFormat="1" applyFont="1" applyBorder="1" applyAlignment="1"/>
    <xf numFmtId="37" fontId="4" fillId="0" borderId="23" xfId="0" applyNumberFormat="1" applyFont="1" applyBorder="1" applyAlignment="1"/>
    <xf numFmtId="37" fontId="4" fillId="0" borderId="18" xfId="0" applyNumberFormat="1" applyFont="1" applyBorder="1" applyAlignment="1"/>
    <xf numFmtId="0" fontId="16" fillId="0" borderId="18" xfId="0" applyNumberFormat="1" applyFont="1" applyBorder="1" applyAlignment="1"/>
    <xf numFmtId="3" fontId="4" fillId="0" borderId="11" xfId="0" applyNumberFormat="1" applyFont="1" applyBorder="1" applyAlignment="1"/>
    <xf numFmtId="0" fontId="4" fillId="0" borderId="39" xfId="0" applyNumberFormat="1" applyFont="1" applyBorder="1" applyAlignment="1"/>
    <xf numFmtId="3" fontId="55" fillId="0" borderId="10" xfId="0" quotePrefix="1" applyNumberFormat="1" applyFont="1" applyBorder="1" applyAlignment="1">
      <alignment horizontal="right"/>
    </xf>
    <xf numFmtId="37" fontId="4" fillId="0" borderId="50" xfId="0" applyNumberFormat="1" applyFont="1" applyBorder="1" applyAlignment="1">
      <alignment horizontal="left" indent="1"/>
    </xf>
    <xf numFmtId="37" fontId="4" fillId="0" borderId="39" xfId="0" applyNumberFormat="1" applyFont="1" applyBorder="1" applyAlignment="1">
      <alignment horizontal="left" indent="1"/>
    </xf>
    <xf numFmtId="37" fontId="4" fillId="0" borderId="12" xfId="0" applyNumberFormat="1" applyFont="1" applyBorder="1" applyAlignment="1">
      <alignment horizontal="left" indent="1"/>
    </xf>
    <xf numFmtId="0" fontId="4" fillId="0" borderId="34" xfId="0" applyNumberFormat="1" applyFont="1" applyBorder="1" applyAlignment="1">
      <alignment horizontal="right"/>
    </xf>
    <xf numFmtId="0" fontId="4" fillId="0" borderId="33" xfId="0" applyNumberFormat="1" applyFont="1" applyBorder="1" applyAlignment="1">
      <alignment horizontal="center"/>
    </xf>
    <xf numFmtId="0" fontId="4" fillId="0" borderId="32" xfId="0" applyNumberFormat="1" applyFont="1" applyBorder="1" applyAlignment="1">
      <alignment horizontal="center"/>
    </xf>
    <xf numFmtId="0" fontId="4" fillId="0" borderId="33" xfId="0" applyNumberFormat="1" applyFont="1" applyBorder="1" applyAlignment="1">
      <alignment horizontal="right"/>
    </xf>
    <xf numFmtId="0" fontId="4" fillId="0" borderId="32" xfId="0" applyNumberFormat="1" applyFont="1" applyBorder="1" applyAlignment="1">
      <alignment horizontal="right"/>
    </xf>
    <xf numFmtId="37" fontId="4" fillId="0" borderId="4" xfId="0" applyNumberFormat="1" applyFont="1" applyBorder="1" applyAlignment="1"/>
    <xf numFmtId="37" fontId="16" fillId="0" borderId="4" xfId="0" applyNumberFormat="1" applyFont="1" applyBorder="1" applyAlignment="1"/>
    <xf numFmtId="37" fontId="4" fillId="0" borderId="9" xfId="0" applyNumberFormat="1" applyFont="1" applyBorder="1" applyAlignment="1"/>
    <xf numFmtId="37" fontId="4" fillId="0" borderId="13" xfId="0" applyNumberFormat="1" applyFont="1" applyBorder="1" applyAlignment="1"/>
    <xf numFmtId="37" fontId="4" fillId="0" borderId="8" xfId="0" applyNumberFormat="1" applyFont="1" applyBorder="1" applyAlignment="1"/>
    <xf numFmtId="0" fontId="0" fillId="0" borderId="10" xfId="0" applyNumberFormat="1" applyBorder="1" applyAlignment="1"/>
    <xf numFmtId="3" fontId="4" fillId="0" borderId="28" xfId="0" applyNumberFormat="1" applyFont="1" applyBorder="1" applyAlignment="1"/>
    <xf numFmtId="1" fontId="4" fillId="0" borderId="16" xfId="0" applyNumberFormat="1" applyFont="1" applyBorder="1" applyAlignment="1">
      <alignment horizontal="right"/>
    </xf>
    <xf numFmtId="37" fontId="4" fillId="0" borderId="16" xfId="0" applyNumberFormat="1" applyFont="1" applyBorder="1" applyAlignment="1"/>
    <xf numFmtId="37" fontId="4" fillId="0" borderId="16" xfId="0" applyNumberFormat="1" applyFont="1" applyBorder="1" applyAlignment="1">
      <alignment horizontal="right"/>
    </xf>
    <xf numFmtId="164" fontId="4" fillId="0" borderId="28" xfId="0" applyNumberFormat="1" applyFont="1" applyBorder="1" applyAlignment="1"/>
    <xf numFmtId="0" fontId="47" fillId="0" borderId="0" xfId="10" applyFont="1"/>
    <xf numFmtId="0" fontId="15" fillId="0" borderId="0" xfId="10"/>
    <xf numFmtId="0" fontId="22" fillId="0" borderId="2" xfId="10" applyFont="1" applyBorder="1" applyAlignment="1">
      <alignment horizontal="center"/>
    </xf>
    <xf numFmtId="0" fontId="22" fillId="0" borderId="3" xfId="10" applyFont="1" applyBorder="1" applyAlignment="1">
      <alignment horizontal="center"/>
    </xf>
    <xf numFmtId="0" fontId="9" fillId="0" borderId="8" xfId="10" applyFont="1" applyBorder="1"/>
    <xf numFmtId="0" fontId="9" fillId="0" borderId="8" xfId="10" applyFont="1" applyBorder="1" applyAlignment="1">
      <alignment horizontal="center"/>
    </xf>
    <xf numFmtId="37" fontId="4" fillId="0" borderId="7" xfId="0" applyNumberFormat="1" applyFont="1" applyBorder="1"/>
    <xf numFmtId="37" fontId="4" fillId="0" borderId="10" xfId="0" applyNumberFormat="1" applyFont="1" applyBorder="1"/>
    <xf numFmtId="37" fontId="4" fillId="0" borderId="11" xfId="0" applyNumberFormat="1" applyFont="1" applyBorder="1"/>
    <xf numFmtId="37" fontId="4" fillId="0" borderId="12" xfId="0" applyNumberFormat="1" applyFont="1" applyBorder="1"/>
    <xf numFmtId="37" fontId="4" fillId="0" borderId="0" xfId="0" applyNumberFormat="1" applyFont="1" applyBorder="1"/>
    <xf numFmtId="0" fontId="9" fillId="0" borderId="4" xfId="10" applyFont="1" applyBorder="1"/>
    <xf numFmtId="0" fontId="9" fillId="0" borderId="4" xfId="10" applyFont="1" applyBorder="1" applyAlignment="1">
      <alignment horizontal="center"/>
    </xf>
    <xf numFmtId="37" fontId="4" fillId="0" borderId="6" xfId="0" applyNumberFormat="1" applyFont="1" applyBorder="1"/>
    <xf numFmtId="37" fontId="4" fillId="0" borderId="2" xfId="0" applyNumberFormat="1" applyFont="1" applyBorder="1"/>
    <xf numFmtId="37" fontId="4" fillId="0" borderId="3" xfId="0" applyNumberFormat="1" applyFont="1" applyBorder="1"/>
    <xf numFmtId="37" fontId="4" fillId="0" borderId="9" xfId="0" applyNumberFormat="1" applyFont="1" applyBorder="1"/>
    <xf numFmtId="0" fontId="22" fillId="0" borderId="7" xfId="10" applyFont="1" applyBorder="1" applyAlignment="1">
      <alignment horizontal="left"/>
    </xf>
    <xf numFmtId="0" fontId="22" fillId="0" borderId="1" xfId="10" applyFont="1" applyBorder="1" applyAlignment="1">
      <alignment horizontal="center"/>
    </xf>
    <xf numFmtId="37" fontId="22" fillId="0" borderId="7" xfId="10" applyNumberFormat="1" applyFont="1" applyBorder="1"/>
    <xf numFmtId="37" fontId="22" fillId="0" borderId="0" xfId="10" applyNumberFormat="1" applyFont="1" applyBorder="1"/>
    <xf numFmtId="5" fontId="22" fillId="0" borderId="0" xfId="10" applyNumberFormat="1" applyFont="1" applyBorder="1"/>
    <xf numFmtId="0" fontId="9" fillId="0" borderId="6" xfId="10" applyFont="1" applyBorder="1"/>
    <xf numFmtId="0" fontId="9" fillId="0" borderId="2" xfId="10" applyFont="1" applyBorder="1"/>
    <xf numFmtId="0" fontId="9" fillId="0" borderId="3" xfId="10" applyFont="1" applyBorder="1"/>
    <xf numFmtId="0" fontId="9" fillId="0" borderId="12" xfId="10" applyFont="1" applyBorder="1"/>
    <xf numFmtId="0" fontId="15" fillId="0" borderId="13" xfId="10" applyBorder="1"/>
    <xf numFmtId="0" fontId="9" fillId="0" borderId="13" xfId="10" applyFont="1" applyBorder="1"/>
    <xf numFmtId="0" fontId="9" fillId="0" borderId="9" xfId="10" applyFont="1" applyBorder="1"/>
    <xf numFmtId="0" fontId="15" fillId="0" borderId="9" xfId="10" applyBorder="1"/>
    <xf numFmtId="0" fontId="22" fillId="0" borderId="24" xfId="10" applyFont="1" applyBorder="1"/>
    <xf numFmtId="0" fontId="15" fillId="0" borderId="23" xfId="10" applyBorder="1"/>
    <xf numFmtId="37" fontId="22" fillId="0" borderId="20" xfId="10" applyNumberFormat="1" applyFont="1" applyBorder="1"/>
    <xf numFmtId="37" fontId="22" fillId="0" borderId="23" xfId="10" applyNumberFormat="1" applyFont="1" applyBorder="1"/>
    <xf numFmtId="5" fontId="22" fillId="0" borderId="23" xfId="10" applyNumberFormat="1" applyFont="1" applyBorder="1"/>
    <xf numFmtId="5" fontId="22" fillId="0" borderId="24" xfId="10" applyNumberFormat="1" applyFont="1" applyBorder="1"/>
    <xf numFmtId="0" fontId="22" fillId="0" borderId="0" xfId="10" applyFont="1" applyBorder="1"/>
    <xf numFmtId="0" fontId="15" fillId="0" borderId="0" xfId="10" applyBorder="1"/>
    <xf numFmtId="0" fontId="15" fillId="0" borderId="0" xfId="10" applyFont="1" applyAlignment="1">
      <alignment horizontal="left" vertical="top" wrapText="1"/>
    </xf>
    <xf numFmtId="0" fontId="30" fillId="0" borderId="0" xfId="10" applyFont="1"/>
    <xf numFmtId="0" fontId="15" fillId="4" borderId="0" xfId="10" applyFont="1" applyFill="1"/>
    <xf numFmtId="0" fontId="70" fillId="0" borderId="0" xfId="10" applyFont="1" applyFill="1" applyAlignment="1"/>
    <xf numFmtId="0" fontId="71" fillId="0" borderId="0" xfId="10" applyFont="1" applyFill="1" applyAlignment="1"/>
    <xf numFmtId="0" fontId="46" fillId="0" borderId="0" xfId="10" applyFont="1"/>
    <xf numFmtId="0" fontId="46" fillId="0" borderId="0" xfId="11" applyFont="1"/>
    <xf numFmtId="0" fontId="15" fillId="0" borderId="0" xfId="11"/>
    <xf numFmtId="0" fontId="16" fillId="0" borderId="0" xfId="11" applyFont="1"/>
    <xf numFmtId="0" fontId="22" fillId="0" borderId="0" xfId="11" applyFont="1"/>
    <xf numFmtId="0" fontId="9" fillId="0" borderId="0" xfId="11" applyFont="1"/>
    <xf numFmtId="0" fontId="9" fillId="0" borderId="0" xfId="11" applyFont="1" applyFill="1" applyAlignment="1">
      <alignment vertical="center"/>
    </xf>
    <xf numFmtId="0" fontId="22" fillId="0" borderId="0" xfId="11" applyFont="1" applyFill="1" applyBorder="1" applyAlignment="1">
      <alignment horizontal="centerContinuous"/>
    </xf>
    <xf numFmtId="0" fontId="9" fillId="0" borderId="7" xfId="11" applyFont="1" applyFill="1" applyBorder="1" applyAlignment="1">
      <alignment horizontal="center"/>
    </xf>
    <xf numFmtId="0" fontId="9" fillId="0" borderId="22" xfId="11" applyFont="1" applyFill="1" applyBorder="1" applyAlignment="1">
      <alignment horizontal="center"/>
    </xf>
    <xf numFmtId="0" fontId="9" fillId="0" borderId="0" xfId="11" applyFont="1" applyFill="1"/>
    <xf numFmtId="0" fontId="9" fillId="0" borderId="0" xfId="11" applyFont="1" applyFill="1" applyBorder="1" applyAlignment="1">
      <alignment horizontal="center"/>
    </xf>
    <xf numFmtId="0" fontId="9" fillId="0" borderId="6" xfId="11" applyFont="1" applyFill="1" applyBorder="1" applyAlignment="1">
      <alignment horizontal="center" wrapText="1"/>
    </xf>
    <xf numFmtId="0" fontId="9" fillId="0" borderId="3" xfId="11" applyFont="1" applyFill="1" applyBorder="1" applyAlignment="1">
      <alignment horizontal="center" wrapText="1"/>
    </xf>
    <xf numFmtId="0" fontId="59" fillId="0" borderId="0" xfId="11" applyFont="1" applyFill="1" applyBorder="1" applyAlignment="1">
      <alignment horizontal="center"/>
    </xf>
    <xf numFmtId="0" fontId="9" fillId="0" borderId="1" xfId="11" applyFont="1" applyBorder="1"/>
    <xf numFmtId="37" fontId="9" fillId="0" borderId="7" xfId="11" applyNumberFormat="1" applyFont="1" applyBorder="1"/>
    <xf numFmtId="37" fontId="9" fillId="0" borderId="22" xfId="11" applyNumberFormat="1" applyFont="1" applyBorder="1"/>
    <xf numFmtId="3" fontId="9" fillId="0" borderId="0" xfId="11" applyNumberFormat="1" applyFont="1"/>
    <xf numFmtId="37" fontId="9" fillId="0" borderId="0" xfId="11" applyNumberFormat="1" applyFont="1" applyBorder="1"/>
    <xf numFmtId="37" fontId="9" fillId="0" borderId="37" xfId="11" applyNumberFormat="1" applyFont="1" applyBorder="1"/>
    <xf numFmtId="0" fontId="9" fillId="0" borderId="0" xfId="11" applyFont="1" applyBorder="1"/>
    <xf numFmtId="0" fontId="22" fillId="0" borderId="5" xfId="11" applyFont="1" applyBorder="1" applyAlignment="1">
      <alignment vertical="top" wrapText="1"/>
    </xf>
    <xf numFmtId="37" fontId="9" fillId="0" borderId="22" xfId="4" applyNumberFormat="1" applyFont="1" applyBorder="1"/>
    <xf numFmtId="168" fontId="22" fillId="0" borderId="0" xfId="4" applyNumberFormat="1" applyFont="1" applyBorder="1"/>
    <xf numFmtId="0" fontId="9" fillId="0" borderId="5" xfId="11" applyFont="1" applyBorder="1"/>
    <xf numFmtId="37" fontId="9" fillId="0" borderId="7" xfId="2" applyNumberFormat="1" applyFont="1" applyBorder="1"/>
    <xf numFmtId="37" fontId="9" fillId="0" borderId="22" xfId="2" applyNumberFormat="1" applyFont="1" applyBorder="1"/>
    <xf numFmtId="3" fontId="9" fillId="0" borderId="7" xfId="2" applyNumberFormat="1" applyFont="1" applyBorder="1"/>
    <xf numFmtId="3" fontId="9" fillId="0" borderId="5" xfId="2" applyNumberFormat="1" applyFont="1" applyBorder="1"/>
    <xf numFmtId="37" fontId="9" fillId="0" borderId="0" xfId="2" applyNumberFormat="1" applyFont="1" applyBorder="1"/>
    <xf numFmtId="167" fontId="9" fillId="0" borderId="0" xfId="2" applyNumberFormat="1" applyFont="1" applyBorder="1"/>
    <xf numFmtId="0" fontId="22" fillId="0" borderId="4" xfId="11" applyFont="1" applyBorder="1" applyAlignment="1">
      <alignment vertical="top"/>
    </xf>
    <xf numFmtId="0" fontId="22" fillId="0" borderId="5" xfId="11" applyFont="1" applyBorder="1"/>
    <xf numFmtId="37" fontId="22" fillId="0" borderId="20" xfId="2" applyNumberFormat="1" applyFont="1" applyBorder="1"/>
    <xf numFmtId="37" fontId="22" fillId="0" borderId="18" xfId="2" applyNumberFormat="1" applyFont="1" applyBorder="1"/>
    <xf numFmtId="3" fontId="22" fillId="0" borderId="37" xfId="2" applyNumberFormat="1" applyFont="1" applyBorder="1"/>
    <xf numFmtId="3" fontId="22" fillId="0" borderId="1" xfId="2" applyNumberFormat="1" applyFont="1" applyBorder="1"/>
    <xf numFmtId="167" fontId="22" fillId="0" borderId="0" xfId="2" applyNumberFormat="1" applyFont="1" applyBorder="1"/>
    <xf numFmtId="0" fontId="60" fillId="0" borderId="0" xfId="11" applyFont="1"/>
    <xf numFmtId="0" fontId="9" fillId="0" borderId="5" xfId="11" applyFont="1" applyBorder="1" applyAlignment="1">
      <alignment vertical="top"/>
    </xf>
    <xf numFmtId="170" fontId="9" fillId="0" borderId="0" xfId="11" applyNumberFormat="1" applyFont="1"/>
    <xf numFmtId="37" fontId="9" fillId="0" borderId="0" xfId="11" applyNumberFormat="1" applyFont="1"/>
    <xf numFmtId="37" fontId="9" fillId="0" borderId="7" xfId="11" applyNumberFormat="1" applyFont="1" applyBorder="1" applyAlignment="1"/>
    <xf numFmtId="37" fontId="9" fillId="0" borderId="22" xfId="11" applyNumberFormat="1" applyFont="1" applyBorder="1" applyAlignment="1"/>
    <xf numFmtId="37" fontId="22" fillId="0" borderId="37" xfId="2" applyNumberFormat="1" applyFont="1" applyBorder="1"/>
    <xf numFmtId="37" fontId="22" fillId="0" borderId="1" xfId="2" applyNumberFormat="1" applyFont="1" applyBorder="1"/>
    <xf numFmtId="37" fontId="22" fillId="0" borderId="23" xfId="2" applyNumberFormat="1" applyFont="1" applyBorder="1"/>
    <xf numFmtId="37" fontId="9" fillId="0" borderId="6" xfId="11" applyNumberFormat="1" applyFont="1" applyBorder="1"/>
    <xf numFmtId="37" fontId="9" fillId="0" borderId="3" xfId="11" applyNumberFormat="1" applyFont="1" applyBorder="1"/>
    <xf numFmtId="37" fontId="22" fillId="0" borderId="20" xfId="2" applyNumberFormat="1" applyFont="1" applyBorder="1" applyAlignment="1">
      <alignment horizontal="right"/>
    </xf>
    <xf numFmtId="37" fontId="22" fillId="0" borderId="18" xfId="2" applyNumberFormat="1" applyFont="1" applyBorder="1" applyAlignment="1">
      <alignment horizontal="right"/>
    </xf>
    <xf numFmtId="3" fontId="22" fillId="0" borderId="37" xfId="2" applyNumberFormat="1" applyFont="1" applyBorder="1" applyAlignment="1">
      <alignment horizontal="right"/>
    </xf>
    <xf numFmtId="3" fontId="22" fillId="0" borderId="1" xfId="2" applyNumberFormat="1" applyFont="1" applyBorder="1" applyAlignment="1">
      <alignment horizontal="right"/>
    </xf>
    <xf numFmtId="37" fontId="22" fillId="0" borderId="23" xfId="2" applyNumberFormat="1" applyFont="1" applyBorder="1" applyAlignment="1">
      <alignment horizontal="right"/>
    </xf>
    <xf numFmtId="0" fontId="9" fillId="0" borderId="24" xfId="11" applyFont="1" applyBorder="1" applyAlignment="1">
      <alignment vertical="top"/>
    </xf>
    <xf numFmtId="0" fontId="22" fillId="0" borderId="0" xfId="11" applyFont="1" applyBorder="1"/>
    <xf numFmtId="0" fontId="9" fillId="0" borderId="0" xfId="11" applyFont="1" applyAlignment="1">
      <alignment horizontal="right"/>
    </xf>
    <xf numFmtId="0" fontId="9" fillId="0" borderId="0" xfId="11" applyNumberFormat="1" applyFont="1" applyAlignment="1">
      <alignment horizontal="right"/>
    </xf>
    <xf numFmtId="37" fontId="9" fillId="0" borderId="33" xfId="11" applyNumberFormat="1" applyFont="1" applyBorder="1" applyAlignment="1">
      <alignment horizontal="right"/>
    </xf>
    <xf numFmtId="0" fontId="22" fillId="0" borderId="41" xfId="11" applyFont="1" applyBorder="1" applyAlignment="1">
      <alignment horizontal="left"/>
    </xf>
    <xf numFmtId="0" fontId="22" fillId="0" borderId="42" xfId="11" applyFont="1" applyBorder="1" applyAlignment="1">
      <alignment horizontal="left"/>
    </xf>
    <xf numFmtId="37" fontId="22" fillId="0" borderId="43" xfId="11" applyNumberFormat="1" applyFont="1" applyBorder="1" applyAlignment="1">
      <alignment horizontal="right"/>
    </xf>
    <xf numFmtId="5" fontId="22" fillId="0" borderId="44" xfId="4" applyNumberFormat="1" applyFont="1" applyBorder="1" applyAlignment="1">
      <alignment horizontal="right"/>
    </xf>
    <xf numFmtId="0" fontId="22" fillId="0" borderId="42" xfId="11" applyFont="1" applyBorder="1" applyAlignment="1">
      <alignment horizontal="right"/>
    </xf>
    <xf numFmtId="167" fontId="22" fillId="0" borderId="0" xfId="11" applyNumberFormat="1" applyFont="1" applyBorder="1" applyAlignment="1">
      <alignment horizontal="left"/>
    </xf>
    <xf numFmtId="168" fontId="22" fillId="0" borderId="0" xfId="4" applyNumberFormat="1" applyFont="1" applyBorder="1" applyAlignment="1">
      <alignment horizontal="left"/>
    </xf>
    <xf numFmtId="0" fontId="60" fillId="0" borderId="0" xfId="11" applyFont="1" applyAlignment="1">
      <alignment horizontal="left"/>
    </xf>
    <xf numFmtId="0" fontId="22" fillId="0" borderId="0" xfId="11" applyFont="1" applyBorder="1" applyAlignment="1">
      <alignment horizontal="left"/>
    </xf>
    <xf numFmtId="0" fontId="60" fillId="0" borderId="0" xfId="11" applyFont="1" applyBorder="1" applyAlignment="1">
      <alignment horizontal="left"/>
    </xf>
    <xf numFmtId="0" fontId="15" fillId="0" borderId="0" xfId="11" applyFont="1" applyAlignment="1">
      <alignment horizontal="left" vertical="top" wrapText="1"/>
    </xf>
    <xf numFmtId="0" fontId="15" fillId="0" borderId="0" xfId="11" applyFont="1" applyAlignment="1">
      <alignment vertical="top" wrapText="1"/>
    </xf>
    <xf numFmtId="0" fontId="15" fillId="5" borderId="0" xfId="11" applyFont="1" applyFill="1"/>
    <xf numFmtId="0" fontId="15" fillId="0" borderId="0" xfId="11" applyFont="1" applyFill="1"/>
    <xf numFmtId="0" fontId="4" fillId="0" borderId="14" xfId="0" applyNumberFormat="1" applyFont="1" applyBorder="1" applyAlignment="1">
      <alignment horizontal="left" indent="1"/>
    </xf>
    <xf numFmtId="37" fontId="55" fillId="0" borderId="10" xfId="0" applyNumberFormat="1" applyFont="1" applyBorder="1" applyAlignment="1"/>
    <xf numFmtId="37" fontId="55" fillId="0" borderId="14" xfId="0" applyNumberFormat="1" applyFont="1" applyBorder="1" applyAlignment="1"/>
    <xf numFmtId="37" fontId="55" fillId="0" borderId="11" xfId="0" applyNumberFormat="1" applyFont="1" applyBorder="1" applyAlignment="1"/>
    <xf numFmtId="0" fontId="4" fillId="0" borderId="14" xfId="0" applyNumberFormat="1" applyFont="1" applyBorder="1" applyAlignment="1">
      <alignment horizontal="left"/>
    </xf>
    <xf numFmtId="0" fontId="4" fillId="0" borderId="12" xfId="0" applyNumberFormat="1" applyFont="1" applyBorder="1" applyAlignment="1">
      <alignment horizontal="left" indent="1"/>
    </xf>
    <xf numFmtId="0" fontId="4" fillId="0" borderId="38" xfId="0" applyNumberFormat="1" applyFont="1" applyBorder="1" applyAlignment="1">
      <alignment horizontal="left"/>
    </xf>
    <xf numFmtId="37" fontId="4" fillId="0" borderId="12" xfId="0" applyNumberFormat="1" applyFont="1" applyBorder="1" applyAlignment="1"/>
    <xf numFmtId="37" fontId="4" fillId="0" borderId="39" xfId="0" applyNumberFormat="1" applyFont="1" applyBorder="1" applyAlignment="1"/>
    <xf numFmtId="37" fontId="4" fillId="0" borderId="50" xfId="0" applyNumberFormat="1" applyFont="1" applyBorder="1" applyAlignment="1"/>
    <xf numFmtId="165" fontId="4" fillId="0" borderId="0" xfId="0" applyNumberFormat="1" applyFont="1" applyBorder="1" applyAlignment="1"/>
    <xf numFmtId="37" fontId="4" fillId="0" borderId="20" xfId="0" applyNumberFormat="1" applyFont="1" applyBorder="1" applyAlignment="1"/>
    <xf numFmtId="37" fontId="4" fillId="0" borderId="24" xfId="0" applyNumberFormat="1" applyFont="1" applyBorder="1" applyAlignment="1"/>
    <xf numFmtId="0" fontId="4" fillId="0" borderId="36" xfId="0" applyNumberFormat="1" applyFont="1" applyBorder="1" applyAlignment="1"/>
    <xf numFmtId="0" fontId="4" fillId="0" borderId="12" xfId="0" applyNumberFormat="1" applyFont="1" applyBorder="1" applyAlignment="1">
      <alignment horizontal="left" indent="3"/>
    </xf>
    <xf numFmtId="0" fontId="4" fillId="0" borderId="25" xfId="0" applyNumberFormat="1" applyFont="1" applyBorder="1" applyAlignment="1">
      <alignment horizontal="left" indent="3"/>
    </xf>
    <xf numFmtId="5" fontId="4" fillId="0" borderId="2" xfId="0" applyNumberFormat="1" applyFont="1" applyBorder="1" applyAlignment="1"/>
    <xf numFmtId="5" fontId="4" fillId="0" borderId="4" xfId="0" applyNumberFormat="1" applyFont="1" applyBorder="1" applyAlignment="1"/>
    <xf numFmtId="5" fontId="4" fillId="0" borderId="3" xfId="0" applyNumberFormat="1" applyFont="1" applyBorder="1" applyAlignment="1"/>
    <xf numFmtId="0" fontId="47" fillId="0" borderId="0" xfId="0" applyFont="1"/>
    <xf numFmtId="0" fontId="16" fillId="0" borderId="34" xfId="0" applyNumberFormat="1" applyFont="1" applyBorder="1" applyAlignment="1">
      <alignment horizontal="center"/>
    </xf>
    <xf numFmtId="0" fontId="55" fillId="0" borderId="14" xfId="0" applyNumberFormat="1" applyFont="1" applyBorder="1" applyAlignment="1">
      <alignment horizontal="left" indent="1"/>
    </xf>
    <xf numFmtId="165" fontId="26" fillId="0" borderId="0" xfId="0" applyNumberFormat="1" applyFont="1" applyAlignment="1"/>
    <xf numFmtId="165" fontId="4" fillId="0" borderId="0" xfId="0" applyNumberFormat="1" applyFont="1" applyAlignment="1">
      <alignment horizontal="centerContinuous"/>
    </xf>
    <xf numFmtId="3" fontId="7" fillId="6" borderId="0" xfId="0" applyNumberFormat="1" applyFont="1" applyFill="1" applyAlignment="1"/>
    <xf numFmtId="3" fontId="7" fillId="6" borderId="0" xfId="0" applyNumberFormat="1" applyFont="1" applyFill="1" applyAlignment="1">
      <alignment horizontal="center"/>
    </xf>
    <xf numFmtId="3" fontId="7" fillId="6" borderId="0" xfId="0" applyNumberFormat="1" applyFont="1" applyFill="1" applyBorder="1" applyAlignment="1">
      <alignment horizontal="center"/>
    </xf>
    <xf numFmtId="3" fontId="47" fillId="2" borderId="0" xfId="0" applyNumberFormat="1" applyFont="1" applyFill="1" applyAlignment="1"/>
    <xf numFmtId="0" fontId="25" fillId="2" borderId="100" xfId="0" applyNumberFormat="1" applyFont="1" applyFill="1" applyBorder="1" applyAlignment="1">
      <alignment horizontal="right"/>
    </xf>
    <xf numFmtId="0" fontId="25" fillId="2" borderId="101" xfId="0" applyNumberFormat="1" applyFont="1" applyFill="1" applyBorder="1" applyAlignment="1">
      <alignment horizontal="right"/>
    </xf>
    <xf numFmtId="3" fontId="74" fillId="2" borderId="0" xfId="0" applyNumberFormat="1" applyFont="1" applyFill="1" applyAlignment="1"/>
    <xf numFmtId="3" fontId="75" fillId="2" borderId="0" xfId="0" applyNumberFormat="1" applyFont="1" applyFill="1" applyBorder="1" applyAlignment="1"/>
    <xf numFmtId="3" fontId="75" fillId="2" borderId="0" xfId="0" applyNumberFormat="1" applyFont="1" applyFill="1" applyBorder="1" applyAlignment="1">
      <alignment horizontal="center"/>
    </xf>
    <xf numFmtId="3" fontId="74" fillId="2" borderId="0" xfId="0" applyNumberFormat="1" applyFont="1" applyFill="1" applyBorder="1" applyAlignment="1"/>
    <xf numFmtId="0" fontId="23" fillId="0" borderId="0" xfId="0" applyFont="1" applyFill="1" applyAlignment="1">
      <alignment horizontal="centerContinuous"/>
    </xf>
    <xf numFmtId="0" fontId="23" fillId="0" borderId="0" xfId="0" applyFont="1" applyFill="1" applyAlignment="1">
      <alignment horizontal="center"/>
    </xf>
    <xf numFmtId="0" fontId="21" fillId="4" borderId="0" xfId="0" applyFont="1" applyFill="1" applyBorder="1" applyAlignment="1">
      <alignment horizontal="center"/>
    </xf>
    <xf numFmtId="0" fontId="0" fillId="0" borderId="0" xfId="0" applyFill="1" applyBorder="1" applyAlignment="1">
      <alignment horizontal="center" vertical="top" wrapText="1"/>
    </xf>
    <xf numFmtId="0" fontId="43" fillId="0" borderId="0" xfId="0" applyFont="1" applyAlignment="1">
      <alignment horizontal="center"/>
    </xf>
    <xf numFmtId="165" fontId="7" fillId="6" borderId="0" xfId="0" applyNumberFormat="1" applyFont="1" applyFill="1" applyBorder="1" applyAlignment="1"/>
    <xf numFmtId="165" fontId="4" fillId="6" borderId="0" xfId="0" applyNumberFormat="1" applyFont="1" applyFill="1" applyBorder="1" applyAlignment="1"/>
    <xf numFmtId="5" fontId="7" fillId="6" borderId="27" xfId="0" applyNumberFormat="1" applyFont="1" applyFill="1" applyBorder="1" applyAlignment="1"/>
    <xf numFmtId="37" fontId="7" fillId="6" borderId="25" xfId="0" applyNumberFormat="1" applyFont="1" applyFill="1" applyBorder="1" applyAlignment="1"/>
    <xf numFmtId="5" fontId="7" fillId="6" borderId="26" xfId="0" applyNumberFormat="1" applyFont="1" applyFill="1" applyBorder="1" applyAlignment="1"/>
    <xf numFmtId="0" fontId="7" fillId="6" borderId="25" xfId="0" applyNumberFormat="1" applyFont="1" applyFill="1" applyBorder="1" applyAlignment="1">
      <alignment horizontal="left" indent="1"/>
    </xf>
    <xf numFmtId="5" fontId="7" fillId="6" borderId="11" xfId="0" applyNumberFormat="1" applyFont="1" applyFill="1" applyBorder="1" applyAlignment="1"/>
    <xf numFmtId="37" fontId="7" fillId="6" borderId="14" xfId="0" applyNumberFormat="1" applyFont="1" applyFill="1" applyBorder="1" applyAlignment="1"/>
    <xf numFmtId="5" fontId="7" fillId="6" borderId="10" xfId="0" applyNumberFormat="1" applyFont="1" applyFill="1" applyBorder="1" applyAlignment="1"/>
    <xf numFmtId="0" fontId="7" fillId="6" borderId="12" xfId="0" applyNumberFormat="1" applyFont="1" applyFill="1" applyBorder="1" applyAlignment="1">
      <alignment horizontal="left" indent="1"/>
    </xf>
    <xf numFmtId="37" fontId="7" fillId="6" borderId="14" xfId="0" applyNumberFormat="1" applyFont="1" applyFill="1" applyBorder="1" applyAlignment="1">
      <alignment horizontal="right"/>
    </xf>
    <xf numFmtId="0" fontId="7" fillId="6" borderId="12" xfId="0" applyNumberFormat="1" applyFont="1" applyFill="1" applyBorder="1" applyAlignment="1">
      <alignment horizontal="left" indent="2"/>
    </xf>
    <xf numFmtId="37" fontId="7" fillId="6" borderId="11" xfId="0" applyNumberFormat="1" applyFont="1" applyFill="1" applyBorder="1" applyAlignment="1"/>
    <xf numFmtId="37" fontId="7" fillId="6" borderId="10" xfId="0" applyNumberFormat="1" applyFont="1" applyFill="1" applyBorder="1" applyAlignment="1"/>
    <xf numFmtId="0" fontId="7" fillId="6" borderId="14" xfId="0" applyNumberFormat="1" applyFont="1" applyFill="1" applyBorder="1" applyAlignment="1">
      <alignment horizontal="left" indent="1"/>
    </xf>
    <xf numFmtId="37" fontId="27" fillId="6" borderId="49" xfId="0" applyNumberFormat="1" applyFont="1" applyFill="1" applyBorder="1" applyAlignment="1"/>
    <xf numFmtId="37" fontId="27" fillId="6" borderId="35" xfId="0" applyNumberFormat="1" applyFont="1" applyFill="1" applyBorder="1" applyAlignment="1"/>
    <xf numFmtId="37" fontId="27" fillId="6" borderId="48" xfId="0" applyNumberFormat="1" applyFont="1" applyFill="1" applyBorder="1" applyAlignment="1"/>
    <xf numFmtId="0" fontId="27" fillId="6" borderId="47" xfId="0" applyNumberFormat="1" applyFont="1" applyFill="1" applyBorder="1" applyAlignment="1">
      <alignment horizontal="left" indent="2"/>
    </xf>
    <xf numFmtId="37" fontId="27" fillId="6" borderId="46" xfId="0" applyNumberFormat="1" applyFont="1" applyFill="1" applyBorder="1" applyAlignment="1"/>
    <xf numFmtId="37" fontId="27" fillId="6" borderId="38" xfId="0" applyNumberFormat="1" applyFont="1" applyFill="1" applyBorder="1" applyAlignment="1"/>
    <xf numFmtId="0" fontId="27" fillId="6" borderId="38" xfId="0" applyNumberFormat="1" applyFont="1" applyFill="1" applyBorder="1" applyAlignment="1">
      <alignment horizontal="left" indent="2"/>
    </xf>
    <xf numFmtId="5" fontId="27" fillId="6" borderId="11" xfId="0" applyNumberFormat="1" applyFont="1" applyFill="1" applyBorder="1" applyAlignment="1"/>
    <xf numFmtId="170" fontId="27" fillId="6" borderId="14" xfId="0" applyNumberFormat="1" applyFont="1" applyFill="1" applyBorder="1" applyAlignment="1"/>
    <xf numFmtId="5" fontId="27" fillId="6" borderId="10" xfId="0" applyNumberFormat="1" applyFont="1" applyFill="1" applyBorder="1" applyAlignment="1"/>
    <xf numFmtId="0" fontId="27" fillId="6" borderId="12" xfId="0" applyNumberFormat="1" applyFont="1" applyFill="1" applyBorder="1" applyAlignment="1">
      <alignment horizontal="left" indent="3"/>
    </xf>
    <xf numFmtId="165" fontId="4" fillId="0" borderId="0" xfId="0" applyNumberFormat="1" applyFont="1" applyBorder="1"/>
    <xf numFmtId="37" fontId="7" fillId="6" borderId="18" xfId="0" applyNumberFormat="1" applyFont="1" applyFill="1" applyBorder="1" applyAlignment="1"/>
    <xf numFmtId="37" fontId="7" fillId="6" borderId="23" xfId="0" applyNumberFormat="1" applyFont="1" applyFill="1" applyBorder="1" applyAlignment="1"/>
    <xf numFmtId="37" fontId="7" fillId="6" borderId="20" xfId="0" applyNumberFormat="1" applyFont="1" applyFill="1" applyBorder="1" applyAlignment="1"/>
    <xf numFmtId="37" fontId="7" fillId="6" borderId="0" xfId="0" applyNumberFormat="1" applyFont="1" applyFill="1" applyBorder="1" applyAlignment="1"/>
    <xf numFmtId="37" fontId="7" fillId="6" borderId="7" xfId="0" applyNumberFormat="1" applyFont="1" applyFill="1" applyBorder="1" applyAlignment="1"/>
    <xf numFmtId="37" fontId="8" fillId="6" borderId="11" xfId="0" applyNumberFormat="1" applyFont="1" applyFill="1" applyBorder="1" applyAlignment="1"/>
    <xf numFmtId="37" fontId="8" fillId="6" borderId="14" xfId="0" applyNumberFormat="1" applyFont="1" applyFill="1" applyBorder="1" applyAlignment="1"/>
    <xf numFmtId="37" fontId="8" fillId="6" borderId="10" xfId="0" applyNumberFormat="1" applyFont="1" applyFill="1" applyBorder="1" applyAlignment="1"/>
    <xf numFmtId="0" fontId="8" fillId="6" borderId="12" xfId="0" applyNumberFormat="1" applyFont="1" applyFill="1" applyBorder="1" applyAlignment="1">
      <alignment horizontal="left" indent="2"/>
    </xf>
    <xf numFmtId="37" fontId="7" fillId="6" borderId="12" xfId="0" applyNumberFormat="1" applyFont="1" applyFill="1" applyBorder="1" applyAlignment="1"/>
    <xf numFmtId="0" fontId="7" fillId="6" borderId="35" xfId="0" applyNumberFormat="1" applyFont="1" applyFill="1" applyBorder="1" applyAlignment="1">
      <alignment horizontal="left" indent="1"/>
    </xf>
    <xf numFmtId="0" fontId="4" fillId="0" borderId="52" xfId="0" applyNumberFormat="1" applyFont="1" applyBorder="1" applyAlignment="1"/>
    <xf numFmtId="0" fontId="4" fillId="0" borderId="53" xfId="0" applyNumberFormat="1" applyFont="1" applyBorder="1" applyAlignment="1"/>
    <xf numFmtId="37" fontId="4" fillId="0" borderId="28" xfId="0" applyNumberFormat="1" applyFont="1" applyBorder="1" applyAlignment="1"/>
    <xf numFmtId="0" fontId="16" fillId="0" borderId="53" xfId="0" applyNumberFormat="1" applyFont="1" applyBorder="1" applyAlignment="1"/>
    <xf numFmtId="37" fontId="4" fillId="0" borderId="11" xfId="0" applyNumberFormat="1" applyFont="1" applyFill="1" applyBorder="1" applyAlignment="1"/>
    <xf numFmtId="0" fontId="4" fillId="0" borderId="39" xfId="0" applyNumberFormat="1" applyFont="1" applyBorder="1" applyAlignment="1">
      <alignment horizontal="left"/>
    </xf>
    <xf numFmtId="0" fontId="4" fillId="0" borderId="39" xfId="0" applyNumberFormat="1" applyFont="1" applyBorder="1" applyAlignment="1">
      <alignment horizontal="left" indent="4"/>
    </xf>
    <xf numFmtId="0" fontId="4" fillId="0" borderId="50" xfId="0" applyNumberFormat="1" applyFont="1" applyBorder="1" applyAlignment="1">
      <alignment horizontal="left" indent="4"/>
    </xf>
    <xf numFmtId="0" fontId="4" fillId="0" borderId="39" xfId="0" applyNumberFormat="1" applyFont="1" applyFill="1" applyBorder="1" applyAlignment="1">
      <alignment horizontal="left"/>
    </xf>
    <xf numFmtId="0" fontId="4" fillId="0" borderId="39" xfId="0" applyNumberFormat="1" applyFont="1" applyFill="1" applyBorder="1" applyAlignment="1">
      <alignment horizontal="left" indent="4"/>
    </xf>
    <xf numFmtId="0" fontId="4" fillId="0" borderId="50" xfId="0" applyNumberFormat="1" applyFont="1" applyFill="1" applyBorder="1" applyAlignment="1">
      <alignment horizontal="left" indent="4"/>
    </xf>
    <xf numFmtId="37" fontId="4" fillId="0" borderId="8" xfId="0" applyNumberFormat="1" applyFont="1" applyFill="1" applyBorder="1" applyAlignment="1"/>
    <xf numFmtId="0" fontId="4" fillId="0" borderId="14" xfId="0" applyNumberFormat="1" applyFont="1" applyBorder="1" applyAlignment="1">
      <alignment horizontal="left" indent="4"/>
    </xf>
    <xf numFmtId="0" fontId="4" fillId="0" borderId="10" xfId="0" applyNumberFormat="1" applyFont="1" applyBorder="1" applyAlignment="1">
      <alignment horizontal="left" indent="4"/>
    </xf>
    <xf numFmtId="0" fontId="4" fillId="0" borderId="10" xfId="0" applyNumberFormat="1" applyFont="1" applyBorder="1" applyAlignment="1">
      <alignment horizontal="left"/>
    </xf>
    <xf numFmtId="0" fontId="4" fillId="0" borderId="45" xfId="0" applyNumberFormat="1" applyFont="1" applyBorder="1" applyAlignment="1">
      <alignment horizontal="left" indent="2"/>
    </xf>
    <xf numFmtId="3" fontId="4" fillId="0" borderId="0" xfId="0" applyNumberFormat="1" applyFont="1" applyFill="1" applyAlignment="1"/>
    <xf numFmtId="3" fontId="50" fillId="0" borderId="0" xfId="0" applyNumberFormat="1" applyFont="1" applyFill="1" applyAlignment="1"/>
    <xf numFmtId="0" fontId="4" fillId="0" borderId="26" xfId="0" applyNumberFormat="1" applyFont="1" applyBorder="1" applyAlignment="1">
      <alignment horizontal="left"/>
    </xf>
    <xf numFmtId="37" fontId="16" fillId="0" borderId="24" xfId="0" applyNumberFormat="1" applyFont="1" applyBorder="1" applyAlignment="1">
      <alignment horizontal="right"/>
    </xf>
    <xf numFmtId="0" fontId="4" fillId="0" borderId="37" xfId="0" applyNumberFormat="1" applyFont="1" applyBorder="1" applyAlignment="1"/>
    <xf numFmtId="37" fontId="4" fillId="0" borderId="24" xfId="0" applyNumberFormat="1" applyFont="1" applyBorder="1" applyAlignment="1">
      <alignment horizontal="right"/>
    </xf>
    <xf numFmtId="0" fontId="4" fillId="0" borderId="35" xfId="0" applyNumberFormat="1" applyFont="1" applyBorder="1" applyAlignment="1"/>
    <xf numFmtId="0" fontId="4" fillId="0" borderId="48" xfId="0" applyFont="1" applyBorder="1" applyAlignment="1"/>
    <xf numFmtId="0" fontId="4" fillId="0" borderId="49" xfId="0" applyFont="1" applyBorder="1" applyAlignment="1"/>
    <xf numFmtId="37" fontId="55" fillId="0" borderId="14" xfId="0" applyNumberFormat="1" applyFont="1" applyBorder="1" applyAlignment="1">
      <alignment horizontal="center"/>
    </xf>
    <xf numFmtId="37" fontId="55" fillId="0" borderId="10" xfId="0" applyNumberFormat="1" applyFont="1" applyBorder="1" applyAlignment="1">
      <alignment horizontal="center"/>
    </xf>
    <xf numFmtId="37" fontId="55" fillId="0" borderId="10" xfId="0" applyNumberFormat="1" applyFont="1" applyBorder="1" applyAlignment="1">
      <alignment horizontal="right"/>
    </xf>
    <xf numFmtId="0" fontId="4" fillId="0" borderId="14" xfId="0" applyNumberFormat="1" applyFont="1" applyFill="1" applyBorder="1" applyAlignment="1"/>
    <xf numFmtId="0" fontId="4" fillId="0" borderId="10" xfId="0" applyNumberFormat="1" applyFont="1" applyFill="1" applyBorder="1" applyAlignment="1"/>
    <xf numFmtId="37" fontId="4" fillId="0" borderId="14" xfId="0" applyNumberFormat="1" applyFont="1" applyFill="1" applyBorder="1" applyAlignment="1">
      <alignment horizontal="center"/>
    </xf>
    <xf numFmtId="37" fontId="4" fillId="0" borderId="10" xfId="0" applyNumberFormat="1" applyFont="1" applyFill="1" applyBorder="1" applyAlignment="1">
      <alignment horizontal="center"/>
    </xf>
    <xf numFmtId="37" fontId="4" fillId="0" borderId="10" xfId="0" applyNumberFormat="1" applyFont="1" applyFill="1" applyBorder="1" applyAlignment="1"/>
    <xf numFmtId="37" fontId="4" fillId="0" borderId="11" xfId="0" applyNumberFormat="1" applyFont="1" applyFill="1" applyBorder="1" applyAlignment="1">
      <alignment horizontal="right"/>
    </xf>
    <xf numFmtId="37" fontId="55" fillId="0" borderId="14" xfId="0" applyNumberFormat="1" applyFont="1" applyFill="1" applyBorder="1" applyAlignment="1">
      <alignment horizontal="center"/>
    </xf>
    <xf numFmtId="37" fontId="55" fillId="0" borderId="10" xfId="0" applyNumberFormat="1" applyFont="1" applyFill="1" applyBorder="1" applyAlignment="1">
      <alignment horizontal="center"/>
    </xf>
    <xf numFmtId="37" fontId="55" fillId="0" borderId="10" xfId="0" applyNumberFormat="1" applyFont="1" applyFill="1" applyBorder="1" applyAlignment="1">
      <alignment horizontal="right"/>
    </xf>
    <xf numFmtId="37" fontId="55" fillId="0" borderId="10" xfId="0" applyNumberFormat="1" applyFont="1" applyFill="1" applyBorder="1" applyAlignment="1"/>
    <xf numFmtId="37" fontId="55" fillId="0" borderId="11" xfId="0" applyNumberFormat="1" applyFont="1" applyFill="1" applyBorder="1" applyAlignment="1">
      <alignment horizontal="right"/>
    </xf>
    <xf numFmtId="37" fontId="4" fillId="0" borderId="10" xfId="0" applyNumberFormat="1" applyFont="1" applyBorder="1" applyAlignment="1">
      <alignment horizontal="right"/>
    </xf>
    <xf numFmtId="37" fontId="4" fillId="0" borderId="10" xfId="0" applyNumberFormat="1" applyFont="1" applyFill="1" applyBorder="1" applyAlignment="1">
      <alignment horizontal="right"/>
    </xf>
    <xf numFmtId="0" fontId="4" fillId="0" borderId="25" xfId="0" applyNumberFormat="1" applyFont="1" applyBorder="1" applyAlignment="1"/>
    <xf numFmtId="0" fontId="4" fillId="0" borderId="26" xfId="0" applyNumberFormat="1" applyFont="1" applyBorder="1" applyAlignment="1"/>
    <xf numFmtId="37" fontId="4" fillId="0" borderId="25" xfId="0" applyNumberFormat="1" applyFont="1" applyBorder="1" applyAlignment="1">
      <alignment horizontal="center"/>
    </xf>
    <xf numFmtId="37" fontId="4" fillId="0" borderId="26" xfId="0" applyNumberFormat="1" applyFont="1" applyBorder="1" applyAlignment="1">
      <alignment horizontal="center"/>
    </xf>
    <xf numFmtId="37" fontId="4" fillId="0" borderId="26" xfId="0" applyNumberFormat="1" applyFont="1" applyBorder="1" applyAlignment="1"/>
    <xf numFmtId="37" fontId="4" fillId="0" borderId="27" xfId="0" applyNumberFormat="1" applyFont="1" applyBorder="1" applyAlignment="1"/>
    <xf numFmtId="0" fontId="4" fillId="0" borderId="48" xfId="0" applyNumberFormat="1" applyFont="1" applyBorder="1" applyAlignment="1"/>
    <xf numFmtId="37" fontId="4" fillId="0" borderId="35" xfId="0" applyNumberFormat="1" applyFont="1" applyBorder="1" applyAlignment="1">
      <alignment horizontal="center"/>
    </xf>
    <xf numFmtId="37" fontId="4" fillId="0" borderId="48" xfId="0" applyNumberFormat="1" applyFont="1" applyBorder="1" applyAlignment="1">
      <alignment horizontal="center"/>
    </xf>
    <xf numFmtId="37" fontId="4" fillId="0" borderId="48" xfId="0" applyNumberFormat="1" applyFont="1" applyBorder="1" applyAlignment="1"/>
    <xf numFmtId="37" fontId="4" fillId="0" borderId="49" xfId="0" applyNumberFormat="1" applyFont="1" applyBorder="1" applyAlignment="1"/>
    <xf numFmtId="37" fontId="55" fillId="0" borderId="12" xfId="0" applyNumberFormat="1" applyFont="1" applyBorder="1" applyAlignment="1">
      <alignment horizontal="center"/>
    </xf>
    <xf numFmtId="37" fontId="55" fillId="0" borderId="39" xfId="0" applyNumberFormat="1" applyFont="1" applyBorder="1" applyAlignment="1">
      <alignment horizontal="center"/>
    </xf>
    <xf numFmtId="37" fontId="55" fillId="0" borderId="39" xfId="0" applyNumberFormat="1" applyFont="1" applyBorder="1" applyAlignment="1"/>
    <xf numFmtId="37" fontId="55" fillId="0" borderId="50" xfId="0" applyNumberFormat="1" applyFont="1" applyBorder="1" applyAlignment="1"/>
    <xf numFmtId="37" fontId="55" fillId="0" borderId="39" xfId="0" applyNumberFormat="1" applyFont="1" applyBorder="1" applyAlignment="1">
      <alignment horizontal="right"/>
    </xf>
    <xf numFmtId="37" fontId="4" fillId="0" borderId="12" xfId="0" applyNumberFormat="1" applyFont="1" applyBorder="1" applyAlignment="1">
      <alignment horizontal="center"/>
    </xf>
    <xf numFmtId="0" fontId="4" fillId="0" borderId="7" xfId="0" applyNumberFormat="1" applyFont="1" applyFill="1" applyBorder="1" applyAlignment="1"/>
    <xf numFmtId="0" fontId="4" fillId="0" borderId="45" xfId="0" applyNumberFormat="1" applyFont="1" applyFill="1" applyBorder="1" applyAlignment="1"/>
    <xf numFmtId="37" fontId="4" fillId="0" borderId="7" xfId="0" applyNumberFormat="1" applyFont="1" applyFill="1" applyBorder="1" applyAlignment="1">
      <alignment horizontal="center"/>
    </xf>
    <xf numFmtId="37" fontId="4" fillId="0" borderId="0" xfId="0" applyNumberFormat="1" applyFont="1" applyFill="1" applyBorder="1" applyAlignment="1">
      <alignment horizontal="center"/>
    </xf>
    <xf numFmtId="37" fontId="4" fillId="0" borderId="0" xfId="0" applyNumberFormat="1" applyFont="1" applyFill="1" applyBorder="1" applyAlignment="1"/>
    <xf numFmtId="0" fontId="16" fillId="0" borderId="25" xfId="0" applyNumberFormat="1" applyFont="1" applyBorder="1" applyAlignment="1"/>
    <xf numFmtId="0" fontId="16" fillId="0" borderId="26" xfId="0" applyNumberFormat="1" applyFont="1" applyBorder="1" applyAlignment="1"/>
    <xf numFmtId="37" fontId="16" fillId="0" borderId="26" xfId="0" applyNumberFormat="1" applyFont="1" applyBorder="1" applyAlignment="1">
      <alignment horizontal="center"/>
    </xf>
    <xf numFmtId="37" fontId="16" fillId="0" borderId="26" xfId="0" applyNumberFormat="1" applyFont="1" applyBorder="1" applyAlignment="1"/>
    <xf numFmtId="37" fontId="16" fillId="0" borderId="27" xfId="0" applyNumberFormat="1" applyFont="1" applyBorder="1" applyAlignment="1"/>
    <xf numFmtId="0" fontId="4" fillId="0" borderId="76" xfId="0" applyNumberFormat="1" applyFont="1" applyBorder="1" applyAlignment="1"/>
    <xf numFmtId="37" fontId="4" fillId="0" borderId="36" xfId="0" applyNumberFormat="1" applyFont="1" applyBorder="1" applyAlignment="1">
      <alignment horizontal="center"/>
    </xf>
    <xf numFmtId="37" fontId="4" fillId="0" borderId="76" xfId="0" applyNumberFormat="1" applyFont="1" applyBorder="1" applyAlignment="1">
      <alignment horizontal="center"/>
    </xf>
    <xf numFmtId="37" fontId="4" fillId="0" borderId="76" xfId="0" applyNumberFormat="1" applyFont="1" applyBorder="1" applyAlignment="1"/>
    <xf numFmtId="37" fontId="4" fillId="0" borderId="89" xfId="0" applyNumberFormat="1" applyFont="1" applyBorder="1" applyAlignment="1"/>
    <xf numFmtId="37" fontId="16" fillId="0" borderId="6" xfId="0" applyNumberFormat="1" applyFont="1" applyBorder="1" applyAlignment="1">
      <alignment horizontal="center"/>
    </xf>
    <xf numFmtId="37" fontId="16" fillId="0" borderId="3" xfId="0" applyNumberFormat="1" applyFont="1" applyBorder="1" applyAlignment="1"/>
    <xf numFmtId="37" fontId="4" fillId="0" borderId="0" xfId="0" applyNumberFormat="1" applyFont="1" applyBorder="1" applyAlignment="1">
      <alignment horizontal="center"/>
    </xf>
    <xf numFmtId="0" fontId="9" fillId="0" borderId="79" xfId="10" applyFont="1" applyBorder="1"/>
    <xf numFmtId="0" fontId="9" fillId="0" borderId="79" xfId="10" applyFont="1" applyBorder="1" applyAlignment="1">
      <alignment horizontal="center"/>
    </xf>
    <xf numFmtId="37" fontId="9" fillId="0" borderId="36" xfId="0" applyNumberFormat="1" applyFont="1" applyBorder="1"/>
    <xf numFmtId="37" fontId="9" fillId="0" borderId="89" xfId="0" applyNumberFormat="1" applyFont="1" applyBorder="1"/>
    <xf numFmtId="0" fontId="9" fillId="0" borderId="14" xfId="0" applyNumberFormat="1" applyFont="1" applyBorder="1" applyAlignment="1">
      <alignment horizontal="left"/>
    </xf>
    <xf numFmtId="37" fontId="9" fillId="0" borderId="14" xfId="0" applyNumberFormat="1" applyFont="1" applyBorder="1"/>
    <xf numFmtId="37" fontId="9" fillId="0" borderId="10" xfId="0" applyNumberFormat="1" applyFont="1" applyBorder="1"/>
    <xf numFmtId="37" fontId="9" fillId="0" borderId="11" xfId="0" applyNumberFormat="1" applyFont="1" applyBorder="1"/>
    <xf numFmtId="0" fontId="9" fillId="0" borderId="12" xfId="0" applyNumberFormat="1" applyFont="1" applyBorder="1" applyAlignment="1">
      <alignment horizontal="left"/>
    </xf>
    <xf numFmtId="37" fontId="9" fillId="0" borderId="12" xfId="0" applyNumberFormat="1" applyFont="1" applyBorder="1"/>
    <xf numFmtId="0" fontId="9" fillId="0" borderId="12" xfId="0" applyNumberFormat="1" applyFont="1" applyFill="1" applyBorder="1" applyAlignment="1">
      <alignment horizontal="left"/>
    </xf>
    <xf numFmtId="37" fontId="9" fillId="0" borderId="6" xfId="0" applyNumberFormat="1" applyFont="1" applyBorder="1"/>
    <xf numFmtId="37" fontId="9" fillId="0" borderId="2" xfId="0" applyNumberFormat="1" applyFont="1" applyBorder="1"/>
    <xf numFmtId="37" fontId="9" fillId="0" borderId="3" xfId="0" applyNumberFormat="1" applyFont="1" applyBorder="1"/>
    <xf numFmtId="0" fontId="22" fillId="0" borderId="20" xfId="10" applyFont="1" applyBorder="1" applyAlignment="1">
      <alignment horizontal="left"/>
    </xf>
    <xf numFmtId="0" fontId="22" fillId="0" borderId="24" xfId="10" applyFont="1" applyBorder="1" applyAlignment="1">
      <alignment horizontal="center"/>
    </xf>
    <xf numFmtId="0" fontId="9" fillId="0" borderId="36" xfId="10" applyFont="1" applyBorder="1"/>
    <xf numFmtId="0" fontId="9" fillId="0" borderId="14" xfId="10" applyFont="1" applyBorder="1"/>
    <xf numFmtId="37" fontId="9" fillId="0" borderId="39" xfId="0" applyNumberFormat="1" applyFont="1" applyBorder="1"/>
    <xf numFmtId="37" fontId="9" fillId="0" borderId="50" xfId="0" applyNumberFormat="1" applyFont="1" applyBorder="1"/>
    <xf numFmtId="0" fontId="9" fillId="0" borderId="120" xfId="10" applyFont="1" applyBorder="1"/>
    <xf numFmtId="37" fontId="9" fillId="0" borderId="38" xfId="0" applyNumberFormat="1" applyFont="1" applyBorder="1"/>
    <xf numFmtId="37" fontId="9" fillId="0" borderId="45" xfId="0" applyNumberFormat="1" applyFont="1" applyBorder="1"/>
    <xf numFmtId="37" fontId="9" fillId="0" borderId="46" xfId="0" applyNumberFormat="1" applyFont="1" applyBorder="1"/>
    <xf numFmtId="37" fontId="9" fillId="0" borderId="25" xfId="0" applyNumberFormat="1" applyFont="1" applyBorder="1"/>
    <xf numFmtId="37" fontId="9" fillId="0" borderId="27" xfId="0" applyNumberFormat="1" applyFont="1" applyBorder="1"/>
    <xf numFmtId="5" fontId="15" fillId="0" borderId="0" xfId="10" applyNumberFormat="1"/>
    <xf numFmtId="0" fontId="9" fillId="0" borderId="23" xfId="10" applyFont="1" applyBorder="1"/>
    <xf numFmtId="37" fontId="9" fillId="0" borderId="20" xfId="2" applyNumberFormat="1" applyFont="1" applyBorder="1"/>
    <xf numFmtId="37" fontId="9" fillId="0" borderId="18" xfId="2" applyNumberFormat="1" applyFont="1" applyBorder="1"/>
    <xf numFmtId="3" fontId="9" fillId="0" borderId="0" xfId="2" applyNumberFormat="1" applyFont="1" applyBorder="1"/>
    <xf numFmtId="0" fontId="9" fillId="0" borderId="0" xfId="11" applyNumberFormat="1" applyFont="1"/>
    <xf numFmtId="37" fontId="9" fillId="0" borderId="33" xfId="11" applyNumberFormat="1" applyFont="1" applyBorder="1"/>
    <xf numFmtId="37" fontId="4" fillId="0" borderId="35" xfId="0" applyNumberFormat="1" applyFont="1" applyBorder="1" applyAlignment="1"/>
    <xf numFmtId="37" fontId="4" fillId="0" borderId="47" xfId="0" applyNumberFormat="1" applyFont="1" applyBorder="1" applyAlignment="1"/>
    <xf numFmtId="37" fontId="55" fillId="0" borderId="12" xfId="0" applyNumberFormat="1" applyFont="1" applyBorder="1" applyAlignment="1"/>
    <xf numFmtId="165" fontId="4" fillId="0" borderId="13" xfId="0" applyNumberFormat="1" applyFont="1" applyBorder="1" applyAlignment="1"/>
    <xf numFmtId="3" fontId="4" fillId="0" borderId="39" xfId="0" applyNumberFormat="1" applyFont="1" applyBorder="1" applyAlignment="1"/>
    <xf numFmtId="3" fontId="55" fillId="0" borderId="39" xfId="0" applyNumberFormat="1" applyFont="1" applyBorder="1" applyAlignment="1"/>
    <xf numFmtId="37" fontId="4" fillId="0" borderId="13" xfId="0" applyNumberFormat="1" applyFont="1" applyBorder="1"/>
    <xf numFmtId="37" fontId="55" fillId="0" borderId="12" xfId="5" applyNumberFormat="1" applyFont="1" applyBorder="1" applyAlignment="1"/>
    <xf numFmtId="37" fontId="55" fillId="0" borderId="39" xfId="5" applyNumberFormat="1" applyFont="1" applyBorder="1" applyAlignment="1"/>
    <xf numFmtId="37" fontId="4" fillId="0" borderId="12" xfId="5" applyNumberFormat="1" applyFont="1" applyBorder="1" applyAlignment="1"/>
    <xf numFmtId="37" fontId="4" fillId="0" borderId="13" xfId="5" applyNumberFormat="1" applyFont="1" applyBorder="1" applyAlignment="1"/>
    <xf numFmtId="0" fontId="4" fillId="0" borderId="25" xfId="0" applyNumberFormat="1" applyFont="1" applyBorder="1" applyAlignment="1">
      <alignment horizontal="left" indent="1"/>
    </xf>
    <xf numFmtId="37" fontId="4" fillId="0" borderId="25" xfId="0" applyNumberFormat="1" applyFont="1" applyBorder="1" applyAlignment="1"/>
    <xf numFmtId="37" fontId="55" fillId="0" borderId="26" xfId="0" applyNumberFormat="1" applyFont="1" applyBorder="1" applyAlignment="1"/>
    <xf numFmtId="37" fontId="55" fillId="0" borderId="25" xfId="0" applyNumberFormat="1" applyFont="1" applyBorder="1" applyAlignment="1"/>
    <xf numFmtId="37" fontId="55" fillId="0" borderId="27" xfId="0" applyNumberFormat="1" applyFont="1" applyBorder="1" applyAlignment="1"/>
    <xf numFmtId="0" fontId="4" fillId="0" borderId="36" xfId="0" applyNumberFormat="1" applyFont="1" applyBorder="1" applyAlignment="1">
      <alignment horizontal="left"/>
    </xf>
    <xf numFmtId="37" fontId="4" fillId="0" borderId="36" xfId="0" applyNumberFormat="1" applyFont="1" applyBorder="1" applyAlignment="1"/>
    <xf numFmtId="37" fontId="4" fillId="0" borderId="79" xfId="0" applyNumberFormat="1" applyFont="1" applyBorder="1" applyAlignment="1"/>
    <xf numFmtId="5" fontId="16" fillId="0" borderId="24" xfId="0" applyNumberFormat="1" applyFont="1" applyBorder="1" applyAlignment="1"/>
    <xf numFmtId="5" fontId="16" fillId="0" borderId="18" xfId="0" applyNumberFormat="1" applyFont="1" applyBorder="1" applyAlignment="1"/>
    <xf numFmtId="37" fontId="4" fillId="0" borderId="25" xfId="0" applyNumberFormat="1" applyFont="1" applyFill="1" applyBorder="1" applyAlignment="1"/>
    <xf numFmtId="37" fontId="4" fillId="0" borderId="26" xfId="0" applyNumberFormat="1" applyFont="1" applyFill="1" applyBorder="1" applyAlignment="1"/>
    <xf numFmtId="37" fontId="4" fillId="0" borderId="9" xfId="0" applyNumberFormat="1" applyFont="1" applyFill="1" applyBorder="1" applyAlignment="1"/>
    <xf numFmtId="2" fontId="0" fillId="0" borderId="35" xfId="0" applyNumberFormat="1" applyBorder="1" applyProtection="1">
      <protection locked="0"/>
    </xf>
    <xf numFmtId="0" fontId="4" fillId="0" borderId="50" xfId="0" applyNumberFormat="1" applyFont="1" applyBorder="1" applyAlignment="1">
      <alignment horizontal="left"/>
    </xf>
    <xf numFmtId="0" fontId="4" fillId="0" borderId="27" xfId="0" applyNumberFormat="1" applyFont="1" applyBorder="1" applyAlignment="1">
      <alignment horizontal="left"/>
    </xf>
    <xf numFmtId="0" fontId="25" fillId="2" borderId="124" xfId="0" applyNumberFormat="1" applyFont="1" applyFill="1" applyBorder="1" applyAlignment="1">
      <alignment horizontal="center"/>
    </xf>
    <xf numFmtId="0" fontId="25" fillId="2" borderId="31" xfId="0" applyNumberFormat="1" applyFont="1" applyFill="1" applyBorder="1" applyAlignment="1">
      <alignment horizontal="right"/>
    </xf>
    <xf numFmtId="0" fontId="24" fillId="2" borderId="103" xfId="0" applyNumberFormat="1" applyFont="1" applyFill="1" applyBorder="1" applyAlignment="1">
      <alignment horizontal="left"/>
    </xf>
    <xf numFmtId="37" fontId="24" fillId="2" borderId="103" xfId="0" applyNumberFormat="1" applyFont="1" applyFill="1" applyBorder="1" applyAlignment="1">
      <alignment horizontal="right"/>
    </xf>
    <xf numFmtId="37" fontId="24" fillId="2" borderId="114" xfId="0" applyNumberFormat="1" applyFont="1" applyFill="1" applyBorder="1" applyAlignment="1">
      <alignment horizontal="right"/>
    </xf>
    <xf numFmtId="37" fontId="24" fillId="2" borderId="105" xfId="0" applyNumberFormat="1" applyFont="1" applyFill="1" applyBorder="1" applyAlignment="1">
      <alignment horizontal="right"/>
    </xf>
    <xf numFmtId="37" fontId="24" fillId="2" borderId="106" xfId="0" applyNumberFormat="1" applyFont="1" applyFill="1" applyBorder="1" applyAlignment="1">
      <alignment horizontal="right"/>
    </xf>
    <xf numFmtId="37" fontId="24" fillId="2" borderId="104" xfId="0" applyNumberFormat="1" applyFont="1" applyFill="1" applyBorder="1" applyAlignment="1">
      <alignment horizontal="right"/>
    </xf>
    <xf numFmtId="0" fontId="24" fillId="2" borderId="81" xfId="0" applyNumberFormat="1" applyFont="1" applyFill="1" applyBorder="1" applyAlignment="1">
      <alignment horizontal="left"/>
    </xf>
    <xf numFmtId="37" fontId="24" fillId="2" borderId="97" xfId="0" applyNumberFormat="1" applyFont="1" applyFill="1" applyBorder="1" applyAlignment="1">
      <alignment horizontal="right"/>
    </xf>
    <xf numFmtId="37" fontId="24" fillId="2" borderId="0" xfId="0" applyNumberFormat="1" applyFont="1" applyFill="1" applyBorder="1" applyAlignment="1">
      <alignment horizontal="right"/>
    </xf>
    <xf numFmtId="37" fontId="24" fillId="2" borderId="22" xfId="0" applyNumberFormat="1" applyFont="1" applyFill="1" applyBorder="1" applyAlignment="1">
      <alignment horizontal="right"/>
    </xf>
    <xf numFmtId="37" fontId="24" fillId="2" borderId="113" xfId="0" applyNumberFormat="1" applyFont="1" applyFill="1" applyBorder="1" applyAlignment="1">
      <alignment horizontal="right"/>
    </xf>
    <xf numFmtId="44" fontId="25" fillId="2" borderId="123" xfId="4" applyFont="1" applyFill="1" applyBorder="1" applyAlignment="1">
      <alignment horizontal="left"/>
    </xf>
    <xf numFmtId="37" fontId="25" fillId="2" borderId="67" xfId="4" applyNumberFormat="1" applyFont="1" applyFill="1" applyBorder="1" applyAlignment="1">
      <alignment horizontal="right"/>
    </xf>
    <xf numFmtId="5" fontId="25" fillId="2" borderId="69" xfId="4" applyNumberFormat="1" applyFont="1" applyFill="1" applyBorder="1" applyAlignment="1">
      <alignment horizontal="right"/>
    </xf>
    <xf numFmtId="44" fontId="0" fillId="0" borderId="0" xfId="4" applyFont="1"/>
    <xf numFmtId="0" fontId="0" fillId="6" borderId="0" xfId="0" applyFill="1" applyBorder="1"/>
    <xf numFmtId="0" fontId="0" fillId="6" borderId="0" xfId="0" applyFill="1"/>
    <xf numFmtId="3" fontId="18" fillId="6" borderId="0" xfId="0" applyNumberFormat="1" applyFont="1" applyFill="1" applyBorder="1" applyAlignment="1"/>
    <xf numFmtId="3" fontId="18" fillId="6" borderId="0" xfId="0" applyNumberFormat="1" applyFont="1" applyFill="1" applyBorder="1" applyAlignment="1">
      <alignment horizontal="center"/>
    </xf>
    <xf numFmtId="37" fontId="24" fillId="2" borderId="125" xfId="0" applyNumberFormat="1" applyFont="1" applyFill="1" applyBorder="1" applyAlignment="1">
      <alignment horizontal="right"/>
    </xf>
    <xf numFmtId="37" fontId="24" fillId="2" borderId="126" xfId="0" applyNumberFormat="1" applyFont="1" applyFill="1" applyBorder="1" applyAlignment="1">
      <alignment horizontal="right"/>
    </xf>
    <xf numFmtId="37" fontId="24" fillId="2" borderId="107" xfId="0" applyNumberFormat="1" applyFont="1" applyFill="1" applyBorder="1" applyAlignment="1">
      <alignment horizontal="right"/>
    </xf>
    <xf numFmtId="0" fontId="24" fillId="2" borderId="111" xfId="0" applyNumberFormat="1" applyFont="1" applyFill="1" applyBorder="1" applyAlignment="1">
      <alignment horizontal="left"/>
    </xf>
    <xf numFmtId="37" fontId="24" fillId="2" borderId="127" xfId="0" applyNumberFormat="1" applyFont="1" applyFill="1" applyBorder="1" applyAlignment="1">
      <alignment horizontal="right"/>
    </xf>
    <xf numFmtId="37" fontId="25" fillId="2" borderId="128" xfId="4" applyNumberFormat="1" applyFont="1" applyFill="1" applyBorder="1" applyAlignment="1">
      <alignment horizontal="right"/>
    </xf>
    <xf numFmtId="0" fontId="0" fillId="6" borderId="0" xfId="0" applyFill="1" applyAlignment="1">
      <alignment horizontal="center"/>
    </xf>
    <xf numFmtId="37" fontId="25" fillId="2" borderId="0" xfId="4" applyNumberFormat="1" applyFont="1" applyFill="1" applyBorder="1" applyAlignment="1">
      <alignment horizontal="right"/>
    </xf>
    <xf numFmtId="5" fontId="25" fillId="2" borderId="0" xfId="4" applyNumberFormat="1" applyFont="1" applyFill="1" applyBorder="1" applyAlignment="1">
      <alignment horizontal="right"/>
    </xf>
    <xf numFmtId="0" fontId="7" fillId="6" borderId="12" xfId="5" applyNumberFormat="1" applyFont="1" applyFill="1" applyBorder="1" applyAlignment="1">
      <alignment horizontal="left" indent="2"/>
    </xf>
    <xf numFmtId="37" fontId="4" fillId="0" borderId="5" xfId="0" applyNumberFormat="1" applyFont="1" applyBorder="1" applyAlignment="1"/>
    <xf numFmtId="3" fontId="55" fillId="0" borderId="10" xfId="0" applyNumberFormat="1" applyFont="1" applyBorder="1" applyAlignment="1"/>
    <xf numFmtId="3" fontId="55" fillId="0" borderId="11" xfId="0" applyNumberFormat="1" applyFont="1" applyBorder="1" applyAlignment="1"/>
    <xf numFmtId="0" fontId="9" fillId="0" borderId="8" xfId="10" applyFont="1" applyBorder="1" applyAlignment="1">
      <alignment wrapText="1"/>
    </xf>
    <xf numFmtId="0" fontId="9" fillId="0" borderId="4" xfId="10" applyFont="1" applyBorder="1" applyAlignment="1">
      <alignment wrapText="1"/>
    </xf>
    <xf numFmtId="0" fontId="9" fillId="0" borderId="12" xfId="10" applyFont="1" applyBorder="1" applyAlignment="1">
      <alignment wrapText="1"/>
    </xf>
    <xf numFmtId="0" fontId="9" fillId="0" borderId="13" xfId="10" applyFont="1" applyBorder="1" applyAlignment="1">
      <alignment wrapText="1"/>
    </xf>
    <xf numFmtId="0" fontId="15" fillId="0" borderId="0" xfId="11" applyFont="1"/>
    <xf numFmtId="37" fontId="60" fillId="0" borderId="0" xfId="11" applyNumberFormat="1" applyFont="1" applyAlignment="1">
      <alignment horizontal="left"/>
    </xf>
    <xf numFmtId="0" fontId="4" fillId="0" borderId="12" xfId="0" applyNumberFormat="1" applyFont="1" applyBorder="1" applyAlignment="1">
      <alignment horizontal="left" wrapText="1"/>
    </xf>
    <xf numFmtId="37" fontId="55" fillId="0" borderId="8" xfId="0" applyNumberFormat="1" applyFont="1" applyBorder="1" applyAlignment="1"/>
    <xf numFmtId="0" fontId="4" fillId="0" borderId="0" xfId="0" applyNumberFormat="1" applyFont="1" applyBorder="1" applyAlignment="1"/>
    <xf numFmtId="5" fontId="4" fillId="0" borderId="0" xfId="0" applyNumberFormat="1" applyFont="1" applyBorder="1" applyAlignment="1"/>
    <xf numFmtId="37" fontId="4" fillId="0" borderId="62" xfId="0" applyNumberFormat="1" applyFont="1" applyBorder="1" applyAlignment="1"/>
    <xf numFmtId="37" fontId="4" fillId="0" borderId="63" xfId="0" applyNumberFormat="1" applyFont="1" applyBorder="1" applyAlignment="1"/>
    <xf numFmtId="37" fontId="4" fillId="0" borderId="64" xfId="0" applyNumberFormat="1" applyFont="1" applyBorder="1" applyAlignment="1"/>
    <xf numFmtId="0" fontId="25" fillId="6" borderId="100" xfId="0" applyNumberFormat="1" applyFont="1" applyFill="1" applyBorder="1" applyAlignment="1">
      <alignment horizontal="right"/>
    </xf>
    <xf numFmtId="0" fontId="25" fillId="6" borderId="33" xfId="0" applyNumberFormat="1" applyFont="1" applyFill="1" applyBorder="1" applyAlignment="1">
      <alignment horizontal="center"/>
    </xf>
    <xf numFmtId="0" fontId="25" fillId="6" borderId="32" xfId="0" applyNumberFormat="1" applyFont="1" applyFill="1" applyBorder="1" applyAlignment="1">
      <alignment horizontal="right"/>
    </xf>
    <xf numFmtId="0" fontId="25" fillId="6" borderId="101" xfId="0" applyNumberFormat="1" applyFont="1" applyFill="1" applyBorder="1" applyAlignment="1">
      <alignment horizontal="right"/>
    </xf>
    <xf numFmtId="0" fontId="25" fillId="6" borderId="102" xfId="0" applyNumberFormat="1" applyFont="1" applyFill="1" applyBorder="1" applyAlignment="1">
      <alignment horizontal="center"/>
    </xf>
    <xf numFmtId="0" fontId="72" fillId="6" borderId="103" xfId="0" applyNumberFormat="1" applyFont="1" applyFill="1" applyBorder="1" applyAlignment="1">
      <alignment horizontal="left"/>
    </xf>
    <xf numFmtId="37" fontId="24" fillId="6" borderId="103" xfId="0" applyNumberFormat="1" applyFont="1" applyFill="1" applyBorder="1" applyAlignment="1"/>
    <xf numFmtId="37" fontId="24" fillId="6" borderId="113" xfId="0" applyNumberFormat="1" applyFont="1" applyFill="1" applyBorder="1" applyAlignment="1">
      <alignment horizontal="center"/>
    </xf>
    <xf numFmtId="37" fontId="24" fillId="6" borderId="105" xfId="0" applyNumberFormat="1" applyFont="1" applyFill="1" applyBorder="1" applyAlignment="1"/>
    <xf numFmtId="37" fontId="24" fillId="6" borderId="106" xfId="0" applyNumberFormat="1" applyFont="1" applyFill="1" applyBorder="1" applyAlignment="1">
      <alignment horizontal="center"/>
    </xf>
    <xf numFmtId="37" fontId="24" fillId="6" borderId="105" xfId="0" applyNumberFormat="1" applyFont="1" applyFill="1" applyBorder="1" applyAlignment="1">
      <alignment horizontal="center"/>
    </xf>
    <xf numFmtId="37" fontId="24" fillId="6" borderId="104" xfId="0" applyNumberFormat="1" applyFont="1" applyFill="1" applyBorder="1" applyAlignment="1">
      <alignment horizontal="center"/>
    </xf>
    <xf numFmtId="37" fontId="24" fillId="6" borderId="107" xfId="0" applyNumberFormat="1" applyFont="1" applyFill="1" applyBorder="1" applyAlignment="1"/>
    <xf numFmtId="37" fontId="24" fillId="6" borderId="108" xfId="0" applyNumberFormat="1" applyFont="1" applyFill="1" applyBorder="1" applyAlignment="1">
      <alignment horizontal="center"/>
    </xf>
    <xf numFmtId="0" fontId="72" fillId="6" borderId="103" xfId="0" applyNumberFormat="1" applyFont="1" applyFill="1" applyBorder="1" applyAlignment="1">
      <alignment horizontal="left" wrapText="1"/>
    </xf>
    <xf numFmtId="0" fontId="72" fillId="6" borderId="81" xfId="0" applyNumberFormat="1" applyFont="1" applyFill="1" applyBorder="1" applyAlignment="1">
      <alignment horizontal="left"/>
    </xf>
    <xf numFmtId="37" fontId="24" fillId="6" borderId="97" xfId="0" applyNumberFormat="1" applyFont="1" applyFill="1" applyBorder="1" applyAlignment="1"/>
    <xf numFmtId="0" fontId="35" fillId="6" borderId="115" xfId="0" applyNumberFormat="1" applyFont="1" applyFill="1" applyBorder="1" applyAlignment="1">
      <alignment horizontal="left"/>
    </xf>
    <xf numFmtId="170" fontId="25" fillId="6" borderId="116" xfId="0" applyNumberFormat="1" applyFont="1" applyFill="1" applyBorder="1" applyAlignment="1"/>
    <xf numFmtId="5" fontId="25" fillId="6" borderId="117" xfId="0" applyNumberFormat="1" applyFont="1" applyFill="1" applyBorder="1" applyAlignment="1">
      <alignment horizontal="center"/>
    </xf>
    <xf numFmtId="170" fontId="25" fillId="6" borderId="118" xfId="0" applyNumberFormat="1" applyFont="1" applyFill="1" applyBorder="1" applyAlignment="1"/>
    <xf numFmtId="5" fontId="25" fillId="6" borderId="118" xfId="0" applyNumberFormat="1" applyFont="1" applyFill="1" applyBorder="1" applyAlignment="1">
      <alignment horizontal="center"/>
    </xf>
    <xf numFmtId="37" fontId="25" fillId="6" borderId="118" xfId="0" applyNumberFormat="1" applyFont="1" applyFill="1" applyBorder="1" applyAlignment="1"/>
    <xf numFmtId="37" fontId="25" fillId="6" borderId="116" xfId="0" applyNumberFormat="1" applyFont="1" applyFill="1" applyBorder="1" applyAlignment="1"/>
    <xf numFmtId="5" fontId="25" fillId="6" borderId="119" xfId="0" applyNumberFormat="1" applyFont="1" applyFill="1" applyBorder="1" applyAlignment="1">
      <alignment horizontal="center"/>
    </xf>
    <xf numFmtId="5" fontId="0" fillId="0" borderId="0" xfId="0" applyNumberFormat="1" applyAlignment="1">
      <alignment horizontal="center"/>
    </xf>
    <xf numFmtId="37" fontId="15" fillId="6" borderId="14" xfId="0" applyNumberFormat="1" applyFont="1" applyFill="1" applyBorder="1" applyAlignment="1"/>
    <xf numFmtId="0" fontId="22" fillId="0" borderId="6" xfId="10" applyFont="1" applyBorder="1" applyAlignment="1">
      <alignment horizontal="center"/>
    </xf>
    <xf numFmtId="0" fontId="22" fillId="0" borderId="4" xfId="10" applyFont="1" applyBorder="1" applyAlignment="1">
      <alignment horizontal="left"/>
    </xf>
    <xf numFmtId="37" fontId="22" fillId="0" borderId="6" xfId="10" applyNumberFormat="1" applyFont="1" applyBorder="1"/>
    <xf numFmtId="37" fontId="22" fillId="0" borderId="2" xfId="10" applyNumberFormat="1" applyFont="1" applyBorder="1"/>
    <xf numFmtId="5" fontId="22" fillId="0" borderId="3" xfId="10" applyNumberFormat="1" applyFont="1" applyBorder="1"/>
    <xf numFmtId="5" fontId="22" fillId="0" borderId="4" xfId="10" applyNumberFormat="1" applyFont="1" applyBorder="1"/>
    <xf numFmtId="37" fontId="9" fillId="0" borderId="40" xfId="11" applyNumberFormat="1" applyFont="1" applyBorder="1"/>
    <xf numFmtId="0" fontId="25" fillId="6" borderId="124" xfId="0" applyNumberFormat="1" applyFont="1" applyFill="1" applyBorder="1" applyAlignment="1">
      <alignment horizontal="center"/>
    </xf>
    <xf numFmtId="0" fontId="25" fillId="6" borderId="31" xfId="0" applyNumberFormat="1" applyFont="1" applyFill="1" applyBorder="1" applyAlignment="1">
      <alignment horizontal="right"/>
    </xf>
    <xf numFmtId="0" fontId="25" fillId="6" borderId="124" xfId="0" applyNumberFormat="1" applyFont="1" applyFill="1" applyBorder="1" applyAlignment="1">
      <alignment horizontal="right"/>
    </xf>
    <xf numFmtId="0" fontId="4" fillId="0" borderId="11" xfId="0" applyNumberFormat="1" applyFont="1" applyBorder="1" applyAlignment="1"/>
    <xf numFmtId="0" fontId="16" fillId="0" borderId="3" xfId="0" applyNumberFormat="1" applyFont="1" applyBorder="1" applyAlignment="1"/>
    <xf numFmtId="0" fontId="4" fillId="0" borderId="3" xfId="0" applyNumberFormat="1" applyFont="1" applyBorder="1" applyAlignment="1"/>
    <xf numFmtId="0" fontId="22" fillId="0" borderId="59" xfId="10" applyFont="1" applyBorder="1" applyAlignment="1">
      <alignment horizontal="left"/>
    </xf>
    <xf numFmtId="0" fontId="22" fillId="0" borderId="59" xfId="10" applyFont="1" applyBorder="1" applyAlignment="1">
      <alignment horizontal="center"/>
    </xf>
    <xf numFmtId="37" fontId="22" fillId="0" borderId="59" xfId="10" applyNumberFormat="1" applyFont="1" applyBorder="1"/>
    <xf numFmtId="5" fontId="22" fillId="0" borderId="59" xfId="10" applyNumberFormat="1" applyFont="1" applyBorder="1"/>
    <xf numFmtId="0" fontId="9" fillId="0" borderId="0" xfId="10" applyFont="1" applyBorder="1"/>
    <xf numFmtId="0" fontId="4" fillId="0" borderId="60" xfId="0" applyNumberFormat="1" applyFont="1" applyBorder="1" applyAlignment="1">
      <alignment horizontal="left"/>
    </xf>
    <xf numFmtId="37" fontId="36" fillId="6" borderId="107" xfId="0" applyNumberFormat="1" applyFont="1" applyFill="1" applyBorder="1" applyAlignment="1"/>
    <xf numFmtId="37" fontId="36" fillId="6" borderId="104" xfId="0" applyNumberFormat="1" applyFont="1" applyFill="1" applyBorder="1" applyAlignment="1"/>
    <xf numFmtId="37" fontId="36" fillId="6" borderId="103" xfId="0" applyNumberFormat="1" applyFont="1" applyFill="1" applyBorder="1" applyAlignment="1"/>
    <xf numFmtId="0" fontId="36" fillId="6" borderId="103" xfId="0" applyNumberFormat="1" applyFont="1" applyFill="1" applyBorder="1" applyAlignment="1">
      <alignment horizontal="left"/>
    </xf>
    <xf numFmtId="0" fontId="7" fillId="6" borderId="24" xfId="0" applyNumberFormat="1" applyFont="1" applyFill="1" applyBorder="1" applyAlignment="1">
      <alignment horizontal="left" indent="2"/>
    </xf>
    <xf numFmtId="0" fontId="0" fillId="0" borderId="0" xfId="0"/>
    <xf numFmtId="0" fontId="16" fillId="0" borderId="52" xfId="0" applyNumberFormat="1" applyFont="1" applyBorder="1" applyAlignment="1"/>
    <xf numFmtId="0" fontId="0" fillId="0" borderId="53" xfId="0" applyNumberFormat="1" applyBorder="1" applyAlignment="1"/>
    <xf numFmtId="0" fontId="0" fillId="0" borderId="0" xfId="0"/>
    <xf numFmtId="0" fontId="16" fillId="0" borderId="20" xfId="0" applyNumberFormat="1" applyFont="1" applyBorder="1" applyAlignment="1"/>
    <xf numFmtId="0" fontId="0" fillId="0" borderId="0" xfId="0" applyFill="1" applyBorder="1" applyAlignment="1">
      <alignment vertical="top" wrapText="1"/>
    </xf>
    <xf numFmtId="0" fontId="4" fillId="0" borderId="12" xfId="0" applyNumberFormat="1" applyFont="1" applyBorder="1" applyAlignment="1"/>
    <xf numFmtId="0" fontId="4" fillId="0" borderId="39" xfId="0" applyNumberFormat="1" applyFont="1" applyBorder="1" applyAlignment="1"/>
    <xf numFmtId="0" fontId="21" fillId="4" borderId="0" xfId="0" applyFont="1" applyFill="1" applyBorder="1" applyAlignment="1">
      <alignment horizontal="center"/>
    </xf>
    <xf numFmtId="0" fontId="4" fillId="0" borderId="23" xfId="0" applyNumberFormat="1" applyFont="1" applyBorder="1" applyAlignment="1"/>
    <xf numFmtId="0" fontId="4" fillId="0" borderId="53" xfId="0" applyNumberFormat="1" applyFont="1" applyBorder="1" applyAlignment="1"/>
    <xf numFmtId="0" fontId="0" fillId="0" borderId="0" xfId="0" applyAlignment="1">
      <alignment horizontal="center"/>
    </xf>
    <xf numFmtId="0" fontId="4" fillId="0" borderId="10" xfId="0" applyNumberFormat="1" applyFont="1" applyBorder="1" applyAlignment="1"/>
    <xf numFmtId="0" fontId="0" fillId="0" borderId="0" xfId="0" applyBorder="1"/>
    <xf numFmtId="37" fontId="6" fillId="0" borderId="62" xfId="0" applyNumberFormat="1" applyFont="1" applyBorder="1" applyAlignment="1"/>
    <xf numFmtId="37" fontId="6" fillId="0" borderId="63" xfId="0" applyNumberFormat="1" applyFont="1" applyBorder="1" applyAlignment="1"/>
    <xf numFmtId="37" fontId="6" fillId="0" borderId="78" xfId="0" applyNumberFormat="1" applyFont="1" applyBorder="1" applyAlignment="1"/>
    <xf numFmtId="37" fontId="6" fillId="0" borderId="64" xfId="0" applyNumberFormat="1" applyFont="1" applyBorder="1" applyAlignment="1"/>
    <xf numFmtId="0" fontId="6" fillId="0" borderId="6" xfId="0" applyNumberFormat="1" applyFont="1" applyBorder="1" applyAlignment="1">
      <alignment horizontal="left" indent="3"/>
    </xf>
    <xf numFmtId="0" fontId="6" fillId="0" borderId="20" xfId="0" applyNumberFormat="1" applyFont="1" applyBorder="1" applyAlignment="1">
      <alignment horizontal="left" indent="3"/>
    </xf>
    <xf numFmtId="5" fontId="4" fillId="0" borderId="28" xfId="0" applyNumberFormat="1" applyFont="1" applyBorder="1" applyAlignment="1"/>
    <xf numFmtId="37" fontId="16" fillId="0" borderId="8" xfId="0" applyNumberFormat="1" applyFont="1" applyBorder="1" applyAlignment="1"/>
    <xf numFmtId="37" fontId="55" fillId="0" borderId="10" xfId="0" quotePrefix="1" applyNumberFormat="1" applyFont="1" applyBorder="1" applyAlignment="1">
      <alignment horizontal="right"/>
    </xf>
    <xf numFmtId="0" fontId="55" fillId="0" borderId="14" xfId="0" applyNumberFormat="1" applyFont="1" applyBorder="1" applyAlignment="1">
      <alignment horizontal="left" wrapText="1" indent="1"/>
    </xf>
    <xf numFmtId="0" fontId="0" fillId="0" borderId="0" xfId="0"/>
    <xf numFmtId="0" fontId="4" fillId="0" borderId="12" xfId="0" applyNumberFormat="1" applyFont="1" applyBorder="1" applyAlignment="1">
      <alignment horizontal="left"/>
    </xf>
    <xf numFmtId="0" fontId="4" fillId="0" borderId="12" xfId="0" applyNumberFormat="1" applyFont="1" applyBorder="1" applyAlignment="1"/>
    <xf numFmtId="0" fontId="4" fillId="0" borderId="0" xfId="0" applyNumberFormat="1" applyFont="1" applyBorder="1" applyAlignment="1"/>
    <xf numFmtId="0" fontId="22" fillId="0" borderId="4" xfId="10" applyFont="1" applyBorder="1" applyAlignment="1">
      <alignment horizontal="center"/>
    </xf>
    <xf numFmtId="0" fontId="9" fillId="0" borderId="9" xfId="10" applyFont="1" applyBorder="1" applyAlignment="1">
      <alignment horizontal="center"/>
    </xf>
    <xf numFmtId="0" fontId="16" fillId="0" borderId="9" xfId="0" applyNumberFormat="1" applyFont="1" applyBorder="1" applyAlignment="1"/>
    <xf numFmtId="0" fontId="0" fillId="0" borderId="28" xfId="0" applyNumberFormat="1" applyBorder="1" applyAlignment="1"/>
    <xf numFmtId="0" fontId="0" fillId="0" borderId="11" xfId="0" applyNumberFormat="1" applyBorder="1" applyAlignment="1"/>
    <xf numFmtId="37" fontId="4" fillId="0" borderId="49" xfId="0" applyNumberFormat="1" applyFont="1" applyBorder="1" applyAlignment="1">
      <alignment horizontal="center"/>
    </xf>
    <xf numFmtId="37" fontId="4" fillId="0" borderId="11" xfId="0" applyNumberFormat="1" applyFont="1" applyBorder="1" applyAlignment="1">
      <alignment horizontal="center"/>
    </xf>
    <xf numFmtId="0" fontId="0" fillId="0" borderId="0" xfId="0"/>
    <xf numFmtId="0" fontId="0" fillId="0" borderId="0" xfId="0" applyBorder="1"/>
    <xf numFmtId="0" fontId="44" fillId="0" borderId="0" xfId="0" applyFont="1" applyBorder="1" applyAlignment="1"/>
    <xf numFmtId="165" fontId="44" fillId="0" borderId="0" xfId="0" applyNumberFormat="1" applyFont="1" applyAlignment="1">
      <alignment horizontal="left" readingOrder="1"/>
    </xf>
    <xf numFmtId="0" fontId="4" fillId="0" borderId="0" xfId="0" applyNumberFormat="1" applyFont="1" applyBorder="1" applyAlignment="1">
      <alignment vertical="top" readingOrder="1"/>
    </xf>
    <xf numFmtId="0" fontId="24" fillId="2" borderId="137" xfId="0" applyNumberFormat="1" applyFont="1" applyFill="1" applyBorder="1" applyAlignment="1">
      <alignment horizontal="left"/>
    </xf>
    <xf numFmtId="0" fontId="24" fillId="2" borderId="138" xfId="0" applyNumberFormat="1" applyFont="1" applyFill="1" applyBorder="1" applyAlignment="1">
      <alignment horizontal="left"/>
    </xf>
    <xf numFmtId="0" fontId="24" fillId="2" borderId="4" xfId="0" applyNumberFormat="1" applyFont="1" applyFill="1" applyBorder="1" applyAlignment="1">
      <alignment horizontal="left"/>
    </xf>
    <xf numFmtId="44" fontId="25" fillId="2" borderId="4" xfId="4" applyFont="1" applyFill="1" applyBorder="1" applyAlignment="1">
      <alignment horizontal="left"/>
    </xf>
    <xf numFmtId="0" fontId="25" fillId="2" borderId="139" xfId="0" applyNumberFormat="1" applyFont="1" applyFill="1" applyBorder="1" applyAlignment="1">
      <alignment horizontal="center"/>
    </xf>
    <xf numFmtId="0" fontId="0" fillId="0" borderId="0" xfId="0"/>
    <xf numFmtId="0" fontId="0" fillId="0" borderId="0" xfId="0"/>
    <xf numFmtId="37" fontId="9" fillId="0" borderId="20" xfId="2" applyNumberFormat="1" applyFont="1" applyBorder="1" applyAlignment="1">
      <alignment horizontal="right"/>
    </xf>
    <xf numFmtId="37" fontId="9" fillId="0" borderId="18" xfId="2" applyNumberFormat="1" applyFont="1" applyBorder="1" applyAlignment="1">
      <alignment horizontal="right"/>
    </xf>
    <xf numFmtId="3" fontId="9" fillId="0" borderId="0" xfId="2" applyNumberFormat="1" applyFont="1" applyBorder="1" applyAlignment="1">
      <alignment horizontal="right"/>
    </xf>
    <xf numFmtId="0" fontId="9" fillId="0" borderId="4" xfId="0" applyFont="1" applyBorder="1" applyAlignment="1">
      <alignment vertical="top" wrapText="1"/>
    </xf>
    <xf numFmtId="0" fontId="55" fillId="6" borderId="0" xfId="7" applyFont="1" applyFill="1" applyAlignment="1">
      <alignment horizontal="left" vertical="top"/>
    </xf>
    <xf numFmtId="0" fontId="21" fillId="6" borderId="0" xfId="7" applyFont="1" applyFill="1" applyAlignment="1">
      <alignment horizontal="centerContinuous" vertical="top"/>
    </xf>
    <xf numFmtId="0" fontId="14" fillId="0" borderId="0" xfId="0" applyFont="1"/>
    <xf numFmtId="0" fontId="6" fillId="2" borderId="0" xfId="9" applyFont="1" applyFill="1" applyAlignment="1">
      <alignment horizontal="left" vertical="top" wrapText="1"/>
    </xf>
    <xf numFmtId="0" fontId="55" fillId="2" borderId="0" xfId="9" applyFont="1" applyFill="1" applyAlignment="1">
      <alignment horizontal="left" vertical="top" wrapText="1"/>
    </xf>
    <xf numFmtId="0" fontId="4" fillId="2" borderId="0" xfId="9" applyFont="1" applyFill="1" applyAlignment="1">
      <alignment horizontal="left" vertical="top" wrapText="1"/>
    </xf>
    <xf numFmtId="0" fontId="4" fillId="6" borderId="0" xfId="7" applyFont="1" applyFill="1" applyAlignment="1">
      <alignment horizontal="left" vertical="top" wrapText="1"/>
    </xf>
    <xf numFmtId="0" fontId="55" fillId="6" borderId="0" xfId="7" applyFont="1" applyFill="1" applyAlignment="1">
      <alignment horizontal="left" vertical="top" wrapText="1"/>
    </xf>
    <xf numFmtId="0" fontId="55" fillId="0" borderId="0" xfId="0" applyFont="1"/>
    <xf numFmtId="37" fontId="9" fillId="0" borderId="0" xfId="12" applyNumberFormat="1" applyFont="1" applyFill="1"/>
    <xf numFmtId="37" fontId="9" fillId="0" borderId="0" xfId="12" applyNumberFormat="1" applyFont="1" applyFill="1" applyAlignment="1">
      <alignment wrapText="1"/>
    </xf>
    <xf numFmtId="37" fontId="9" fillId="0" borderId="24" xfId="12" applyNumberFormat="1" applyFont="1" applyFill="1" applyBorder="1"/>
    <xf numFmtId="37" fontId="9" fillId="0" borderId="0" xfId="12" applyNumberFormat="1" applyFont="1" applyFill="1" applyBorder="1"/>
    <xf numFmtId="37" fontId="4" fillId="0" borderId="0" xfId="12" applyNumberFormat="1" applyFont="1" applyFill="1" applyBorder="1"/>
    <xf numFmtId="37" fontId="4" fillId="0" borderId="0" xfId="12" applyNumberFormat="1" applyFont="1" applyFill="1" applyBorder="1" applyAlignment="1">
      <alignment wrapText="1"/>
    </xf>
    <xf numFmtId="37" fontId="16" fillId="0" borderId="0" xfId="12" applyNumberFormat="1" applyFont="1" applyFill="1" applyBorder="1"/>
    <xf numFmtId="37" fontId="16" fillId="0" borderId="0" xfId="12" applyNumberFormat="1" applyFont="1" applyFill="1" applyBorder="1" applyAlignment="1">
      <alignment horizontal="right" wrapText="1"/>
    </xf>
    <xf numFmtId="37" fontId="4" fillId="0" borderId="0" xfId="12" applyNumberFormat="1" applyFont="1" applyFill="1" applyBorder="1" applyAlignment="1">
      <alignment horizontal="left" wrapText="1"/>
    </xf>
    <xf numFmtId="37" fontId="4" fillId="0" borderId="0" xfId="12" applyNumberFormat="1" applyFont="1" applyFill="1" applyBorder="1" applyAlignment="1" applyProtection="1">
      <alignment horizontal="left" wrapText="1"/>
      <protection locked="0"/>
    </xf>
    <xf numFmtId="37" fontId="56" fillId="0" borderId="0" xfId="12" applyNumberFormat="1" applyFont="1" applyFill="1" applyBorder="1"/>
    <xf numFmtId="37" fontId="55" fillId="0" borderId="0" xfId="12" applyNumberFormat="1" applyFont="1" applyFill="1" applyBorder="1"/>
    <xf numFmtId="37" fontId="55" fillId="0" borderId="0" xfId="12" applyNumberFormat="1" applyFont="1" applyFill="1" applyBorder="1" applyAlignment="1">
      <alignment wrapText="1"/>
    </xf>
    <xf numFmtId="37" fontId="16" fillId="0" borderId="0" xfId="12" applyNumberFormat="1" applyFont="1" applyFill="1" applyBorder="1" applyAlignment="1">
      <alignment wrapText="1"/>
    </xf>
    <xf numFmtId="37" fontId="23" fillId="0" borderId="0" xfId="12" applyNumberFormat="1" applyFont="1" applyFill="1" applyAlignment="1">
      <alignment horizontal="left" wrapText="1" indent="5"/>
    </xf>
    <xf numFmtId="37" fontId="23" fillId="0" borderId="0" xfId="12" applyNumberFormat="1" applyFont="1" applyFill="1" applyAlignment="1">
      <alignment wrapText="1"/>
    </xf>
    <xf numFmtId="37" fontId="9" fillId="0" borderId="0" xfId="12" applyNumberFormat="1" applyFont="1" applyFill="1" applyBorder="1" applyAlignment="1"/>
    <xf numFmtId="37" fontId="9" fillId="0" borderId="0" xfId="12" applyNumberFormat="1" applyFont="1" applyFill="1" applyBorder="1" applyAlignment="1">
      <alignment wrapText="1"/>
    </xf>
    <xf numFmtId="37" fontId="4" fillId="0" borderId="24" xfId="12" applyNumberFormat="1" applyFont="1" applyFill="1" applyBorder="1"/>
    <xf numFmtId="37" fontId="4" fillId="0" borderId="24" xfId="12" applyNumberFormat="1" applyFont="1" applyFill="1" applyBorder="1" applyAlignment="1">
      <alignment wrapText="1"/>
    </xf>
    <xf numFmtId="37" fontId="45" fillId="0" borderId="0" xfId="12" applyNumberFormat="1" applyFont="1" applyFill="1" applyBorder="1"/>
    <xf numFmtId="37" fontId="16" fillId="0" borderId="24" xfId="12" applyNumberFormat="1" applyFont="1" applyFill="1" applyBorder="1"/>
    <xf numFmtId="37" fontId="16" fillId="0" borderId="24" xfId="12" applyNumberFormat="1" applyFont="1" applyFill="1" applyBorder="1" applyAlignment="1">
      <alignment horizontal="right" wrapText="1"/>
    </xf>
    <xf numFmtId="3" fontId="55" fillId="0" borderId="24" xfId="12" applyNumberFormat="1" applyFont="1" applyFill="1" applyBorder="1"/>
    <xf numFmtId="37" fontId="4" fillId="0" borderId="24" xfId="12" applyNumberFormat="1" applyFont="1" applyFill="1" applyBorder="1" applyAlignment="1">
      <alignment horizontal="left" wrapText="1" indent="2"/>
    </xf>
    <xf numFmtId="37" fontId="9" fillId="0" borderId="24" xfId="12" applyNumberFormat="1" applyFont="1" applyFill="1" applyBorder="1" applyAlignment="1">
      <alignment horizontal="center"/>
    </xf>
    <xf numFmtId="3" fontId="4" fillId="0" borderId="24" xfId="12" applyNumberFormat="1" applyFont="1" applyFill="1" applyBorder="1"/>
    <xf numFmtId="37" fontId="61" fillId="0" borderId="0" xfId="12" applyNumberFormat="1" applyFont="1" applyFill="1"/>
    <xf numFmtId="37" fontId="55" fillId="0" borderId="24" xfId="12" applyNumberFormat="1" applyFont="1" applyFill="1" applyBorder="1"/>
    <xf numFmtId="37" fontId="55" fillId="0" borderId="24" xfId="12" applyNumberFormat="1" applyFont="1" applyFill="1" applyBorder="1" applyAlignment="1">
      <alignment wrapText="1"/>
    </xf>
    <xf numFmtId="37" fontId="16" fillId="0" borderId="24" xfId="12" applyNumberFormat="1" applyFont="1" applyFill="1" applyBorder="1" applyAlignment="1">
      <alignment wrapText="1"/>
    </xf>
    <xf numFmtId="37" fontId="45" fillId="0" borderId="0" xfId="12" applyNumberFormat="1" applyFont="1" applyFill="1"/>
    <xf numFmtId="37" fontId="59" fillId="0" borderId="0" xfId="12" applyNumberFormat="1" applyFont="1" applyFill="1"/>
    <xf numFmtId="37" fontId="16" fillId="0" borderId="24" xfId="12" applyNumberFormat="1" applyFont="1" applyFill="1" applyBorder="1" applyAlignment="1">
      <alignment horizontal="right"/>
    </xf>
    <xf numFmtId="37" fontId="4" fillId="0" borderId="24" xfId="12" applyNumberFormat="1" applyFont="1" applyFill="1" applyBorder="1" applyAlignment="1">
      <alignment horizontal="right"/>
    </xf>
    <xf numFmtId="37" fontId="4" fillId="0" borderId="24" xfId="12" applyNumberFormat="1" applyFont="1" applyFill="1" applyBorder="1" applyAlignment="1">
      <alignment horizontal="right" wrapText="1"/>
    </xf>
    <xf numFmtId="37" fontId="55" fillId="0" borderId="24" xfId="12" quotePrefix="1" applyNumberFormat="1" applyFont="1" applyFill="1" applyBorder="1" applyAlignment="1">
      <alignment horizontal="right"/>
    </xf>
    <xf numFmtId="37" fontId="4" fillId="0" borderId="24" xfId="12" applyNumberFormat="1" applyFont="1" applyFill="1" applyBorder="1" applyAlignment="1">
      <alignment horizontal="left" wrapText="1" indent="1"/>
    </xf>
    <xf numFmtId="37" fontId="22" fillId="0" borderId="24" xfId="12" applyNumberFormat="1" applyFont="1" applyFill="1" applyBorder="1" applyAlignment="1">
      <alignment horizontal="center"/>
    </xf>
    <xf numFmtId="37" fontId="22" fillId="0" borderId="0" xfId="12" applyNumberFormat="1" applyFont="1" applyFill="1"/>
    <xf numFmtId="37" fontId="81" fillId="0" borderId="0" xfId="12" applyNumberFormat="1" applyFont="1" applyFill="1"/>
    <xf numFmtId="37" fontId="16" fillId="0" borderId="24" xfId="12" applyNumberFormat="1" applyFont="1" applyFill="1" applyBorder="1" applyAlignment="1">
      <alignment horizontal="center"/>
    </xf>
    <xf numFmtId="37" fontId="16" fillId="0" borderId="0" xfId="12" applyNumberFormat="1" applyFont="1" applyFill="1"/>
    <xf numFmtId="37" fontId="55" fillId="0" borderId="24" xfId="12" applyNumberFormat="1" applyFont="1" applyFill="1" applyBorder="1" applyAlignment="1">
      <alignment horizontal="right" wrapText="1"/>
    </xf>
    <xf numFmtId="37" fontId="61" fillId="0" borderId="24" xfId="12" applyNumberFormat="1" applyFont="1" applyFill="1" applyBorder="1" applyAlignment="1">
      <alignment horizontal="center"/>
    </xf>
    <xf numFmtId="37" fontId="16" fillId="0" borderId="24" xfId="12" applyNumberFormat="1" applyFont="1" applyFill="1" applyBorder="1" applyAlignment="1">
      <alignment horizontal="left" wrapText="1"/>
    </xf>
    <xf numFmtId="37" fontId="55" fillId="0" borderId="24" xfId="12" applyNumberFormat="1" applyFont="1" applyFill="1" applyBorder="1" applyAlignment="1">
      <alignment horizontal="right"/>
    </xf>
    <xf numFmtId="37" fontId="55" fillId="0" borderId="24" xfId="12" applyNumberFormat="1" applyFont="1" applyFill="1" applyBorder="1" applyAlignment="1">
      <alignment horizontal="left" wrapText="1" indent="3"/>
    </xf>
    <xf numFmtId="37" fontId="9" fillId="0" borderId="24" xfId="12" applyNumberFormat="1" applyFont="1" applyFill="1" applyBorder="1" applyAlignment="1">
      <alignment wrapText="1"/>
    </xf>
    <xf numFmtId="37" fontId="55" fillId="0" borderId="24" xfId="12" quotePrefix="1" applyNumberFormat="1" applyFont="1" applyFill="1" applyBorder="1" applyAlignment="1"/>
    <xf numFmtId="37" fontId="55" fillId="0" borderId="24" xfId="12" applyNumberFormat="1" applyFont="1" applyFill="1" applyBorder="1" applyAlignment="1">
      <alignment horizontal="left" wrapText="1" indent="2"/>
    </xf>
    <xf numFmtId="37" fontId="82" fillId="0" borderId="0" xfId="12" applyNumberFormat="1" applyFont="1" applyFill="1"/>
    <xf numFmtId="37" fontId="4" fillId="0" borderId="24" xfId="12" quotePrefix="1" applyNumberFormat="1" applyFont="1" applyFill="1" applyBorder="1" applyAlignment="1">
      <alignment horizontal="right"/>
    </xf>
    <xf numFmtId="37" fontId="4" fillId="0" borderId="24" xfId="12" applyNumberFormat="1" applyFont="1" applyFill="1" applyBorder="1" applyAlignment="1">
      <alignment horizontal="left" wrapText="1"/>
    </xf>
    <xf numFmtId="37" fontId="16" fillId="0" borderId="24" xfId="12" applyNumberFormat="1" applyFont="1" applyFill="1" applyBorder="1" applyAlignment="1" applyProtection="1">
      <alignment horizontal="right" wrapText="1"/>
      <protection locked="0"/>
    </xf>
    <xf numFmtId="37" fontId="9" fillId="0" borderId="24" xfId="12" applyNumberFormat="1" applyFont="1" applyFill="1" applyBorder="1" applyAlignment="1" applyProtection="1">
      <alignment horizontal="center"/>
    </xf>
    <xf numFmtId="37" fontId="79" fillId="0" borderId="24" xfId="12" applyNumberFormat="1" applyFont="1" applyFill="1" applyBorder="1"/>
    <xf numFmtId="37" fontId="4" fillId="0" borderId="24" xfId="12" applyNumberFormat="1" applyFont="1" applyFill="1" applyBorder="1" applyAlignment="1">
      <alignment horizontal="right" vertical="top"/>
    </xf>
    <xf numFmtId="37" fontId="4" fillId="0" borderId="24" xfId="12" applyNumberFormat="1" applyFont="1" applyFill="1" applyBorder="1" applyAlignment="1" applyProtection="1">
      <alignment horizontal="left" wrapText="1"/>
      <protection locked="0"/>
    </xf>
    <xf numFmtId="37" fontId="4" fillId="0" borderId="24" xfId="12" applyNumberFormat="1" applyFont="1" applyFill="1" applyBorder="1" applyAlignment="1">
      <alignment horizontal="left"/>
    </xf>
    <xf numFmtId="37" fontId="9" fillId="0" borderId="24" xfId="12" applyNumberFormat="1" applyFont="1" applyFill="1" applyBorder="1" applyAlignment="1">
      <alignment horizontal="right"/>
    </xf>
    <xf numFmtId="37" fontId="16" fillId="0" borderId="24" xfId="12" quotePrefix="1" applyNumberFormat="1" applyFont="1" applyFill="1" applyBorder="1" applyAlignment="1">
      <alignment horizontal="right"/>
    </xf>
    <xf numFmtId="37" fontId="68" fillId="0" borderId="24" xfId="12" quotePrefix="1" applyNumberFormat="1" applyFont="1" applyFill="1" applyBorder="1" applyAlignment="1">
      <alignment horizontal="right"/>
    </xf>
    <xf numFmtId="37" fontId="16" fillId="0" borderId="24" xfId="12" applyNumberFormat="1" applyFont="1" applyFill="1" applyBorder="1" applyAlignment="1">
      <alignment horizontal="center" vertical="center" wrapText="1"/>
    </xf>
    <xf numFmtId="37" fontId="16" fillId="8" borderId="24" xfId="12" applyNumberFormat="1" applyFont="1" applyFill="1" applyBorder="1" applyAlignment="1">
      <alignment horizontal="center" wrapText="1"/>
    </xf>
    <xf numFmtId="37" fontId="16" fillId="8" borderId="24" xfId="12" applyNumberFormat="1" applyFont="1" applyFill="1" applyBorder="1" applyAlignment="1">
      <alignment horizontal="center" vertical="center" wrapText="1"/>
    </xf>
    <xf numFmtId="37" fontId="22" fillId="8" borderId="24" xfId="12" applyNumberFormat="1" applyFont="1" applyFill="1" applyBorder="1" applyAlignment="1">
      <alignment horizontal="center" wrapText="1"/>
    </xf>
    <xf numFmtId="0" fontId="22" fillId="0" borderId="0" xfId="8" applyFont="1" applyBorder="1" applyAlignment="1">
      <alignment vertical="top"/>
    </xf>
    <xf numFmtId="0" fontId="22" fillId="0" borderId="0" xfId="8" applyFont="1" applyBorder="1"/>
    <xf numFmtId="37" fontId="22" fillId="0" borderId="0" xfId="1" applyNumberFormat="1" applyFont="1" applyBorder="1"/>
    <xf numFmtId="3" fontId="22" fillId="0" borderId="0" xfId="1" applyNumberFormat="1" applyFont="1" applyBorder="1"/>
    <xf numFmtId="37" fontId="22" fillId="0" borderId="59" xfId="1" applyNumberFormat="1" applyFont="1" applyBorder="1"/>
    <xf numFmtId="0" fontId="22" fillId="0" borderId="5" xfId="8" applyFont="1" applyBorder="1" applyAlignment="1">
      <alignment vertical="top"/>
    </xf>
    <xf numFmtId="0" fontId="22" fillId="0" borderId="41" xfId="8" applyFont="1" applyBorder="1" applyAlignment="1">
      <alignment vertical="top"/>
    </xf>
    <xf numFmtId="37" fontId="22" fillId="0" borderId="51" xfId="1" applyNumberFormat="1" applyFont="1" applyBorder="1"/>
    <xf numFmtId="37" fontId="22" fillId="0" borderId="43" xfId="1" applyNumberFormat="1" applyFont="1" applyBorder="1"/>
    <xf numFmtId="37" fontId="22" fillId="0" borderId="94" xfId="1" applyNumberFormat="1" applyFont="1" applyBorder="1"/>
    <xf numFmtId="3" fontId="22" fillId="0" borderId="94" xfId="1" applyNumberFormat="1" applyFont="1" applyBorder="1"/>
    <xf numFmtId="37" fontId="22" fillId="0" borderId="44" xfId="1" applyNumberFormat="1" applyFont="1" applyBorder="1"/>
    <xf numFmtId="0" fontId="9" fillId="0" borderId="0" xfId="8" applyFont="1" applyBorder="1" applyAlignment="1">
      <alignment horizontal="left"/>
    </xf>
    <xf numFmtId="1" fontId="84" fillId="0" borderId="0" xfId="5" applyNumberFormat="1" applyFont="1" applyBorder="1" applyAlignment="1">
      <alignment vertical="top" wrapText="1"/>
    </xf>
    <xf numFmtId="0" fontId="84" fillId="0" borderId="0" xfId="5" applyFont="1" applyBorder="1" applyAlignment="1">
      <alignment horizontal="right" vertical="top" wrapText="1"/>
    </xf>
    <xf numFmtId="0" fontId="83" fillId="0" borderId="0" xfId="5" applyFont="1" applyBorder="1" applyAlignment="1">
      <alignment vertical="top" wrapText="1"/>
    </xf>
    <xf numFmtId="0" fontId="84" fillId="0" borderId="0" xfId="5" applyFont="1" applyBorder="1" applyAlignment="1">
      <alignment horizontal="center" vertical="top"/>
    </xf>
    <xf numFmtId="3" fontId="84" fillId="0" borderId="0" xfId="5" applyNumberFormat="1" applyFont="1" applyBorder="1" applyAlignment="1">
      <alignment vertical="top" wrapText="1"/>
    </xf>
    <xf numFmtId="0" fontId="83" fillId="0" borderId="0" xfId="5" applyFont="1" applyBorder="1" applyAlignment="1">
      <alignment horizontal="center" vertical="top" wrapText="1"/>
    </xf>
    <xf numFmtId="0" fontId="83" fillId="7" borderId="0" xfId="5" applyFont="1" applyFill="1" applyBorder="1" applyAlignment="1">
      <alignment vertical="top" wrapText="1"/>
    </xf>
    <xf numFmtId="0" fontId="85" fillId="7" borderId="0" xfId="5" applyFont="1" applyFill="1" applyBorder="1" applyAlignment="1">
      <alignment vertical="top" wrapText="1"/>
    </xf>
    <xf numFmtId="0" fontId="88" fillId="0" borderId="0" xfId="5" applyFont="1" applyBorder="1" applyAlignment="1">
      <alignment horizontal="center"/>
    </xf>
    <xf numFmtId="0" fontId="29" fillId="0" borderId="0" xfId="5" applyFont="1" applyBorder="1" applyAlignment="1">
      <alignment vertical="top" wrapText="1"/>
    </xf>
    <xf numFmtId="164" fontId="84" fillId="0" borderId="0" xfId="5" applyNumberFormat="1" applyFont="1" applyBorder="1" applyAlignment="1">
      <alignment horizontal="right" vertical="top" wrapText="1"/>
    </xf>
    <xf numFmtId="0" fontId="84" fillId="0" borderId="0" xfId="5" applyFont="1" applyBorder="1" applyAlignment="1">
      <alignment vertical="top" wrapText="1"/>
    </xf>
    <xf numFmtId="164" fontId="84" fillId="0" borderId="0" xfId="5" applyNumberFormat="1" applyFont="1" applyBorder="1" applyAlignment="1">
      <alignment vertical="top" wrapText="1"/>
    </xf>
    <xf numFmtId="0" fontId="85" fillId="0" borderId="0" xfId="5" applyFont="1" applyAlignment="1">
      <alignment vertical="top"/>
    </xf>
    <xf numFmtId="0" fontId="83" fillId="0" borderId="0" xfId="0" applyFont="1" applyBorder="1" applyAlignment="1">
      <alignment horizontal="center"/>
    </xf>
    <xf numFmtId="0" fontId="85" fillId="0" borderId="0" xfId="0" applyFont="1" applyBorder="1" applyAlignment="1">
      <alignment horizontal="center"/>
    </xf>
    <xf numFmtId="0" fontId="88" fillId="0" borderId="0" xfId="0" applyFont="1" applyBorder="1" applyAlignment="1">
      <alignment horizontal="center"/>
    </xf>
    <xf numFmtId="0" fontId="84" fillId="0" borderId="0" xfId="0" applyFont="1" applyBorder="1" applyAlignment="1">
      <alignment horizontal="center" vertical="top"/>
    </xf>
    <xf numFmtId="0" fontId="84" fillId="0" borderId="0" xfId="0" applyFont="1" applyBorder="1" applyAlignment="1">
      <alignment horizontal="center"/>
    </xf>
    <xf numFmtId="0" fontId="84" fillId="0" borderId="0" xfId="0" applyFont="1" applyBorder="1" applyAlignment="1">
      <alignment vertical="top" wrapText="1"/>
    </xf>
    <xf numFmtId="3" fontId="84" fillId="0" borderId="0" xfId="0" applyNumberFormat="1" applyFont="1" applyBorder="1" applyAlignment="1">
      <alignment vertical="top" wrapText="1"/>
    </xf>
    <xf numFmtId="0" fontId="7" fillId="2" borderId="142" xfId="0" applyNumberFormat="1" applyFont="1" applyFill="1" applyBorder="1" applyAlignment="1"/>
    <xf numFmtId="0" fontId="7" fillId="2" borderId="143" xfId="0" applyNumberFormat="1" applyFont="1" applyFill="1" applyBorder="1" applyAlignment="1">
      <alignment horizontal="left"/>
    </xf>
    <xf numFmtId="0" fontId="7" fillId="2" borderId="144" xfId="0" applyNumberFormat="1" applyFont="1" applyFill="1" applyBorder="1" applyAlignment="1">
      <alignment horizontal="left"/>
    </xf>
    <xf numFmtId="0" fontId="9" fillId="0" borderId="144" xfId="0" applyNumberFormat="1" applyFont="1" applyBorder="1" applyAlignment="1"/>
    <xf numFmtId="0" fontId="9" fillId="0" borderId="144" xfId="0" applyNumberFormat="1" applyFont="1" applyFill="1" applyBorder="1" applyAlignment="1"/>
    <xf numFmtId="0" fontId="28" fillId="2" borderId="77" xfId="0" applyNumberFormat="1" applyFont="1" applyFill="1" applyBorder="1" applyAlignment="1">
      <alignment horizontal="left" indent="5"/>
    </xf>
    <xf numFmtId="0" fontId="7" fillId="2" borderId="78" xfId="0" applyNumberFormat="1" applyFont="1" applyFill="1" applyBorder="1" applyAlignment="1">
      <alignment horizontal="left"/>
    </xf>
    <xf numFmtId="0" fontId="7" fillId="2" borderId="79" xfId="0" applyNumberFormat="1" applyFont="1" applyFill="1" applyBorder="1" applyAlignment="1">
      <alignment horizontal="left"/>
    </xf>
    <xf numFmtId="0" fontId="7" fillId="2" borderId="9" xfId="0" applyNumberFormat="1" applyFont="1" applyFill="1" applyBorder="1" applyAlignment="1">
      <alignment horizontal="left"/>
    </xf>
    <xf numFmtId="0" fontId="28" fillId="2" borderId="24" xfId="0" applyNumberFormat="1" applyFont="1" applyFill="1" applyBorder="1" applyAlignment="1">
      <alignment horizontal="left" indent="5"/>
    </xf>
    <xf numFmtId="0" fontId="4" fillId="0" borderId="12" xfId="0" applyNumberFormat="1" applyFont="1" applyBorder="1" applyAlignment="1"/>
    <xf numFmtId="0" fontId="4" fillId="0" borderId="50" xfId="0" applyNumberFormat="1" applyFont="1" applyBorder="1" applyAlignment="1"/>
    <xf numFmtId="0" fontId="0" fillId="0" borderId="0" xfId="0"/>
    <xf numFmtId="0" fontId="83" fillId="0" borderId="0" xfId="5" applyFont="1" applyBorder="1" applyAlignment="1">
      <alignment vertical="top" wrapText="1"/>
    </xf>
    <xf numFmtId="0" fontId="83" fillId="7" borderId="0" xfId="5" applyFont="1" applyFill="1" applyBorder="1" applyAlignment="1">
      <alignment vertical="top" wrapText="1"/>
    </xf>
    <xf numFmtId="0" fontId="85" fillId="7" borderId="0" xfId="5" applyFont="1" applyFill="1" applyBorder="1" applyAlignment="1">
      <alignment vertical="top" wrapText="1"/>
    </xf>
    <xf numFmtId="0" fontId="4" fillId="0" borderId="12" xfId="0" applyNumberFormat="1" applyFont="1" applyBorder="1" applyAlignment="1">
      <alignment horizontal="left"/>
    </xf>
    <xf numFmtId="0" fontId="4" fillId="0" borderId="10" xfId="0" applyNumberFormat="1" applyFont="1" applyBorder="1" applyAlignment="1"/>
    <xf numFmtId="37" fontId="4" fillId="0" borderId="38" xfId="0" applyNumberFormat="1" applyFont="1" applyBorder="1" applyAlignment="1"/>
    <xf numFmtId="37" fontId="4" fillId="0" borderId="45" xfId="0" applyNumberFormat="1" applyFont="1" applyBorder="1" applyAlignment="1"/>
    <xf numFmtId="37" fontId="4" fillId="0" borderId="120" xfId="0" applyNumberFormat="1" applyFont="1" applyBorder="1" applyAlignment="1"/>
    <xf numFmtId="0" fontId="9" fillId="0" borderId="22" xfId="11" applyFont="1" applyBorder="1" applyAlignment="1">
      <alignment horizontal="right"/>
    </xf>
    <xf numFmtId="5" fontId="22" fillId="0" borderId="145" xfId="4" applyNumberFormat="1" applyFont="1" applyBorder="1" applyAlignment="1">
      <alignment horizontal="right"/>
    </xf>
    <xf numFmtId="165" fontId="4" fillId="0" borderId="39" xfId="0" applyNumberFormat="1" applyFont="1" applyBorder="1" applyAlignment="1"/>
    <xf numFmtId="0" fontId="4" fillId="0" borderId="10" xfId="0" applyFont="1" applyBorder="1" applyAlignment="1">
      <alignment horizontal="left" indent="1"/>
    </xf>
    <xf numFmtId="37" fontId="55" fillId="0" borderId="24" xfId="12" applyNumberFormat="1" applyFont="1" applyFill="1" applyBorder="1" applyAlignment="1">
      <alignment horizontal="left" wrapText="1" indent="4"/>
    </xf>
    <xf numFmtId="37" fontId="24" fillId="2" borderId="7" xfId="0" applyNumberFormat="1" applyFont="1" applyFill="1" applyBorder="1" applyAlignment="1">
      <alignment horizontal="right"/>
    </xf>
    <xf numFmtId="0" fontId="16" fillId="0" borderId="52" xfId="0" applyNumberFormat="1" applyFont="1" applyBorder="1" applyAlignment="1"/>
    <xf numFmtId="0" fontId="0" fillId="0" borderId="53" xfId="0" applyNumberFormat="1" applyBorder="1" applyAlignment="1"/>
    <xf numFmtId="0" fontId="4" fillId="0" borderId="20" xfId="0" applyNumberFormat="1" applyFont="1" applyBorder="1" applyAlignment="1"/>
    <xf numFmtId="0" fontId="0" fillId="0" borderId="0" xfId="0"/>
    <xf numFmtId="0" fontId="84" fillId="0" borderId="0" xfId="0" applyFont="1" applyBorder="1" applyAlignment="1">
      <alignment vertical="top" wrapText="1"/>
    </xf>
    <xf numFmtId="0" fontId="85" fillId="0" borderId="0" xfId="0" applyFont="1" applyBorder="1" applyAlignment="1">
      <alignment vertical="top" wrapText="1"/>
    </xf>
    <xf numFmtId="0" fontId="83" fillId="0" borderId="0" xfId="5" applyFont="1" applyBorder="1" applyAlignment="1">
      <alignment vertical="top" wrapText="1"/>
    </xf>
    <xf numFmtId="0" fontId="4" fillId="0" borderId="35" xfId="0" applyNumberFormat="1" applyFont="1" applyBorder="1" applyAlignment="1">
      <alignment horizontal="left"/>
    </xf>
    <xf numFmtId="0" fontId="0" fillId="0" borderId="28" xfId="0" applyNumberFormat="1" applyBorder="1" applyAlignment="1"/>
    <xf numFmtId="3" fontId="7" fillId="6" borderId="0" xfId="0" applyNumberFormat="1" applyFont="1" applyFill="1" applyAlignment="1">
      <alignment horizontal="center"/>
    </xf>
    <xf numFmtId="0" fontId="21" fillId="4" borderId="0" xfId="0" applyFont="1" applyFill="1" applyBorder="1" applyAlignment="1">
      <alignment horizontal="center"/>
    </xf>
    <xf numFmtId="0" fontId="14" fillId="4" borderId="0" xfId="0" applyFont="1" applyFill="1" applyBorder="1" applyAlignment="1">
      <alignment horizontal="left" vertical="top" wrapText="1"/>
    </xf>
    <xf numFmtId="0" fontId="4" fillId="0" borderId="53" xfId="0" applyNumberFormat="1" applyFont="1" applyBorder="1" applyAlignment="1"/>
    <xf numFmtId="0" fontId="4" fillId="0" borderId="0" xfId="0" applyNumberFormat="1" applyFont="1" applyBorder="1" applyAlignment="1"/>
    <xf numFmtId="0" fontId="0" fillId="0" borderId="0" xfId="0" applyAlignment="1">
      <alignment horizontal="center"/>
    </xf>
    <xf numFmtId="0" fontId="14" fillId="0" borderId="0" xfId="5" applyBorder="1" applyAlignment="1">
      <alignment horizontal="center"/>
    </xf>
    <xf numFmtId="37" fontId="55" fillId="0" borderId="24" xfId="12" applyNumberFormat="1" applyFont="1" applyFill="1" applyBorder="1" applyAlignment="1">
      <alignment horizontal="left" wrapText="1" indent="1"/>
    </xf>
    <xf numFmtId="0" fontId="4" fillId="0" borderId="14" xfId="0" applyNumberFormat="1" applyFont="1" applyBorder="1" applyAlignment="1">
      <alignment horizontal="left" indent="4"/>
    </xf>
    <xf numFmtId="0" fontId="4" fillId="0" borderId="12" xfId="0" applyNumberFormat="1" applyFont="1" applyBorder="1" applyAlignment="1"/>
    <xf numFmtId="0" fontId="4" fillId="0" borderId="39" xfId="0" applyNumberFormat="1" applyFont="1" applyBorder="1" applyAlignment="1"/>
    <xf numFmtId="0" fontId="4" fillId="0" borderId="10" xfId="0" applyNumberFormat="1" applyFont="1" applyBorder="1" applyAlignment="1"/>
    <xf numFmtId="0" fontId="4" fillId="0" borderId="50" xfId="0" applyNumberFormat="1" applyFont="1" applyBorder="1" applyAlignment="1"/>
    <xf numFmtId="37" fontId="4" fillId="0" borderId="22" xfId="0" applyNumberFormat="1" applyFont="1" applyBorder="1"/>
    <xf numFmtId="5" fontId="22" fillId="0" borderId="1" xfId="10" applyNumberFormat="1" applyFont="1" applyBorder="1"/>
    <xf numFmtId="37" fontId="24" fillId="6" borderId="104" xfId="0" applyNumberFormat="1" applyFont="1" applyFill="1" applyBorder="1" applyAlignment="1">
      <alignment horizontal="right"/>
    </xf>
    <xf numFmtId="37" fontId="24" fillId="6" borderId="105" xfId="0" applyNumberFormat="1" applyFont="1" applyFill="1" applyBorder="1" applyAlignment="1">
      <alignment horizontal="right"/>
    </xf>
    <xf numFmtId="37" fontId="24" fillId="6" borderId="106" xfId="0" applyNumberFormat="1" applyFont="1" applyFill="1" applyBorder="1" applyAlignment="1">
      <alignment horizontal="right"/>
    </xf>
    <xf numFmtId="37" fontId="24" fillId="6" borderId="103" xfId="0" applyNumberFormat="1" applyFont="1" applyFill="1" applyBorder="1" applyAlignment="1">
      <alignment horizontal="right"/>
    </xf>
    <xf numFmtId="37" fontId="24" fillId="6" borderId="107" xfId="0" applyNumberFormat="1" applyFont="1" applyFill="1" applyBorder="1" applyAlignment="1">
      <alignment horizontal="right"/>
    </xf>
    <xf numFmtId="37" fontId="24" fillId="6" borderId="108" xfId="0" applyNumberFormat="1" applyFont="1" applyFill="1" applyBorder="1" applyAlignment="1">
      <alignment horizontal="right"/>
    </xf>
    <xf numFmtId="37" fontId="24" fillId="6" borderId="113" xfId="0" applyNumberFormat="1" applyFont="1" applyFill="1" applyBorder="1" applyAlignment="1">
      <alignment horizontal="right"/>
    </xf>
    <xf numFmtId="37" fontId="24" fillId="6" borderId="0" xfId="0" applyNumberFormat="1" applyFont="1" applyFill="1" applyBorder="1" applyAlignment="1">
      <alignment horizontal="right"/>
    </xf>
    <xf numFmtId="37" fontId="24" fillId="6" borderId="22" xfId="0" applyNumberFormat="1" applyFont="1" applyFill="1" applyBorder="1" applyAlignment="1">
      <alignment horizontal="right"/>
    </xf>
    <xf numFmtId="37" fontId="24" fillId="6" borderId="97" xfId="0" applyNumberFormat="1" applyFont="1" applyFill="1" applyBorder="1" applyAlignment="1">
      <alignment horizontal="right"/>
    </xf>
    <xf numFmtId="5" fontId="25" fillId="6" borderId="117" xfId="0" applyNumberFormat="1" applyFont="1" applyFill="1" applyBorder="1" applyAlignment="1">
      <alignment horizontal="right"/>
    </xf>
    <xf numFmtId="170" fontId="25" fillId="6" borderId="118" xfId="0" applyNumberFormat="1" applyFont="1" applyFill="1" applyBorder="1" applyAlignment="1">
      <alignment horizontal="right"/>
    </xf>
    <xf numFmtId="5" fontId="25" fillId="6" borderId="118" xfId="0" applyNumberFormat="1" applyFont="1" applyFill="1" applyBorder="1" applyAlignment="1">
      <alignment horizontal="right"/>
    </xf>
    <xf numFmtId="170" fontId="25" fillId="6" borderId="116" xfId="0" applyNumberFormat="1" applyFont="1" applyFill="1" applyBorder="1" applyAlignment="1">
      <alignment horizontal="right"/>
    </xf>
    <xf numFmtId="37" fontId="25" fillId="6" borderId="118" xfId="0" applyNumberFormat="1" applyFont="1" applyFill="1" applyBorder="1" applyAlignment="1">
      <alignment horizontal="right"/>
    </xf>
    <xf numFmtId="37" fontId="25" fillId="6" borderId="116" xfId="0" applyNumberFormat="1" applyFont="1" applyFill="1" applyBorder="1" applyAlignment="1">
      <alignment horizontal="right"/>
    </xf>
    <xf numFmtId="5" fontId="25" fillId="6" borderId="119" xfId="0" applyNumberFormat="1" applyFont="1" applyFill="1" applyBorder="1" applyAlignment="1">
      <alignment horizontal="right"/>
    </xf>
    <xf numFmtId="0" fontId="47" fillId="0" borderId="0" xfId="5" applyFont="1"/>
    <xf numFmtId="0" fontId="31" fillId="0" borderId="0" xfId="5" applyFont="1" applyBorder="1" applyAlignment="1">
      <alignment horizontal="center"/>
    </xf>
    <xf numFmtId="0" fontId="14" fillId="0" borderId="0" xfId="5"/>
    <xf numFmtId="37" fontId="84" fillId="0" borderId="0" xfId="5" applyNumberFormat="1" applyFont="1" applyBorder="1" applyAlignment="1">
      <alignment vertical="top" wrapText="1"/>
    </xf>
    <xf numFmtId="5" fontId="4" fillId="0" borderId="23" xfId="0" applyNumberFormat="1" applyFont="1" applyBorder="1" applyAlignment="1"/>
    <xf numFmtId="5" fontId="4" fillId="0" borderId="18" xfId="0" applyNumberFormat="1" applyFont="1" applyBorder="1" applyAlignment="1"/>
    <xf numFmtId="164" fontId="4" fillId="0" borderId="18" xfId="0" applyNumberFormat="1" applyFont="1" applyBorder="1" applyAlignment="1"/>
    <xf numFmtId="0" fontId="9" fillId="0" borderId="127" xfId="10" applyFont="1" applyBorder="1"/>
    <xf numFmtId="0" fontId="9" fillId="0" borderId="5" xfId="10" applyFont="1" applyBorder="1" applyAlignment="1">
      <alignment horizontal="center"/>
    </xf>
    <xf numFmtId="37" fontId="4" fillId="0" borderId="127" xfId="0" applyNumberFormat="1" applyFont="1" applyBorder="1"/>
    <xf numFmtId="37" fontId="4" fillId="0" borderId="120" xfId="0" applyNumberFormat="1" applyFont="1" applyBorder="1"/>
    <xf numFmtId="37" fontId="4" fillId="0" borderId="46" xfId="0" applyNumberFormat="1" applyFont="1" applyBorder="1" applyAlignment="1"/>
    <xf numFmtId="0" fontId="25" fillId="2" borderId="34" xfId="0" applyNumberFormat="1" applyFont="1" applyFill="1" applyBorder="1" applyAlignment="1">
      <alignment horizontal="right"/>
    </xf>
    <xf numFmtId="0" fontId="72" fillId="2" borderId="107" xfId="0" applyNumberFormat="1" applyFont="1" applyFill="1" applyBorder="1" applyAlignment="1">
      <alignment horizontal="left"/>
    </xf>
    <xf numFmtId="0" fontId="35" fillId="2" borderId="6" xfId="0" applyNumberFormat="1" applyFont="1" applyFill="1" applyBorder="1" applyAlignment="1">
      <alignment horizontal="left"/>
    </xf>
    <xf numFmtId="170" fontId="25" fillId="2" borderId="70" xfId="0" applyNumberFormat="1" applyFont="1" applyFill="1" applyBorder="1" applyAlignment="1">
      <alignment horizontal="right"/>
    </xf>
    <xf numFmtId="5" fontId="25" fillId="2" borderId="71" xfId="0" applyNumberFormat="1" applyFont="1" applyFill="1" applyBorder="1" applyAlignment="1">
      <alignment horizontal="right"/>
    </xf>
    <xf numFmtId="170" fontId="25" fillId="2" borderId="140" xfId="0" applyNumberFormat="1" applyFont="1" applyFill="1" applyBorder="1" applyAlignment="1">
      <alignment horizontal="right"/>
    </xf>
    <xf numFmtId="5" fontId="25" fillId="2" borderId="140" xfId="0" applyNumberFormat="1" applyFont="1" applyFill="1" applyBorder="1" applyAlignment="1">
      <alignment horizontal="right"/>
    </xf>
    <xf numFmtId="37" fontId="25" fillId="2" borderId="70" xfId="0" applyNumberFormat="1" applyFont="1" applyFill="1" applyBorder="1" applyAlignment="1">
      <alignment horizontal="right"/>
    </xf>
    <xf numFmtId="5" fontId="25" fillId="2" borderId="152" xfId="0" applyNumberFormat="1" applyFont="1" applyFill="1" applyBorder="1" applyAlignment="1">
      <alignment horizontal="right"/>
    </xf>
    <xf numFmtId="37" fontId="24" fillId="0" borderId="106" xfId="0" applyNumberFormat="1" applyFont="1" applyFill="1" applyBorder="1" applyAlignment="1">
      <alignment horizontal="right"/>
    </xf>
    <xf numFmtId="0" fontId="0" fillId="0" borderId="0" xfId="0"/>
    <xf numFmtId="0" fontId="62" fillId="4" borderId="0" xfId="0" applyFont="1" applyFill="1" applyBorder="1" applyAlignment="1">
      <alignment horizontal="left" wrapText="1"/>
    </xf>
    <xf numFmtId="3" fontId="7" fillId="6" borderId="0" xfId="0" applyNumberFormat="1" applyFont="1" applyFill="1" applyAlignment="1">
      <alignment horizontal="center"/>
    </xf>
    <xf numFmtId="0" fontId="21" fillId="4" borderId="0" xfId="0" applyFont="1" applyFill="1" applyBorder="1" applyAlignment="1">
      <alignment horizontal="center"/>
    </xf>
    <xf numFmtId="0" fontId="14" fillId="4" borderId="0" xfId="0" applyFont="1" applyFill="1" applyBorder="1" applyAlignment="1">
      <alignment horizontal="left" vertical="top" wrapText="1"/>
    </xf>
    <xf numFmtId="0" fontId="0" fillId="0" borderId="0" xfId="0" applyAlignment="1">
      <alignment horizontal="center"/>
    </xf>
    <xf numFmtId="0" fontId="16" fillId="0" borderId="20" xfId="0" applyFont="1" applyBorder="1" applyAlignment="1"/>
    <xf numFmtId="0" fontId="4" fillId="0" borderId="23" xfId="0" applyFont="1" applyBorder="1" applyAlignment="1"/>
    <xf numFmtId="0" fontId="16" fillId="0" borderId="36" xfId="0" applyFont="1" applyBorder="1" applyAlignment="1"/>
    <xf numFmtId="0" fontId="4" fillId="0" borderId="76" xfId="0" applyFont="1" applyBorder="1" applyAlignment="1"/>
    <xf numFmtId="37" fontId="16" fillId="0" borderId="79" xfId="0" applyNumberFormat="1" applyFont="1" applyBorder="1" applyAlignment="1">
      <alignment horizontal="right"/>
    </xf>
    <xf numFmtId="0" fontId="4" fillId="0" borderId="39" xfId="0" applyFont="1" applyBorder="1" applyAlignment="1"/>
    <xf numFmtId="0" fontId="16" fillId="0" borderId="25" xfId="0" applyFont="1" applyBorder="1" applyAlignment="1"/>
    <xf numFmtId="0" fontId="4" fillId="0" borderId="26" xfId="0" applyFont="1" applyBorder="1" applyAlignment="1"/>
    <xf numFmtId="37" fontId="16" fillId="0" borderId="9" xfId="0" applyNumberFormat="1" applyFont="1" applyBorder="1" applyAlignment="1">
      <alignment horizontal="right"/>
    </xf>
    <xf numFmtId="0" fontId="4" fillId="0" borderId="39" xfId="0" applyFont="1" applyBorder="1" applyAlignment="1">
      <alignment horizontal="left" indent="1"/>
    </xf>
    <xf numFmtId="0" fontId="16" fillId="0" borderId="12" xfId="0" applyFont="1" applyBorder="1" applyAlignment="1">
      <alignment horizontal="left" indent="4"/>
    </xf>
    <xf numFmtId="37" fontId="16" fillId="0" borderId="16" xfId="0" applyNumberFormat="1" applyFont="1" applyBorder="1" applyAlignment="1">
      <alignment horizontal="right"/>
    </xf>
    <xf numFmtId="0" fontId="4" fillId="0" borderId="10" xfId="0" applyFont="1" applyBorder="1"/>
    <xf numFmtId="0" fontId="4" fillId="0" borderId="127" xfId="0" applyNumberFormat="1" applyFont="1" applyBorder="1" applyAlignment="1"/>
    <xf numFmtId="0" fontId="4" fillId="0" borderId="60" xfId="0" applyNumberFormat="1" applyFont="1" applyBorder="1" applyAlignment="1"/>
    <xf numFmtId="3" fontId="4" fillId="0" borderId="153" xfId="0" applyNumberFormat="1" applyFont="1" applyBorder="1" applyAlignment="1"/>
    <xf numFmtId="0" fontId="4" fillId="0" borderId="61" xfId="0" applyNumberFormat="1" applyFont="1" applyBorder="1" applyAlignment="1"/>
    <xf numFmtId="37" fontId="4" fillId="0" borderId="60" xfId="0" applyNumberFormat="1" applyFont="1" applyBorder="1" applyAlignment="1">
      <alignment horizontal="center"/>
    </xf>
    <xf numFmtId="37" fontId="4" fillId="0" borderId="153" xfId="0" applyNumberFormat="1" applyFont="1" applyBorder="1" applyAlignment="1">
      <alignment horizontal="center"/>
    </xf>
    <xf numFmtId="37" fontId="4" fillId="0" borderId="153" xfId="0" applyNumberFormat="1" applyFont="1" applyBorder="1" applyAlignment="1"/>
    <xf numFmtId="3" fontId="4" fillId="0" borderId="61" xfId="0" applyNumberFormat="1" applyFont="1" applyBorder="1" applyAlignment="1"/>
    <xf numFmtId="0" fontId="4" fillId="0" borderId="89" xfId="0" applyNumberFormat="1" applyFont="1" applyBorder="1" applyAlignment="1"/>
    <xf numFmtId="0" fontId="16" fillId="0" borderId="26" xfId="0" applyFont="1" applyBorder="1" applyAlignment="1"/>
    <xf numFmtId="0" fontId="16" fillId="0" borderId="27" xfId="0" applyNumberFormat="1" applyFont="1" applyBorder="1" applyAlignment="1"/>
    <xf numFmtId="3" fontId="16" fillId="0" borderId="27" xfId="0" applyNumberFormat="1" applyFont="1" applyBorder="1" applyAlignment="1"/>
    <xf numFmtId="0" fontId="4" fillId="0" borderId="25" xfId="0" applyFont="1" applyBorder="1" applyAlignment="1"/>
    <xf numFmtId="37" fontId="9" fillId="0" borderId="4" xfId="0" applyNumberFormat="1" applyFont="1" applyBorder="1"/>
    <xf numFmtId="0" fontId="22" fillId="0" borderId="0" xfId="10" applyFont="1" applyBorder="1" applyAlignment="1">
      <alignment horizontal="center"/>
    </xf>
    <xf numFmtId="0" fontId="22" fillId="0" borderId="22" xfId="10" applyFont="1" applyBorder="1" applyAlignment="1">
      <alignment horizontal="center"/>
    </xf>
    <xf numFmtId="37" fontId="22" fillId="0" borderId="0" xfId="11" applyNumberFormat="1" applyFont="1" applyFill="1" applyBorder="1" applyAlignment="1">
      <alignment horizontal="left"/>
    </xf>
    <xf numFmtId="37" fontId="22" fillId="0" borderId="0" xfId="4" applyNumberFormat="1" applyFont="1" applyFill="1" applyBorder="1" applyAlignment="1">
      <alignment horizontal="left"/>
    </xf>
    <xf numFmtId="37" fontId="60" fillId="0" borderId="0" xfId="11" applyNumberFormat="1" applyFont="1" applyFill="1" applyAlignment="1">
      <alignment horizontal="left"/>
    </xf>
    <xf numFmtId="37" fontId="22" fillId="0" borderId="0" xfId="11" applyNumberFormat="1" applyFont="1" applyFill="1" applyBorder="1" applyAlignment="1">
      <alignment horizontal="left" wrapText="1"/>
    </xf>
    <xf numFmtId="37" fontId="22" fillId="0" borderId="154" xfId="11" applyNumberFormat="1" applyFont="1" applyBorder="1" applyAlignment="1">
      <alignment vertical="top" wrapText="1"/>
    </xf>
    <xf numFmtId="37" fontId="9" fillId="0" borderId="4" xfId="0" applyNumberFormat="1" applyFont="1" applyBorder="1" applyAlignment="1">
      <alignment vertical="top" wrapText="1"/>
    </xf>
    <xf numFmtId="37" fontId="15" fillId="0" borderId="0" xfId="11" applyNumberFormat="1" applyFill="1"/>
    <xf numFmtId="37" fontId="14" fillId="0" borderId="0" xfId="0" applyNumberFormat="1" applyFont="1" applyFill="1" applyBorder="1" applyAlignment="1"/>
    <xf numFmtId="37" fontId="22" fillId="0" borderId="41" xfId="11" applyNumberFormat="1" applyFont="1" applyBorder="1" applyAlignment="1">
      <alignment horizontal="left"/>
    </xf>
    <xf numFmtId="37" fontId="60" fillId="0" borderId="0" xfId="11" applyNumberFormat="1" applyFont="1" applyFill="1"/>
    <xf numFmtId="37" fontId="60" fillId="0" borderId="43" xfId="11" applyNumberFormat="1" applyFont="1" applyFill="1" applyBorder="1" applyAlignment="1">
      <alignment horizontal="right"/>
    </xf>
    <xf numFmtId="37" fontId="60" fillId="0" borderId="94" xfId="11" applyNumberFormat="1" applyFont="1" applyFill="1" applyBorder="1" applyAlignment="1">
      <alignment horizontal="right"/>
    </xf>
    <xf numFmtId="37" fontId="60" fillId="0" borderId="0" xfId="11" applyNumberFormat="1" applyFont="1" applyFill="1" applyAlignment="1">
      <alignment horizontal="right"/>
    </xf>
    <xf numFmtId="37" fontId="22" fillId="0" borderId="150" xfId="11" applyNumberFormat="1" applyFont="1" applyFill="1" applyBorder="1" applyAlignment="1">
      <alignment horizontal="right"/>
    </xf>
    <xf numFmtId="37" fontId="22" fillId="0" borderId="149" xfId="4" applyNumberFormat="1" applyFont="1" applyFill="1" applyBorder="1" applyAlignment="1">
      <alignment horizontal="right"/>
    </xf>
    <xf numFmtId="37" fontId="22" fillId="0" borderId="0" xfId="11" applyNumberFormat="1" applyFont="1" applyFill="1" applyBorder="1" applyAlignment="1">
      <alignment horizontal="right"/>
    </xf>
    <xf numFmtId="37" fontId="60" fillId="0" borderId="150" xfId="11" applyNumberFormat="1" applyFont="1" applyFill="1" applyBorder="1" applyAlignment="1">
      <alignment horizontal="right"/>
    </xf>
    <xf numFmtId="37" fontId="60" fillId="0" borderId="149" xfId="11" applyNumberFormat="1" applyFont="1" applyFill="1" applyBorder="1" applyAlignment="1">
      <alignment horizontal="right"/>
    </xf>
    <xf numFmtId="37" fontId="15" fillId="0" borderId="6" xfId="11" applyNumberFormat="1" applyFont="1" applyFill="1" applyBorder="1" applyAlignment="1">
      <alignment horizontal="right" wrapText="1"/>
    </xf>
    <xf numFmtId="37" fontId="15" fillId="0" borderId="3" xfId="11" applyNumberFormat="1" applyFont="1" applyFill="1" applyBorder="1" applyAlignment="1">
      <alignment horizontal="right" wrapText="1"/>
    </xf>
    <xf numFmtId="37" fontId="15" fillId="0" borderId="0" xfId="11" applyNumberFormat="1" applyFill="1" applyAlignment="1">
      <alignment horizontal="right"/>
    </xf>
    <xf numFmtId="37" fontId="15" fillId="0" borderId="6" xfId="11" applyNumberFormat="1" applyFill="1" applyBorder="1" applyAlignment="1">
      <alignment horizontal="right"/>
    </xf>
    <xf numFmtId="37" fontId="15" fillId="0" borderId="3" xfId="11" applyNumberFormat="1" applyFill="1" applyBorder="1" applyAlignment="1">
      <alignment horizontal="right"/>
    </xf>
    <xf numFmtId="37" fontId="55" fillId="0" borderId="0" xfId="0" applyNumberFormat="1" applyFont="1" applyBorder="1" applyAlignment="1"/>
    <xf numFmtId="5" fontId="77" fillId="0" borderId="23" xfId="0" applyNumberFormat="1" applyFont="1" applyBorder="1" applyAlignment="1"/>
    <xf numFmtId="0" fontId="7" fillId="6" borderId="38" xfId="0" applyNumberFormat="1" applyFont="1" applyFill="1" applyBorder="1" applyAlignment="1">
      <alignment horizontal="left" indent="2"/>
    </xf>
    <xf numFmtId="37" fontId="7" fillId="6" borderId="127" xfId="0" applyNumberFormat="1" applyFont="1" applyFill="1" applyBorder="1" applyAlignment="1"/>
    <xf numFmtId="37" fontId="7" fillId="6" borderId="22" xfId="0" applyNumberFormat="1" applyFont="1" applyFill="1" applyBorder="1" applyAlignment="1"/>
    <xf numFmtId="170" fontId="7" fillId="6" borderId="14" xfId="0" applyNumberFormat="1" applyFont="1" applyFill="1" applyBorder="1" applyAlignment="1"/>
    <xf numFmtId="0" fontId="0" fillId="0" borderId="0" xfId="0" applyFill="1"/>
    <xf numFmtId="5" fontId="4" fillId="0" borderId="0" xfId="0" applyNumberFormat="1" applyFont="1" applyFill="1" applyBorder="1" applyAlignment="1"/>
    <xf numFmtId="37" fontId="9" fillId="0" borderId="7" xfId="0" applyNumberFormat="1" applyFont="1" applyBorder="1"/>
    <xf numFmtId="37" fontId="9" fillId="0" borderId="0" xfId="0" applyNumberFormat="1" applyFont="1" applyBorder="1"/>
    <xf numFmtId="37" fontId="9" fillId="0" borderId="8" xfId="0" applyNumberFormat="1" applyFont="1" applyBorder="1"/>
    <xf numFmtId="5" fontId="62" fillId="4" borderId="0" xfId="0" applyNumberFormat="1" applyFont="1" applyFill="1" applyBorder="1" applyAlignment="1">
      <alignment horizontal="left" wrapText="1"/>
    </xf>
    <xf numFmtId="37" fontId="24" fillId="0" borderId="104" xfId="0" applyNumberFormat="1" applyFont="1" applyFill="1" applyBorder="1" applyAlignment="1">
      <alignment horizontal="right"/>
    </xf>
    <xf numFmtId="0" fontId="84" fillId="0" borderId="0" xfId="5" applyFont="1" applyBorder="1" applyAlignment="1">
      <alignment horizontal="left" vertical="top" wrapText="1"/>
    </xf>
    <xf numFmtId="0" fontId="83" fillId="0" borderId="0" xfId="5" applyFont="1" applyBorder="1" applyAlignment="1">
      <alignment horizontal="center"/>
    </xf>
    <xf numFmtId="0" fontId="83" fillId="0" borderId="0" xfId="0" applyFont="1" applyBorder="1" applyAlignment="1">
      <alignment horizontal="center" vertical="top"/>
    </xf>
    <xf numFmtId="0" fontId="16" fillId="0" borderId="127" xfId="0" applyNumberFormat="1" applyFont="1" applyBorder="1" applyAlignment="1">
      <alignment horizontal="left"/>
    </xf>
    <xf numFmtId="0" fontId="16" fillId="0" borderId="0" xfId="0" applyNumberFormat="1" applyFont="1" applyBorder="1" applyAlignment="1">
      <alignment horizontal="left"/>
    </xf>
    <xf numFmtId="0" fontId="16" fillId="0" borderId="155" xfId="0" applyNumberFormat="1" applyFont="1" applyBorder="1" applyAlignment="1">
      <alignment horizontal="left"/>
    </xf>
    <xf numFmtId="0" fontId="16" fillId="0" borderId="25" xfId="0" applyNumberFormat="1" applyFont="1" applyBorder="1" applyAlignment="1">
      <alignment horizontal="left"/>
    </xf>
    <xf numFmtId="0" fontId="16" fillId="0" borderId="26" xfId="0" applyNumberFormat="1" applyFont="1" applyBorder="1" applyAlignment="1">
      <alignment horizontal="left"/>
    </xf>
    <xf numFmtId="37" fontId="4" fillId="0" borderId="13" xfId="0" applyNumberFormat="1" applyFont="1" applyBorder="1" applyAlignment="1">
      <alignment horizontal="right"/>
    </xf>
    <xf numFmtId="3" fontId="4" fillId="0" borderId="0" xfId="0" applyNumberFormat="1" applyFont="1" applyAlignment="1"/>
    <xf numFmtId="3" fontId="4" fillId="0" borderId="0" xfId="0" applyNumberFormat="1" applyFont="1" applyAlignment="1"/>
    <xf numFmtId="0" fontId="4" fillId="0" borderId="12" xfId="0" applyNumberFormat="1" applyFont="1" applyBorder="1" applyAlignment="1">
      <alignment horizontal="left" indent="4"/>
    </xf>
    <xf numFmtId="0" fontId="4" fillId="0" borderId="12" xfId="0" applyNumberFormat="1" applyFont="1" applyBorder="1" applyAlignment="1">
      <alignment horizontal="left" indent="2"/>
    </xf>
    <xf numFmtId="0" fontId="4" fillId="0" borderId="12" xfId="0" applyNumberFormat="1" applyFont="1" applyFill="1" applyBorder="1" applyAlignment="1">
      <alignment horizontal="left" indent="4"/>
    </xf>
    <xf numFmtId="0" fontId="4" fillId="0" borderId="20" xfId="0" applyNumberFormat="1" applyFont="1" applyBorder="1" applyAlignment="1"/>
    <xf numFmtId="0" fontId="4" fillId="0" borderId="39" xfId="0" applyNumberFormat="1" applyFont="1" applyBorder="1" applyAlignment="1">
      <alignment horizontal="left" indent="4"/>
    </xf>
    <xf numFmtId="0" fontId="61"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43" fillId="0" borderId="0" xfId="0" applyFont="1" applyBorder="1" applyAlignment="1">
      <alignment horizontal="center"/>
    </xf>
    <xf numFmtId="0" fontId="16" fillId="0" borderId="20" xfId="0" applyNumberFormat="1" applyFont="1" applyBorder="1" applyAlignment="1"/>
    <xf numFmtId="0" fontId="4" fillId="0" borderId="23" xfId="0" applyNumberFormat="1" applyFont="1" applyBorder="1" applyAlignment="1"/>
    <xf numFmtId="0" fontId="4" fillId="0" borderId="39" xfId="0" applyNumberFormat="1" applyFont="1" applyBorder="1" applyAlignment="1"/>
    <xf numFmtId="0" fontId="84" fillId="0" borderId="0" xfId="0" applyFont="1" applyBorder="1" applyAlignment="1">
      <alignment horizontal="right" vertical="top"/>
    </xf>
    <xf numFmtId="0" fontId="83" fillId="0" borderId="0" xfId="5" applyFont="1" applyBorder="1" applyAlignment="1">
      <alignment vertical="top"/>
    </xf>
    <xf numFmtId="0" fontId="84" fillId="0" borderId="0" xfId="5" applyFont="1" applyBorder="1" applyAlignment="1">
      <alignment horizontal="center"/>
    </xf>
    <xf numFmtId="0" fontId="83" fillId="0" borderId="0" xfId="0" applyFont="1" applyBorder="1" applyAlignment="1">
      <alignment vertical="top" wrapText="1"/>
    </xf>
    <xf numFmtId="0" fontId="27" fillId="0" borderId="12" xfId="0" applyNumberFormat="1" applyFont="1" applyFill="1" applyBorder="1" applyAlignment="1">
      <alignment horizontal="left" wrapText="1" indent="1"/>
    </xf>
    <xf numFmtId="37" fontId="4" fillId="0" borderId="78" xfId="0" applyNumberFormat="1" applyFont="1" applyBorder="1" applyAlignment="1"/>
    <xf numFmtId="37" fontId="7" fillId="2" borderId="156" xfId="0" applyNumberFormat="1" applyFont="1" applyFill="1" applyBorder="1" applyAlignment="1"/>
    <xf numFmtId="37" fontId="7" fillId="2" borderId="143" xfId="0" applyNumberFormat="1" applyFont="1" applyFill="1" applyBorder="1" applyAlignment="1"/>
    <xf numFmtId="37" fontId="7" fillId="2" borderId="144" xfId="0" applyNumberFormat="1" applyFont="1" applyFill="1" applyBorder="1" applyAlignment="1"/>
    <xf numFmtId="37" fontId="7" fillId="2" borderId="157" xfId="0" applyNumberFormat="1" applyFont="1" applyFill="1" applyBorder="1" applyAlignment="1"/>
    <xf numFmtId="165" fontId="7" fillId="0" borderId="0" xfId="0" applyNumberFormat="1" applyFont="1" applyFill="1" applyAlignment="1"/>
    <xf numFmtId="165" fontId="49" fillId="0" borderId="0" xfId="0" applyNumberFormat="1" applyFont="1" applyFill="1" applyAlignment="1"/>
    <xf numFmtId="165" fontId="21" fillId="0" borderId="0" xfId="0" applyNumberFormat="1" applyFont="1" applyFill="1" applyAlignment="1">
      <alignment horizontal="centerContinuous"/>
    </xf>
    <xf numFmtId="165" fontId="14" fillId="0" borderId="0" xfId="0" applyNumberFormat="1" applyFont="1" applyFill="1" applyAlignment="1">
      <alignment horizontal="centerContinuous"/>
    </xf>
    <xf numFmtId="165" fontId="30" fillId="0" borderId="0" xfId="0" applyNumberFormat="1" applyFont="1" applyFill="1" applyAlignment="1"/>
    <xf numFmtId="0" fontId="14" fillId="0" borderId="0" xfId="0" applyFont="1" applyFill="1" applyBorder="1" applyAlignment="1">
      <alignment vertical="top" wrapText="1"/>
    </xf>
    <xf numFmtId="0" fontId="14" fillId="0" borderId="0" xfId="0" applyFont="1" applyFill="1" applyBorder="1" applyAlignment="1">
      <alignment wrapText="1"/>
    </xf>
    <xf numFmtId="37" fontId="7" fillId="0" borderId="12" xfId="0" applyNumberFormat="1" applyFont="1" applyFill="1" applyBorder="1" applyAlignment="1"/>
    <xf numFmtId="37" fontId="6" fillId="0" borderId="25" xfId="0" applyNumberFormat="1" applyFont="1" applyBorder="1" applyAlignment="1"/>
    <xf numFmtId="37" fontId="6" fillId="0" borderId="26" xfId="0" applyNumberFormat="1" applyFont="1" applyBorder="1" applyAlignment="1"/>
    <xf numFmtId="37" fontId="6" fillId="0" borderId="27" xfId="0" applyNumberFormat="1" applyFont="1" applyBorder="1" applyAlignment="1"/>
    <xf numFmtId="3" fontId="4" fillId="0" borderId="0" xfId="0" applyNumberFormat="1" applyFont="1" applyAlignment="1"/>
    <xf numFmtId="0" fontId="4" fillId="6" borderId="0" xfId="7" applyFont="1" applyFill="1" applyAlignment="1">
      <alignment horizontal="left" vertical="top" wrapText="1"/>
    </xf>
    <xf numFmtId="0" fontId="4" fillId="0" borderId="39" xfId="0" applyNumberFormat="1" applyFont="1" applyFill="1" applyBorder="1" applyAlignment="1"/>
    <xf numFmtId="0" fontId="4" fillId="0" borderId="12" xfId="0" applyNumberFormat="1" applyFont="1" applyFill="1" applyBorder="1" applyAlignment="1"/>
    <xf numFmtId="0" fontId="16" fillId="0" borderId="14" xfId="0" applyNumberFormat="1" applyFont="1" applyFill="1" applyBorder="1" applyAlignment="1"/>
    <xf numFmtId="0" fontId="4" fillId="0" borderId="38" xfId="0" applyNumberFormat="1" applyFont="1" applyFill="1" applyBorder="1" applyAlignment="1"/>
    <xf numFmtId="0" fontId="4" fillId="0" borderId="50" xfId="0" applyNumberFormat="1" applyFont="1" applyFill="1" applyBorder="1" applyAlignment="1"/>
    <xf numFmtId="3" fontId="4" fillId="0" borderId="12" xfId="0" applyNumberFormat="1" applyFont="1" applyBorder="1" applyAlignment="1"/>
    <xf numFmtId="37" fontId="16" fillId="0" borderId="24" xfId="0" applyNumberFormat="1" applyFont="1" applyBorder="1" applyAlignment="1"/>
    <xf numFmtId="0" fontId="4" fillId="0" borderId="46" xfId="0" applyNumberFormat="1" applyFont="1" applyFill="1" applyBorder="1" applyAlignment="1"/>
    <xf numFmtId="37" fontId="4" fillId="0" borderId="120" xfId="0" applyNumberFormat="1" applyFont="1" applyBorder="1" applyAlignment="1">
      <alignment horizontal="right"/>
    </xf>
    <xf numFmtId="0" fontId="16" fillId="0" borderId="20" xfId="0" applyNumberFormat="1" applyFont="1" applyFill="1" applyBorder="1" applyAlignment="1"/>
    <xf numFmtId="0" fontId="4" fillId="0" borderId="23" xfId="0" applyNumberFormat="1" applyFont="1" applyFill="1" applyBorder="1" applyAlignment="1"/>
    <xf numFmtId="0" fontId="4" fillId="0" borderId="158" xfId="0" applyNumberFormat="1" applyFont="1" applyFill="1" applyBorder="1" applyAlignment="1"/>
    <xf numFmtId="0" fontId="4" fillId="0" borderId="18" xfId="0" applyNumberFormat="1" applyFont="1" applyFill="1" applyBorder="1" applyAlignment="1"/>
    <xf numFmtId="165" fontId="4" fillId="0" borderId="24" xfId="0" applyNumberFormat="1" applyFont="1" applyBorder="1" applyAlignment="1"/>
    <xf numFmtId="0" fontId="4" fillId="0" borderId="38" xfId="0" applyNumberFormat="1" applyFont="1" applyBorder="1" applyAlignment="1">
      <alignment horizontal="left" indent="2"/>
    </xf>
    <xf numFmtId="0" fontId="4" fillId="0" borderId="45" xfId="0" applyNumberFormat="1" applyFont="1" applyBorder="1" applyAlignment="1">
      <alignment horizontal="left"/>
    </xf>
    <xf numFmtId="0" fontId="4" fillId="0" borderId="46" xfId="0" applyNumberFormat="1" applyFont="1" applyBorder="1" applyAlignment="1">
      <alignment horizontal="left" indent="2"/>
    </xf>
    <xf numFmtId="0" fontId="4" fillId="0" borderId="11" xfId="0" applyNumberFormat="1" applyFont="1" applyFill="1" applyBorder="1" applyAlignment="1"/>
    <xf numFmtId="37" fontId="4" fillId="0" borderId="8" xfId="0" applyNumberFormat="1" applyFont="1" applyBorder="1" applyAlignment="1">
      <alignment horizontal="right"/>
    </xf>
    <xf numFmtId="0" fontId="4" fillId="0" borderId="18" xfId="0" applyNumberFormat="1" applyFont="1" applyBorder="1" applyAlignment="1"/>
    <xf numFmtId="0" fontId="4" fillId="0" borderId="45" xfId="0" applyNumberFormat="1" applyFont="1" applyBorder="1" applyAlignment="1"/>
    <xf numFmtId="0" fontId="16" fillId="0" borderId="23" xfId="0" applyNumberFormat="1" applyFont="1" applyBorder="1" applyAlignment="1"/>
    <xf numFmtId="37" fontId="4" fillId="0" borderId="127" xfId="0" applyNumberFormat="1" applyFont="1" applyBorder="1" applyAlignment="1">
      <alignment horizontal="center"/>
    </xf>
    <xf numFmtId="37" fontId="4" fillId="0" borderId="127" xfId="0" applyNumberFormat="1" applyFont="1" applyBorder="1" applyAlignment="1"/>
    <xf numFmtId="0" fontId="4" fillId="0" borderId="36" xfId="0" applyNumberFormat="1" applyFont="1" applyFill="1" applyBorder="1" applyAlignment="1"/>
    <xf numFmtId="37" fontId="4" fillId="0" borderId="38" xfId="0" applyNumberFormat="1" applyFont="1" applyBorder="1" applyAlignment="1">
      <alignment horizontal="center"/>
    </xf>
    <xf numFmtId="37" fontId="4" fillId="0" borderId="45" xfId="0" applyNumberFormat="1" applyFont="1" applyBorder="1" applyAlignment="1">
      <alignment horizontal="center"/>
    </xf>
    <xf numFmtId="0" fontId="22" fillId="0" borderId="0" xfId="10" applyFont="1" applyFill="1" applyBorder="1"/>
    <xf numFmtId="37" fontId="22" fillId="0" borderId="0" xfId="10" applyNumberFormat="1" applyFont="1" applyFill="1" applyBorder="1"/>
    <xf numFmtId="5" fontId="22" fillId="0" borderId="0" xfId="10" applyNumberFormat="1" applyFont="1" applyFill="1" applyBorder="1"/>
    <xf numFmtId="0" fontId="9" fillId="0" borderId="0" xfId="10" applyFont="1" applyFill="1" applyBorder="1"/>
    <xf numFmtId="0" fontId="9" fillId="0" borderId="0" xfId="10" applyFont="1" applyFill="1"/>
    <xf numFmtId="0" fontId="9" fillId="0" borderId="0" xfId="0" applyFont="1" applyFill="1" applyBorder="1" applyAlignment="1"/>
    <xf numFmtId="0" fontId="9" fillId="0" borderId="0" xfId="10" applyFont="1" applyFill="1" applyAlignment="1"/>
    <xf numFmtId="0" fontId="9" fillId="0" borderId="1" xfId="0" applyFont="1" applyFill="1" applyBorder="1" applyAlignment="1">
      <alignment vertical="top" wrapText="1"/>
    </xf>
    <xf numFmtId="0" fontId="9" fillId="0" borderId="23" xfId="10" applyFont="1" applyFill="1" applyBorder="1"/>
    <xf numFmtId="0" fontId="9" fillId="0" borderId="51" xfId="10" applyFont="1" applyFill="1" applyBorder="1"/>
    <xf numFmtId="0" fontId="9" fillId="0" borderId="37" xfId="10" applyFont="1" applyFill="1" applyBorder="1"/>
    <xf numFmtId="0" fontId="9" fillId="0" borderId="59" xfId="10" applyFont="1" applyFill="1" applyBorder="1"/>
    <xf numFmtId="0" fontId="9" fillId="0" borderId="59" xfId="0" applyFont="1" applyFill="1" applyBorder="1" applyAlignment="1"/>
    <xf numFmtId="0" fontId="9" fillId="0" borderId="39" xfId="10" applyFont="1" applyFill="1" applyBorder="1" applyAlignment="1"/>
    <xf numFmtId="0" fontId="9" fillId="0" borderId="45" xfId="10" applyFont="1" applyFill="1" applyBorder="1" applyAlignment="1"/>
    <xf numFmtId="0" fontId="9" fillId="0" borderId="39" xfId="10" applyFont="1" applyFill="1" applyBorder="1" applyAlignment="1">
      <alignment horizontal="left"/>
    </xf>
    <xf numFmtId="0" fontId="9" fillId="0" borderId="9" xfId="10" applyFont="1" applyFill="1" applyBorder="1" applyAlignment="1"/>
    <xf numFmtId="0" fontId="9" fillId="0" borderId="26" xfId="10" applyFont="1" applyFill="1" applyBorder="1" applyAlignment="1"/>
    <xf numFmtId="0" fontId="22" fillId="0" borderId="24" xfId="10" applyFont="1" applyFill="1" applyBorder="1" applyAlignment="1"/>
    <xf numFmtId="0" fontId="22" fillId="0" borderId="23" xfId="10" applyFont="1" applyFill="1" applyBorder="1" applyAlignment="1"/>
    <xf numFmtId="37" fontId="9" fillId="0" borderId="12" xfId="10" applyNumberFormat="1" applyFont="1" applyFill="1" applyBorder="1"/>
    <xf numFmtId="37" fontId="9" fillId="0" borderId="39" xfId="10" applyNumberFormat="1" applyFont="1" applyFill="1" applyBorder="1"/>
    <xf numFmtId="37" fontId="9" fillId="0" borderId="39" xfId="10" applyNumberFormat="1" applyFont="1" applyFill="1" applyBorder="1" applyAlignment="1">
      <alignment horizontal="left"/>
    </xf>
    <xf numFmtId="37" fontId="9" fillId="0" borderId="50" xfId="10" applyNumberFormat="1" applyFont="1" applyFill="1" applyBorder="1"/>
    <xf numFmtId="37" fontId="9" fillId="0" borderId="12" xfId="10" applyNumberFormat="1" applyFont="1" applyFill="1" applyBorder="1" applyAlignment="1"/>
    <xf numFmtId="37" fontId="9" fillId="0" borderId="39" xfId="10" applyNumberFormat="1" applyFont="1" applyFill="1" applyBorder="1" applyAlignment="1"/>
    <xf numFmtId="37" fontId="9" fillId="0" borderId="38" xfId="10" applyNumberFormat="1" applyFont="1" applyFill="1" applyBorder="1"/>
    <xf numFmtId="37" fontId="9" fillId="0" borderId="45" xfId="10" applyNumberFormat="1" applyFont="1" applyFill="1" applyBorder="1"/>
    <xf numFmtId="37" fontId="9" fillId="0" borderId="46" xfId="10" applyNumberFormat="1" applyFont="1" applyFill="1" applyBorder="1"/>
    <xf numFmtId="37" fontId="9" fillId="0" borderId="25" xfId="10" applyNumberFormat="1" applyFont="1" applyFill="1" applyBorder="1"/>
    <xf numFmtId="37" fontId="9" fillId="0" borderId="26" xfId="10" applyNumberFormat="1" applyFont="1" applyFill="1" applyBorder="1"/>
    <xf numFmtId="37" fontId="9" fillId="0" borderId="27" xfId="10" applyNumberFormat="1" applyFont="1" applyFill="1" applyBorder="1"/>
    <xf numFmtId="37" fontId="22" fillId="0" borderId="20" xfId="10" applyNumberFormat="1" applyFont="1" applyFill="1" applyBorder="1"/>
    <xf numFmtId="37" fontId="22" fillId="0" borderId="23" xfId="10" applyNumberFormat="1" applyFont="1" applyFill="1" applyBorder="1"/>
    <xf numFmtId="0" fontId="22" fillId="0" borderId="24" xfId="11" applyFont="1" applyBorder="1" applyAlignment="1">
      <alignment vertical="top"/>
    </xf>
    <xf numFmtId="3" fontId="22" fillId="0" borderId="0" xfId="2" applyNumberFormat="1" applyFont="1" applyBorder="1"/>
    <xf numFmtId="0" fontId="22" fillId="0" borderId="0" xfId="11" applyFont="1" applyFill="1" applyBorder="1" applyAlignment="1">
      <alignment horizontal="left"/>
    </xf>
    <xf numFmtId="167" fontId="22" fillId="0" borderId="0" xfId="11" applyNumberFormat="1" applyFont="1" applyFill="1" applyBorder="1" applyAlignment="1">
      <alignment horizontal="left"/>
    </xf>
    <xf numFmtId="168" fontId="22" fillId="0" borderId="0" xfId="4" applyNumberFormat="1" applyFont="1" applyFill="1" applyBorder="1" applyAlignment="1">
      <alignment horizontal="left"/>
    </xf>
    <xf numFmtId="0" fontId="60" fillId="0" borderId="0" xfId="11" applyFont="1" applyFill="1" applyBorder="1" applyAlignment="1">
      <alignment horizontal="left"/>
    </xf>
    <xf numFmtId="0" fontId="15" fillId="0" borderId="0" xfId="11" applyFill="1"/>
    <xf numFmtId="0" fontId="22" fillId="0" borderId="159" xfId="11" applyFont="1" applyFill="1" applyBorder="1" applyAlignment="1">
      <alignment horizontal="left"/>
    </xf>
    <xf numFmtId="0" fontId="22" fillId="0" borderId="0" xfId="11" applyFont="1" applyFill="1" applyAlignment="1">
      <alignment horizontal="left"/>
    </xf>
    <xf numFmtId="5" fontId="22" fillId="0" borderId="0" xfId="11" applyNumberFormat="1" applyFont="1" applyFill="1" applyAlignment="1">
      <alignment horizontal="left"/>
    </xf>
    <xf numFmtId="0" fontId="9" fillId="0" borderId="0" xfId="11" applyFont="1" applyFill="1" applyAlignment="1"/>
    <xf numFmtId="37" fontId="9" fillId="0" borderId="37" xfId="11" applyNumberFormat="1" applyFont="1" applyFill="1" applyBorder="1" applyAlignment="1">
      <alignment horizontal="right"/>
    </xf>
    <xf numFmtId="37" fontId="9" fillId="0" borderId="51" xfId="4" applyNumberFormat="1" applyFont="1" applyFill="1" applyBorder="1" applyAlignment="1">
      <alignment horizontal="right"/>
    </xf>
    <xf numFmtId="37" fontId="9" fillId="0" borderId="0" xfId="11" applyNumberFormat="1" applyFont="1" applyFill="1" applyBorder="1" applyAlignment="1">
      <alignment horizontal="right"/>
    </xf>
    <xf numFmtId="37" fontId="9" fillId="0" borderId="59" xfId="11" applyNumberFormat="1" applyFont="1" applyFill="1" applyBorder="1" applyAlignment="1">
      <alignment horizontal="right"/>
    </xf>
    <xf numFmtId="37" fontId="9" fillId="0" borderId="51" xfId="11" applyNumberFormat="1" applyFont="1" applyFill="1" applyBorder="1" applyAlignment="1">
      <alignment horizontal="right"/>
    </xf>
    <xf numFmtId="37" fontId="9" fillId="0" borderId="6" xfId="11" applyNumberFormat="1" applyFont="1" applyFill="1" applyBorder="1" applyAlignment="1">
      <alignment horizontal="right" wrapText="1"/>
    </xf>
    <xf numFmtId="37" fontId="9" fillId="0" borderId="3" xfId="11" applyNumberFormat="1" applyFont="1" applyFill="1" applyBorder="1" applyAlignment="1">
      <alignment horizontal="right" wrapText="1"/>
    </xf>
    <xf numFmtId="37" fontId="9" fillId="0" borderId="0" xfId="11" applyNumberFormat="1" applyFont="1" applyFill="1" applyAlignment="1">
      <alignment horizontal="right"/>
    </xf>
    <xf numFmtId="37" fontId="9" fillId="0" borderId="6" xfId="11" applyNumberFormat="1" applyFont="1" applyFill="1" applyBorder="1" applyAlignment="1">
      <alignment horizontal="right"/>
    </xf>
    <xf numFmtId="37" fontId="9" fillId="0" borderId="3" xfId="11" applyNumberFormat="1" applyFont="1" applyFill="1" applyBorder="1" applyAlignment="1">
      <alignment horizontal="right"/>
    </xf>
    <xf numFmtId="37" fontId="9" fillId="0" borderId="2" xfId="11" applyNumberFormat="1" applyFont="1" applyFill="1" applyBorder="1" applyAlignment="1">
      <alignment horizontal="right"/>
    </xf>
    <xf numFmtId="37" fontId="9" fillId="0" borderId="0" xfId="0" applyNumberFormat="1" applyFont="1" applyFill="1" applyBorder="1" applyAlignment="1"/>
    <xf numFmtId="37" fontId="9" fillId="0" borderId="0" xfId="11" applyNumberFormat="1" applyFont="1" applyFill="1" applyAlignment="1"/>
    <xf numFmtId="37" fontId="22" fillId="0" borderId="0" xfId="0" applyNumberFormat="1" applyFont="1" applyFill="1" applyBorder="1" applyAlignment="1">
      <alignment horizontal="right" wrapText="1"/>
    </xf>
    <xf numFmtId="0" fontId="22" fillId="0" borderId="0" xfId="0" applyFont="1" applyFill="1" applyBorder="1" applyAlignment="1">
      <alignment horizontal="right" wrapText="1"/>
    </xf>
    <xf numFmtId="37" fontId="0" fillId="0" borderId="0" xfId="0" applyNumberFormat="1" applyFill="1" applyBorder="1" applyAlignment="1">
      <alignment wrapText="1"/>
    </xf>
    <xf numFmtId="37" fontId="55" fillId="0" borderId="39" xfId="0" applyNumberFormat="1" applyFont="1" applyFill="1" applyBorder="1" applyAlignment="1"/>
    <xf numFmtId="37" fontId="4" fillId="0" borderId="39" xfId="0" applyNumberFormat="1" applyFont="1" applyFill="1" applyBorder="1" applyAlignment="1"/>
    <xf numFmtId="37" fontId="55" fillId="0" borderId="39" xfId="5" applyNumberFormat="1" applyFont="1" applyFill="1" applyBorder="1" applyAlignment="1"/>
    <xf numFmtId="37" fontId="55" fillId="0" borderId="26" xfId="0" applyNumberFormat="1" applyFont="1" applyFill="1" applyBorder="1" applyAlignment="1"/>
    <xf numFmtId="37" fontId="4" fillId="0" borderId="76" xfId="0" applyNumberFormat="1" applyFont="1" applyFill="1" applyBorder="1" applyAlignment="1"/>
    <xf numFmtId="0" fontId="22" fillId="0" borderId="20" xfId="10" applyFont="1" applyFill="1" applyBorder="1" applyAlignment="1">
      <alignment horizontal="left" wrapText="1"/>
    </xf>
    <xf numFmtId="0" fontId="9" fillId="0" borderId="23" xfId="10" applyFont="1" applyFill="1" applyBorder="1" applyAlignment="1">
      <alignment horizontal="left" vertical="top" wrapText="1"/>
    </xf>
    <xf numFmtId="0" fontId="9" fillId="0" borderId="18" xfId="10" applyFont="1" applyFill="1" applyBorder="1" applyAlignment="1">
      <alignment horizontal="left" vertical="top" wrapText="1"/>
    </xf>
    <xf numFmtId="0" fontId="9" fillId="0" borderId="20" xfId="10" applyFont="1" applyBorder="1"/>
    <xf numFmtId="0" fontId="9" fillId="0" borderId="18" xfId="10" applyFont="1" applyBorder="1"/>
    <xf numFmtId="0" fontId="0" fillId="0" borderId="0" xfId="0"/>
    <xf numFmtId="37" fontId="6" fillId="0" borderId="14" xfId="0" applyNumberFormat="1" applyFont="1" applyBorder="1" applyAlignment="1">
      <alignment horizontal="right"/>
    </xf>
    <xf numFmtId="37" fontId="6" fillId="0" borderId="10" xfId="0" applyNumberFormat="1" applyFont="1" applyBorder="1" applyAlignment="1">
      <alignment horizontal="right"/>
    </xf>
    <xf numFmtId="37" fontId="16" fillId="0" borderId="25" xfId="0" applyNumberFormat="1" applyFont="1" applyBorder="1" applyAlignment="1">
      <alignment horizontal="right"/>
    </xf>
    <xf numFmtId="37" fontId="16" fillId="0" borderId="2" xfId="0" applyNumberFormat="1" applyFont="1" applyBorder="1" applyAlignment="1">
      <alignment horizontal="right"/>
    </xf>
    <xf numFmtId="37" fontId="16" fillId="0" borderId="20" xfId="0" applyNumberFormat="1" applyFont="1" applyBorder="1" applyAlignment="1">
      <alignment horizontal="right"/>
    </xf>
    <xf numFmtId="37" fontId="16" fillId="0" borderId="23" xfId="0" applyNumberFormat="1" applyFont="1" applyBorder="1" applyAlignment="1">
      <alignment horizontal="right"/>
    </xf>
    <xf numFmtId="5" fontId="27" fillId="0" borderId="45" xfId="0" applyNumberFormat="1" applyFont="1" applyFill="1" applyBorder="1" applyAlignment="1"/>
    <xf numFmtId="5" fontId="27" fillId="0" borderId="46" xfId="0" applyNumberFormat="1" applyFont="1" applyFill="1" applyBorder="1" applyAlignment="1"/>
    <xf numFmtId="5" fontId="27" fillId="6" borderId="45" xfId="0" applyNumberFormat="1" applyFont="1" applyFill="1" applyBorder="1" applyAlignment="1"/>
    <xf numFmtId="5" fontId="27" fillId="6" borderId="46" xfId="0" applyNumberFormat="1" applyFont="1" applyFill="1" applyBorder="1" applyAlignment="1"/>
    <xf numFmtId="5" fontId="22" fillId="0" borderId="18" xfId="10" applyNumberFormat="1" applyFont="1" applyFill="1" applyBorder="1"/>
    <xf numFmtId="39" fontId="27" fillId="6" borderId="46" xfId="0" applyNumberFormat="1" applyFont="1" applyFill="1" applyBorder="1" applyAlignment="1"/>
    <xf numFmtId="5" fontId="60" fillId="0" borderId="94" xfId="11" applyNumberFormat="1" applyFont="1" applyFill="1" applyBorder="1" applyAlignment="1">
      <alignment horizontal="right"/>
    </xf>
    <xf numFmtId="5" fontId="60" fillId="0" borderId="44" xfId="11" applyNumberFormat="1" applyFont="1" applyFill="1" applyBorder="1" applyAlignment="1">
      <alignment horizontal="right"/>
    </xf>
    <xf numFmtId="5" fontId="60" fillId="0" borderId="0" xfId="11" applyNumberFormat="1" applyFont="1" applyAlignment="1">
      <alignment horizontal="left"/>
    </xf>
    <xf numFmtId="37" fontId="7" fillId="7" borderId="10" xfId="0" applyNumberFormat="1" applyFont="1" applyFill="1" applyBorder="1" applyAlignment="1"/>
    <xf numFmtId="5" fontId="27" fillId="7" borderId="10" xfId="0" applyNumberFormat="1" applyFont="1" applyFill="1" applyBorder="1" applyAlignment="1"/>
    <xf numFmtId="37" fontId="4" fillId="7" borderId="10" xfId="0" applyNumberFormat="1" applyFont="1" applyFill="1" applyBorder="1" applyAlignment="1"/>
    <xf numFmtId="37" fontId="4" fillId="7" borderId="39" xfId="0" applyNumberFormat="1" applyFont="1" applyFill="1" applyBorder="1" applyAlignment="1"/>
    <xf numFmtId="37" fontId="4" fillId="7" borderId="45" xfId="0" applyNumberFormat="1" applyFont="1" applyFill="1" applyBorder="1" applyAlignment="1"/>
    <xf numFmtId="5" fontId="16" fillId="7" borderId="23" xfId="0" applyNumberFormat="1" applyFont="1" applyFill="1" applyBorder="1" applyAlignment="1"/>
    <xf numFmtId="37" fontId="4" fillId="7" borderId="50" xfId="0" applyNumberFormat="1" applyFont="1" applyFill="1" applyBorder="1" applyAlignment="1"/>
    <xf numFmtId="37" fontId="4" fillId="7" borderId="8" xfId="0" applyNumberFormat="1" applyFont="1" applyFill="1" applyBorder="1" applyAlignment="1"/>
    <xf numFmtId="5" fontId="16" fillId="7" borderId="18" xfId="0" applyNumberFormat="1" applyFont="1" applyFill="1" applyBorder="1" applyAlignment="1"/>
    <xf numFmtId="165" fontId="4" fillId="7" borderId="0" xfId="0" applyNumberFormat="1" applyFont="1" applyFill="1" applyAlignment="1"/>
    <xf numFmtId="0" fontId="4" fillId="7" borderId="0" xfId="0" applyFont="1" applyFill="1" applyBorder="1" applyAlignment="1">
      <alignment vertical="top" wrapText="1"/>
    </xf>
    <xf numFmtId="165" fontId="3" fillId="7" borderId="0" xfId="0" applyNumberFormat="1" applyFont="1" applyFill="1" applyAlignment="1"/>
    <xf numFmtId="0" fontId="9" fillId="0" borderId="24" xfId="10" applyFont="1" applyBorder="1"/>
    <xf numFmtId="3" fontId="4" fillId="0" borderId="0" xfId="0" applyNumberFormat="1" applyFont="1" applyFill="1" applyAlignment="1">
      <alignment horizontal="fill"/>
    </xf>
    <xf numFmtId="3" fontId="14" fillId="0" borderId="0" xfId="0" applyNumberFormat="1" applyFont="1" applyFill="1" applyAlignment="1"/>
    <xf numFmtId="3" fontId="30" fillId="0" borderId="0" xfId="0" applyNumberFormat="1" applyFont="1" applyFill="1" applyAlignment="1"/>
    <xf numFmtId="3" fontId="4" fillId="0" borderId="0" xfId="0" applyNumberFormat="1" applyFont="1" applyFill="1" applyAlignment="1">
      <alignment horizontal="left" vertical="top"/>
    </xf>
    <xf numFmtId="165" fontId="4" fillId="0" borderId="0" xfId="0" applyNumberFormat="1" applyFont="1" applyFill="1" applyAlignment="1">
      <alignment horizontal="left"/>
    </xf>
    <xf numFmtId="165" fontId="4" fillId="0" borderId="0" xfId="0" applyNumberFormat="1" applyFont="1" applyFill="1" applyAlignment="1">
      <alignment horizontal="left" vertical="top"/>
    </xf>
    <xf numFmtId="3" fontId="4" fillId="0" borderId="0" xfId="0" applyNumberFormat="1" applyFont="1" applyAlignment="1"/>
    <xf numFmtId="37" fontId="27" fillId="6" borderId="45" xfId="0" applyNumberFormat="1" applyFont="1" applyFill="1" applyBorder="1" applyAlignment="1"/>
    <xf numFmtId="0" fontId="4" fillId="0" borderId="0" xfId="0" applyNumberFormat="1" applyFont="1" applyFill="1" applyBorder="1" applyAlignment="1"/>
    <xf numFmtId="37" fontId="16" fillId="0" borderId="0" xfId="0" applyNumberFormat="1" applyFont="1" applyBorder="1" applyAlignment="1">
      <alignment horizontal="right"/>
    </xf>
    <xf numFmtId="37" fontId="4" fillId="7" borderId="9" xfId="0" applyNumberFormat="1" applyFont="1" applyFill="1" applyBorder="1" applyAlignment="1"/>
    <xf numFmtId="37" fontId="4" fillId="7" borderId="0" xfId="0" applyNumberFormat="1" applyFont="1" applyFill="1" applyBorder="1" applyAlignment="1"/>
    <xf numFmtId="0" fontId="0" fillId="7" borderId="0" xfId="0" applyFill="1"/>
    <xf numFmtId="5" fontId="4" fillId="7" borderId="0" xfId="0" applyNumberFormat="1" applyFont="1" applyFill="1" applyBorder="1" applyAlignment="1"/>
    <xf numFmtId="3" fontId="4" fillId="0" borderId="0" xfId="0" applyNumberFormat="1" applyFont="1" applyAlignment="1"/>
    <xf numFmtId="0" fontId="4" fillId="0" borderId="10" xfId="0" applyNumberFormat="1" applyFont="1" applyBorder="1" applyAlignment="1"/>
    <xf numFmtId="37" fontId="4" fillId="7" borderId="24" xfId="12" applyNumberFormat="1" applyFont="1" applyFill="1" applyBorder="1" applyAlignment="1">
      <alignment horizontal="right"/>
    </xf>
    <xf numFmtId="37" fontId="4" fillId="7" borderId="24" xfId="12" applyNumberFormat="1" applyFont="1" applyFill="1" applyBorder="1"/>
    <xf numFmtId="37" fontId="55" fillId="0" borderId="11" xfId="0" applyNumberFormat="1" applyFont="1" applyFill="1" applyBorder="1" applyAlignment="1"/>
    <xf numFmtId="37" fontId="77" fillId="0" borderId="24" xfId="12" applyNumberFormat="1" applyFont="1" applyFill="1" applyBorder="1"/>
    <xf numFmtId="0" fontId="4" fillId="0" borderId="12" xfId="0" applyNumberFormat="1" applyFont="1" applyFill="1" applyBorder="1" applyAlignment="1">
      <alignment horizontal="left" indent="4"/>
    </xf>
    <xf numFmtId="3" fontId="4" fillId="0" borderId="0" xfId="0" applyNumberFormat="1" applyFont="1" applyAlignment="1"/>
    <xf numFmtId="0" fontId="4" fillId="0" borderId="14" xfId="0" applyNumberFormat="1" applyFont="1" applyBorder="1" applyAlignment="1">
      <alignment horizontal="left" indent="4"/>
    </xf>
    <xf numFmtId="0" fontId="4" fillId="0" borderId="39" xfId="0" applyNumberFormat="1" applyFont="1" applyBorder="1" applyAlignment="1"/>
    <xf numFmtId="0" fontId="4" fillId="0" borderId="10" xfId="0" applyNumberFormat="1" applyFont="1" applyBorder="1" applyAlignment="1">
      <alignment horizontal="left" indent="4"/>
    </xf>
    <xf numFmtId="0" fontId="4" fillId="0" borderId="0" xfId="0" applyNumberFormat="1" applyFont="1" applyBorder="1" applyAlignment="1"/>
    <xf numFmtId="0" fontId="15" fillId="0" borderId="0" xfId="10" applyFont="1" applyFill="1" applyAlignment="1">
      <alignment horizontal="left" vertical="top" wrapText="1"/>
    </xf>
    <xf numFmtId="0" fontId="15" fillId="0" borderId="0" xfId="10" applyFont="1" applyFill="1"/>
    <xf numFmtId="0" fontId="16" fillId="0" borderId="52" xfId="0" applyNumberFormat="1" applyFont="1" applyBorder="1" applyAlignment="1"/>
    <xf numFmtId="0" fontId="16" fillId="0" borderId="12" xfId="0" applyNumberFormat="1" applyFont="1" applyBorder="1" applyAlignment="1">
      <alignment horizontal="left"/>
    </xf>
    <xf numFmtId="0" fontId="16" fillId="0" borderId="39" xfId="0" applyNumberFormat="1" applyFont="1" applyBorder="1" applyAlignment="1">
      <alignment horizontal="left"/>
    </xf>
    <xf numFmtId="0" fontId="0" fillId="0" borderId="0" xfId="0"/>
    <xf numFmtId="3" fontId="4" fillId="0" borderId="0" xfId="0" applyNumberFormat="1" applyFont="1" applyAlignment="1"/>
    <xf numFmtId="0" fontId="4" fillId="0" borderId="53" xfId="0" applyNumberFormat="1" applyFont="1" applyBorder="1" applyAlignment="1"/>
    <xf numFmtId="0" fontId="4" fillId="0" borderId="0" xfId="0" applyNumberFormat="1" applyFont="1" applyBorder="1" applyAlignment="1"/>
    <xf numFmtId="0" fontId="4" fillId="0" borderId="12" xfId="0" applyNumberFormat="1" applyFont="1" applyBorder="1" applyAlignment="1">
      <alignment horizontal="left"/>
    </xf>
    <xf numFmtId="0" fontId="0" fillId="0" borderId="0" xfId="0" applyNumberFormat="1" applyBorder="1" applyAlignment="1"/>
    <xf numFmtId="0" fontId="4" fillId="0" borderId="167" xfId="0" applyNumberFormat="1" applyFont="1" applyBorder="1" applyAlignment="1">
      <alignment horizontal="right"/>
    </xf>
    <xf numFmtId="0" fontId="4" fillId="0" borderId="167" xfId="0" applyNumberFormat="1" applyFont="1" applyBorder="1" applyAlignment="1">
      <alignment horizontal="center"/>
    </xf>
    <xf numFmtId="0" fontId="25" fillId="2" borderId="172" xfId="0" applyNumberFormat="1" applyFont="1" applyFill="1" applyBorder="1" applyAlignment="1">
      <alignment horizontal="right"/>
    </xf>
    <xf numFmtId="0" fontId="25" fillId="2" borderId="173" xfId="0" applyNumberFormat="1" applyFont="1" applyFill="1" applyBorder="1" applyAlignment="1">
      <alignment horizontal="center"/>
    </xf>
    <xf numFmtId="0" fontId="25" fillId="2" borderId="174" xfId="0" applyNumberFormat="1" applyFont="1" applyFill="1" applyBorder="1" applyAlignment="1">
      <alignment horizontal="center"/>
    </xf>
    <xf numFmtId="37" fontId="25" fillId="2" borderId="175" xfId="4" applyNumberFormat="1" applyFont="1" applyFill="1" applyBorder="1" applyAlignment="1">
      <alignment horizontal="right"/>
    </xf>
    <xf numFmtId="5" fontId="25" fillId="2" borderId="176" xfId="4" applyNumberFormat="1" applyFont="1" applyFill="1" applyBorder="1" applyAlignment="1">
      <alignment horizontal="right"/>
    </xf>
    <xf numFmtId="37" fontId="25" fillId="2" borderId="177" xfId="4" applyNumberFormat="1" applyFont="1" applyFill="1" applyBorder="1" applyAlignment="1">
      <alignment horizontal="right"/>
    </xf>
    <xf numFmtId="5" fontId="25" fillId="2" borderId="177" xfId="4" applyNumberFormat="1" applyFont="1" applyFill="1" applyBorder="1" applyAlignment="1">
      <alignment horizontal="right"/>
    </xf>
    <xf numFmtId="5" fontId="25" fillId="2" borderId="178" xfId="4" applyNumberFormat="1" applyFont="1" applyFill="1" applyBorder="1" applyAlignment="1">
      <alignment horizontal="right"/>
    </xf>
    <xf numFmtId="0" fontId="25" fillId="2" borderId="180" xfId="0" applyNumberFormat="1" applyFont="1" applyFill="1" applyBorder="1" applyAlignment="1">
      <alignment horizontal="center"/>
    </xf>
    <xf numFmtId="37" fontId="25" fillId="2" borderId="181" xfId="4" applyNumberFormat="1" applyFont="1" applyFill="1" applyBorder="1" applyAlignment="1">
      <alignment horizontal="right"/>
    </xf>
    <xf numFmtId="170" fontId="25" fillId="6" borderId="183" xfId="0" applyNumberFormat="1" applyFont="1" applyFill="1" applyBorder="1" applyAlignment="1"/>
    <xf numFmtId="5" fontId="25" fillId="6" borderId="184" xfId="0" applyNumberFormat="1" applyFont="1" applyFill="1" applyBorder="1" applyAlignment="1">
      <alignment horizontal="center"/>
    </xf>
    <xf numFmtId="170" fontId="25" fillId="6" borderId="185" xfId="0" applyNumberFormat="1" applyFont="1" applyFill="1" applyBorder="1" applyAlignment="1"/>
    <xf numFmtId="5" fontId="25" fillId="6" borderId="186" xfId="0" applyNumberFormat="1" applyFont="1" applyFill="1" applyBorder="1" applyAlignment="1">
      <alignment horizontal="center"/>
    </xf>
    <xf numFmtId="0" fontId="25" fillId="6" borderId="40" xfId="0" applyNumberFormat="1" applyFont="1" applyFill="1" applyBorder="1" applyAlignment="1">
      <alignment horizontal="center"/>
    </xf>
    <xf numFmtId="0" fontId="25" fillId="6" borderId="182" xfId="0" applyNumberFormat="1" applyFont="1" applyFill="1" applyBorder="1" applyAlignment="1">
      <alignment horizontal="center"/>
    </xf>
    <xf numFmtId="0" fontId="7" fillId="6" borderId="20" xfId="0" applyNumberFormat="1" applyFont="1" applyFill="1" applyBorder="1" applyAlignment="1">
      <alignment horizontal="left" indent="2"/>
    </xf>
    <xf numFmtId="0" fontId="27" fillId="6" borderId="79" xfId="0" applyNumberFormat="1" applyFont="1" applyFill="1" applyBorder="1" applyAlignment="1">
      <alignment horizontal="left" indent="2"/>
    </xf>
    <xf numFmtId="37" fontId="27" fillId="6" borderId="36" xfId="0" applyNumberFormat="1" applyFont="1" applyFill="1" applyBorder="1" applyAlignment="1"/>
    <xf numFmtId="37" fontId="27" fillId="6" borderId="76" xfId="0" applyNumberFormat="1" applyFont="1" applyFill="1" applyBorder="1" applyAlignment="1"/>
    <xf numFmtId="37" fontId="27" fillId="6" borderId="89" xfId="0" applyNumberFormat="1" applyFont="1" applyFill="1" applyBorder="1" applyAlignment="1"/>
    <xf numFmtId="0" fontId="4" fillId="0" borderId="0" xfId="0" applyFont="1" applyBorder="1" applyAlignment="1"/>
    <xf numFmtId="0" fontId="34" fillId="6" borderId="172" xfId="0" applyNumberFormat="1" applyFont="1" applyFill="1" applyBorder="1" applyAlignment="1">
      <alignment horizontal="right"/>
    </xf>
    <xf numFmtId="0" fontId="34" fillId="6" borderId="173" xfId="0" applyNumberFormat="1" applyFont="1" applyFill="1" applyBorder="1" applyAlignment="1">
      <alignment horizontal="center"/>
    </xf>
    <xf numFmtId="0" fontId="34" fillId="6" borderId="180" xfId="0" applyNumberFormat="1" applyFont="1" applyFill="1" applyBorder="1" applyAlignment="1">
      <alignment horizontal="center"/>
    </xf>
    <xf numFmtId="170" fontId="34" fillId="6" borderId="175" xfId="0" applyNumberFormat="1" applyFont="1" applyFill="1" applyBorder="1" applyAlignment="1"/>
    <xf numFmtId="5" fontId="34" fillId="6" borderId="176" xfId="0" applyNumberFormat="1" applyFont="1" applyFill="1" applyBorder="1" applyAlignment="1"/>
    <xf numFmtId="37" fontId="34" fillId="6" borderId="175" xfId="0" applyNumberFormat="1" applyFont="1" applyFill="1" applyBorder="1" applyAlignment="1"/>
    <xf numFmtId="0" fontId="0" fillId="0" borderId="39" xfId="0" applyNumberFormat="1" applyBorder="1" applyAlignment="1">
      <alignment horizontal="left" indent="3"/>
    </xf>
    <xf numFmtId="3" fontId="4" fillId="0" borderId="0" xfId="0" applyNumberFormat="1" applyFont="1" applyAlignment="1"/>
    <xf numFmtId="0" fontId="4" fillId="7" borderId="14" xfId="0" applyNumberFormat="1" applyFont="1" applyFill="1" applyBorder="1" applyAlignment="1"/>
    <xf numFmtId="0" fontId="4" fillId="7" borderId="10" xfId="0" applyNumberFormat="1" applyFont="1" applyFill="1" applyBorder="1" applyAlignment="1"/>
    <xf numFmtId="37" fontId="4" fillId="7" borderId="14" xfId="0" applyNumberFormat="1" applyFont="1" applyFill="1" applyBorder="1" applyAlignment="1">
      <alignment horizontal="center"/>
    </xf>
    <xf numFmtId="37" fontId="4" fillId="7" borderId="10" xfId="0" applyNumberFormat="1" applyFont="1" applyFill="1" applyBorder="1" applyAlignment="1">
      <alignment horizontal="center"/>
    </xf>
    <xf numFmtId="37" fontId="4" fillId="7" borderId="11" xfId="0" applyNumberFormat="1" applyFont="1" applyFill="1" applyBorder="1" applyAlignment="1"/>
    <xf numFmtId="37" fontId="55" fillId="7" borderId="14" xfId="0" applyNumberFormat="1" applyFont="1" applyFill="1" applyBorder="1" applyAlignment="1">
      <alignment horizontal="center"/>
    </xf>
    <xf numFmtId="37" fontId="55" fillId="7" borderId="10" xfId="0" applyNumberFormat="1" applyFont="1" applyFill="1" applyBorder="1" applyAlignment="1">
      <alignment horizontal="center"/>
    </xf>
    <xf numFmtId="37" fontId="55" fillId="7" borderId="10" xfId="0" applyNumberFormat="1" applyFont="1" applyFill="1" applyBorder="1" applyAlignment="1"/>
    <xf numFmtId="0" fontId="0" fillId="0" borderId="0" xfId="0"/>
    <xf numFmtId="0" fontId="4" fillId="0" borderId="12" xfId="0" applyNumberFormat="1" applyFont="1" applyBorder="1" applyAlignment="1"/>
    <xf numFmtId="0" fontId="4" fillId="0" borderId="39" xfId="0" applyNumberFormat="1" applyFont="1" applyBorder="1" applyAlignment="1"/>
    <xf numFmtId="0" fontId="4" fillId="0" borderId="0" xfId="0" applyNumberFormat="1" applyFont="1" applyBorder="1" applyAlignment="1"/>
    <xf numFmtId="0" fontId="0" fillId="0" borderId="0" xfId="0"/>
    <xf numFmtId="37" fontId="16" fillId="0" borderId="9" xfId="0" applyNumberFormat="1" applyFont="1" applyBorder="1" applyAlignment="1"/>
    <xf numFmtId="37" fontId="16" fillId="0" borderId="5" xfId="0" applyNumberFormat="1" applyFont="1" applyBorder="1" applyAlignment="1"/>
    <xf numFmtId="37" fontId="16" fillId="0" borderId="17" xfId="0" applyNumberFormat="1" applyFont="1" applyFill="1" applyBorder="1" applyAlignment="1"/>
    <xf numFmtId="37" fontId="16" fillId="0" borderId="188" xfId="0" applyNumberFormat="1" applyFont="1" applyFill="1" applyBorder="1" applyAlignment="1"/>
    <xf numFmtId="1" fontId="16" fillId="0" borderId="47" xfId="0" applyNumberFormat="1" applyFont="1" applyBorder="1" applyAlignment="1">
      <alignment horizontal="right"/>
    </xf>
    <xf numFmtId="164" fontId="16" fillId="0" borderId="49" xfId="0" applyNumberFormat="1" applyFont="1" applyBorder="1" applyAlignment="1"/>
    <xf numFmtId="1" fontId="4" fillId="0" borderId="13" xfId="0" applyNumberFormat="1" applyFont="1" applyBorder="1" applyAlignment="1">
      <alignment horizontal="right"/>
    </xf>
    <xf numFmtId="164" fontId="4" fillId="0" borderId="50" xfId="0" applyNumberFormat="1" applyFont="1" applyBorder="1" applyAlignment="1"/>
    <xf numFmtId="0" fontId="16" fillId="0" borderId="39" xfId="0" applyNumberFormat="1" applyFont="1" applyFill="1" applyBorder="1" applyAlignment="1"/>
    <xf numFmtId="1" fontId="16" fillId="0" borderId="13" xfId="0" applyNumberFormat="1" applyFont="1" applyBorder="1" applyAlignment="1">
      <alignment horizontal="right"/>
    </xf>
    <xf numFmtId="37" fontId="16" fillId="0" borderId="50" xfId="0" applyNumberFormat="1" applyFont="1" applyBorder="1" applyAlignment="1"/>
    <xf numFmtId="37" fontId="16" fillId="0" borderId="13" xfId="0" applyNumberFormat="1" applyFont="1" applyBorder="1" applyAlignment="1"/>
    <xf numFmtId="37" fontId="4" fillId="0" borderId="50" xfId="0" applyNumberFormat="1" applyFont="1" applyFill="1" applyBorder="1" applyAlignment="1"/>
    <xf numFmtId="1" fontId="16" fillId="0" borderId="9" xfId="0" applyNumberFormat="1" applyFont="1" applyBorder="1" applyAlignment="1">
      <alignment horizontal="right"/>
    </xf>
    <xf numFmtId="37" fontId="4" fillId="7" borderId="5" xfId="0" applyNumberFormat="1" applyFont="1" applyFill="1" applyBorder="1" applyAlignment="1"/>
    <xf numFmtId="5" fontId="16" fillId="7" borderId="24" xfId="0" applyNumberFormat="1" applyFont="1" applyFill="1" applyBorder="1" applyAlignment="1"/>
    <xf numFmtId="0" fontId="16" fillId="0" borderId="23" xfId="0" applyNumberFormat="1" applyFont="1" applyBorder="1" applyAlignment="1">
      <alignment horizontal="left"/>
    </xf>
    <xf numFmtId="0" fontId="16" fillId="0" borderId="18" xfId="0" applyNumberFormat="1" applyFont="1" applyBorder="1" applyAlignment="1">
      <alignment horizontal="left"/>
    </xf>
    <xf numFmtId="0" fontId="4" fillId="0" borderId="23" xfId="0" applyNumberFormat="1" applyFont="1" applyBorder="1" applyAlignment="1"/>
    <xf numFmtId="0" fontId="16" fillId="0" borderId="6" xfId="0" applyNumberFormat="1" applyFont="1" applyBorder="1" applyAlignment="1"/>
    <xf numFmtId="0" fontId="4" fillId="0" borderId="0" xfId="0" applyNumberFormat="1" applyFont="1" applyBorder="1" applyAlignment="1">
      <alignment horizontal="center"/>
    </xf>
    <xf numFmtId="0" fontId="4" fillId="0" borderId="18" xfId="0" applyNumberFormat="1" applyFont="1" applyBorder="1" applyAlignment="1"/>
    <xf numFmtId="0" fontId="4" fillId="0" borderId="23" xfId="0" applyFont="1" applyBorder="1" applyAlignment="1"/>
    <xf numFmtId="0" fontId="14" fillId="0" borderId="0" xfId="0" applyFont="1" applyFill="1" applyBorder="1" applyAlignment="1">
      <alignment wrapText="1"/>
    </xf>
    <xf numFmtId="0" fontId="16" fillId="0" borderId="12" xfId="0" applyFont="1" applyBorder="1" applyAlignment="1">
      <alignment horizontal="left" indent="2"/>
    </xf>
    <xf numFmtId="0" fontId="16" fillId="0" borderId="36" xfId="0" applyFont="1" applyBorder="1" applyAlignment="1">
      <alignment horizontal="left" indent="2"/>
    </xf>
    <xf numFmtId="0" fontId="4" fillId="0" borderId="12" xfId="0" applyFont="1" applyBorder="1" applyAlignment="1">
      <alignment horizontal="left" indent="5"/>
    </xf>
    <xf numFmtId="0" fontId="16" fillId="0" borderId="39" xfId="0" applyFont="1" applyBorder="1" applyAlignment="1">
      <alignment horizontal="left"/>
    </xf>
    <xf numFmtId="3" fontId="4" fillId="0" borderId="127" xfId="0" applyNumberFormat="1" applyFont="1" applyBorder="1" applyAlignment="1"/>
    <xf numFmtId="0" fontId="4" fillId="0" borderId="89" xfId="0" applyFont="1" applyBorder="1" applyAlignment="1"/>
    <xf numFmtId="0" fontId="4" fillId="0" borderId="50" xfId="0" applyFont="1" applyBorder="1" applyAlignment="1"/>
    <xf numFmtId="0" fontId="4" fillId="0" borderId="27" xfId="0" applyFont="1" applyBorder="1" applyAlignment="1"/>
    <xf numFmtId="0" fontId="16" fillId="0" borderId="76" xfId="0" applyFont="1" applyBorder="1" applyAlignment="1">
      <alignment horizontal="left"/>
    </xf>
    <xf numFmtId="37" fontId="7" fillId="6" borderId="36" xfId="0" applyNumberFormat="1" applyFont="1" applyFill="1" applyBorder="1" applyAlignment="1"/>
    <xf numFmtId="37" fontId="7" fillId="6" borderId="89" xfId="0" applyNumberFormat="1" applyFont="1" applyFill="1" applyBorder="1" applyAlignment="1"/>
    <xf numFmtId="37" fontId="27" fillId="6" borderId="21" xfId="0" applyNumberFormat="1" applyFont="1" applyFill="1" applyBorder="1" applyAlignment="1"/>
    <xf numFmtId="5" fontId="27" fillId="6" borderId="189" xfId="0" applyNumberFormat="1" applyFont="1" applyFill="1" applyBorder="1" applyAlignment="1"/>
    <xf numFmtId="0" fontId="36" fillId="6" borderId="97" xfId="0" applyNumberFormat="1" applyFont="1" applyFill="1" applyBorder="1" applyAlignment="1">
      <alignment horizontal="left"/>
    </xf>
    <xf numFmtId="0" fontId="34" fillId="6" borderId="190" xfId="0" applyNumberFormat="1" applyFont="1" applyFill="1" applyBorder="1" applyAlignment="1">
      <alignment horizontal="left"/>
    </xf>
    <xf numFmtId="3" fontId="14" fillId="0" borderId="0" xfId="0" applyNumberFormat="1" applyFont="1" applyBorder="1" applyAlignment="1"/>
    <xf numFmtId="165" fontId="14" fillId="0" borderId="0" xfId="0" applyNumberFormat="1" applyFont="1" applyBorder="1" applyAlignment="1"/>
    <xf numFmtId="3" fontId="14" fillId="4" borderId="0" xfId="0" applyNumberFormat="1" applyFont="1" applyFill="1" applyBorder="1" applyAlignment="1"/>
    <xf numFmtId="165" fontId="14" fillId="4" borderId="0" xfId="0" applyNumberFormat="1" applyFont="1" applyFill="1" applyBorder="1" applyAlignment="1"/>
    <xf numFmtId="3" fontId="14" fillId="5" borderId="0" xfId="0" applyNumberFormat="1" applyFont="1" applyFill="1" applyBorder="1" applyAlignment="1"/>
    <xf numFmtId="165" fontId="14" fillId="5" borderId="0" xfId="0" applyNumberFormat="1" applyFont="1" applyFill="1" applyBorder="1" applyAlignment="1"/>
    <xf numFmtId="0" fontId="16" fillId="0" borderId="20" xfId="0" applyNumberFormat="1" applyFont="1" applyBorder="1" applyAlignment="1">
      <alignment horizontal="left"/>
    </xf>
    <xf numFmtId="0" fontId="4" fillId="0" borderId="39" xfId="0" applyNumberFormat="1" applyFont="1" applyBorder="1" applyAlignment="1">
      <alignment horizontal="left" indent="4"/>
    </xf>
    <xf numFmtId="0" fontId="4" fillId="0" borderId="12" xfId="0" applyNumberFormat="1" applyFont="1" applyFill="1" applyBorder="1" applyAlignment="1">
      <alignment horizontal="left" indent="4"/>
    </xf>
    <xf numFmtId="0" fontId="4" fillId="0" borderId="0" xfId="0" applyNumberFormat="1" applyFont="1" applyBorder="1" applyAlignment="1"/>
    <xf numFmtId="0" fontId="47" fillId="0" borderId="0" xfId="0" applyFont="1" applyFill="1"/>
    <xf numFmtId="165" fontId="3" fillId="0" borderId="0" xfId="0" applyNumberFormat="1" applyFont="1" applyFill="1" applyBorder="1" applyAlignment="1"/>
    <xf numFmtId="165" fontId="50" fillId="0" borderId="0" xfId="0" applyNumberFormat="1" applyFont="1" applyFill="1" applyAlignment="1"/>
    <xf numFmtId="165" fontId="26" fillId="0" borderId="0" xfId="0" applyNumberFormat="1" applyFont="1" applyFill="1" applyAlignment="1"/>
    <xf numFmtId="0" fontId="65" fillId="0" borderId="0" xfId="0" applyFont="1" applyFill="1"/>
    <xf numFmtId="0" fontId="16" fillId="0" borderId="6" xfId="0" applyNumberFormat="1" applyFont="1" applyBorder="1" applyAlignment="1"/>
    <xf numFmtId="0" fontId="4" fillId="0" borderId="12" xfId="0" applyNumberFormat="1" applyFont="1" applyBorder="1" applyAlignment="1"/>
    <xf numFmtId="0" fontId="4" fillId="0" borderId="50" xfId="0" applyNumberFormat="1" applyFont="1" applyBorder="1" applyAlignment="1"/>
    <xf numFmtId="0" fontId="16" fillId="0" borderId="0" xfId="0" applyNumberFormat="1" applyFont="1" applyBorder="1" applyAlignment="1"/>
    <xf numFmtId="0" fontId="4" fillId="0" borderId="50" xfId="0" applyNumberFormat="1" applyFont="1" applyBorder="1" applyAlignment="1">
      <alignment horizontal="left"/>
    </xf>
    <xf numFmtId="0" fontId="4" fillId="0" borderId="12" xfId="0" applyNumberFormat="1" applyFont="1" applyBorder="1" applyAlignment="1">
      <alignment horizontal="left" indent="1"/>
    </xf>
    <xf numFmtId="164" fontId="16" fillId="0" borderId="2" xfId="0" applyNumberFormat="1" applyFont="1" applyBorder="1" applyAlignment="1">
      <alignment horizontal="right"/>
    </xf>
    <xf numFmtId="164" fontId="16" fillId="0" borderId="3" xfId="0" applyNumberFormat="1" applyFont="1" applyBorder="1" applyAlignment="1">
      <alignment horizontal="right"/>
    </xf>
    <xf numFmtId="164" fontId="4" fillId="0" borderId="23" xfId="0" applyNumberFormat="1" applyFont="1" applyBorder="1" applyAlignment="1">
      <alignment horizontal="right"/>
    </xf>
    <xf numFmtId="164" fontId="16" fillId="0" borderId="23" xfId="0" applyNumberFormat="1" applyFont="1" applyBorder="1" applyAlignment="1">
      <alignment horizontal="right"/>
    </xf>
    <xf numFmtId="164" fontId="16" fillId="0" borderId="18" xfId="0" applyNumberFormat="1" applyFont="1" applyBorder="1" applyAlignment="1">
      <alignment horizontal="right"/>
    </xf>
    <xf numFmtId="3" fontId="6" fillId="0" borderId="10" xfId="0" applyNumberFormat="1" applyFont="1" applyBorder="1" applyAlignment="1">
      <alignment horizontal="right"/>
    </xf>
    <xf numFmtId="37" fontId="6" fillId="0" borderId="7" xfId="0" applyNumberFormat="1" applyFont="1" applyBorder="1" applyAlignment="1">
      <alignment horizontal="right"/>
    </xf>
    <xf numFmtId="37" fontId="6" fillId="0" borderId="0" xfId="0" applyNumberFormat="1" applyFont="1" applyAlignment="1">
      <alignment horizontal="right"/>
    </xf>
    <xf numFmtId="3" fontId="6" fillId="0" borderId="0" xfId="0" applyNumberFormat="1" applyFont="1" applyAlignment="1">
      <alignment horizontal="right"/>
    </xf>
    <xf numFmtId="37" fontId="6" fillId="0" borderId="0" xfId="0" applyNumberFormat="1" applyFont="1" applyBorder="1" applyAlignment="1">
      <alignment horizontal="right"/>
    </xf>
    <xf numFmtId="37" fontId="6" fillId="0" borderId="39" xfId="0" applyNumberFormat="1" applyFont="1" applyBorder="1" applyAlignment="1">
      <alignment horizontal="right"/>
    </xf>
    <xf numFmtId="37" fontId="6" fillId="0" borderId="6" xfId="0" applyNumberFormat="1" applyFont="1" applyBorder="1" applyAlignment="1">
      <alignment horizontal="right"/>
    </xf>
    <xf numFmtId="37" fontId="6" fillId="0" borderId="2" xfId="0" applyNumberFormat="1" applyFont="1" applyBorder="1" applyAlignment="1">
      <alignment horizontal="right"/>
    </xf>
    <xf numFmtId="3" fontId="6" fillId="0" borderId="2" xfId="0" applyNumberFormat="1" applyFont="1" applyBorder="1" applyAlignment="1">
      <alignment horizontal="right"/>
    </xf>
    <xf numFmtId="37" fontId="7" fillId="2" borderId="16" xfId="0" applyNumberFormat="1" applyFont="1" applyFill="1" applyBorder="1" applyAlignment="1"/>
    <xf numFmtId="37" fontId="24" fillId="2" borderId="10" xfId="0" applyNumberFormat="1" applyFont="1" applyFill="1" applyBorder="1" applyAlignment="1">
      <alignment horizontal="right"/>
    </xf>
    <xf numFmtId="37" fontId="25" fillId="2" borderId="20" xfId="0" applyNumberFormat="1" applyFont="1" applyFill="1" applyBorder="1" applyAlignment="1">
      <alignment horizontal="right"/>
    </xf>
    <xf numFmtId="37" fontId="25" fillId="2" borderId="23" xfId="0" applyNumberFormat="1" applyFont="1" applyFill="1" applyBorder="1" applyAlignment="1">
      <alignment horizontal="right"/>
    </xf>
    <xf numFmtId="37" fontId="25" fillId="2" borderId="140" xfId="0" applyNumberFormat="1" applyFont="1" applyFill="1" applyBorder="1" applyAlignment="1">
      <alignment horizontal="right"/>
    </xf>
    <xf numFmtId="3" fontId="4" fillId="0" borderId="48" xfId="0" applyNumberFormat="1" applyFont="1" applyBorder="1" applyAlignment="1"/>
    <xf numFmtId="0" fontId="4" fillId="0" borderId="49" xfId="0" applyNumberFormat="1" applyFont="1" applyBorder="1" applyAlignment="1"/>
    <xf numFmtId="3" fontId="4" fillId="0" borderId="76" xfId="0" applyNumberFormat="1" applyFont="1" applyBorder="1" applyAlignment="1"/>
    <xf numFmtId="0" fontId="16" fillId="0" borderId="127" xfId="0" applyNumberFormat="1" applyFont="1" applyBorder="1" applyAlignment="1"/>
    <xf numFmtId="0" fontId="4" fillId="0" borderId="36" xfId="0" applyNumberFormat="1" applyFont="1" applyBorder="1" applyAlignment="1">
      <alignment horizontal="left" indent="1"/>
    </xf>
    <xf numFmtId="3" fontId="4" fillId="0" borderId="27" xfId="0" applyNumberFormat="1" applyFont="1" applyBorder="1" applyAlignment="1"/>
    <xf numFmtId="0" fontId="7" fillId="2" borderId="24" xfId="0" applyNumberFormat="1" applyFont="1" applyFill="1" applyBorder="1" applyAlignment="1">
      <alignment horizontal="left" indent="2"/>
    </xf>
    <xf numFmtId="37" fontId="4" fillId="7" borderId="120" xfId="0" applyNumberFormat="1" applyFont="1" applyFill="1" applyBorder="1" applyAlignment="1"/>
    <xf numFmtId="0" fontId="16" fillId="0" borderId="24" xfId="0" applyNumberFormat="1" applyFont="1" applyBorder="1" applyAlignment="1">
      <alignment horizontal="left" indent="3"/>
    </xf>
    <xf numFmtId="0" fontId="72" fillId="6" borderId="127" xfId="0" applyNumberFormat="1" applyFont="1" applyFill="1" applyBorder="1" applyAlignment="1">
      <alignment horizontal="left"/>
    </xf>
    <xf numFmtId="0" fontId="35" fillId="6" borderId="191" xfId="0" applyNumberFormat="1" applyFont="1" applyFill="1" applyBorder="1" applyAlignment="1">
      <alignment horizontal="left"/>
    </xf>
    <xf numFmtId="0" fontId="6" fillId="0" borderId="10" xfId="0" applyNumberFormat="1" applyFont="1" applyBorder="1" applyAlignment="1">
      <alignment horizontal="left"/>
    </xf>
    <xf numFmtId="0" fontId="6" fillId="0" borderId="11" xfId="0" applyNumberFormat="1" applyFont="1" applyBorder="1" applyAlignment="1">
      <alignment horizontal="left"/>
    </xf>
    <xf numFmtId="0" fontId="6" fillId="0" borderId="23" xfId="0" applyNumberFormat="1" applyFont="1" applyBorder="1" applyAlignment="1">
      <alignment horizontal="left"/>
    </xf>
    <xf numFmtId="0" fontId="6" fillId="0" borderId="18" xfId="0" applyNumberFormat="1" applyFont="1" applyBorder="1" applyAlignment="1">
      <alignment horizontal="left"/>
    </xf>
    <xf numFmtId="0" fontId="13" fillId="4" borderId="0" xfId="0" applyFont="1" applyFill="1" applyBorder="1" applyAlignment="1">
      <alignment vertical="top" wrapText="1"/>
    </xf>
    <xf numFmtId="3" fontId="4" fillId="0" borderId="0" xfId="0" applyNumberFormat="1" applyFont="1" applyAlignment="1"/>
    <xf numFmtId="0" fontId="0" fillId="0" borderId="0" xfId="0" applyAlignment="1"/>
    <xf numFmtId="0" fontId="6" fillId="0" borderId="45" xfId="0" applyNumberFormat="1" applyFont="1" applyBorder="1" applyAlignment="1">
      <alignment horizontal="center"/>
    </xf>
    <xf numFmtId="0" fontId="6" fillId="0" borderId="46" xfId="0" applyNumberFormat="1" applyFont="1" applyBorder="1" applyAlignment="1">
      <alignment horizontal="center"/>
    </xf>
    <xf numFmtId="0" fontId="16" fillId="0" borderId="0" xfId="0" applyNumberFormat="1" applyFont="1" applyBorder="1" applyAlignment="1"/>
    <xf numFmtId="0" fontId="53" fillId="0" borderId="0" xfId="0" applyNumberFormat="1" applyFont="1" applyBorder="1" applyAlignment="1"/>
    <xf numFmtId="0" fontId="6" fillId="0" borderId="2" xfId="0" applyNumberFormat="1" applyFont="1" applyBorder="1" applyAlignment="1">
      <alignment horizontal="left"/>
    </xf>
    <xf numFmtId="0" fontId="6" fillId="0" borderId="3" xfId="0" applyNumberFormat="1" applyFont="1" applyBorder="1" applyAlignment="1">
      <alignment horizontal="left"/>
    </xf>
    <xf numFmtId="0" fontId="4" fillId="0" borderId="37" xfId="0" applyNumberFormat="1" applyFont="1" applyBorder="1" applyAlignment="1">
      <alignment horizontal="center" vertical="center" wrapText="1"/>
    </xf>
    <xf numFmtId="0" fontId="53" fillId="0" borderId="59" xfId="0" applyNumberFormat="1" applyFont="1" applyBorder="1" applyAlignment="1">
      <alignment vertical="center"/>
    </xf>
    <xf numFmtId="0" fontId="53" fillId="0" borderId="51" xfId="0" applyNumberFormat="1" applyFont="1" applyBorder="1" applyAlignment="1">
      <alignment vertical="center"/>
    </xf>
    <xf numFmtId="0" fontId="53" fillId="0" borderId="6" xfId="0" applyNumberFormat="1" applyFont="1" applyBorder="1" applyAlignment="1">
      <alignment vertical="center"/>
    </xf>
    <xf numFmtId="0" fontId="53" fillId="0" borderId="2" xfId="0" applyNumberFormat="1" applyFont="1" applyBorder="1" applyAlignment="1">
      <alignment vertical="center"/>
    </xf>
    <xf numFmtId="0" fontId="53" fillId="0" borderId="3" xfId="0" applyNumberFormat="1" applyFont="1" applyBorder="1" applyAlignment="1">
      <alignment vertical="center"/>
    </xf>
    <xf numFmtId="0" fontId="4" fillId="0" borderId="12" xfId="0" applyNumberFormat="1" applyFont="1" applyBorder="1" applyAlignment="1">
      <alignment horizontal="left" indent="4"/>
    </xf>
    <xf numFmtId="0" fontId="4" fillId="0" borderId="39" xfId="0" applyNumberFormat="1" applyFont="1" applyBorder="1" applyAlignment="1">
      <alignment horizontal="left" indent="4"/>
    </xf>
    <xf numFmtId="0" fontId="4" fillId="0" borderId="50" xfId="0" applyNumberFormat="1" applyFont="1" applyBorder="1" applyAlignment="1">
      <alignment horizontal="left" indent="4"/>
    </xf>
    <xf numFmtId="0" fontId="4" fillId="0" borderId="12" xfId="0" applyNumberFormat="1" applyFont="1" applyBorder="1" applyAlignment="1"/>
    <xf numFmtId="0" fontId="4" fillId="0" borderId="39" xfId="0" applyNumberFormat="1" applyFont="1" applyBorder="1" applyAlignment="1"/>
    <xf numFmtId="0" fontId="4" fillId="0" borderId="20" xfId="0" applyNumberFormat="1" applyFont="1" applyBorder="1" applyAlignment="1"/>
    <xf numFmtId="0" fontId="4" fillId="0" borderId="23" xfId="0" applyNumberFormat="1" applyFont="1" applyBorder="1" applyAlignment="1"/>
    <xf numFmtId="0" fontId="33" fillId="0" borderId="0" xfId="0" applyNumberFormat="1" applyFont="1" applyAlignment="1">
      <alignment horizontal="center"/>
    </xf>
    <xf numFmtId="0" fontId="0" fillId="0" borderId="0" xfId="0"/>
    <xf numFmtId="0" fontId="53" fillId="0" borderId="59" xfId="0" applyNumberFormat="1" applyFont="1" applyBorder="1" applyAlignment="1">
      <alignment vertical="center" wrapText="1"/>
    </xf>
    <xf numFmtId="0" fontId="53" fillId="0" borderId="6" xfId="0" applyNumberFormat="1" applyFont="1" applyBorder="1" applyAlignment="1">
      <alignment vertical="center" wrapText="1"/>
    </xf>
    <xf numFmtId="0" fontId="53" fillId="0" borderId="2" xfId="0" applyNumberFormat="1" applyFont="1" applyBorder="1" applyAlignment="1">
      <alignment vertical="center" wrapText="1"/>
    </xf>
    <xf numFmtId="0" fontId="53" fillId="0" borderId="59" xfId="0" applyNumberFormat="1" applyFont="1" applyBorder="1" applyAlignment="1">
      <alignment horizontal="center" vertical="center" wrapText="1"/>
    </xf>
    <xf numFmtId="0" fontId="53" fillId="0" borderId="6" xfId="0" applyNumberFormat="1" applyFont="1" applyBorder="1" applyAlignment="1">
      <alignment horizontal="center" vertical="center" wrapText="1"/>
    </xf>
    <xf numFmtId="0" fontId="53" fillId="0" borderId="2" xfId="0" applyNumberFormat="1" applyFont="1" applyBorder="1" applyAlignment="1">
      <alignment horizontal="center" vertical="center" wrapText="1"/>
    </xf>
    <xf numFmtId="0" fontId="0" fillId="0" borderId="0" xfId="0" applyNumberFormat="1" applyAlignment="1">
      <alignment horizontal="center"/>
    </xf>
    <xf numFmtId="0" fontId="0" fillId="0" borderId="0" xfId="0" applyNumberFormat="1" applyBorder="1" applyAlignment="1">
      <alignment horizontal="center"/>
    </xf>
    <xf numFmtId="0" fontId="53" fillId="0" borderId="51" xfId="0" applyNumberFormat="1" applyFont="1" applyBorder="1" applyAlignment="1">
      <alignment horizontal="center" vertical="center" wrapText="1"/>
    </xf>
    <xf numFmtId="0" fontId="53" fillId="0" borderId="3" xfId="0" applyNumberFormat="1" applyFont="1" applyBorder="1" applyAlignment="1">
      <alignment horizontal="center" vertical="center" wrapText="1"/>
    </xf>
    <xf numFmtId="0" fontId="4" fillId="0" borderId="12" xfId="0" applyNumberFormat="1" applyFont="1" applyBorder="1" applyAlignment="1">
      <alignment horizontal="left" indent="2"/>
    </xf>
    <xf numFmtId="0" fontId="4" fillId="0" borderId="39" xfId="0" applyNumberFormat="1" applyFont="1" applyBorder="1" applyAlignment="1">
      <alignment horizontal="left" indent="2"/>
    </xf>
    <xf numFmtId="0" fontId="4" fillId="0" borderId="50" xfId="0" applyNumberFormat="1" applyFont="1" applyBorder="1" applyAlignment="1">
      <alignment horizontal="left" indent="2"/>
    </xf>
    <xf numFmtId="0" fontId="32" fillId="0" borderId="0" xfId="0" applyNumberFormat="1" applyFont="1" applyAlignment="1">
      <alignment horizontal="center"/>
    </xf>
    <xf numFmtId="0" fontId="16" fillId="0" borderId="37" xfId="0" applyNumberFormat="1" applyFont="1" applyBorder="1" applyAlignment="1"/>
    <xf numFmtId="0" fontId="0" fillId="0" borderId="59" xfId="0" applyBorder="1"/>
    <xf numFmtId="0" fontId="0" fillId="0" borderId="51" xfId="0" applyBorder="1"/>
    <xf numFmtId="0" fontId="0" fillId="0" borderId="7" xfId="0" applyBorder="1"/>
    <xf numFmtId="0" fontId="0" fillId="0" borderId="22" xfId="0" applyBorder="1"/>
    <xf numFmtId="0" fontId="0" fillId="0" borderId="167" xfId="0" applyBorder="1"/>
    <xf numFmtId="0" fontId="0" fillId="0" borderId="33" xfId="0" applyBorder="1"/>
    <xf numFmtId="0" fontId="0" fillId="0" borderId="34" xfId="0" applyBorder="1"/>
    <xf numFmtId="3" fontId="4" fillId="0" borderId="0" xfId="0" applyNumberFormat="1" applyFont="1" applyAlignment="1">
      <alignment wrapText="1"/>
    </xf>
    <xf numFmtId="0" fontId="4" fillId="0" borderId="0" xfId="0" applyFont="1" applyAlignment="1">
      <alignment wrapText="1"/>
    </xf>
    <xf numFmtId="0" fontId="16" fillId="0" borderId="52" xfId="0" applyNumberFormat="1" applyFont="1" applyBorder="1" applyAlignment="1"/>
    <xf numFmtId="0" fontId="4" fillId="0" borderId="53" xfId="0" applyNumberFormat="1" applyFont="1" applyBorder="1" applyAlignment="1"/>
    <xf numFmtId="0" fontId="16" fillId="0" borderId="6" xfId="0" applyNumberFormat="1" applyFont="1" applyBorder="1" applyAlignment="1"/>
    <xf numFmtId="0" fontId="4" fillId="0" borderId="2" xfId="0" applyNumberFormat="1" applyFont="1" applyBorder="1" applyAlignment="1"/>
    <xf numFmtId="0" fontId="16" fillId="0" borderId="57" xfId="0" applyNumberFormat="1" applyFont="1" applyBorder="1" applyAlignment="1">
      <alignment horizontal="left" indent="2"/>
    </xf>
    <xf numFmtId="0" fontId="4" fillId="0" borderId="58" xfId="0" applyNumberFormat="1" applyFont="1" applyBorder="1" applyAlignment="1">
      <alignment horizontal="left" indent="2"/>
    </xf>
    <xf numFmtId="0" fontId="4" fillId="0" borderId="50" xfId="0" applyNumberFormat="1" applyFont="1" applyBorder="1" applyAlignment="1"/>
    <xf numFmtId="0" fontId="4" fillId="0" borderId="12" xfId="0" applyNumberFormat="1" applyFont="1" applyFill="1" applyBorder="1" applyAlignment="1">
      <alignment horizontal="left" indent="4"/>
    </xf>
    <xf numFmtId="0" fontId="4" fillId="0" borderId="39" xfId="0" applyNumberFormat="1" applyFont="1" applyFill="1" applyBorder="1" applyAlignment="1">
      <alignment horizontal="left" indent="4"/>
    </xf>
    <xf numFmtId="0" fontId="4" fillId="0" borderId="50" xfId="0" applyNumberFormat="1" applyFont="1" applyFill="1" applyBorder="1" applyAlignment="1">
      <alignment horizontal="left" indent="4"/>
    </xf>
    <xf numFmtId="0" fontId="16" fillId="0" borderId="12" xfId="0" applyNumberFormat="1" applyFont="1" applyBorder="1" applyAlignment="1">
      <alignment horizontal="left"/>
    </xf>
    <xf numFmtId="0" fontId="16" fillId="0" borderId="39" xfId="0" applyNumberFormat="1" applyFont="1" applyBorder="1" applyAlignment="1">
      <alignment horizontal="left"/>
    </xf>
    <xf numFmtId="0" fontId="16" fillId="0" borderId="50" xfId="0" applyNumberFormat="1" applyFont="1" applyBorder="1" applyAlignment="1">
      <alignment horizontal="left"/>
    </xf>
    <xf numFmtId="0" fontId="17" fillId="0" borderId="0" xfId="0" applyNumberFormat="1" applyFont="1" applyAlignment="1"/>
    <xf numFmtId="0" fontId="54" fillId="0" borderId="0" xfId="0" applyNumberFormat="1" applyFont="1" applyAlignment="1"/>
    <xf numFmtId="3" fontId="6" fillId="0" borderId="0" xfId="0" applyNumberFormat="1" applyFont="1" applyAlignment="1">
      <alignment horizontal="center"/>
    </xf>
    <xf numFmtId="3" fontId="9" fillId="0" borderId="0" xfId="0" applyNumberFormat="1" applyFont="1" applyAlignment="1">
      <alignment horizontal="center"/>
    </xf>
    <xf numFmtId="3" fontId="33" fillId="0" borderId="0" xfId="0" applyNumberFormat="1" applyFont="1" applyAlignment="1">
      <alignment horizontal="center"/>
    </xf>
    <xf numFmtId="165" fontId="16" fillId="0" borderId="1" xfId="0" applyNumberFormat="1" applyFont="1" applyBorder="1" applyAlignment="1">
      <alignment horizontal="right"/>
    </xf>
    <xf numFmtId="0" fontId="0" fillId="0" borderId="54" xfId="0" applyBorder="1" applyAlignment="1"/>
    <xf numFmtId="165" fontId="16" fillId="0" borderId="1" xfId="0" applyNumberFormat="1" applyFont="1" applyBorder="1" applyAlignment="1">
      <alignment horizontal="center"/>
    </xf>
    <xf numFmtId="165" fontId="16" fillId="0" borderId="20" xfId="0" applyNumberFormat="1" applyFont="1" applyBorder="1" applyAlignment="1">
      <alignment horizontal="center"/>
    </xf>
    <xf numFmtId="165" fontId="16" fillId="0" borderId="23" xfId="0" applyNumberFormat="1" applyFont="1" applyBorder="1" applyAlignment="1">
      <alignment horizontal="center"/>
    </xf>
    <xf numFmtId="165" fontId="16" fillId="0" borderId="18" xfId="0" applyNumberFormat="1" applyFont="1" applyBorder="1" applyAlignment="1">
      <alignment horizontal="center"/>
    </xf>
    <xf numFmtId="3" fontId="9" fillId="0" borderId="22" xfId="0" applyNumberFormat="1" applyFont="1" applyBorder="1" applyAlignment="1">
      <alignment horizontal="center"/>
    </xf>
    <xf numFmtId="3" fontId="9" fillId="0" borderId="33" xfId="0" applyNumberFormat="1" applyFont="1" applyBorder="1" applyAlignment="1">
      <alignment horizontal="center"/>
    </xf>
    <xf numFmtId="3" fontId="9" fillId="0" borderId="34" xfId="0" applyNumberFormat="1" applyFont="1" applyBorder="1" applyAlignment="1">
      <alignment horizontal="center"/>
    </xf>
    <xf numFmtId="165" fontId="16" fillId="0" borderId="1" xfId="0" applyNumberFormat="1" applyFont="1" applyBorder="1" applyAlignment="1">
      <alignment horizontal="center" wrapText="1"/>
    </xf>
    <xf numFmtId="0" fontId="0" fillId="0" borderId="54" xfId="0" applyBorder="1" applyAlignment="1">
      <alignment horizontal="center" wrapText="1"/>
    </xf>
    <xf numFmtId="0" fontId="17" fillId="0" borderId="0" xfId="8" applyFont="1" applyAlignment="1"/>
    <xf numFmtId="0" fontId="58" fillId="0" borderId="0" xfId="0" applyFont="1" applyBorder="1" applyAlignment="1"/>
    <xf numFmtId="0" fontId="16" fillId="0" borderId="0" xfId="8" applyFont="1" applyAlignment="1">
      <alignment horizontal="center"/>
    </xf>
    <xf numFmtId="0" fontId="0" fillId="0" borderId="0" xfId="0" applyBorder="1" applyAlignment="1">
      <alignment horizontal="center"/>
    </xf>
    <xf numFmtId="3" fontId="16" fillId="0" borderId="0" xfId="8" applyNumberFormat="1" applyFont="1" applyAlignment="1">
      <alignment horizontal="center"/>
    </xf>
    <xf numFmtId="0" fontId="9" fillId="0" borderId="0" xfId="8" applyFont="1" applyAlignment="1">
      <alignment horizontal="center"/>
    </xf>
    <xf numFmtId="0" fontId="57" fillId="0" borderId="60" xfId="8" applyFont="1" applyFill="1" applyBorder="1" applyAlignment="1">
      <alignment horizontal="center" vertical="center" wrapText="1"/>
    </xf>
    <xf numFmtId="0" fontId="0" fillId="0" borderId="61" xfId="0" applyBorder="1" applyAlignment="1">
      <alignment horizontal="center" vertical="center" wrapText="1"/>
    </xf>
    <xf numFmtId="0" fontId="0" fillId="0" borderId="6" xfId="0" applyBorder="1" applyAlignment="1">
      <alignment vertical="center" wrapText="1"/>
    </xf>
    <xf numFmtId="0" fontId="0" fillId="0" borderId="3" xfId="0" applyBorder="1" applyAlignment="1">
      <alignment vertical="center" wrapText="1"/>
    </xf>
    <xf numFmtId="0" fontId="61"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22" fillId="0" borderId="20" xfId="8" applyFont="1" applyFill="1" applyBorder="1" applyAlignment="1">
      <alignment horizontal="center"/>
    </xf>
    <xf numFmtId="0" fontId="0" fillId="0" borderId="18" xfId="0" applyBorder="1" applyAlignment="1">
      <alignment horizontal="center"/>
    </xf>
    <xf numFmtId="0" fontId="22" fillId="0" borderId="59" xfId="8" applyFont="1" applyFill="1" applyBorder="1" applyAlignment="1"/>
    <xf numFmtId="0" fontId="9" fillId="0" borderId="2" xfId="8" applyFont="1" applyFill="1" applyBorder="1" applyAlignment="1"/>
    <xf numFmtId="0" fontId="0" fillId="0" borderId="6" xfId="0" applyBorder="1" applyAlignment="1">
      <alignment horizontal="center" vertical="center" wrapText="1"/>
    </xf>
    <xf numFmtId="0" fontId="0" fillId="0" borderId="3" xfId="0" applyBorder="1" applyAlignment="1">
      <alignment horizontal="center" vertical="center" wrapText="1"/>
    </xf>
    <xf numFmtId="1" fontId="22" fillId="0" borderId="60" xfId="8" applyNumberFormat="1" applyFont="1" applyFill="1" applyBorder="1" applyAlignment="1">
      <alignment horizontal="center" vertical="center" wrapText="1"/>
    </xf>
    <xf numFmtId="1" fontId="22" fillId="0" borderId="62" xfId="8" applyNumberFormat="1" applyFont="1" applyFill="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22" fillId="0" borderId="6" xfId="8" applyFont="1" applyFill="1" applyBorder="1" applyAlignment="1">
      <alignment horizontal="center"/>
    </xf>
    <xf numFmtId="0" fontId="22" fillId="0" borderId="3" xfId="8" applyFont="1" applyFill="1" applyBorder="1" applyAlignment="1">
      <alignment horizontal="center"/>
    </xf>
    <xf numFmtId="0" fontId="15" fillId="5" borderId="0" xfId="0" applyFont="1" applyFill="1" applyBorder="1" applyAlignment="1"/>
    <xf numFmtId="0" fontId="0" fillId="5" borderId="0" xfId="0" applyFill="1" applyBorder="1" applyAlignment="1"/>
    <xf numFmtId="0" fontId="15" fillId="5" borderId="0" xfId="0" applyFont="1" applyFill="1" applyBorder="1" applyAlignment="1">
      <alignment vertical="top" wrapText="1"/>
    </xf>
    <xf numFmtId="0" fontId="0" fillId="5" borderId="0" xfId="0" applyFill="1" applyBorder="1" applyAlignment="1">
      <alignment vertical="top" wrapText="1"/>
    </xf>
    <xf numFmtId="0" fontId="15" fillId="0" borderId="0" xfId="0" applyFont="1" applyAlignment="1">
      <alignment horizontal="left" wrapText="1"/>
    </xf>
    <xf numFmtId="0" fontId="83" fillId="0" borderId="0" xfId="5" applyFont="1" applyBorder="1" applyAlignment="1">
      <alignment vertical="top" wrapText="1"/>
    </xf>
    <xf numFmtId="0" fontId="85" fillId="0" borderId="0" xfId="5" applyFont="1" applyBorder="1" applyAlignment="1">
      <alignment vertical="top" wrapText="1"/>
    </xf>
    <xf numFmtId="0" fontId="15" fillId="4" borderId="0" xfId="0" applyFont="1" applyFill="1" applyBorder="1" applyAlignment="1">
      <alignment vertical="top" wrapText="1"/>
    </xf>
    <xf numFmtId="0" fontId="83" fillId="0" borderId="0" xfId="0" applyFont="1" applyBorder="1" applyAlignment="1">
      <alignment horizontal="center" vertical="top"/>
    </xf>
    <xf numFmtId="0" fontId="84" fillId="0" borderId="0" xfId="0" applyFont="1" applyBorder="1" applyAlignment="1">
      <alignment horizontal="center" vertical="top"/>
    </xf>
    <xf numFmtId="0" fontId="86" fillId="0" borderId="0" xfId="0" applyFont="1" applyBorder="1" applyAlignment="1">
      <alignment vertical="top" wrapText="1"/>
    </xf>
    <xf numFmtId="0" fontId="85" fillId="0" borderId="0" xfId="0" applyFont="1" applyBorder="1" applyAlignment="1">
      <alignment vertical="top" wrapText="1"/>
    </xf>
    <xf numFmtId="0" fontId="83" fillId="7" borderId="0" xfId="5" applyFont="1" applyFill="1" applyBorder="1" applyAlignment="1">
      <alignment vertical="top" wrapText="1"/>
    </xf>
    <xf numFmtId="0" fontId="85" fillId="7" borderId="0" xfId="5" applyFont="1" applyFill="1" applyBorder="1" applyAlignment="1">
      <alignment vertical="top" wrapText="1"/>
    </xf>
    <xf numFmtId="0" fontId="83" fillId="0" borderId="0" xfId="5" applyNumberFormat="1" applyFont="1" applyBorder="1" applyAlignment="1">
      <alignment vertical="top" wrapText="1"/>
    </xf>
    <xf numFmtId="0" fontId="83" fillId="0" borderId="0" xfId="5" applyFont="1" applyFill="1" applyBorder="1" applyAlignment="1">
      <alignment vertical="top" wrapText="1"/>
    </xf>
    <xf numFmtId="0" fontId="86" fillId="0" borderId="0" xfId="5" applyFont="1" applyBorder="1" applyAlignment="1">
      <alignment vertical="top" wrapText="1"/>
    </xf>
    <xf numFmtId="0" fontId="84" fillId="0" borderId="0" xfId="0" applyFont="1" applyBorder="1" applyAlignment="1">
      <alignment horizontal="left" vertical="top" wrapText="1"/>
    </xf>
    <xf numFmtId="0" fontId="84" fillId="0" borderId="0" xfId="0" applyFont="1" applyAlignment="1">
      <alignment horizontal="left" vertical="top" wrapText="1"/>
    </xf>
    <xf numFmtId="0" fontId="84" fillId="0" borderId="0" xfId="5" applyFont="1" applyBorder="1" applyAlignment="1">
      <alignment horizontal="left" vertical="top" wrapText="1"/>
    </xf>
    <xf numFmtId="0" fontId="17" fillId="0" borderId="0" xfId="8" applyFont="1" applyAlignment="1">
      <alignment horizontal="left"/>
    </xf>
    <xf numFmtId="0" fontId="0" fillId="0" borderId="0" xfId="0" applyBorder="1" applyAlignment="1">
      <alignment horizontal="left"/>
    </xf>
    <xf numFmtId="0" fontId="83" fillId="0" borderId="0" xfId="0" applyFont="1" applyBorder="1" applyAlignment="1">
      <alignment horizontal="center"/>
    </xf>
    <xf numFmtId="0" fontId="85" fillId="0" borderId="0" xfId="0" applyFont="1" applyBorder="1" applyAlignment="1">
      <alignment horizontal="center"/>
    </xf>
    <xf numFmtId="0" fontId="6" fillId="0" borderId="0" xfId="8" applyFont="1" applyAlignment="1">
      <alignment horizontal="center"/>
    </xf>
    <xf numFmtId="0" fontId="6" fillId="0" borderId="0" xfId="8" applyFont="1" applyBorder="1" applyAlignment="1">
      <alignment horizontal="center"/>
    </xf>
    <xf numFmtId="0" fontId="31" fillId="0" borderId="0" xfId="8" applyFont="1" applyBorder="1" applyAlignment="1">
      <alignment horizontal="center"/>
    </xf>
    <xf numFmtId="0" fontId="84" fillId="0" borderId="0" xfId="0" applyFont="1" applyBorder="1" applyAlignment="1">
      <alignment vertical="top" wrapText="1"/>
    </xf>
    <xf numFmtId="0" fontId="83" fillId="0" borderId="0" xfId="5" applyFont="1" applyBorder="1" applyAlignment="1">
      <alignment horizontal="center"/>
    </xf>
    <xf numFmtId="165" fontId="13" fillId="0" borderId="0" xfId="0" applyNumberFormat="1" applyFont="1" applyAlignment="1">
      <alignment wrapText="1"/>
    </xf>
    <xf numFmtId="0" fontId="14" fillId="0" borderId="0" xfId="0" applyFont="1" applyAlignment="1">
      <alignment wrapText="1"/>
    </xf>
    <xf numFmtId="0" fontId="16" fillId="0" borderId="37" xfId="0" applyNumberFormat="1" applyFont="1" applyBorder="1" applyAlignment="1">
      <alignment horizontal="center" vertical="center" wrapText="1"/>
    </xf>
    <xf numFmtId="0" fontId="6" fillId="0" borderId="59" xfId="0" applyNumberFormat="1" applyFont="1" applyBorder="1" applyAlignment="1">
      <alignment horizontal="center" vertical="center" wrapText="1"/>
    </xf>
    <xf numFmtId="0" fontId="6" fillId="0" borderId="51"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0" fontId="14" fillId="4" borderId="0" xfId="0" applyFont="1" applyFill="1" applyBorder="1" applyAlignment="1">
      <alignment wrapText="1"/>
    </xf>
    <xf numFmtId="0" fontId="14" fillId="0" borderId="0" xfId="0" applyFont="1" applyBorder="1" applyAlignment="1">
      <alignment wrapText="1"/>
    </xf>
    <xf numFmtId="165" fontId="21" fillId="4" borderId="0" xfId="0" applyNumberFormat="1" applyFont="1" applyFill="1" applyAlignment="1">
      <alignment horizontal="center" wrapText="1"/>
    </xf>
    <xf numFmtId="165" fontId="14" fillId="4" borderId="0" xfId="0" applyNumberFormat="1" applyFont="1" applyFill="1" applyAlignment="1">
      <alignment wrapText="1"/>
    </xf>
    <xf numFmtId="0" fontId="16" fillId="0" borderId="1"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37" xfId="0" applyNumberFormat="1" applyFont="1" applyBorder="1" applyAlignment="1">
      <alignment horizontal="center" vertical="center"/>
    </xf>
    <xf numFmtId="0" fontId="6" fillId="0" borderId="59" xfId="0" applyNumberFormat="1" applyFont="1" applyBorder="1" applyAlignment="1">
      <alignment horizontal="center" vertical="center"/>
    </xf>
    <xf numFmtId="0" fontId="6" fillId="0" borderId="51"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22" xfId="0" applyNumberFormat="1" applyFont="1" applyBorder="1" applyAlignment="1">
      <alignment horizontal="center" vertical="center"/>
    </xf>
    <xf numFmtId="0" fontId="16" fillId="0" borderId="37" xfId="0" applyNumberFormat="1" applyFont="1" applyBorder="1" applyAlignment="1">
      <alignment horizontal="center"/>
    </xf>
    <xf numFmtId="0" fontId="16" fillId="0" borderId="7" xfId="0" applyNumberFormat="1" applyFont="1" applyBorder="1" applyAlignment="1">
      <alignment horizontal="center"/>
    </xf>
    <xf numFmtId="0" fontId="16" fillId="0" borderId="32" xfId="0" applyNumberFormat="1" applyFont="1" applyBorder="1" applyAlignment="1">
      <alignment horizontal="center"/>
    </xf>
    <xf numFmtId="165" fontId="13" fillId="4" borderId="0" xfId="0" applyNumberFormat="1" applyFont="1" applyFill="1" applyAlignment="1">
      <alignment horizontal="center" wrapText="1"/>
    </xf>
    <xf numFmtId="165" fontId="3" fillId="0" borderId="0" xfId="0" applyNumberFormat="1" applyFont="1" applyAlignment="1">
      <alignment wrapText="1"/>
    </xf>
    <xf numFmtId="0" fontId="0" fillId="0" borderId="0" xfId="0" applyAlignment="1">
      <alignment wrapText="1"/>
    </xf>
    <xf numFmtId="165" fontId="6" fillId="0" borderId="0" xfId="0" applyNumberFormat="1" applyFont="1" applyAlignment="1">
      <alignment horizontal="center"/>
    </xf>
    <xf numFmtId="165" fontId="6" fillId="0" borderId="2" xfId="0" applyNumberFormat="1" applyFont="1" applyBorder="1" applyAlignment="1">
      <alignment horizontal="center"/>
    </xf>
    <xf numFmtId="165" fontId="9" fillId="0" borderId="0" xfId="0" applyNumberFormat="1" applyFont="1" applyAlignment="1">
      <alignment horizontal="center"/>
    </xf>
    <xf numFmtId="0" fontId="6" fillId="0" borderId="0" xfId="0" applyFont="1" applyBorder="1" applyAlignment="1">
      <alignment horizontal="center"/>
    </xf>
    <xf numFmtId="3" fontId="17" fillId="0" borderId="0" xfId="0" applyNumberFormat="1" applyFont="1" applyAlignment="1"/>
    <xf numFmtId="0" fontId="54" fillId="0" borderId="0" xfId="0" applyFont="1" applyAlignment="1"/>
    <xf numFmtId="165" fontId="10" fillId="0" borderId="0" xfId="0" applyNumberFormat="1" applyFont="1" applyAlignment="1">
      <alignment horizontal="center"/>
    </xf>
    <xf numFmtId="0" fontId="6" fillId="0" borderId="0" xfId="0" applyFont="1" applyAlignment="1">
      <alignment horizontal="center"/>
    </xf>
    <xf numFmtId="165" fontId="11" fillId="0" borderId="0" xfId="0" applyNumberFormat="1" applyFont="1" applyAlignment="1">
      <alignment horizontal="center"/>
    </xf>
    <xf numFmtId="0" fontId="16" fillId="0" borderId="51" xfId="0" applyNumberFormat="1" applyFont="1" applyBorder="1" applyAlignment="1">
      <alignment horizontal="center" vertical="center" wrapText="1"/>
    </xf>
    <xf numFmtId="0" fontId="16" fillId="0" borderId="22" xfId="0" applyNumberFormat="1" applyFont="1" applyBorder="1" applyAlignment="1">
      <alignment horizontal="center" vertical="center" wrapText="1"/>
    </xf>
    <xf numFmtId="0" fontId="4" fillId="0" borderId="0" xfId="0" applyNumberFormat="1" applyFont="1" applyAlignment="1"/>
    <xf numFmtId="0" fontId="10" fillId="0" borderId="0" xfId="0" applyNumberFormat="1" applyFont="1" applyAlignment="1">
      <alignment horizontal="center"/>
    </xf>
    <xf numFmtId="0" fontId="6" fillId="0" borderId="0" xfId="0" applyNumberFormat="1" applyFont="1" applyAlignment="1">
      <alignment horizontal="center"/>
    </xf>
    <xf numFmtId="0" fontId="11" fillId="0" borderId="0" xfId="0" applyNumberFormat="1" applyFont="1" applyAlignment="1">
      <alignment horizontal="center"/>
    </xf>
    <xf numFmtId="0" fontId="6" fillId="0" borderId="0" xfId="0" applyNumberFormat="1" applyFont="1" applyBorder="1" applyAlignment="1">
      <alignment horizontal="center"/>
    </xf>
    <xf numFmtId="0" fontId="9" fillId="0" borderId="0" xfId="0" applyNumberFormat="1" applyFont="1" applyAlignment="1">
      <alignment horizontal="center"/>
    </xf>
    <xf numFmtId="0" fontId="6" fillId="0" borderId="59" xfId="0" applyNumberFormat="1" applyFont="1" applyBorder="1" applyAlignment="1"/>
    <xf numFmtId="0" fontId="6" fillId="0" borderId="32" xfId="0" applyNumberFormat="1" applyFont="1" applyBorder="1" applyAlignment="1"/>
    <xf numFmtId="0" fontId="6" fillId="0" borderId="33" xfId="0" applyNumberFormat="1" applyFont="1" applyBorder="1" applyAlignment="1"/>
    <xf numFmtId="0" fontId="16" fillId="0" borderId="20" xfId="0" applyNumberFormat="1" applyFont="1" applyBorder="1" applyAlignment="1">
      <alignment horizontal="center"/>
    </xf>
    <xf numFmtId="0" fontId="6" fillId="0" borderId="23" xfId="0" applyNumberFormat="1" applyFont="1" applyBorder="1" applyAlignment="1">
      <alignment horizontal="center"/>
    </xf>
    <xf numFmtId="0" fontId="6" fillId="0" borderId="18" xfId="0" applyNumberFormat="1" applyFont="1" applyBorder="1" applyAlignment="1">
      <alignment horizontal="center"/>
    </xf>
    <xf numFmtId="0" fontId="6" fillId="0" borderId="37" xfId="0" applyNumberFormat="1" applyFont="1" applyBorder="1" applyAlignment="1">
      <alignment horizontal="center"/>
    </xf>
    <xf numFmtId="0" fontId="6" fillId="0" borderId="51" xfId="0" applyNumberFormat="1" applyFont="1" applyBorder="1" applyAlignment="1">
      <alignment horizontal="center"/>
    </xf>
    <xf numFmtId="0" fontId="4" fillId="0" borderId="12" xfId="0" applyNumberFormat="1" applyFont="1" applyBorder="1" applyAlignment="1">
      <alignment horizontal="left"/>
    </xf>
    <xf numFmtId="0" fontId="6" fillId="0" borderId="50" xfId="0" applyNumberFormat="1" applyFont="1" applyBorder="1" applyAlignment="1">
      <alignment horizontal="left"/>
    </xf>
    <xf numFmtId="0" fontId="4" fillId="0" borderId="25" xfId="0" applyNumberFormat="1" applyFont="1" applyBorder="1" applyAlignment="1">
      <alignment horizontal="left"/>
    </xf>
    <xf numFmtId="0" fontId="6" fillId="0" borderId="27" xfId="0" applyNumberFormat="1" applyFont="1" applyBorder="1" applyAlignment="1">
      <alignment horizontal="left"/>
    </xf>
    <xf numFmtId="165" fontId="47" fillId="0" borderId="0" xfId="0" applyNumberFormat="1" applyFont="1" applyAlignment="1">
      <alignment horizontal="left"/>
    </xf>
    <xf numFmtId="0" fontId="16" fillId="0" borderId="6" xfId="0" applyNumberFormat="1" applyFont="1" applyBorder="1" applyAlignment="1">
      <alignment horizontal="left" indent="5"/>
    </xf>
    <xf numFmtId="0" fontId="16" fillId="0" borderId="3" xfId="0" applyNumberFormat="1" applyFont="1" applyBorder="1" applyAlignment="1">
      <alignment horizontal="left" indent="5"/>
    </xf>
    <xf numFmtId="0" fontId="4" fillId="0" borderId="35" xfId="0" applyNumberFormat="1" applyFont="1" applyBorder="1" applyAlignment="1">
      <alignment horizontal="left"/>
    </xf>
    <xf numFmtId="0" fontId="6" fillId="0" borderId="49" xfId="0" applyNumberFormat="1" applyFont="1" applyBorder="1" applyAlignment="1">
      <alignment horizontal="left"/>
    </xf>
    <xf numFmtId="165" fontId="26" fillId="4" borderId="0" xfId="0" applyNumberFormat="1" applyFont="1" applyFill="1" applyAlignment="1">
      <alignment vertical="top" wrapText="1"/>
    </xf>
    <xf numFmtId="165" fontId="39" fillId="4" borderId="0" xfId="0" applyNumberFormat="1" applyFont="1" applyFill="1" applyAlignment="1">
      <alignment vertical="top" wrapText="1"/>
    </xf>
    <xf numFmtId="165" fontId="39" fillId="4" borderId="0" xfId="0" applyNumberFormat="1" applyFont="1" applyFill="1" applyBorder="1" applyAlignment="1">
      <alignment vertical="top" wrapText="1"/>
    </xf>
    <xf numFmtId="0" fontId="26" fillId="4" borderId="0" xfId="0" applyFont="1" applyFill="1" applyBorder="1" applyAlignment="1">
      <alignment wrapText="1"/>
    </xf>
    <xf numFmtId="0" fontId="39" fillId="4" borderId="0" xfId="0" applyFont="1" applyFill="1" applyBorder="1" applyAlignment="1">
      <alignment wrapText="1"/>
    </xf>
    <xf numFmtId="0" fontId="26" fillId="4" borderId="0" xfId="0" applyFont="1" applyFill="1" applyBorder="1" applyAlignment="1">
      <alignment vertical="top" wrapText="1"/>
    </xf>
    <xf numFmtId="0" fontId="39" fillId="4" borderId="0" xfId="0" applyFont="1" applyFill="1" applyBorder="1" applyAlignment="1">
      <alignment vertical="top" wrapText="1"/>
    </xf>
    <xf numFmtId="0" fontId="14" fillId="4" borderId="0" xfId="0" applyFont="1" applyFill="1" applyBorder="1" applyAlignment="1">
      <alignment vertical="top" wrapText="1"/>
    </xf>
    <xf numFmtId="165" fontId="43" fillId="0" borderId="59" xfId="0" applyNumberFormat="1" applyFont="1" applyBorder="1" applyAlignment="1">
      <alignment horizontal="center"/>
    </xf>
    <xf numFmtId="0" fontId="6" fillId="0" borderId="0" xfId="0" applyNumberFormat="1" applyFont="1" applyBorder="1" applyAlignment="1"/>
    <xf numFmtId="0" fontId="11" fillId="0" borderId="0" xfId="0" applyNumberFormat="1" applyFont="1" applyBorder="1" applyAlignment="1">
      <alignment horizontal="center"/>
    </xf>
    <xf numFmtId="3" fontId="17" fillId="0" borderId="0" xfId="0" applyNumberFormat="1" applyFont="1" applyAlignment="1">
      <alignment horizontal="center"/>
    </xf>
    <xf numFmtId="3" fontId="17" fillId="0" borderId="0" xfId="0" applyNumberFormat="1" applyFont="1" applyBorder="1" applyAlignment="1">
      <alignment horizontal="center"/>
    </xf>
    <xf numFmtId="0" fontId="27" fillId="2" borderId="65" xfId="0" applyNumberFormat="1" applyFont="1" applyFill="1" applyBorder="1" applyAlignment="1">
      <alignment horizontal="center" wrapText="1"/>
    </xf>
    <xf numFmtId="0" fontId="6" fillId="0" borderId="15" xfId="0" applyNumberFormat="1" applyFont="1" applyBorder="1" applyAlignment="1">
      <alignment horizontal="center" wrapText="1"/>
    </xf>
    <xf numFmtId="165" fontId="6" fillId="0" borderId="0" xfId="0" applyNumberFormat="1" applyFont="1" applyBorder="1" applyAlignment="1">
      <alignment horizontal="center"/>
    </xf>
    <xf numFmtId="165" fontId="7" fillId="2" borderId="0" xfId="0" applyNumberFormat="1" applyFont="1" applyFill="1" applyBorder="1" applyAlignment="1">
      <alignment horizontal="center"/>
    </xf>
    <xf numFmtId="165" fontId="7" fillId="2" borderId="55" xfId="0" applyNumberFormat="1" applyFont="1" applyFill="1" applyBorder="1" applyAlignment="1">
      <alignment horizontal="center"/>
    </xf>
    <xf numFmtId="0" fontId="27" fillId="2" borderId="141" xfId="0" applyNumberFormat="1" applyFont="1" applyFill="1" applyBorder="1" applyAlignment="1">
      <alignment horizontal="center" wrapText="1"/>
    </xf>
    <xf numFmtId="0" fontId="6" fillId="0" borderId="112" xfId="0" applyNumberFormat="1" applyFont="1" applyBorder="1" applyAlignment="1">
      <alignment horizontal="center" wrapText="1"/>
    </xf>
    <xf numFmtId="0" fontId="27" fillId="2" borderId="80" xfId="0" applyNumberFormat="1" applyFont="1" applyFill="1" applyBorder="1" applyAlignment="1">
      <alignment horizontal="center" wrapText="1"/>
    </xf>
    <xf numFmtId="0" fontId="6" fillId="0" borderId="81" xfId="0" applyNumberFormat="1" applyFont="1" applyBorder="1" applyAlignment="1">
      <alignment horizontal="center" wrapText="1"/>
    </xf>
    <xf numFmtId="0" fontId="27" fillId="2" borderId="66" xfId="0" applyNumberFormat="1" applyFont="1" applyFill="1" applyBorder="1" applyAlignment="1">
      <alignment horizontal="center" wrapText="1"/>
    </xf>
    <xf numFmtId="0" fontId="27" fillId="2" borderId="72" xfId="0" applyNumberFormat="1" applyFont="1" applyFill="1" applyBorder="1" applyAlignment="1">
      <alignment horizontal="center" wrapText="1"/>
    </xf>
    <xf numFmtId="0" fontId="27" fillId="2" borderId="67" xfId="0" applyNumberFormat="1" applyFont="1" applyFill="1" applyBorder="1" applyAlignment="1">
      <alignment horizontal="center" vertical="center"/>
    </xf>
    <xf numFmtId="0" fontId="27" fillId="2" borderId="68" xfId="0" applyNumberFormat="1" applyFont="1" applyFill="1" applyBorder="1" applyAlignment="1">
      <alignment horizontal="center" vertical="center"/>
    </xf>
    <xf numFmtId="0" fontId="27" fillId="2" borderId="69" xfId="0" applyNumberFormat="1" applyFont="1" applyFill="1" applyBorder="1" applyAlignment="1">
      <alignment horizontal="center" vertical="center"/>
    </xf>
    <xf numFmtId="0" fontId="27" fillId="2" borderId="70" xfId="0" applyNumberFormat="1" applyFont="1" applyFill="1" applyBorder="1" applyAlignment="1">
      <alignment horizontal="center" vertical="center" wrapText="1"/>
    </xf>
    <xf numFmtId="0" fontId="6" fillId="0" borderId="71" xfId="0" applyNumberFormat="1" applyFont="1" applyBorder="1" applyAlignment="1">
      <alignment horizontal="center" vertical="center" wrapText="1"/>
    </xf>
    <xf numFmtId="0" fontId="27" fillId="2" borderId="140" xfId="0" applyNumberFormat="1" applyFont="1" applyFill="1" applyBorder="1" applyAlignment="1">
      <alignment horizontal="center" vertical="center" wrapText="1"/>
    </xf>
    <xf numFmtId="0" fontId="6" fillId="0" borderId="72" xfId="0" applyNumberFormat="1" applyFont="1" applyBorder="1" applyAlignment="1">
      <alignment horizontal="center" wrapText="1"/>
    </xf>
    <xf numFmtId="0" fontId="27" fillId="2" borderId="73" xfId="0" applyNumberFormat="1" applyFont="1" applyFill="1" applyBorder="1" applyAlignment="1">
      <alignment horizontal="center" wrapText="1"/>
    </xf>
    <xf numFmtId="0" fontId="6" fillId="0" borderId="74" xfId="0" applyNumberFormat="1" applyFont="1" applyBorder="1" applyAlignment="1">
      <alignment horizontal="center" wrapText="1"/>
    </xf>
    <xf numFmtId="0" fontId="27" fillId="2" borderId="1" xfId="0" applyNumberFormat="1" applyFont="1" applyFill="1" applyBorder="1" applyAlignment="1">
      <alignment horizontal="center" wrapText="1"/>
    </xf>
    <xf numFmtId="0" fontId="6" fillId="0" borderId="5" xfId="0" applyNumberFormat="1" applyFont="1" applyBorder="1" applyAlignment="1">
      <alignment wrapText="1"/>
    </xf>
    <xf numFmtId="0" fontId="6" fillId="0" borderId="15" xfId="0" applyNumberFormat="1" applyFont="1" applyBorder="1" applyAlignment="1">
      <alignment wrapText="1"/>
    </xf>
    <xf numFmtId="0" fontId="36" fillId="2" borderId="0" xfId="0" applyNumberFormat="1" applyFont="1" applyFill="1" applyAlignment="1">
      <alignment horizontal="center"/>
    </xf>
    <xf numFmtId="0" fontId="35" fillId="2" borderId="0" xfId="0" applyNumberFormat="1" applyFont="1" applyFill="1" applyAlignment="1">
      <alignment horizontal="center"/>
    </xf>
    <xf numFmtId="165" fontId="14" fillId="0" borderId="0" xfId="0" applyNumberFormat="1" applyFont="1" applyFill="1" applyAlignment="1">
      <alignment vertical="top" wrapText="1"/>
    </xf>
    <xf numFmtId="165" fontId="14" fillId="0" borderId="0" xfId="0" applyNumberFormat="1" applyFont="1" applyFill="1" applyBorder="1" applyAlignment="1">
      <alignment vertical="top" wrapText="1"/>
    </xf>
    <xf numFmtId="0" fontId="35" fillId="2" borderId="0" xfId="0" applyNumberFormat="1" applyFont="1" applyFill="1" applyAlignment="1"/>
    <xf numFmtId="0" fontId="6" fillId="0" borderId="0" xfId="0" applyNumberFormat="1" applyFont="1" applyAlignment="1"/>
    <xf numFmtId="165" fontId="34" fillId="2" borderId="0" xfId="0" applyNumberFormat="1" applyFont="1" applyFill="1" applyAlignment="1">
      <alignment horizontal="center"/>
    </xf>
    <xf numFmtId="165" fontId="7" fillId="2" borderId="0" xfId="0" applyNumberFormat="1" applyFont="1" applyFill="1" applyAlignment="1">
      <alignment horizontal="center"/>
    </xf>
    <xf numFmtId="0" fontId="14" fillId="0" borderId="0" xfId="0" applyFont="1" applyFill="1" applyBorder="1" applyAlignment="1">
      <alignment vertical="top" wrapText="1"/>
    </xf>
    <xf numFmtId="0" fontId="14" fillId="0" borderId="0" xfId="0" applyFont="1" applyFill="1" applyBorder="1" applyAlignment="1">
      <alignment wrapText="1"/>
    </xf>
    <xf numFmtId="0" fontId="25" fillId="2" borderId="60" xfId="0" applyNumberFormat="1" applyFont="1" applyFill="1" applyBorder="1" applyAlignment="1">
      <alignment horizontal="center" vertical="center" wrapText="1"/>
    </xf>
    <xf numFmtId="0" fontId="6" fillId="0" borderId="61"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82"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25" fillId="2" borderId="75" xfId="0" applyNumberFormat="1" applyFont="1" applyFill="1" applyBorder="1" applyAlignment="1">
      <alignment wrapText="1"/>
    </xf>
    <xf numFmtId="0" fontId="6" fillId="0" borderId="54" xfId="0" applyNumberFormat="1" applyFont="1" applyBorder="1" applyAlignment="1">
      <alignment wrapText="1"/>
    </xf>
    <xf numFmtId="165" fontId="45" fillId="0" borderId="0" xfId="0" applyNumberFormat="1" applyFont="1" applyFill="1" applyAlignment="1">
      <alignment horizontal="center"/>
    </xf>
    <xf numFmtId="0" fontId="44" fillId="0" borderId="0" xfId="0" applyFont="1" applyFill="1" applyBorder="1" applyAlignment="1">
      <alignment horizontal="center"/>
    </xf>
    <xf numFmtId="165" fontId="7" fillId="2" borderId="33" xfId="0" applyNumberFormat="1" applyFont="1" applyFill="1" applyBorder="1" applyAlignment="1">
      <alignment horizontal="center"/>
    </xf>
    <xf numFmtId="0" fontId="17" fillId="6" borderId="0" xfId="0" applyNumberFormat="1" applyFont="1" applyFill="1" applyAlignment="1"/>
    <xf numFmtId="0" fontId="0" fillId="6" borderId="0" xfId="0" applyNumberFormat="1" applyFill="1" applyBorder="1" applyAlignment="1"/>
    <xf numFmtId="3" fontId="17" fillId="6" borderId="0" xfId="0" applyNumberFormat="1" applyFont="1" applyFill="1" applyBorder="1" applyAlignment="1"/>
    <xf numFmtId="0" fontId="0" fillId="6" borderId="0" xfId="0" applyFill="1" applyBorder="1" applyAlignment="1"/>
    <xf numFmtId="0" fontId="10" fillId="6" borderId="0" xfId="0" applyNumberFormat="1" applyFont="1" applyFill="1" applyBorder="1" applyAlignment="1">
      <alignment horizontal="center"/>
    </xf>
    <xf numFmtId="0" fontId="11" fillId="6" borderId="0" xfId="0" applyNumberFormat="1" applyFont="1" applyFill="1" applyBorder="1" applyAlignment="1">
      <alignment horizontal="center"/>
    </xf>
    <xf numFmtId="0" fontId="4" fillId="4" borderId="0" xfId="0" applyFont="1" applyFill="1" applyBorder="1" applyAlignment="1">
      <alignment vertical="top" wrapText="1"/>
    </xf>
    <xf numFmtId="0" fontId="4" fillId="4" borderId="0" xfId="0" applyFont="1" applyFill="1" applyBorder="1" applyAlignment="1">
      <alignment wrapText="1"/>
    </xf>
    <xf numFmtId="0" fontId="4" fillId="4" borderId="0" xfId="0" applyFont="1" applyFill="1" applyBorder="1" applyAlignment="1">
      <alignment horizontal="left" wrapText="1"/>
    </xf>
    <xf numFmtId="0" fontId="4" fillId="4" borderId="0" xfId="0" applyNumberFormat="1" applyFont="1" applyFill="1" applyBorder="1" applyAlignment="1">
      <alignment horizontal="left" wrapText="1"/>
    </xf>
    <xf numFmtId="165" fontId="66" fillId="4" borderId="0" xfId="0" applyNumberFormat="1" applyFont="1" applyFill="1" applyBorder="1" applyAlignment="1">
      <alignment horizontal="center"/>
    </xf>
    <xf numFmtId="165" fontId="4" fillId="4" borderId="0" xfId="0" applyNumberFormat="1" applyFont="1" applyFill="1" applyAlignment="1">
      <alignment wrapText="1"/>
    </xf>
    <xf numFmtId="165" fontId="44" fillId="0" borderId="0" xfId="0" applyNumberFormat="1" applyFont="1" applyBorder="1" applyAlignment="1">
      <alignment horizontal="center"/>
    </xf>
    <xf numFmtId="0" fontId="43" fillId="0" borderId="0" xfId="0" applyFont="1" applyBorder="1" applyAlignment="1">
      <alignment horizontal="center"/>
    </xf>
    <xf numFmtId="0" fontId="62" fillId="4" borderId="0" xfId="0" applyFont="1" applyFill="1" applyBorder="1" applyAlignment="1">
      <alignment horizontal="left" wrapText="1"/>
    </xf>
    <xf numFmtId="0" fontId="4" fillId="4" borderId="0" xfId="0" applyNumberFormat="1" applyFont="1" applyFill="1" applyAlignment="1">
      <alignment horizontal="left" wrapText="1"/>
    </xf>
    <xf numFmtId="165" fontId="6" fillId="6" borderId="2" xfId="0" applyNumberFormat="1" applyFont="1" applyFill="1" applyBorder="1" applyAlignment="1">
      <alignment horizontal="center"/>
    </xf>
    <xf numFmtId="0" fontId="7" fillId="6" borderId="37" xfId="0" applyNumberFormat="1" applyFont="1" applyFill="1" applyBorder="1" applyAlignment="1"/>
    <xf numFmtId="0" fontId="0" fillId="6" borderId="32" xfId="0" applyNumberFormat="1" applyFill="1" applyBorder="1" applyAlignment="1"/>
    <xf numFmtId="0" fontId="9" fillId="6" borderId="0" xfId="0" applyNumberFormat="1" applyFont="1" applyFill="1" applyBorder="1" applyAlignment="1">
      <alignment horizontal="center"/>
    </xf>
    <xf numFmtId="0" fontId="27" fillId="6" borderId="20" xfId="0" applyNumberFormat="1" applyFont="1" applyFill="1" applyBorder="1" applyAlignment="1">
      <alignment horizontal="center" vertical="center" wrapText="1"/>
    </xf>
    <xf numFmtId="0" fontId="0" fillId="6" borderId="23" xfId="0" applyNumberFormat="1" applyFill="1" applyBorder="1" applyAlignment="1">
      <alignment horizontal="center" vertical="center" wrapText="1"/>
    </xf>
    <xf numFmtId="0" fontId="27" fillId="6" borderId="20" xfId="0" applyNumberFormat="1" applyFont="1" applyFill="1" applyBorder="1" applyAlignment="1">
      <alignment horizontal="center" vertical="center"/>
    </xf>
    <xf numFmtId="0" fontId="0" fillId="6" borderId="18" xfId="0" applyNumberFormat="1" applyFill="1" applyBorder="1" applyAlignment="1">
      <alignment horizontal="center" vertical="center"/>
    </xf>
    <xf numFmtId="0" fontId="27" fillId="6" borderId="18" xfId="0" applyNumberFormat="1" applyFont="1" applyFill="1" applyBorder="1" applyAlignment="1">
      <alignment horizontal="center" vertical="center"/>
    </xf>
    <xf numFmtId="0" fontId="22" fillId="6" borderId="20" xfId="0" applyNumberFormat="1" applyFont="1" applyFill="1" applyBorder="1" applyAlignment="1">
      <alignment horizontal="center" vertical="center" wrapText="1"/>
    </xf>
    <xf numFmtId="0" fontId="22" fillId="6" borderId="18" xfId="0" applyNumberFormat="1" applyFont="1" applyFill="1" applyBorder="1" applyAlignment="1">
      <alignment horizontal="center" vertical="center" wrapText="1"/>
    </xf>
    <xf numFmtId="0" fontId="13" fillId="4" borderId="0" xfId="0" applyFont="1" applyFill="1" applyAlignment="1">
      <alignment vertical="top" wrapText="1"/>
    </xf>
    <xf numFmtId="0" fontId="4" fillId="0" borderId="23" xfId="0" applyNumberFormat="1" applyFont="1" applyBorder="1" applyAlignment="1">
      <alignment horizontal="left"/>
    </xf>
    <xf numFmtId="0" fontId="4" fillId="0" borderId="18" xfId="0" applyNumberFormat="1" applyFont="1" applyBorder="1" applyAlignment="1">
      <alignment horizontal="left"/>
    </xf>
    <xf numFmtId="0" fontId="4" fillId="0" borderId="10" xfId="0" applyNumberFormat="1" applyFont="1" applyBorder="1" applyAlignment="1">
      <alignment horizontal="left"/>
    </xf>
    <xf numFmtId="0" fontId="4" fillId="0" borderId="11" xfId="0" applyNumberFormat="1" applyFont="1" applyBorder="1" applyAlignment="1">
      <alignment horizontal="left"/>
    </xf>
    <xf numFmtId="0" fontId="4" fillId="0" borderId="2" xfId="0" applyNumberFormat="1" applyFont="1" applyBorder="1" applyAlignment="1">
      <alignment horizontal="left"/>
    </xf>
    <xf numFmtId="0" fontId="4" fillId="0" borderId="3" xfId="0" applyNumberFormat="1" applyFont="1" applyBorder="1" applyAlignment="1">
      <alignment horizontal="left"/>
    </xf>
    <xf numFmtId="0" fontId="4" fillId="0" borderId="45" xfId="0" applyNumberFormat="1" applyFont="1" applyBorder="1" applyAlignment="1">
      <alignment horizontal="center"/>
    </xf>
    <xf numFmtId="0" fontId="4" fillId="0" borderId="46" xfId="0" applyNumberFormat="1" applyFont="1" applyBorder="1" applyAlignment="1">
      <alignment horizontal="center"/>
    </xf>
    <xf numFmtId="0" fontId="16" fillId="0" borderId="20" xfId="0" applyNumberFormat="1" applyFont="1" applyBorder="1" applyAlignment="1"/>
    <xf numFmtId="0" fontId="0" fillId="0" borderId="23" xfId="0" applyNumberFormat="1" applyBorder="1" applyAlignment="1"/>
    <xf numFmtId="0" fontId="0" fillId="0" borderId="18" xfId="0" applyNumberFormat="1" applyBorder="1" applyAlignment="1"/>
    <xf numFmtId="0" fontId="4" fillId="0" borderId="92" xfId="0" applyNumberFormat="1" applyFont="1" applyBorder="1" applyAlignment="1"/>
    <xf numFmtId="0" fontId="0" fillId="0" borderId="91" xfId="0" applyNumberFormat="1" applyBorder="1" applyAlignment="1"/>
    <xf numFmtId="0" fontId="0" fillId="0" borderId="135" xfId="0" applyNumberFormat="1" applyBorder="1" applyAlignment="1"/>
    <xf numFmtId="0" fontId="4" fillId="0" borderId="12" xfId="0" applyNumberFormat="1" applyFont="1" applyBorder="1" applyAlignment="1">
      <alignment horizontal="left" indent="3"/>
    </xf>
    <xf numFmtId="0" fontId="4" fillId="0" borderId="39" xfId="0" applyNumberFormat="1" applyFont="1" applyBorder="1" applyAlignment="1">
      <alignment horizontal="left" indent="3"/>
    </xf>
    <xf numFmtId="0" fontId="4" fillId="0" borderId="50" xfId="0" applyNumberFormat="1" applyFont="1" applyBorder="1" applyAlignment="1">
      <alignment horizontal="left" indent="3"/>
    </xf>
    <xf numFmtId="0" fontId="4" fillId="7" borderId="12" xfId="0" applyNumberFormat="1" applyFont="1" applyFill="1" applyBorder="1" applyAlignment="1">
      <alignment horizontal="left" indent="3"/>
    </xf>
    <xf numFmtId="0" fontId="4" fillId="7" borderId="39" xfId="0" applyNumberFormat="1" applyFont="1" applyFill="1" applyBorder="1" applyAlignment="1">
      <alignment horizontal="left" indent="3"/>
    </xf>
    <xf numFmtId="0" fontId="4" fillId="7" borderId="50" xfId="0" applyNumberFormat="1" applyFont="1" applyFill="1" applyBorder="1" applyAlignment="1">
      <alignment horizontal="left" indent="3"/>
    </xf>
    <xf numFmtId="0" fontId="0" fillId="0" borderId="39" xfId="0" applyNumberFormat="1" applyBorder="1" applyAlignment="1">
      <alignment horizontal="left" indent="2"/>
    </xf>
    <xf numFmtId="0" fontId="0" fillId="0" borderId="50" xfId="0" applyNumberFormat="1" applyBorder="1" applyAlignment="1">
      <alignment horizontal="left" indent="2"/>
    </xf>
    <xf numFmtId="0" fontId="13" fillId="0" borderId="23" xfId="0" applyNumberFormat="1" applyFont="1" applyBorder="1" applyAlignment="1"/>
    <xf numFmtId="0" fontId="13" fillId="0" borderId="18" xfId="0" applyNumberFormat="1" applyFont="1" applyBorder="1" applyAlignment="1"/>
    <xf numFmtId="0" fontId="14" fillId="0" borderId="59" xfId="0" applyNumberFormat="1" applyFont="1" applyBorder="1" applyAlignment="1"/>
    <xf numFmtId="0" fontId="14" fillId="0" borderId="7" xfId="0" applyNumberFormat="1" applyFont="1" applyBorder="1" applyAlignment="1"/>
    <xf numFmtId="0" fontId="14" fillId="0" borderId="0" xfId="0" applyNumberFormat="1" applyFont="1" applyBorder="1" applyAlignment="1"/>
    <xf numFmtId="0" fontId="14" fillId="0" borderId="32" xfId="0" applyNumberFormat="1" applyFont="1" applyBorder="1" applyAlignment="1"/>
    <xf numFmtId="0" fontId="14" fillId="0" borderId="33" xfId="0" applyNumberFormat="1" applyFont="1" applyBorder="1" applyAlignment="1"/>
    <xf numFmtId="0" fontId="14" fillId="0" borderId="59" xfId="0" applyNumberFormat="1" applyFont="1" applyBorder="1" applyAlignment="1">
      <alignment vertical="center"/>
    </xf>
    <xf numFmtId="0" fontId="14" fillId="0" borderId="51" xfId="0" applyNumberFormat="1" applyFont="1" applyBorder="1" applyAlignment="1">
      <alignment vertical="center"/>
    </xf>
    <xf numFmtId="0" fontId="14" fillId="0" borderId="6" xfId="0" applyNumberFormat="1" applyFont="1" applyBorder="1" applyAlignment="1">
      <alignment vertical="center"/>
    </xf>
    <xf numFmtId="0" fontId="14" fillId="0" borderId="2" xfId="0" applyNumberFormat="1" applyFont="1" applyBorder="1" applyAlignment="1">
      <alignment vertical="center"/>
    </xf>
    <xf numFmtId="0" fontId="14" fillId="0" borderId="3" xfId="0" applyNumberFormat="1" applyFont="1" applyBorder="1" applyAlignment="1">
      <alignment vertical="center"/>
    </xf>
    <xf numFmtId="0" fontId="14" fillId="0" borderId="59" xfId="0" applyNumberFormat="1" applyFont="1" applyBorder="1" applyAlignment="1">
      <alignment horizontal="center" vertical="center" wrapText="1"/>
    </xf>
    <xf numFmtId="0" fontId="14" fillId="0" borderId="51"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14" fillId="0" borderId="3" xfId="0" applyNumberFormat="1" applyFont="1" applyBorder="1" applyAlignment="1">
      <alignment horizontal="center" vertical="center" wrapText="1"/>
    </xf>
    <xf numFmtId="0" fontId="14" fillId="0" borderId="59" xfId="0" applyNumberFormat="1" applyFont="1" applyBorder="1" applyAlignment="1">
      <alignment vertical="center" wrapText="1"/>
    </xf>
    <xf numFmtId="0" fontId="14" fillId="0" borderId="6" xfId="0" applyNumberFormat="1" applyFont="1" applyBorder="1" applyAlignment="1">
      <alignment vertical="center" wrapText="1"/>
    </xf>
    <xf numFmtId="0" fontId="14" fillId="0" borderId="2" xfId="0" applyNumberFormat="1" applyFont="1" applyBorder="1" applyAlignment="1">
      <alignment vertical="center" wrapText="1"/>
    </xf>
    <xf numFmtId="0" fontId="4" fillId="0" borderId="30" xfId="0" applyNumberFormat="1" applyFont="1" applyBorder="1" applyAlignment="1"/>
    <xf numFmtId="0" fontId="0" fillId="0" borderId="56" xfId="0" applyNumberFormat="1" applyBorder="1" applyAlignment="1"/>
    <xf numFmtId="0" fontId="0" fillId="0" borderId="133" xfId="0" applyNumberFormat="1" applyBorder="1" applyAlignment="1"/>
    <xf numFmtId="0" fontId="0" fillId="0" borderId="53" xfId="0" applyNumberFormat="1" applyBorder="1" applyAlignment="1"/>
    <xf numFmtId="0" fontId="0" fillId="0" borderId="28" xfId="0" applyNumberFormat="1" applyBorder="1" applyAlignment="1"/>
    <xf numFmtId="0" fontId="4" fillId="0" borderId="14" xfId="0" applyNumberFormat="1" applyFont="1" applyBorder="1" applyAlignment="1">
      <alignment horizontal="left" indent="3"/>
    </xf>
    <xf numFmtId="0" fontId="0" fillId="0" borderId="10" xfId="0" applyNumberFormat="1" applyBorder="1" applyAlignment="1">
      <alignment horizontal="left" indent="3"/>
    </xf>
    <xf numFmtId="0" fontId="0" fillId="0" borderId="11" xfId="0" applyNumberFormat="1" applyBorder="1" applyAlignment="1">
      <alignment horizontal="left" indent="3"/>
    </xf>
    <xf numFmtId="0" fontId="0" fillId="0" borderId="39" xfId="0" applyNumberFormat="1" applyBorder="1" applyAlignment="1"/>
    <xf numFmtId="0" fontId="0" fillId="0" borderId="50" xfId="0" applyNumberFormat="1" applyBorder="1" applyAlignment="1"/>
    <xf numFmtId="0" fontId="0" fillId="0" borderId="58" xfId="0" applyNumberFormat="1" applyBorder="1" applyAlignment="1">
      <alignment horizontal="left" indent="2"/>
    </xf>
    <xf numFmtId="0" fontId="0" fillId="0" borderId="134" xfId="0" applyNumberFormat="1" applyBorder="1" applyAlignment="1">
      <alignment horizontal="left" indent="2"/>
    </xf>
    <xf numFmtId="0" fontId="6" fillId="0" borderId="12" xfId="0" applyNumberFormat="1" applyFont="1" applyBorder="1" applyAlignment="1">
      <alignment horizontal="left" indent="2"/>
    </xf>
    <xf numFmtId="0" fontId="6" fillId="0" borderId="39" xfId="0" applyNumberFormat="1" applyFont="1" applyBorder="1" applyAlignment="1">
      <alignment horizontal="left" indent="2"/>
    </xf>
    <xf numFmtId="0" fontId="6" fillId="0" borderId="50" xfId="0" applyNumberFormat="1" applyFont="1" applyBorder="1" applyAlignment="1">
      <alignment horizontal="left" indent="2"/>
    </xf>
    <xf numFmtId="0" fontId="16" fillId="0" borderId="130" xfId="0" applyNumberFormat="1" applyFont="1" applyBorder="1" applyAlignment="1"/>
    <xf numFmtId="0" fontId="0" fillId="0" borderId="131" xfId="0" applyNumberFormat="1" applyBorder="1" applyAlignment="1"/>
    <xf numFmtId="0" fontId="0" fillId="0" borderId="132" xfId="0" applyNumberFormat="1" applyBorder="1" applyAlignment="1"/>
    <xf numFmtId="3" fontId="4" fillId="0" borderId="0" xfId="0" applyNumberFormat="1" applyFont="1" applyAlignment="1">
      <alignment horizontal="center"/>
    </xf>
    <xf numFmtId="0" fontId="15" fillId="0" borderId="0" xfId="10" applyFont="1" applyFill="1" applyAlignment="1">
      <alignment horizontal="left" vertical="top" wrapText="1"/>
    </xf>
    <xf numFmtId="0" fontId="15" fillId="0" borderId="0" xfId="10" applyFill="1" applyAlignment="1">
      <alignment horizontal="left" vertical="top" wrapText="1"/>
    </xf>
    <xf numFmtId="0" fontId="14" fillId="0" borderId="0" xfId="10" applyFont="1" applyFill="1" applyAlignment="1">
      <alignment horizontal="left" wrapText="1"/>
    </xf>
    <xf numFmtId="0" fontId="0" fillId="0" borderId="0" xfId="0" applyFill="1" applyAlignment="1"/>
    <xf numFmtId="0" fontId="0" fillId="0" borderId="0" xfId="0" applyFill="1" applyBorder="1" applyAlignment="1"/>
    <xf numFmtId="0" fontId="14" fillId="0" borderId="0" xfId="10" applyFont="1" applyFill="1" applyAlignment="1">
      <alignment horizontal="left"/>
    </xf>
    <xf numFmtId="0" fontId="33" fillId="0" borderId="0" xfId="10" applyFont="1" applyAlignment="1">
      <alignment horizontal="center"/>
    </xf>
    <xf numFmtId="0" fontId="69" fillId="0" borderId="0" xfId="0" applyFont="1" applyAlignment="1">
      <alignment horizontal="center"/>
    </xf>
    <xf numFmtId="0" fontId="15" fillId="0" borderId="0" xfId="10" applyFont="1" applyAlignment="1">
      <alignment horizontal="center"/>
    </xf>
    <xf numFmtId="0" fontId="15" fillId="0" borderId="2" xfId="10" applyBorder="1" applyAlignment="1">
      <alignment horizontal="center"/>
    </xf>
    <xf numFmtId="0" fontId="22" fillId="0" borderId="1" xfId="10" applyFont="1" applyBorder="1" applyAlignment="1">
      <alignment wrapText="1"/>
    </xf>
    <xf numFmtId="0" fontId="0" fillId="0" borderId="4" xfId="0" applyBorder="1" applyAlignment="1">
      <alignment wrapText="1"/>
    </xf>
    <xf numFmtId="0" fontId="22" fillId="0" borderId="1" xfId="10" applyFont="1" applyBorder="1" applyAlignment="1">
      <alignment horizontal="center" wrapText="1"/>
    </xf>
    <xf numFmtId="0" fontId="0" fillId="0" borderId="4" xfId="0" applyBorder="1" applyAlignment="1">
      <alignment horizontal="center" wrapText="1"/>
    </xf>
    <xf numFmtId="0" fontId="22" fillId="0" borderId="20" xfId="10" applyFont="1" applyBorder="1" applyAlignment="1">
      <alignment horizontal="center" wrapText="1"/>
    </xf>
    <xf numFmtId="0" fontId="0" fillId="0" borderId="23" xfId="0" applyBorder="1" applyAlignment="1">
      <alignment horizontal="center" wrapText="1"/>
    </xf>
    <xf numFmtId="0" fontId="0" fillId="0" borderId="18" xfId="0" applyBorder="1" applyAlignment="1">
      <alignment horizontal="center" wrapText="1"/>
    </xf>
    <xf numFmtId="3" fontId="33" fillId="0" borderId="0" xfId="10" applyNumberFormat="1" applyFont="1" applyAlignment="1">
      <alignment horizontal="center"/>
    </xf>
    <xf numFmtId="0" fontId="15" fillId="0" borderId="0" xfId="10" applyAlignment="1">
      <alignment horizontal="center"/>
    </xf>
    <xf numFmtId="0" fontId="32" fillId="0" borderId="0" xfId="10" applyFont="1" applyAlignment="1">
      <alignment horizontal="center"/>
    </xf>
    <xf numFmtId="0" fontId="69" fillId="0" borderId="0" xfId="0" applyFont="1" applyBorder="1" applyAlignment="1">
      <alignment horizontal="center"/>
    </xf>
    <xf numFmtId="0" fontId="22" fillId="0" borderId="6" xfId="11" applyFont="1" applyFill="1" applyBorder="1" applyAlignment="1">
      <alignment horizontal="center"/>
    </xf>
    <xf numFmtId="0" fontId="22" fillId="0" borderId="3" xfId="11" applyFont="1" applyFill="1" applyBorder="1" applyAlignment="1">
      <alignment horizontal="center"/>
    </xf>
    <xf numFmtId="0" fontId="22" fillId="0" borderId="20" xfId="11" applyFont="1" applyFill="1" applyBorder="1" applyAlignment="1">
      <alignment horizontal="center"/>
    </xf>
    <xf numFmtId="0" fontId="22" fillId="0" borderId="59" xfId="11" applyFont="1" applyFill="1" applyBorder="1" applyAlignment="1"/>
    <xf numFmtId="0" fontId="9" fillId="0" borderId="2" xfId="11" applyFont="1" applyFill="1" applyBorder="1" applyAlignment="1"/>
    <xf numFmtId="0" fontId="57" fillId="0" borderId="60" xfId="11" applyFont="1" applyFill="1" applyBorder="1" applyAlignment="1">
      <alignment horizontal="center" vertical="center" wrapText="1"/>
    </xf>
    <xf numFmtId="1" fontId="22" fillId="0" borderId="60" xfId="11" applyNumberFormat="1" applyFont="1" applyFill="1" applyBorder="1" applyAlignment="1">
      <alignment horizontal="center" vertical="center" wrapText="1"/>
    </xf>
    <xf numFmtId="1" fontId="22" fillId="0" borderId="62" xfId="11" applyNumberFormat="1" applyFont="1" applyFill="1" applyBorder="1" applyAlignment="1">
      <alignment horizontal="center" vertical="center" wrapText="1"/>
    </xf>
    <xf numFmtId="0" fontId="17" fillId="0" borderId="0" xfId="11" applyFont="1" applyAlignment="1"/>
    <xf numFmtId="0" fontId="16" fillId="0" borderId="0" xfId="11" applyFont="1" applyAlignment="1">
      <alignment horizontal="center"/>
    </xf>
    <xf numFmtId="3" fontId="16" fillId="0" borderId="0" xfId="11" applyNumberFormat="1" applyFont="1" applyAlignment="1">
      <alignment horizontal="center"/>
    </xf>
    <xf numFmtId="0" fontId="9" fillId="0" borderId="0" xfId="11" applyFont="1" applyAlignment="1">
      <alignment horizontal="center"/>
    </xf>
    <xf numFmtId="165" fontId="4" fillId="0" borderId="0" xfId="0" applyNumberFormat="1" applyFont="1" applyAlignment="1">
      <alignment horizontal="center"/>
    </xf>
    <xf numFmtId="165" fontId="4" fillId="0" borderId="2" xfId="0" applyNumberFormat="1" applyFont="1" applyBorder="1" applyAlignment="1">
      <alignment horizontal="center"/>
    </xf>
    <xf numFmtId="0" fontId="4" fillId="0" borderId="59" xfId="0" applyNumberFormat="1" applyFont="1" applyBorder="1" applyAlignment="1">
      <alignment horizontal="center" vertical="center" wrapText="1"/>
    </xf>
    <xf numFmtId="0" fontId="4" fillId="0" borderId="51"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22" xfId="0" applyNumberFormat="1" applyFont="1" applyBorder="1" applyAlignment="1">
      <alignment horizontal="center" vertical="center" wrapText="1"/>
    </xf>
    <xf numFmtId="0" fontId="4" fillId="0" borderId="59" xfId="0" applyNumberFormat="1" applyFont="1" applyBorder="1" applyAlignment="1">
      <alignment horizontal="center" vertical="center"/>
    </xf>
    <xf numFmtId="0" fontId="4" fillId="0" borderId="51"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Alignment="1">
      <alignment horizontal="center"/>
    </xf>
    <xf numFmtId="165" fontId="26" fillId="4" borderId="0" xfId="0" applyNumberFormat="1" applyFont="1" applyFill="1" applyBorder="1" applyAlignment="1">
      <alignment vertical="top" wrapText="1"/>
    </xf>
    <xf numFmtId="0" fontId="4" fillId="0" borderId="0" xfId="0" applyNumberFormat="1" applyFont="1" applyAlignment="1">
      <alignment horizontal="center"/>
    </xf>
    <xf numFmtId="0" fontId="4" fillId="0" borderId="0" xfId="0" applyNumberFormat="1" applyFont="1" applyBorder="1" applyAlignment="1">
      <alignment horizontal="center"/>
    </xf>
    <xf numFmtId="0" fontId="4" fillId="0" borderId="59" xfId="0" applyNumberFormat="1" applyFont="1" applyBorder="1" applyAlignment="1"/>
    <xf numFmtId="0" fontId="4" fillId="0" borderId="32" xfId="0" applyNumberFormat="1" applyFont="1" applyBorder="1" applyAlignment="1"/>
    <xf numFmtId="0" fontId="4" fillId="0" borderId="33" xfId="0" applyNumberFormat="1" applyFont="1" applyBorder="1" applyAlignment="1"/>
    <xf numFmtId="0" fontId="4" fillId="0" borderId="23" xfId="0" applyNumberFormat="1" applyFont="1" applyBorder="1" applyAlignment="1">
      <alignment horizontal="center"/>
    </xf>
    <xf numFmtId="0" fontId="4" fillId="0" borderId="18" xfId="0" applyNumberFormat="1" applyFont="1" applyBorder="1" applyAlignment="1">
      <alignment horizontal="center"/>
    </xf>
    <xf numFmtId="0" fontId="4" fillId="0" borderId="49" xfId="0" applyNumberFormat="1" applyFont="1" applyBorder="1" applyAlignment="1">
      <alignment horizontal="left"/>
    </xf>
    <xf numFmtId="0" fontId="4" fillId="0" borderId="50" xfId="0" applyNumberFormat="1" applyFont="1" applyBorder="1" applyAlignment="1">
      <alignment horizontal="left"/>
    </xf>
    <xf numFmtId="0" fontId="4" fillId="0" borderId="37" xfId="0" applyNumberFormat="1" applyFont="1" applyBorder="1" applyAlignment="1">
      <alignment horizontal="center"/>
    </xf>
    <xf numFmtId="0" fontId="4" fillId="0" borderId="51" xfId="0" applyNumberFormat="1" applyFont="1" applyBorder="1" applyAlignment="1">
      <alignment horizontal="center"/>
    </xf>
    <xf numFmtId="3" fontId="73" fillId="2" borderId="0" xfId="0" applyNumberFormat="1" applyFont="1" applyFill="1" applyBorder="1" applyAlignment="1">
      <alignment horizontal="center"/>
    </xf>
    <xf numFmtId="0" fontId="21" fillId="4" borderId="0" xfId="0" applyFont="1" applyFill="1" applyBorder="1" applyAlignment="1">
      <alignment horizontal="center"/>
    </xf>
    <xf numFmtId="0" fontId="14" fillId="4" borderId="0" xfId="0" applyFont="1" applyFill="1" applyBorder="1" applyAlignment="1">
      <alignment horizontal="left" vertical="top" wrapText="1"/>
    </xf>
    <xf numFmtId="0" fontId="34" fillId="2" borderId="151" xfId="0" applyNumberFormat="1" applyFont="1" applyFill="1" applyBorder="1" applyAlignment="1">
      <alignment horizontal="center" wrapText="1"/>
    </xf>
    <xf numFmtId="0" fontId="0" fillId="0" borderId="147" xfId="0" applyBorder="1" applyAlignment="1">
      <alignment horizontal="center"/>
    </xf>
    <xf numFmtId="0" fontId="34" fillId="2" borderId="148" xfId="0" applyNumberFormat="1" applyFont="1" applyFill="1" applyBorder="1" applyAlignment="1">
      <alignment horizontal="center" wrapText="1"/>
    </xf>
    <xf numFmtId="0" fontId="34" fillId="2" borderId="147" xfId="0" applyNumberFormat="1" applyFont="1" applyFill="1" applyBorder="1" applyAlignment="1">
      <alignment horizontal="center" wrapText="1"/>
    </xf>
    <xf numFmtId="3" fontId="7" fillId="6" borderId="150" xfId="0" applyNumberFormat="1" applyFont="1" applyFill="1" applyBorder="1" applyAlignment="1">
      <alignment horizontal="center"/>
    </xf>
    <xf numFmtId="0" fontId="0" fillId="0" borderId="7" xfId="0" applyBorder="1" applyAlignment="1"/>
    <xf numFmtId="0" fontId="0" fillId="0" borderId="32" xfId="0" applyBorder="1" applyAlignment="1"/>
    <xf numFmtId="0" fontId="34" fillId="2" borderId="150" xfId="0" applyNumberFormat="1" applyFont="1" applyFill="1" applyBorder="1" applyAlignment="1">
      <alignment horizontal="center" wrapText="1"/>
    </xf>
    <xf numFmtId="0" fontId="0" fillId="0" borderId="149" xfId="0" applyBorder="1" applyAlignment="1">
      <alignment horizontal="center"/>
    </xf>
    <xf numFmtId="0" fontId="0" fillId="0" borderId="7" xfId="0" applyBorder="1" applyAlignment="1">
      <alignment horizontal="center"/>
    </xf>
    <xf numFmtId="0" fontId="0" fillId="0" borderId="22"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3" fontId="25" fillId="6" borderId="147" xfId="0" applyNumberFormat="1" applyFont="1" applyFill="1" applyBorder="1" applyAlignment="1">
      <alignment horizontal="center"/>
    </xf>
    <xf numFmtId="3" fontId="25" fillId="6" borderId="148" xfId="0" applyNumberFormat="1" applyFont="1" applyFill="1" applyBorder="1" applyAlignment="1">
      <alignment horizontal="center"/>
    </xf>
    <xf numFmtId="3" fontId="7" fillId="6" borderId="0" xfId="0" applyNumberFormat="1" applyFont="1" applyFill="1" applyBorder="1" applyAlignment="1">
      <alignment horizontal="center"/>
    </xf>
    <xf numFmtId="3" fontId="7" fillId="6" borderId="0" xfId="0" applyNumberFormat="1" applyFont="1" applyFill="1" applyAlignment="1">
      <alignment horizontal="center"/>
    </xf>
    <xf numFmtId="0" fontId="10" fillId="6" borderId="0" xfId="0" applyNumberFormat="1" applyFont="1" applyFill="1" applyAlignment="1">
      <alignment horizontal="center"/>
    </xf>
    <xf numFmtId="0" fontId="11" fillId="6" borderId="0" xfId="0" applyNumberFormat="1" applyFont="1" applyFill="1" applyAlignment="1">
      <alignment horizontal="center"/>
    </xf>
    <xf numFmtId="0" fontId="9" fillId="6" borderId="0" xfId="0" applyNumberFormat="1" applyFont="1" applyFill="1" applyAlignment="1">
      <alignment horizontal="center"/>
    </xf>
    <xf numFmtId="165" fontId="4" fillId="4" borderId="0" xfId="0" applyNumberFormat="1" applyFont="1" applyFill="1" applyBorder="1" applyAlignment="1">
      <alignment wrapText="1"/>
    </xf>
    <xf numFmtId="165" fontId="4" fillId="6" borderId="2" xfId="0" applyNumberFormat="1" applyFont="1" applyFill="1" applyBorder="1" applyAlignment="1">
      <alignment horizontal="center"/>
    </xf>
    <xf numFmtId="165" fontId="4" fillId="0" borderId="0" xfId="0" applyNumberFormat="1" applyFont="1" applyAlignment="1">
      <alignment horizontal="left" wrapText="1"/>
    </xf>
    <xf numFmtId="0" fontId="4" fillId="0" borderId="150" xfId="0" applyNumberFormat="1" applyFont="1" applyBorder="1" applyAlignment="1">
      <alignment horizontal="center" vertical="center" wrapText="1"/>
    </xf>
    <xf numFmtId="0" fontId="14" fillId="0" borderId="166" xfId="0" applyNumberFormat="1" applyFont="1" applyBorder="1" applyAlignment="1">
      <alignment horizontal="center" vertical="center" wrapText="1"/>
    </xf>
    <xf numFmtId="0" fontId="14" fillId="0" borderId="149" xfId="0" applyNumberFormat="1" applyFont="1" applyBorder="1" applyAlignment="1">
      <alignment horizontal="center" vertical="center" wrapText="1"/>
    </xf>
    <xf numFmtId="0" fontId="4" fillId="0" borderId="12" xfId="0" applyNumberFormat="1" applyFont="1" applyBorder="1" applyAlignment="1">
      <alignment wrapText="1"/>
    </xf>
    <xf numFmtId="0" fontId="4" fillId="0" borderId="39" xfId="0" applyFont="1" applyBorder="1" applyAlignment="1">
      <alignment wrapText="1"/>
    </xf>
    <xf numFmtId="0" fontId="4" fillId="0" borderId="50" xfId="0" applyFont="1" applyBorder="1" applyAlignment="1">
      <alignment wrapText="1"/>
    </xf>
    <xf numFmtId="0" fontId="4" fillId="0" borderId="7" xfId="0" applyNumberFormat="1" applyFont="1" applyBorder="1" applyAlignment="1"/>
    <xf numFmtId="0" fontId="4" fillId="0" borderId="0" xfId="0" applyNumberFormat="1" applyFont="1" applyBorder="1" applyAlignment="1"/>
    <xf numFmtId="0" fontId="4" fillId="0" borderId="6"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59" xfId="0" applyNumberFormat="1" applyFont="1" applyBorder="1" applyAlignment="1">
      <alignment vertical="center"/>
    </xf>
    <xf numFmtId="0" fontId="4" fillId="0" borderId="51" xfId="0" applyNumberFormat="1" applyFont="1" applyBorder="1" applyAlignment="1">
      <alignment vertical="center"/>
    </xf>
    <xf numFmtId="0" fontId="4" fillId="0" borderId="6" xfId="0" applyNumberFormat="1" applyFont="1" applyBorder="1" applyAlignment="1">
      <alignment vertical="center"/>
    </xf>
    <xf numFmtId="0" fontId="4" fillId="0" borderId="2" xfId="0" applyNumberFormat="1" applyFont="1" applyBorder="1" applyAlignment="1">
      <alignment vertical="center"/>
    </xf>
    <xf numFmtId="0" fontId="4" fillId="0" borderId="3" xfId="0" applyNumberFormat="1" applyFont="1" applyBorder="1" applyAlignment="1">
      <alignment vertical="center"/>
    </xf>
    <xf numFmtId="0" fontId="4" fillId="0" borderId="59" xfId="0" applyNumberFormat="1" applyFont="1" applyBorder="1" applyAlignment="1">
      <alignment vertical="center" wrapText="1"/>
    </xf>
    <xf numFmtId="0" fontId="4" fillId="0" borderId="6" xfId="0" applyNumberFormat="1" applyFont="1" applyBorder="1" applyAlignment="1">
      <alignment vertical="center" wrapText="1"/>
    </xf>
    <xf numFmtId="0" fontId="4" fillId="0" borderId="2" xfId="0" applyNumberFormat="1" applyFont="1" applyBorder="1" applyAlignment="1">
      <alignment vertical="center" wrapText="1"/>
    </xf>
    <xf numFmtId="0" fontId="4" fillId="0" borderId="22" xfId="0" applyNumberFormat="1" applyFont="1" applyBorder="1" applyAlignment="1">
      <alignment horizontal="center"/>
    </xf>
    <xf numFmtId="0" fontId="16" fillId="0" borderId="150" xfId="0" applyNumberFormat="1" applyFont="1" applyBorder="1" applyAlignment="1"/>
    <xf numFmtId="0" fontId="4" fillId="0" borderId="166" xfId="0" applyNumberFormat="1" applyFont="1" applyBorder="1" applyAlignment="1"/>
    <xf numFmtId="0" fontId="4" fillId="0" borderId="127" xfId="0" applyNumberFormat="1" applyFont="1" applyBorder="1" applyAlignment="1"/>
    <xf numFmtId="0" fontId="4" fillId="0" borderId="167" xfId="0" applyNumberFormat="1" applyFont="1" applyBorder="1" applyAlignment="1"/>
    <xf numFmtId="0" fontId="4" fillId="0" borderId="166" xfId="0" applyNumberFormat="1" applyFont="1" applyBorder="1" applyAlignment="1">
      <alignment horizontal="center" vertical="center" wrapText="1"/>
    </xf>
    <xf numFmtId="0" fontId="4" fillId="0" borderId="149" xfId="0" applyNumberFormat="1" applyFont="1" applyBorder="1" applyAlignment="1">
      <alignment horizontal="center" vertical="center" wrapText="1"/>
    </xf>
    <xf numFmtId="0" fontId="4" fillId="0" borderId="166" xfId="0" applyNumberFormat="1" applyFont="1" applyBorder="1" applyAlignment="1">
      <alignment vertical="center"/>
    </xf>
    <xf numFmtId="0" fontId="4" fillId="0" borderId="149" xfId="0" applyNumberFormat="1" applyFont="1" applyBorder="1" applyAlignment="1">
      <alignment vertical="center"/>
    </xf>
    <xf numFmtId="0" fontId="4" fillId="0" borderId="166" xfId="0" applyNumberFormat="1" applyFont="1" applyBorder="1" applyAlignment="1">
      <alignment vertical="center" wrapText="1"/>
    </xf>
    <xf numFmtId="0" fontId="4" fillId="0" borderId="20" xfId="0" applyNumberFormat="1" applyFont="1" applyFill="1" applyBorder="1" applyAlignment="1"/>
    <xf numFmtId="0" fontId="4" fillId="0" borderId="23" xfId="0" applyNumberFormat="1" applyFont="1" applyFill="1" applyBorder="1" applyAlignment="1"/>
    <xf numFmtId="0" fontId="4" fillId="0" borderId="18" xfId="0" applyNumberFormat="1" applyFont="1" applyFill="1" applyBorder="1" applyAlignment="1"/>
    <xf numFmtId="0" fontId="4" fillId="0" borderId="0" xfId="0" applyNumberFormat="1" applyFont="1" applyFill="1" applyBorder="1" applyAlignment="1">
      <alignment wrapText="1"/>
    </xf>
    <xf numFmtId="0" fontId="4" fillId="0" borderId="18" xfId="0" applyNumberFormat="1" applyFont="1" applyBorder="1" applyAlignment="1"/>
    <xf numFmtId="0" fontId="16" fillId="0" borderId="35" xfId="0" applyNumberFormat="1" applyFont="1" applyBorder="1" applyAlignment="1"/>
    <xf numFmtId="0" fontId="4" fillId="0" borderId="48" xfId="0" applyNumberFormat="1" applyFont="1" applyBorder="1" applyAlignment="1"/>
    <xf numFmtId="0" fontId="16" fillId="0" borderId="12" xfId="0" applyNumberFormat="1" applyFont="1" applyBorder="1" applyAlignment="1"/>
    <xf numFmtId="0" fontId="16" fillId="0" borderId="25" xfId="0" applyNumberFormat="1" applyFont="1" applyBorder="1" applyAlignment="1">
      <alignment horizontal="left" indent="2"/>
    </xf>
    <xf numFmtId="0" fontId="4" fillId="0" borderId="26" xfId="0" applyNumberFormat="1" applyFont="1" applyBorder="1" applyAlignment="1">
      <alignment horizontal="left" indent="2"/>
    </xf>
    <xf numFmtId="0" fontId="4" fillId="0" borderId="91" xfId="0" applyNumberFormat="1" applyFont="1" applyBorder="1" applyAlignment="1"/>
    <xf numFmtId="0" fontId="22" fillId="0" borderId="79" xfId="10" applyFont="1" applyBorder="1" applyAlignment="1"/>
    <xf numFmtId="0" fontId="9" fillId="0" borderId="9" xfId="0" applyFont="1" applyBorder="1" applyAlignment="1"/>
    <xf numFmtId="0" fontId="22" fillId="0" borderId="79" xfId="10" applyFont="1" applyBorder="1" applyAlignment="1">
      <alignment horizontal="center" wrapText="1"/>
    </xf>
    <xf numFmtId="0" fontId="9" fillId="0" borderId="9" xfId="0" applyFont="1" applyBorder="1" applyAlignment="1">
      <alignment horizontal="center" wrapText="1"/>
    </xf>
    <xf numFmtId="0" fontId="22" fillId="0" borderId="20" xfId="10" applyFont="1" applyBorder="1" applyAlignment="1">
      <alignment horizontal="center"/>
    </xf>
    <xf numFmtId="0" fontId="9" fillId="0" borderId="23" xfId="0" applyFont="1" applyBorder="1" applyAlignment="1">
      <alignment horizontal="center"/>
    </xf>
    <xf numFmtId="0" fontId="9" fillId="0" borderId="18" xfId="0" applyFont="1" applyBorder="1" applyAlignment="1">
      <alignment horizontal="center"/>
    </xf>
    <xf numFmtId="0" fontId="9" fillId="0" borderId="4" xfId="0" applyFont="1" applyBorder="1" applyAlignment="1">
      <alignment wrapText="1"/>
    </xf>
    <xf numFmtId="0" fontId="9" fillId="0" borderId="4" xfId="0" applyFont="1" applyBorder="1" applyAlignment="1">
      <alignment horizontal="center" wrapText="1"/>
    </xf>
    <xf numFmtId="0" fontId="0" fillId="0" borderId="0" xfId="0" applyAlignment="1">
      <alignment horizontal="center"/>
    </xf>
    <xf numFmtId="0" fontId="15" fillId="0" borderId="0" xfId="0" applyFont="1" applyFill="1" applyBorder="1" applyAlignment="1">
      <alignment vertical="top" wrapText="1"/>
    </xf>
    <xf numFmtId="3" fontId="4" fillId="0" borderId="0" xfId="11" applyNumberFormat="1" applyFont="1" applyAlignment="1">
      <alignment horizontal="center"/>
    </xf>
    <xf numFmtId="0" fontId="14" fillId="0" borderId="0" xfId="0" applyFont="1" applyBorder="1" applyAlignment="1">
      <alignment horizontal="center"/>
    </xf>
    <xf numFmtId="42" fontId="14" fillId="4" borderId="0" xfId="0" applyNumberFormat="1" applyFont="1" applyFill="1" applyBorder="1" applyAlignment="1">
      <alignment wrapText="1"/>
    </xf>
    <xf numFmtId="165" fontId="44" fillId="0" borderId="0" xfId="0" applyNumberFormat="1" applyFont="1" applyAlignment="1">
      <alignment horizontal="center"/>
    </xf>
    <xf numFmtId="0" fontId="25" fillId="2" borderId="169" xfId="0" applyNumberFormat="1" applyFont="1" applyFill="1" applyBorder="1" applyAlignment="1">
      <alignment horizontal="center" wrapText="1"/>
    </xf>
    <xf numFmtId="0" fontId="0" fillId="0" borderId="170" xfId="0" applyBorder="1" applyAlignment="1">
      <alignment horizontal="center" wrapText="1"/>
    </xf>
    <xf numFmtId="0" fontId="16" fillId="6" borderId="175" xfId="0" applyNumberFormat="1" applyFont="1" applyFill="1" applyBorder="1" applyAlignment="1">
      <alignment horizontal="center"/>
    </xf>
    <xf numFmtId="0" fontId="0" fillId="0" borderId="176" xfId="0" applyBorder="1" applyAlignment="1">
      <alignment horizontal="center"/>
    </xf>
    <xf numFmtId="0" fontId="25" fillId="2" borderId="175" xfId="0" applyNumberFormat="1" applyFont="1" applyFill="1" applyBorder="1" applyAlignment="1">
      <alignment horizontal="center" wrapText="1"/>
    </xf>
    <xf numFmtId="0" fontId="0" fillId="0" borderId="177" xfId="0" applyBorder="1" applyAlignment="1">
      <alignment wrapText="1"/>
    </xf>
    <xf numFmtId="0" fontId="0" fillId="0" borderId="176" xfId="0" applyBorder="1" applyAlignment="1">
      <alignment wrapText="1"/>
    </xf>
    <xf numFmtId="0" fontId="16" fillId="6" borderId="164" xfId="0" applyNumberFormat="1" applyFont="1" applyFill="1" applyBorder="1" applyAlignment="1">
      <alignment horizontal="center"/>
    </xf>
    <xf numFmtId="0" fontId="0" fillId="0" borderId="163" xfId="0" applyBorder="1" applyAlignment="1">
      <alignment horizontal="center"/>
    </xf>
    <xf numFmtId="0" fontId="25" fillId="2" borderId="179" xfId="0" applyNumberFormat="1" applyFont="1" applyFill="1" applyBorder="1" applyAlignment="1">
      <alignment horizontal="center" wrapText="1"/>
    </xf>
    <xf numFmtId="0" fontId="0" fillId="0" borderId="179" xfId="0" applyBorder="1" applyAlignment="1">
      <alignment wrapText="1"/>
    </xf>
    <xf numFmtId="0" fontId="0" fillId="0" borderId="170" xfId="0" applyBorder="1" applyAlignment="1">
      <alignment wrapText="1"/>
    </xf>
    <xf numFmtId="0" fontId="0" fillId="0" borderId="171" xfId="0" applyBorder="1" applyAlignment="1">
      <alignment horizontal="center" wrapText="1"/>
    </xf>
    <xf numFmtId="0" fontId="25" fillId="6" borderId="123" xfId="0" applyNumberFormat="1" applyFont="1" applyFill="1" applyBorder="1" applyAlignment="1">
      <alignment horizontal="center" wrapText="1"/>
    </xf>
    <xf numFmtId="0" fontId="14" fillId="6" borderId="109" xfId="0" applyFont="1" applyFill="1" applyBorder="1" applyAlignment="1"/>
    <xf numFmtId="0" fontId="0" fillId="0" borderId="176" xfId="0" applyBorder="1" applyAlignment="1">
      <alignment horizontal="center" wrapText="1"/>
    </xf>
    <xf numFmtId="0" fontId="0" fillId="0" borderId="178" xfId="0" applyBorder="1" applyAlignment="1">
      <alignment horizontal="center"/>
    </xf>
    <xf numFmtId="0" fontId="25" fillId="2" borderId="1" xfId="0" applyNumberFormat="1" applyFont="1" applyFill="1" applyBorder="1" applyAlignment="1">
      <alignment wrapText="1"/>
    </xf>
    <xf numFmtId="0" fontId="25" fillId="2" borderId="5" xfId="0" applyNumberFormat="1" applyFont="1" applyFill="1" applyBorder="1" applyAlignment="1">
      <alignment wrapText="1"/>
    </xf>
    <xf numFmtId="0" fontId="4" fillId="0" borderId="5" xfId="0" applyNumberFormat="1" applyFont="1" applyBorder="1" applyAlignment="1">
      <alignment wrapText="1"/>
    </xf>
    <xf numFmtId="0" fontId="4" fillId="0" borderId="54" xfId="0" applyNumberFormat="1" applyFont="1" applyBorder="1" applyAlignment="1">
      <alignment wrapText="1"/>
    </xf>
    <xf numFmtId="0" fontId="25" fillId="2" borderId="67" xfId="0" applyNumberFormat="1" applyFont="1" applyFill="1" applyBorder="1" applyAlignment="1">
      <alignment horizontal="center" wrapText="1"/>
    </xf>
    <xf numFmtId="0" fontId="0" fillId="0" borderId="69" xfId="0" applyBorder="1" applyAlignment="1">
      <alignment horizontal="center" wrapText="1"/>
    </xf>
    <xf numFmtId="0" fontId="16" fillId="6" borderId="176" xfId="0" applyNumberFormat="1" applyFont="1" applyFill="1" applyBorder="1" applyAlignment="1">
      <alignment horizontal="center"/>
    </xf>
    <xf numFmtId="0" fontId="0" fillId="0" borderId="68" xfId="0" applyBorder="1" applyAlignment="1">
      <alignment horizontal="center" wrapText="1"/>
    </xf>
    <xf numFmtId="0" fontId="25" fillId="2" borderId="93" xfId="0" applyNumberFormat="1" applyFont="1" applyFill="1" applyBorder="1" applyAlignment="1">
      <alignment horizontal="center" wrapText="1"/>
    </xf>
    <xf numFmtId="0" fontId="0" fillId="0" borderId="110" xfId="0" applyBorder="1" applyAlignment="1">
      <alignment horizontal="center" wrapText="1"/>
    </xf>
    <xf numFmtId="0" fontId="16" fillId="6" borderId="123" xfId="0" applyNumberFormat="1" applyFont="1" applyFill="1" applyBorder="1" applyAlignment="1">
      <alignment horizontal="center"/>
    </xf>
    <xf numFmtId="0" fontId="0" fillId="0" borderId="55" xfId="0" applyBorder="1" applyAlignment="1">
      <alignment horizontal="center"/>
    </xf>
    <xf numFmtId="0" fontId="0" fillId="0" borderId="109" xfId="0" applyBorder="1" applyAlignment="1">
      <alignment horizontal="center"/>
    </xf>
    <xf numFmtId="0" fontId="25" fillId="2" borderId="165" xfId="0" applyNumberFormat="1" applyFont="1" applyFill="1" applyBorder="1" applyAlignment="1">
      <alignment horizontal="center" wrapText="1"/>
    </xf>
    <xf numFmtId="0" fontId="0" fillId="0" borderId="161" xfId="0" applyBorder="1" applyAlignment="1">
      <alignment horizontal="center" wrapText="1"/>
    </xf>
    <xf numFmtId="0" fontId="0" fillId="0" borderId="160" xfId="0" applyBorder="1" applyAlignment="1">
      <alignment horizontal="center" wrapText="1"/>
    </xf>
    <xf numFmtId="0" fontId="25" fillId="2" borderId="97" xfId="0" applyNumberFormat="1" applyFont="1" applyFill="1" applyBorder="1" applyAlignment="1">
      <alignment horizontal="center" wrapText="1"/>
    </xf>
    <xf numFmtId="0" fontId="25" fillId="2" borderId="113" xfId="0" applyNumberFormat="1" applyFont="1" applyFill="1" applyBorder="1" applyAlignment="1">
      <alignment horizontal="center" wrapText="1"/>
    </xf>
    <xf numFmtId="0" fontId="25" fillId="2" borderId="0" xfId="0" applyNumberFormat="1" applyFont="1" applyFill="1" applyBorder="1" applyAlignment="1">
      <alignment horizontal="center" wrapText="1"/>
    </xf>
    <xf numFmtId="0" fontId="16" fillId="6" borderId="93" xfId="0" applyNumberFormat="1" applyFont="1" applyFill="1" applyBorder="1" applyAlignment="1">
      <alignment horizontal="center"/>
    </xf>
    <xf numFmtId="0" fontId="0" fillId="0" borderId="110" xfId="0" applyBorder="1" applyAlignment="1">
      <alignment horizontal="center"/>
    </xf>
    <xf numFmtId="0" fontId="0" fillId="0" borderId="97" xfId="0" applyBorder="1" applyAlignment="1">
      <alignment horizontal="center"/>
    </xf>
    <xf numFmtId="0" fontId="0" fillId="0" borderId="113" xfId="0"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25" fillId="2" borderId="123" xfId="0" applyNumberFormat="1" applyFont="1" applyFill="1" applyBorder="1" applyAlignment="1">
      <alignment horizontal="center" wrapText="1"/>
    </xf>
    <xf numFmtId="0" fontId="4" fillId="0" borderId="55" xfId="0" applyNumberFormat="1" applyFont="1" applyBorder="1" applyAlignment="1">
      <alignment horizontal="center" wrapText="1"/>
    </xf>
    <xf numFmtId="0" fontId="25" fillId="2" borderId="170" xfId="0" applyNumberFormat="1" applyFont="1" applyFill="1" applyBorder="1" applyAlignment="1">
      <alignment horizontal="center" wrapText="1"/>
    </xf>
    <xf numFmtId="3" fontId="76" fillId="6" borderId="0" xfId="0" applyNumberFormat="1" applyFont="1" applyFill="1" applyBorder="1" applyAlignment="1">
      <alignment horizontal="center"/>
    </xf>
    <xf numFmtId="0" fontId="43" fillId="6" borderId="0" xfId="0" applyFont="1" applyFill="1" applyBorder="1" applyAlignment="1">
      <alignment horizontal="center"/>
    </xf>
    <xf numFmtId="0" fontId="25" fillId="2" borderId="93" xfId="0" applyNumberFormat="1" applyFont="1" applyFill="1" applyBorder="1" applyAlignment="1">
      <alignment wrapText="1"/>
    </xf>
    <xf numFmtId="0" fontId="25" fillId="2" borderId="122" xfId="0" applyNumberFormat="1" applyFont="1" applyFill="1" applyBorder="1" applyAlignment="1">
      <alignment wrapText="1"/>
    </xf>
    <xf numFmtId="0" fontId="4" fillId="0" borderId="122" xfId="0" applyNumberFormat="1" applyFont="1" applyBorder="1" applyAlignment="1">
      <alignment wrapText="1"/>
    </xf>
    <xf numFmtId="0" fontId="4" fillId="0" borderId="136" xfId="0" applyNumberFormat="1" applyFont="1" applyBorder="1" applyAlignment="1">
      <alignment horizontal="center" wrapText="1"/>
    </xf>
    <xf numFmtId="0" fontId="25" fillId="2" borderId="121" xfId="0" applyNumberFormat="1" applyFont="1" applyFill="1" applyBorder="1" applyAlignment="1">
      <alignment wrapText="1"/>
    </xf>
    <xf numFmtId="0" fontId="4" fillId="0" borderId="99" xfId="0" applyNumberFormat="1" applyFont="1" applyBorder="1" applyAlignment="1">
      <alignment wrapText="1"/>
    </xf>
    <xf numFmtId="3" fontId="7" fillId="6" borderId="55" xfId="0" applyNumberFormat="1" applyFont="1" applyFill="1" applyBorder="1" applyAlignment="1">
      <alignment horizontal="center"/>
    </xf>
    <xf numFmtId="0" fontId="25" fillId="6" borderId="162" xfId="0" applyNumberFormat="1" applyFont="1" applyFill="1" applyBorder="1" applyAlignment="1">
      <alignment horizontal="center" wrapText="1"/>
    </xf>
    <xf numFmtId="0" fontId="0" fillId="0" borderId="163" xfId="0" applyBorder="1" applyAlignment="1"/>
    <xf numFmtId="0" fontId="0" fillId="0" borderId="168" xfId="0" applyBorder="1" applyAlignment="1"/>
    <xf numFmtId="0" fontId="25" fillId="2" borderId="20" xfId="0" applyNumberFormat="1" applyFont="1" applyFill="1" applyBorder="1" applyAlignment="1">
      <alignment horizontal="center" wrapText="1"/>
    </xf>
    <xf numFmtId="0" fontId="25" fillId="2" borderId="23" xfId="0" applyNumberFormat="1" applyFont="1" applyFill="1" applyBorder="1" applyAlignment="1">
      <alignment horizontal="center" wrapText="1"/>
    </xf>
    <xf numFmtId="0" fontId="25" fillId="2" borderId="18" xfId="0" applyNumberFormat="1" applyFont="1" applyFill="1" applyBorder="1" applyAlignment="1">
      <alignment horizontal="center" wrapText="1"/>
    </xf>
    <xf numFmtId="165" fontId="87" fillId="7" borderId="0" xfId="0" applyNumberFormat="1" applyFont="1" applyFill="1" applyBorder="1" applyAlignment="1"/>
    <xf numFmtId="0" fontId="0" fillId="7" borderId="0" xfId="0" applyFill="1" applyAlignment="1"/>
    <xf numFmtId="165" fontId="13" fillId="0" borderId="0" xfId="0" applyNumberFormat="1" applyFont="1" applyFill="1" applyAlignment="1">
      <alignment wrapText="1"/>
    </xf>
    <xf numFmtId="0" fontId="14" fillId="0" borderId="0" xfId="0" applyFont="1" applyFill="1" applyAlignment="1">
      <alignment wrapText="1"/>
    </xf>
    <xf numFmtId="165" fontId="13" fillId="0" borderId="0" xfId="0" applyNumberFormat="1" applyFont="1" applyFill="1" applyAlignment="1">
      <alignment horizontal="center" wrapText="1"/>
    </xf>
    <xf numFmtId="165" fontId="14" fillId="0" borderId="0" xfId="0" applyNumberFormat="1" applyFont="1" applyFill="1" applyAlignment="1">
      <alignment wrapText="1"/>
    </xf>
    <xf numFmtId="0" fontId="4" fillId="0" borderId="59" xfId="0" applyNumberFormat="1" applyFont="1" applyBorder="1" applyAlignment="1">
      <alignment horizontal="center"/>
    </xf>
    <xf numFmtId="0" fontId="4" fillId="0" borderId="12" xfId="0" applyNumberFormat="1" applyFont="1" applyFill="1" applyBorder="1" applyAlignment="1">
      <alignment horizontal="left" indent="3"/>
    </xf>
    <xf numFmtId="0" fontId="0" fillId="0" borderId="39" xfId="0" applyNumberFormat="1" applyBorder="1" applyAlignment="1">
      <alignment horizontal="left" indent="3"/>
    </xf>
    <xf numFmtId="0" fontId="4" fillId="0" borderId="12" xfId="0" applyNumberFormat="1" applyFont="1" applyBorder="1" applyAlignment="1">
      <alignment horizontal="left" indent="1"/>
    </xf>
    <xf numFmtId="0" fontId="0" fillId="0" borderId="39" xfId="0" applyNumberFormat="1" applyBorder="1" applyAlignment="1">
      <alignment horizontal="left" indent="1"/>
    </xf>
    <xf numFmtId="0" fontId="15" fillId="0" borderId="39" xfId="0" applyNumberFormat="1" applyFont="1" applyBorder="1" applyAlignment="1">
      <alignment horizontal="left"/>
    </xf>
    <xf numFmtId="3" fontId="4" fillId="0" borderId="0" xfId="0" applyNumberFormat="1" applyFont="1" applyFill="1" applyAlignment="1">
      <alignment wrapText="1"/>
    </xf>
    <xf numFmtId="0" fontId="14" fillId="4" borderId="0" xfId="10" applyFont="1" applyFill="1" applyAlignment="1">
      <alignment horizontal="left"/>
    </xf>
    <xf numFmtId="0" fontId="22" fillId="0" borderId="1" xfId="10" applyFont="1" applyBorder="1" applyAlignment="1"/>
    <xf numFmtId="0" fontId="0" fillId="0" borderId="4" xfId="0" applyBorder="1" applyAlignment="1"/>
    <xf numFmtId="0" fontId="0" fillId="0" borderId="23" xfId="0" applyBorder="1" applyAlignment="1">
      <alignment horizontal="center"/>
    </xf>
    <xf numFmtId="0" fontId="14" fillId="4" borderId="0" xfId="10" applyFont="1" applyFill="1" applyAlignment="1">
      <alignment horizontal="left" wrapText="1"/>
    </xf>
    <xf numFmtId="0" fontId="0" fillId="4" borderId="0" xfId="0" applyFill="1" applyAlignment="1"/>
    <xf numFmtId="0" fontId="0" fillId="4" borderId="0" xfId="0" applyFill="1" applyBorder="1" applyAlignment="1"/>
    <xf numFmtId="0" fontId="0" fillId="0" borderId="5" xfId="0" applyBorder="1" applyAlignment="1">
      <alignment wrapText="1"/>
    </xf>
    <xf numFmtId="0" fontId="44" fillId="0" borderId="0" xfId="0" applyFont="1" applyBorder="1" applyAlignment="1">
      <alignment horizontal="center"/>
    </xf>
    <xf numFmtId="0" fontId="34" fillId="6" borderId="146" xfId="0" applyNumberFormat="1" applyFont="1" applyFill="1" applyBorder="1" applyAlignment="1">
      <alignment horizontal="center"/>
    </xf>
    <xf numFmtId="0" fontId="23" fillId="6" borderId="146" xfId="0" applyNumberFormat="1" applyFont="1" applyFill="1" applyBorder="1" applyAlignment="1">
      <alignment horizontal="center"/>
    </xf>
    <xf numFmtId="0" fontId="34" fillId="6" borderId="24" xfId="0" applyNumberFormat="1" applyFont="1" applyFill="1" applyBorder="1" applyAlignment="1">
      <alignment horizontal="center" wrapText="1"/>
    </xf>
    <xf numFmtId="0" fontId="23" fillId="6" borderId="24" xfId="0" applyNumberFormat="1" applyFont="1" applyFill="1" applyBorder="1" applyAlignment="1">
      <alignment horizontal="center" wrapText="1"/>
    </xf>
    <xf numFmtId="0" fontId="34" fillId="6" borderId="93" xfId="0" applyNumberFormat="1" applyFont="1" applyFill="1" applyBorder="1" applyAlignment="1">
      <alignment horizontal="center" wrapText="1"/>
    </xf>
    <xf numFmtId="0" fontId="23" fillId="6" borderId="95" xfId="0" applyNumberFormat="1" applyFont="1" applyFill="1" applyBorder="1" applyAlignment="1"/>
    <xf numFmtId="0" fontId="0" fillId="0" borderId="95" xfId="0" applyBorder="1" applyAlignment="1"/>
    <xf numFmtId="0" fontId="0" fillId="0" borderId="110" xfId="0" applyBorder="1" applyAlignment="1"/>
    <xf numFmtId="0" fontId="25" fillId="6" borderId="121" xfId="0" applyNumberFormat="1" applyFont="1" applyFill="1" applyBorder="1" applyAlignment="1">
      <alignment wrapText="1"/>
    </xf>
    <xf numFmtId="0" fontId="25" fillId="6" borderId="122" xfId="0" applyNumberFormat="1" applyFont="1" applyFill="1" applyBorder="1" applyAlignment="1">
      <alignment wrapText="1"/>
    </xf>
    <xf numFmtId="0" fontId="4" fillId="6" borderId="97" xfId="0" applyNumberFormat="1" applyFont="1" applyFill="1" applyBorder="1" applyAlignment="1">
      <alignment wrapText="1"/>
    </xf>
    <xf numFmtId="0" fontId="4" fillId="6" borderId="99" xfId="0" applyNumberFormat="1" applyFont="1" applyFill="1" applyBorder="1" applyAlignment="1">
      <alignment wrapText="1"/>
    </xf>
    <xf numFmtId="0" fontId="23" fillId="6" borderId="96" xfId="0" applyNumberFormat="1" applyFont="1" applyFill="1" applyBorder="1" applyAlignment="1">
      <alignment wrapText="1"/>
    </xf>
    <xf numFmtId="0" fontId="34" fillId="6" borderId="97" xfId="0" applyNumberFormat="1" applyFont="1" applyFill="1" applyBorder="1" applyAlignment="1">
      <alignment horizontal="center" wrapText="1"/>
    </xf>
    <xf numFmtId="0" fontId="23" fillId="6" borderId="129" xfId="0" applyNumberFormat="1" applyFont="1" applyFill="1" applyBorder="1" applyAlignment="1">
      <alignment wrapText="1"/>
    </xf>
    <xf numFmtId="0" fontId="23" fillId="6" borderId="55" xfId="0" applyNumberFormat="1" applyFont="1" applyFill="1" applyBorder="1" applyAlignment="1">
      <alignment wrapText="1"/>
    </xf>
    <xf numFmtId="0" fontId="23" fillId="6" borderId="98" xfId="0" applyNumberFormat="1" applyFont="1" applyFill="1" applyBorder="1" applyAlignment="1">
      <alignment wrapText="1"/>
    </xf>
    <xf numFmtId="0" fontId="34" fillId="6" borderId="70" xfId="0" applyNumberFormat="1" applyFont="1" applyFill="1" applyBorder="1" applyAlignment="1">
      <alignment horizontal="center" wrapText="1"/>
    </xf>
    <xf numFmtId="0" fontId="23" fillId="6" borderId="140" xfId="0" applyNumberFormat="1" applyFont="1" applyFill="1" applyBorder="1" applyAlignment="1">
      <alignment horizontal="center" wrapText="1"/>
    </xf>
    <xf numFmtId="0" fontId="34" fillId="6" borderId="71" xfId="0" applyNumberFormat="1" applyFont="1" applyFill="1" applyBorder="1" applyAlignment="1">
      <alignment horizontal="center" wrapText="1"/>
    </xf>
    <xf numFmtId="0" fontId="34" fillId="6" borderId="140" xfId="0" applyNumberFormat="1" applyFont="1" applyFill="1" applyBorder="1" applyAlignment="1">
      <alignment horizontal="center" wrapText="1"/>
    </xf>
    <xf numFmtId="0" fontId="34" fillId="6" borderId="70" xfId="0" applyNumberFormat="1" applyFont="1" applyFill="1" applyBorder="1" applyAlignment="1">
      <alignment horizontal="center"/>
    </xf>
    <xf numFmtId="0" fontId="34" fillId="6" borderId="71" xfId="0" applyNumberFormat="1" applyFont="1" applyFill="1" applyBorder="1" applyAlignment="1">
      <alignment horizontal="center"/>
    </xf>
    <xf numFmtId="0" fontId="34" fillId="6" borderId="140" xfId="0" applyNumberFormat="1" applyFont="1" applyFill="1" applyBorder="1" applyAlignment="1">
      <alignment horizontal="center"/>
    </xf>
    <xf numFmtId="39" fontId="22" fillId="6" borderId="20" xfId="0" applyNumberFormat="1" applyFont="1" applyFill="1" applyBorder="1" applyAlignment="1">
      <alignment horizontal="center" vertical="center" wrapText="1"/>
    </xf>
    <xf numFmtId="39" fontId="22" fillId="6" borderId="18" xfId="0" applyNumberFormat="1" applyFont="1" applyFill="1" applyBorder="1" applyAlignment="1">
      <alignment horizontal="center" vertical="center" wrapText="1"/>
    </xf>
    <xf numFmtId="3" fontId="4" fillId="0" borderId="0" xfId="0" applyNumberFormat="1" applyFont="1" applyAlignment="1">
      <alignment horizontal="left" vertical="top" wrapText="1"/>
    </xf>
    <xf numFmtId="165" fontId="4" fillId="0" borderId="0" xfId="0" applyNumberFormat="1" applyFont="1" applyAlignment="1">
      <alignment horizontal="left" vertical="top" wrapText="1"/>
    </xf>
    <xf numFmtId="0" fontId="4" fillId="0" borderId="14" xfId="0" applyNumberFormat="1" applyFont="1" applyBorder="1" applyAlignment="1">
      <alignment horizontal="left" indent="2"/>
    </xf>
    <xf numFmtId="0" fontId="0" fillId="0" borderId="10" xfId="0" applyNumberFormat="1" applyBorder="1" applyAlignment="1">
      <alignment horizontal="left" indent="2"/>
    </xf>
    <xf numFmtId="0" fontId="15" fillId="0" borderId="0" xfId="10" applyFont="1" applyAlignment="1">
      <alignment horizontal="left" vertical="top" wrapText="1"/>
    </xf>
    <xf numFmtId="0" fontId="15" fillId="0" borderId="0" xfId="10" applyAlignment="1">
      <alignment horizontal="left" vertical="top" wrapText="1"/>
    </xf>
    <xf numFmtId="0" fontId="15" fillId="0" borderId="4" xfId="0" applyFont="1" applyBorder="1" applyAlignment="1">
      <alignment wrapText="1"/>
    </xf>
    <xf numFmtId="0" fontId="15" fillId="0" borderId="4" xfId="0" applyFont="1" applyBorder="1" applyAlignment="1">
      <alignment horizontal="center" wrapText="1"/>
    </xf>
    <xf numFmtId="0" fontId="15" fillId="0" borderId="23" xfId="0" applyFont="1" applyBorder="1" applyAlignment="1">
      <alignment horizontal="center"/>
    </xf>
    <xf numFmtId="0" fontId="15" fillId="0" borderId="18" xfId="0" applyFont="1" applyBorder="1" applyAlignment="1">
      <alignment horizontal="center"/>
    </xf>
    <xf numFmtId="0" fontId="22" fillId="0" borderId="23" xfId="10" applyFont="1" applyBorder="1" applyAlignment="1">
      <alignment horizontal="center"/>
    </xf>
    <xf numFmtId="0" fontId="34" fillId="6" borderId="0" xfId="0" applyNumberFormat="1" applyFont="1" applyFill="1" applyAlignment="1">
      <alignment horizontal="center"/>
    </xf>
    <xf numFmtId="0" fontId="34" fillId="6" borderId="113" xfId="0" applyNumberFormat="1" applyFont="1" applyFill="1" applyBorder="1" applyAlignment="1">
      <alignment horizontal="center"/>
    </xf>
    <xf numFmtId="0" fontId="34" fillId="6" borderId="123" xfId="0" applyNumberFormat="1" applyFont="1" applyFill="1" applyBorder="1" applyAlignment="1">
      <alignment horizontal="center"/>
    </xf>
    <xf numFmtId="0" fontId="23" fillId="6" borderId="55" xfId="0" applyNumberFormat="1" applyFont="1" applyFill="1" applyBorder="1" applyAlignment="1">
      <alignment horizontal="center"/>
    </xf>
    <xf numFmtId="0" fontId="25" fillId="6" borderId="37" xfId="0" applyNumberFormat="1" applyFont="1" applyFill="1" applyBorder="1" applyAlignment="1">
      <alignment wrapText="1"/>
    </xf>
    <xf numFmtId="0" fontId="4" fillId="6" borderId="7" xfId="0" applyNumberFormat="1" applyFont="1" applyFill="1" applyBorder="1" applyAlignment="1">
      <alignment wrapText="1"/>
    </xf>
    <xf numFmtId="0" fontId="4" fillId="6" borderId="167" xfId="0" applyNumberFormat="1" applyFont="1" applyFill="1" applyBorder="1" applyAlignment="1">
      <alignment wrapText="1"/>
    </xf>
    <xf numFmtId="0" fontId="34" fillId="6" borderId="20" xfId="0" applyNumberFormat="1" applyFont="1" applyFill="1" applyBorder="1" applyAlignment="1">
      <alignment horizontal="center" wrapText="1"/>
    </xf>
    <xf numFmtId="0" fontId="23" fillId="6" borderId="23" xfId="0" applyNumberFormat="1" applyFont="1" applyFill="1" applyBorder="1"/>
    <xf numFmtId="0" fontId="23" fillId="6" borderId="18" xfId="0" applyNumberFormat="1" applyFont="1" applyFill="1" applyBorder="1"/>
    <xf numFmtId="0" fontId="34" fillId="6" borderId="95" xfId="0" applyNumberFormat="1" applyFont="1" applyFill="1" applyBorder="1" applyAlignment="1">
      <alignment horizontal="center" wrapText="1"/>
    </xf>
    <xf numFmtId="0" fontId="23" fillId="6" borderId="95" xfId="0" applyNumberFormat="1" applyFont="1" applyFill="1" applyBorder="1" applyAlignment="1">
      <alignment horizontal="center" wrapText="1"/>
    </xf>
    <xf numFmtId="0" fontId="23" fillId="6" borderId="110" xfId="0" applyNumberFormat="1" applyFont="1" applyFill="1" applyBorder="1" applyAlignment="1">
      <alignment horizontal="center" wrapText="1"/>
    </xf>
    <xf numFmtId="0" fontId="23" fillId="6" borderId="23" xfId="0" applyNumberFormat="1" applyFont="1" applyFill="1" applyBorder="1" applyAlignment="1">
      <alignment horizontal="center" wrapText="1"/>
    </xf>
    <xf numFmtId="0" fontId="34" fillId="6" borderId="18" xfId="0" applyNumberFormat="1" applyFont="1" applyFill="1" applyBorder="1" applyAlignment="1">
      <alignment horizontal="center" wrapText="1"/>
    </xf>
    <xf numFmtId="0" fontId="34" fillId="6" borderId="55" xfId="0" applyNumberFormat="1" applyFont="1" applyFill="1" applyBorder="1" applyAlignment="1">
      <alignment horizontal="center" wrapText="1"/>
    </xf>
    <xf numFmtId="0" fontId="23" fillId="6" borderId="55" xfId="0" applyNumberFormat="1" applyFont="1" applyFill="1" applyBorder="1" applyAlignment="1">
      <alignment horizontal="center" wrapText="1"/>
    </xf>
    <xf numFmtId="0" fontId="23" fillId="6" borderId="123" xfId="0" applyNumberFormat="1" applyFont="1" applyFill="1" applyBorder="1" applyAlignment="1">
      <alignment wrapText="1"/>
    </xf>
    <xf numFmtId="0" fontId="13" fillId="0" borderId="0" xfId="0" applyFont="1" applyFill="1" applyAlignment="1">
      <alignment vertical="top" wrapText="1"/>
    </xf>
    <xf numFmtId="0" fontId="4" fillId="0" borderId="20" xfId="0" applyFont="1" applyBorder="1" applyAlignment="1"/>
    <xf numFmtId="0" fontId="4" fillId="0" borderId="23" xfId="0" applyFont="1" applyBorder="1" applyAlignment="1"/>
    <xf numFmtId="0" fontId="14" fillId="0" borderId="51" xfId="0" applyNumberFormat="1" applyFont="1" applyBorder="1" applyAlignment="1"/>
    <xf numFmtId="0" fontId="14" fillId="0" borderId="22" xfId="0" applyNumberFormat="1" applyFont="1" applyBorder="1" applyAlignment="1"/>
    <xf numFmtId="0" fontId="14" fillId="0" borderId="34" xfId="0" applyNumberFormat="1" applyFont="1" applyBorder="1" applyAlignment="1"/>
    <xf numFmtId="5" fontId="16" fillId="0" borderId="20" xfId="0" applyNumberFormat="1" applyFont="1" applyBorder="1" applyAlignment="1"/>
    <xf numFmtId="5" fontId="4" fillId="0" borderId="23" xfId="0" applyNumberFormat="1" applyFont="1" applyBorder="1" applyAlignment="1"/>
    <xf numFmtId="5" fontId="4" fillId="0" borderId="18" xfId="0" applyNumberFormat="1" applyFont="1" applyBorder="1" applyAlignment="1"/>
    <xf numFmtId="0" fontId="4" fillId="0" borderId="56" xfId="0" applyNumberFormat="1" applyFont="1" applyBorder="1" applyAlignment="1"/>
    <xf numFmtId="0" fontId="4" fillId="0" borderId="10" xfId="0" applyNumberFormat="1" applyFont="1" applyBorder="1" applyAlignment="1">
      <alignment horizontal="left" indent="2"/>
    </xf>
    <xf numFmtId="0" fontId="9" fillId="0" borderId="5" xfId="0" applyFont="1" applyBorder="1" applyAlignment="1">
      <alignment wrapText="1"/>
    </xf>
    <xf numFmtId="0" fontId="9" fillId="0" borderId="5" xfId="0" applyFont="1" applyBorder="1" applyAlignment="1">
      <alignment horizontal="center" wrapText="1"/>
    </xf>
    <xf numFmtId="37" fontId="15" fillId="0" borderId="0" xfId="0" applyNumberFormat="1" applyFont="1" applyFill="1" applyBorder="1" applyAlignment="1"/>
    <xf numFmtId="37" fontId="0" fillId="0" borderId="0" xfId="0" applyNumberFormat="1" applyFill="1" applyBorder="1" applyAlignment="1"/>
    <xf numFmtId="0" fontId="34" fillId="6" borderId="169" xfId="0" applyNumberFormat="1" applyFont="1" applyFill="1" applyBorder="1" applyAlignment="1">
      <alignment horizontal="center" wrapText="1"/>
    </xf>
    <xf numFmtId="0" fontId="23" fillId="6" borderId="170" xfId="0" applyNumberFormat="1" applyFont="1" applyFill="1" applyBorder="1" applyAlignment="1">
      <alignment wrapText="1"/>
    </xf>
    <xf numFmtId="0" fontId="23" fillId="6" borderId="113" xfId="0" applyNumberFormat="1" applyFont="1" applyFill="1" applyBorder="1" applyAlignment="1">
      <alignment wrapText="1"/>
    </xf>
    <xf numFmtId="0" fontId="23" fillId="6" borderId="109" xfId="0" applyNumberFormat="1" applyFont="1" applyFill="1" applyBorder="1" applyAlignment="1">
      <alignment wrapText="1"/>
    </xf>
    <xf numFmtId="0" fontId="34" fillId="6" borderId="187" xfId="0" applyNumberFormat="1" applyFont="1" applyFill="1" applyBorder="1" applyAlignment="1">
      <alignment wrapText="1"/>
    </xf>
    <xf numFmtId="0" fontId="34" fillId="6" borderId="122" xfId="0" applyNumberFormat="1" applyFont="1" applyFill="1" applyBorder="1" applyAlignment="1">
      <alignment wrapText="1"/>
    </xf>
    <xf numFmtId="0" fontId="23" fillId="6" borderId="122" xfId="0" applyNumberFormat="1" applyFont="1" applyFill="1" applyBorder="1" applyAlignment="1">
      <alignment wrapText="1"/>
    </xf>
    <xf numFmtId="0" fontId="23" fillId="6" borderId="99" xfId="0" applyNumberFormat="1" applyFont="1" applyFill="1" applyBorder="1" applyAlignment="1">
      <alignment wrapText="1"/>
    </xf>
    <xf numFmtId="0" fontId="34" fillId="6" borderId="175" xfId="0" applyNumberFormat="1" applyFont="1" applyFill="1" applyBorder="1" applyAlignment="1">
      <alignment horizontal="center" wrapText="1"/>
    </xf>
    <xf numFmtId="0" fontId="26" fillId="0" borderId="177" xfId="0" applyFont="1" applyBorder="1" applyAlignment="1"/>
    <xf numFmtId="0" fontId="34" fillId="6" borderId="123" xfId="0" applyNumberFormat="1" applyFont="1" applyFill="1" applyBorder="1" applyAlignment="1">
      <alignment horizontal="center" wrapText="1"/>
    </xf>
    <xf numFmtId="0" fontId="23" fillId="6" borderId="179" xfId="0" applyNumberFormat="1" applyFont="1" applyFill="1" applyBorder="1" applyAlignment="1">
      <alignment wrapText="1"/>
    </xf>
    <xf numFmtId="0" fontId="4" fillId="6" borderId="0" xfId="7" applyFont="1" applyFill="1" applyAlignment="1">
      <alignment horizontal="left" vertical="top" wrapText="1"/>
    </xf>
    <xf numFmtId="0" fontId="55" fillId="2" borderId="0" xfId="9" applyFont="1" applyFill="1" applyAlignment="1">
      <alignment horizontal="left" vertical="top" wrapText="1"/>
    </xf>
    <xf numFmtId="0" fontId="55" fillId="6" borderId="0" xfId="7" applyFont="1" applyFill="1" applyAlignment="1">
      <alignment horizontal="left" vertical="top" wrapText="1"/>
    </xf>
    <xf numFmtId="0" fontId="4" fillId="6" borderId="0" xfId="7" applyFont="1" applyFill="1" applyAlignment="1">
      <alignment vertical="top" wrapText="1"/>
    </xf>
    <xf numFmtId="0" fontId="14" fillId="6" borderId="0" xfId="5" applyFont="1" applyFill="1" applyAlignment="1">
      <alignment vertical="top" wrapText="1"/>
    </xf>
    <xf numFmtId="0" fontId="4" fillId="2" borderId="0" xfId="9" applyFont="1" applyFill="1" applyAlignment="1">
      <alignment vertical="top" wrapText="1"/>
    </xf>
    <xf numFmtId="0" fontId="6" fillId="2" borderId="0" xfId="9" applyFont="1" applyFill="1" applyAlignment="1">
      <alignment vertical="top" wrapText="1"/>
    </xf>
    <xf numFmtId="3" fontId="17" fillId="0" borderId="0" xfId="5" applyNumberFormat="1" applyFont="1" applyAlignment="1">
      <alignment horizontal="center"/>
    </xf>
    <xf numFmtId="0" fontId="14" fillId="0" borderId="0" xfId="5" applyBorder="1" applyAlignment="1">
      <alignment horizontal="center"/>
    </xf>
    <xf numFmtId="3" fontId="6" fillId="2" borderId="0" xfId="9" applyNumberFormat="1" applyFont="1" applyFill="1" applyAlignment="1">
      <alignment horizontal="center"/>
    </xf>
    <xf numFmtId="0" fontId="6" fillId="2" borderId="0" xfId="9" applyFont="1" applyFill="1" applyAlignment="1">
      <alignment horizontal="center"/>
    </xf>
    <xf numFmtId="0" fontId="62" fillId="2" borderId="0" xfId="9" applyFont="1" applyFill="1" applyAlignment="1">
      <alignment horizontal="center"/>
    </xf>
    <xf numFmtId="37" fontId="23" fillId="0" borderId="0" xfId="12" applyNumberFormat="1" applyFont="1" applyFill="1" applyBorder="1" applyAlignment="1">
      <alignment wrapText="1"/>
    </xf>
    <xf numFmtId="37" fontId="16" fillId="0" borderId="24" xfId="12" applyNumberFormat="1" applyFont="1" applyFill="1" applyBorder="1" applyAlignment="1">
      <alignment horizontal="center"/>
    </xf>
    <xf numFmtId="37" fontId="80" fillId="0" borderId="0" xfId="12" applyNumberFormat="1" applyFont="1" applyFill="1" applyBorder="1" applyAlignment="1">
      <alignment horizontal="left" wrapText="1"/>
    </xf>
  </cellXfs>
  <cellStyles count="16">
    <cellStyle name="Comma" xfId="1" builtinId="3"/>
    <cellStyle name="Comma 2" xfId="2"/>
    <cellStyle name="Currency" xfId="3" builtinId="4"/>
    <cellStyle name="Currency 2" xfId="4"/>
    <cellStyle name="Normal" xfId="0" builtinId="0"/>
    <cellStyle name="Normal 2" xfId="5"/>
    <cellStyle name="Normal 3" xfId="6"/>
    <cellStyle name="Normal 3 2" xfId="13"/>
    <cellStyle name="Normal 4" xfId="12"/>
    <cellStyle name="Normal 5" xfId="14"/>
    <cellStyle name="Normal_Appendix Exhibits.FINAL 2" xfId="7"/>
    <cellStyle name="Normal_Improve by DU" xfId="10"/>
    <cellStyle name="Normal_Rsrcs_X_ DOJ Goal  Obj" xfId="8"/>
    <cellStyle name="Normal_Rsrcs_X_ DOJ Goal  Obj 2" xfId="11"/>
    <cellStyle name="Normal_Sheet1 2" xfId="9"/>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NNT/Profiles/debjones/Temporary%20Internet%20Files/OLKD/2006%20Perf%20Budget%20Cong%20Submission%20Exhibits%20Templat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_Staff/napostolides/FY06%20Formulation/05%20OMB%20Budget%20-%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attockc/Application%20Data/Microsoft/Excel/FY%202013%20Exhibits%20-%20R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mattockc/Application%20Data/Microsoft/Excel/FY%202013%20Exhibits%20-%20SLLE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attockc/Application%20Data/Microsoft/Excel/FY%202013%20Exhibits%20-%20PSO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mattockc/Application%20Data/Microsoft/Excel/FY%202013%20Exhibits%20-%20Juvenile%20Justice%20Progra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attockc/Application%20Data/Microsoft/Excel/FY%202013%20Exhibits%20-%20CV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 Summ of Reqs - RES "/>
      <sheetName val="C. Increases Offsets  - RES "/>
      <sheetName val="D. Strat Goals &amp; Obs  - RES "/>
      <sheetName val="F. 2011 Crosswalk  - RES "/>
      <sheetName val="G. 2012 Crosswalk  - RES "/>
      <sheetName val="H. Reimb Resources  - RES "/>
      <sheetName val="I. Perm Positions  - RES "/>
      <sheetName val="J. Finan Analysis  - RES "/>
      <sheetName val="L. Summ by Ob Class  - RES "/>
      <sheetName val="(N-2) Domestic Agent"/>
      <sheetName val="(N-3) Domestic Attorney"/>
      <sheetName val="(N-4) Domestic Prof Sup"/>
      <sheetName val="(N-5) Domestic Clerical"/>
      <sheetName val="(P) IT"/>
    </sheetNames>
    <sheetDataSet>
      <sheetData sheetId="0">
        <row r="5">
          <cell r="A5" t="str">
            <v>Office of Justice Programs</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row>
        <row r="47">
          <cell r="A47" t="str">
            <v>Office of Justice Programs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 Summ of Reqs - S&amp;E-M&amp;A "/>
      <sheetName val="D. Strat Goals &amp; Objs - S&amp;E-M&amp;A"/>
      <sheetName val="E. ATB Justification - S&amp;E-M&amp;A"/>
      <sheetName val="F. 2011 Crosswalk - S&amp;E-M&amp;A"/>
      <sheetName val="G. 2012 Crosswalk - S&amp;E-M&amp;A"/>
      <sheetName val="H. Reimb Resources - S&amp;E-M&amp;A"/>
      <sheetName val="I. Perm Positions - S&amp;E-M&amp;A"/>
      <sheetName val="K. Summ by Grade - S&amp;E-M&amp;A"/>
      <sheetName val="L. Summ by Ob Class  - S&amp;E-M&amp;A "/>
      <sheetName val="B. Summ of Reqs - RES "/>
      <sheetName val="C. Increases Offsets  - RES "/>
      <sheetName val="D. Strat Goals &amp; Obs  - RES "/>
      <sheetName val="F. 2011 Crosswalk  - RES "/>
      <sheetName val="G. 2012 Crosswalk  - RES "/>
      <sheetName val="H. Reimb Resources  - RES "/>
      <sheetName val="J. Finan Analysis  - RES "/>
      <sheetName val="L. Summ by Ob Class  - RES "/>
      <sheetName val="B. Summ of Reqs -SLLEA "/>
      <sheetName val="C. Increases Offsets - SLLEA"/>
      <sheetName val="D. Strat Goals &amp; Obs - SLLEA"/>
      <sheetName val="F. 2011 Crosswalk - SLLEA"/>
      <sheetName val="G. 2012 Crosswalk - SLLEA"/>
      <sheetName val="H. Reimb Resources - SLLEA"/>
      <sheetName val="J. Finan Analysis - SLLEA"/>
      <sheetName val="L. Summ by Object Class - SLLEA"/>
      <sheetName val="F. 2011 Crosswalk - W&amp;S"/>
      <sheetName val="G. 2012 Crosswalk - W&amp;S"/>
      <sheetName val="L. Summ by Object Class - W&amp;S"/>
      <sheetName val="B. Summ of Reqs - JJ "/>
      <sheetName val="C. Increases Offsets - JJ"/>
      <sheetName val="D. Strat Goals &amp; Objs - JJ"/>
      <sheetName val="F. 2011 Crosswalk - JJ"/>
      <sheetName val="G. 2012 Crosswalk - JJ"/>
      <sheetName val="H. Reimb Resources - JJ"/>
      <sheetName val="J. Finan Analysis - JJ"/>
      <sheetName val="L. Summ by Ob Class - JJ"/>
      <sheetName val="B. Summ of Reqs - PSOB "/>
      <sheetName val="C. Increases Offsets - PSOB "/>
      <sheetName val="D. Strat Goals &amp; Obs - PSOB "/>
      <sheetName val="F. 2011 Crosswalk - PSOB "/>
      <sheetName val="G. 2012 Crosswalk - PSOB "/>
      <sheetName val="J. Finan Analysis - PSOB "/>
      <sheetName val="L. Summ by Ob Class - PSOB "/>
      <sheetName val="B. Summ of Reqs - CVF "/>
      <sheetName val="C. Increases Offsets - CVF"/>
      <sheetName val="D. Strat Goals &amp; Obs - CVF"/>
      <sheetName val="F. 2011 Crosswalk - CVF"/>
      <sheetName val="G. 2012 Crosswalk - CVF"/>
      <sheetName val="J. Finan Analysis - CVF"/>
      <sheetName val="L. Summ by Object Class - CVF"/>
      <sheetName val="M. Studies"/>
      <sheetName val="(N-2) Domestic Agent"/>
      <sheetName val="(N-3) Domestic Attorney"/>
      <sheetName val="(N-4) Domestic Prof Sup"/>
      <sheetName val="(N-5) Domestic Clerical"/>
      <sheetName val="(P) IT"/>
      <sheetName val="N. Summary of Program Changes"/>
      <sheetName val="(G) 2012 Crosswalk - SLLE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ow r="3">
          <cell r="A3" t="str">
            <v>Summary of Requirements</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row>
        <row r="4">
          <cell r="A4" t="str">
            <v>Office of Justice Programs</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row>
        <row r="5">
          <cell r="A5" t="str">
            <v>State and Local Law Enforcement Assistance</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row>
        <row r="17">
          <cell r="X17">
            <v>-42000</v>
          </cell>
        </row>
        <row r="139">
          <cell r="X139">
            <v>781500</v>
          </cell>
        </row>
        <row r="141">
          <cell r="E141">
            <v>0</v>
          </cell>
          <cell r="F141">
            <v>168153</v>
          </cell>
        </row>
        <row r="142">
          <cell r="E142">
            <v>0</v>
          </cell>
          <cell r="F142">
            <v>2994</v>
          </cell>
        </row>
      </sheetData>
      <sheetData sheetId="18">
        <row r="13">
          <cell r="G13">
            <v>10000</v>
          </cell>
        </row>
        <row r="14">
          <cell r="G14">
            <v>5000</v>
          </cell>
        </row>
        <row r="15">
          <cell r="G15">
            <v>8000</v>
          </cell>
        </row>
        <row r="16">
          <cell r="G16">
            <v>60000</v>
          </cell>
        </row>
        <row r="17">
          <cell r="G17">
            <v>8000</v>
          </cell>
        </row>
        <row r="18">
          <cell r="G18">
            <v>52000</v>
          </cell>
        </row>
        <row r="19">
          <cell r="G19">
            <v>17000</v>
          </cell>
        </row>
        <row r="26">
          <cell r="G26">
            <v>-10000</v>
          </cell>
        </row>
        <row r="27">
          <cell r="G27">
            <v>-1000</v>
          </cell>
        </row>
        <row r="28">
          <cell r="G28">
            <v>-10000</v>
          </cell>
        </row>
        <row r="29">
          <cell r="G29">
            <v>-4500</v>
          </cell>
        </row>
        <row r="30">
          <cell r="G30">
            <v>-125000</v>
          </cell>
        </row>
        <row r="31">
          <cell r="G31">
            <v>-35000</v>
          </cell>
        </row>
        <row r="32">
          <cell r="G32">
            <v>-20000</v>
          </cell>
        </row>
        <row r="33">
          <cell r="G33">
            <v>-38000</v>
          </cell>
        </row>
        <row r="34">
          <cell r="G34">
            <v>-4000</v>
          </cell>
        </row>
        <row r="36">
          <cell r="G36">
            <v>-100000</v>
          </cell>
        </row>
        <row r="37">
          <cell r="G37">
            <v>-1000</v>
          </cell>
        </row>
        <row r="39">
          <cell r="G39">
            <v>-12000</v>
          </cell>
        </row>
        <row r="41">
          <cell r="G41">
            <v>-170000</v>
          </cell>
        </row>
        <row r="42">
          <cell r="G42">
            <v>-10500</v>
          </cell>
        </row>
      </sheetData>
      <sheetData sheetId="19"/>
      <sheetData sheetId="20">
        <row r="86">
          <cell r="L86">
            <v>23666.077470000004</v>
          </cell>
        </row>
      </sheetData>
      <sheetData sheetId="21"/>
      <sheetData sheetId="22"/>
      <sheetData sheetId="23"/>
      <sheetData sheetId="24">
        <row r="19">
          <cell r="E19">
            <v>69</v>
          </cell>
        </row>
        <row r="23">
          <cell r="E23">
            <v>3</v>
          </cell>
        </row>
        <row r="24">
          <cell r="E24">
            <v>62</v>
          </cell>
        </row>
        <row r="25">
          <cell r="E25">
            <v>17780</v>
          </cell>
        </row>
        <row r="26">
          <cell r="E26">
            <v>2625</v>
          </cell>
        </row>
        <row r="27">
          <cell r="E27">
            <v>14408</v>
          </cell>
        </row>
        <row r="33">
          <cell r="E33">
            <v>1174135</v>
          </cell>
        </row>
        <row r="34">
          <cell r="E34">
            <v>1209082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B. Summ of Reqs - PSOB "/>
      <sheetName val="C. Increases Offsets - PSOB "/>
      <sheetName val="D. Strat Goals &amp; Obs - PSOB "/>
      <sheetName val="F. 2011 Crosswalk - PSOB "/>
      <sheetName val="G. 2012 Crosswalk - PSOB "/>
      <sheetName val="J. Finan Analysis - PSOB "/>
      <sheetName val="L. Summ by Ob Class - PSOB "/>
      <sheetName val="(N-2) Domestic Agent"/>
      <sheetName val="(N-3) Domestic Attorney"/>
      <sheetName val="(N-4) Domestic Prof Sup"/>
      <sheetName val="(N-5) Domestic Clerical"/>
      <sheetName val="(P) IT"/>
    </sheetNames>
    <sheetDataSet>
      <sheetData sheetId="0">
        <row r="5">
          <cell r="A5" t="str">
            <v>Office of Justice Programs</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row>
        <row r="6">
          <cell r="A6" t="str">
            <v>Public Safety Officers' Benefits</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row>
        <row r="34">
          <cell r="A34" t="str">
            <v>Office of Justice Programs</v>
          </cell>
        </row>
        <row r="35">
          <cell r="A35" t="str">
            <v>Public Safety Officers' Benefits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 Summ of Reqs - JJ "/>
      <sheetName val="C. Increases Offsets - JJ"/>
      <sheetName val="D. Strat Goals &amp; Objs - JJ"/>
      <sheetName val="F. 2011 Crosswalk - JJ"/>
      <sheetName val="G. 2012 Crosswalk - JJ"/>
      <sheetName val="H. Reimb Resources - JJ"/>
      <sheetName val="J. Finan Analysis - JJ"/>
      <sheetName val="L. Summ by Ob Class - JJ"/>
      <sheetName val="(N-2) Domestic Agent"/>
      <sheetName val="(N-3) Domestic Attorney"/>
      <sheetName val="(N-4) Domestic Prof Sup"/>
      <sheetName val="(N-5) Domestic Clerical"/>
      <sheetName val="(P) IT"/>
    </sheetNames>
    <sheetDataSet>
      <sheetData sheetId="0">
        <row r="5">
          <cell r="A5" t="str">
            <v>Office of Justice Programs</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row>
        <row r="6">
          <cell r="A6" t="str">
            <v>Juvenile Justice Programs</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row>
        <row r="54">
          <cell r="A54" t="str">
            <v>Office of Justice Programs</v>
          </cell>
        </row>
        <row r="55">
          <cell r="A55" t="str">
            <v>Juvenile Justice Programs</v>
          </cell>
        </row>
        <row r="83">
          <cell r="F83">
            <v>-6055</v>
          </cell>
        </row>
        <row r="84">
          <cell r="F84">
            <v>-6322.7775259</v>
          </cell>
          <cell r="I84">
            <v>-9000</v>
          </cell>
        </row>
        <row r="85">
          <cell r="F85">
            <v>20000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 Summ of Reqs - CVF "/>
      <sheetName val="C. Increases Offsets - CVF"/>
      <sheetName val="D. Strat Goals &amp; Obs - CVF"/>
      <sheetName val="F. 2011 Crosswalk - CVF"/>
      <sheetName val="G. 2012 Crosswalk - CVF"/>
      <sheetName val="J. Finan Analysis - CVF"/>
      <sheetName val="L. Summ by Object Class - CVF"/>
      <sheetName val="(N-2) Domestic Agent"/>
      <sheetName val="(N-3) Domestic Attorney"/>
      <sheetName val="(N-4) Domestic Prof Sup"/>
      <sheetName val="(N-5) Domestic Clerical"/>
      <sheetName val="(P) IT"/>
    </sheetNames>
    <sheetDataSet>
      <sheetData sheetId="0" refreshError="1">
        <row r="5">
          <cell r="A5" t="str">
            <v>Office of Justice Programs</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row>
        <row r="6">
          <cell r="A6" t="str">
            <v>Crime Victims Fund</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row>
        <row r="36">
          <cell r="A36" t="str">
            <v>Office of Justice Programs</v>
          </cell>
        </row>
        <row r="37">
          <cell r="A37" t="str">
            <v>Crime Victims Fund</v>
          </cell>
        </row>
        <row r="54">
          <cell r="X54">
            <v>1070000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printerSettings" Target="../printerSettings/printerSettings50.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5" Type="http://schemas.openxmlformats.org/officeDocument/2006/relationships/printerSettings" Target="../printerSettings/printerSettings105.bin"/><Relationship Id="rId4" Type="http://schemas.openxmlformats.org/officeDocument/2006/relationships/printerSettings" Target="../printerSettings/printerSettings10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5" Type="http://schemas.openxmlformats.org/officeDocument/2006/relationships/printerSettings" Target="../printerSettings/printerSettings165.bin"/><Relationship Id="rId4" Type="http://schemas.openxmlformats.org/officeDocument/2006/relationships/printerSettings" Target="../printerSettings/printerSettings16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5" Type="http://schemas.openxmlformats.org/officeDocument/2006/relationships/printerSettings" Target="../printerSettings/printerSettings175.bin"/><Relationship Id="rId4" Type="http://schemas.openxmlformats.org/officeDocument/2006/relationships/printerSettings" Target="../printerSettings/printerSettings17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5" Type="http://schemas.openxmlformats.org/officeDocument/2006/relationships/printerSettings" Target="../printerSettings/printerSettings184.bin"/><Relationship Id="rId4" Type="http://schemas.openxmlformats.org/officeDocument/2006/relationships/printerSettings" Target="../printerSettings/printerSettings18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97.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5" Type="http://schemas.openxmlformats.org/officeDocument/2006/relationships/printerSettings" Target="../printerSettings/printerSettings199.bin"/><Relationship Id="rId4" Type="http://schemas.openxmlformats.org/officeDocument/2006/relationships/printerSettings" Target="../printerSettings/printerSettings198.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02.bin"/><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5" Type="http://schemas.openxmlformats.org/officeDocument/2006/relationships/printerSettings" Target="../printerSettings/printerSettings204.bin"/><Relationship Id="rId4" Type="http://schemas.openxmlformats.org/officeDocument/2006/relationships/printerSettings" Target="../printerSettings/printerSettings203.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12.bin"/><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5" Type="http://schemas.openxmlformats.org/officeDocument/2006/relationships/printerSettings" Target="../printerSettings/printerSettings214.bin"/><Relationship Id="rId4" Type="http://schemas.openxmlformats.org/officeDocument/2006/relationships/printerSettings" Target="../printerSettings/printerSettings21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17.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5" Type="http://schemas.openxmlformats.org/officeDocument/2006/relationships/printerSettings" Target="../printerSettings/printerSettings219.bin"/><Relationship Id="rId4" Type="http://schemas.openxmlformats.org/officeDocument/2006/relationships/printerSettings" Target="../printerSettings/printerSettings218.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22.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5" Type="http://schemas.openxmlformats.org/officeDocument/2006/relationships/printerSettings" Target="../printerSettings/printerSettings224.bin"/><Relationship Id="rId4" Type="http://schemas.openxmlformats.org/officeDocument/2006/relationships/printerSettings" Target="../printerSettings/printerSettings22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5" Type="http://schemas.openxmlformats.org/officeDocument/2006/relationships/printerSettings" Target="../printerSettings/printerSettings229.bin"/><Relationship Id="rId4" Type="http://schemas.openxmlformats.org/officeDocument/2006/relationships/printerSettings" Target="../printerSettings/printerSettings228.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32.bin"/><Relationship Id="rId2" Type="http://schemas.openxmlformats.org/officeDocument/2006/relationships/printerSettings" Target="../printerSettings/printerSettings231.bin"/><Relationship Id="rId1" Type="http://schemas.openxmlformats.org/officeDocument/2006/relationships/printerSettings" Target="../printerSettings/printerSettings230.bin"/><Relationship Id="rId5" Type="http://schemas.openxmlformats.org/officeDocument/2006/relationships/printerSettings" Target="../printerSettings/printerSettings234.bin"/><Relationship Id="rId4" Type="http://schemas.openxmlformats.org/officeDocument/2006/relationships/printerSettings" Target="../printerSettings/printerSettings233.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237.bin"/><Relationship Id="rId2" Type="http://schemas.openxmlformats.org/officeDocument/2006/relationships/printerSettings" Target="../printerSettings/printerSettings236.bin"/><Relationship Id="rId1" Type="http://schemas.openxmlformats.org/officeDocument/2006/relationships/printerSettings" Target="../printerSettings/printerSettings235.bin"/><Relationship Id="rId5" Type="http://schemas.openxmlformats.org/officeDocument/2006/relationships/printerSettings" Target="../printerSettings/printerSettings239.bin"/><Relationship Id="rId4" Type="http://schemas.openxmlformats.org/officeDocument/2006/relationships/printerSettings" Target="../printerSettings/printerSettings238.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242.bin"/><Relationship Id="rId2" Type="http://schemas.openxmlformats.org/officeDocument/2006/relationships/printerSettings" Target="../printerSettings/printerSettings241.bin"/><Relationship Id="rId1" Type="http://schemas.openxmlformats.org/officeDocument/2006/relationships/printerSettings" Target="../printerSettings/printerSettings240.bin"/><Relationship Id="rId5" Type="http://schemas.openxmlformats.org/officeDocument/2006/relationships/printerSettings" Target="../printerSettings/printerSettings244.bin"/><Relationship Id="rId4" Type="http://schemas.openxmlformats.org/officeDocument/2006/relationships/printerSettings" Target="../printerSettings/printerSettings243.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47.bin"/><Relationship Id="rId2" Type="http://schemas.openxmlformats.org/officeDocument/2006/relationships/printerSettings" Target="../printerSettings/printerSettings246.bin"/><Relationship Id="rId1" Type="http://schemas.openxmlformats.org/officeDocument/2006/relationships/printerSettings" Target="../printerSettings/printerSettings245.bin"/><Relationship Id="rId5" Type="http://schemas.openxmlformats.org/officeDocument/2006/relationships/printerSettings" Target="../printerSettings/printerSettings249.bin"/><Relationship Id="rId4" Type="http://schemas.openxmlformats.org/officeDocument/2006/relationships/printerSettings" Target="../printerSettings/printerSettings24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52.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5" Type="http://schemas.openxmlformats.org/officeDocument/2006/relationships/printerSettings" Target="../printerSettings/printerSettings254.bin"/><Relationship Id="rId4" Type="http://schemas.openxmlformats.org/officeDocument/2006/relationships/printerSettings" Target="../printerSettings/printerSettings253.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57.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5" Type="http://schemas.openxmlformats.org/officeDocument/2006/relationships/printerSettings" Target="../printerSettings/printerSettings259.bin"/><Relationship Id="rId4" Type="http://schemas.openxmlformats.org/officeDocument/2006/relationships/printerSettings" Target="../printerSettings/printerSettings258.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62.bin"/><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5" Type="http://schemas.openxmlformats.org/officeDocument/2006/relationships/printerSettings" Target="../printerSettings/printerSettings264.bin"/><Relationship Id="rId4" Type="http://schemas.openxmlformats.org/officeDocument/2006/relationships/printerSettings" Target="../printerSettings/printerSettings263.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5" Type="http://schemas.openxmlformats.org/officeDocument/2006/relationships/printerSettings" Target="../printerSettings/printerSettings269.bin"/><Relationship Id="rId4" Type="http://schemas.openxmlformats.org/officeDocument/2006/relationships/printerSettings" Target="../printerSettings/printerSettings268.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272.bin"/><Relationship Id="rId2" Type="http://schemas.openxmlformats.org/officeDocument/2006/relationships/printerSettings" Target="../printerSettings/printerSettings271.bin"/><Relationship Id="rId1" Type="http://schemas.openxmlformats.org/officeDocument/2006/relationships/printerSettings" Target="../printerSettings/printerSettings270.bin"/><Relationship Id="rId5" Type="http://schemas.openxmlformats.org/officeDocument/2006/relationships/printerSettings" Target="../printerSettings/printerSettings274.bin"/><Relationship Id="rId4" Type="http://schemas.openxmlformats.org/officeDocument/2006/relationships/printerSettings" Target="../printerSettings/printerSettings273.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277.bin"/><Relationship Id="rId2" Type="http://schemas.openxmlformats.org/officeDocument/2006/relationships/printerSettings" Target="../printerSettings/printerSettings276.bin"/><Relationship Id="rId1" Type="http://schemas.openxmlformats.org/officeDocument/2006/relationships/printerSettings" Target="../printerSettings/printerSettings275.bin"/><Relationship Id="rId5" Type="http://schemas.openxmlformats.org/officeDocument/2006/relationships/printerSettings" Target="../printerSettings/printerSettings279.bin"/><Relationship Id="rId4" Type="http://schemas.openxmlformats.org/officeDocument/2006/relationships/printerSettings" Target="../printerSettings/printerSettings278.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282.bin"/><Relationship Id="rId2" Type="http://schemas.openxmlformats.org/officeDocument/2006/relationships/printerSettings" Target="../printerSettings/printerSettings281.bin"/><Relationship Id="rId1" Type="http://schemas.openxmlformats.org/officeDocument/2006/relationships/printerSettings" Target="../printerSettings/printerSettings280.bin"/><Relationship Id="rId5" Type="http://schemas.openxmlformats.org/officeDocument/2006/relationships/printerSettings" Target="../printerSettings/printerSettings284.bin"/><Relationship Id="rId4" Type="http://schemas.openxmlformats.org/officeDocument/2006/relationships/printerSettings" Target="../printerSettings/printerSettings283.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287.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5" Type="http://schemas.openxmlformats.org/officeDocument/2006/relationships/printerSettings" Target="../printerSettings/printerSettings289.bin"/><Relationship Id="rId4" Type="http://schemas.openxmlformats.org/officeDocument/2006/relationships/printerSettings" Target="../printerSettings/printerSettings288.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292.bin"/><Relationship Id="rId2" Type="http://schemas.openxmlformats.org/officeDocument/2006/relationships/printerSettings" Target="../printerSettings/printerSettings291.bin"/><Relationship Id="rId1" Type="http://schemas.openxmlformats.org/officeDocument/2006/relationships/printerSettings" Target="../printerSettings/printerSettings290.bin"/><Relationship Id="rId5" Type="http://schemas.openxmlformats.org/officeDocument/2006/relationships/printerSettings" Target="../printerSettings/printerSettings294.bin"/><Relationship Id="rId4" Type="http://schemas.openxmlformats.org/officeDocument/2006/relationships/printerSettings" Target="../printerSettings/printerSettings293.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302.bin"/><Relationship Id="rId3" Type="http://schemas.openxmlformats.org/officeDocument/2006/relationships/printerSettings" Target="../printerSettings/printerSettings297.bin"/><Relationship Id="rId7" Type="http://schemas.openxmlformats.org/officeDocument/2006/relationships/printerSettings" Target="../printerSettings/printerSettings301.bin"/><Relationship Id="rId2" Type="http://schemas.openxmlformats.org/officeDocument/2006/relationships/printerSettings" Target="../printerSettings/printerSettings296.bin"/><Relationship Id="rId1" Type="http://schemas.openxmlformats.org/officeDocument/2006/relationships/printerSettings" Target="../printerSettings/printerSettings295.bin"/><Relationship Id="rId6" Type="http://schemas.openxmlformats.org/officeDocument/2006/relationships/printerSettings" Target="../printerSettings/printerSettings300.bin"/><Relationship Id="rId5" Type="http://schemas.openxmlformats.org/officeDocument/2006/relationships/printerSettings" Target="../printerSettings/printerSettings299.bin"/><Relationship Id="rId10" Type="http://schemas.openxmlformats.org/officeDocument/2006/relationships/printerSettings" Target="../printerSettings/printerSettings304.bin"/><Relationship Id="rId4" Type="http://schemas.openxmlformats.org/officeDocument/2006/relationships/printerSettings" Target="../printerSettings/printerSettings298.bin"/><Relationship Id="rId9" Type="http://schemas.openxmlformats.org/officeDocument/2006/relationships/printerSettings" Target="../printerSettings/printerSettings303.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307.bin"/><Relationship Id="rId2" Type="http://schemas.openxmlformats.org/officeDocument/2006/relationships/printerSettings" Target="../printerSettings/printerSettings306.bin"/><Relationship Id="rId1" Type="http://schemas.openxmlformats.org/officeDocument/2006/relationships/printerSettings" Target="../printerSettings/printerSettings305.bin"/><Relationship Id="rId4" Type="http://schemas.openxmlformats.org/officeDocument/2006/relationships/printerSettings" Target="../printerSettings/printerSettings308.bin"/></Relationships>
</file>

<file path=xl/worksheets/sheet1.xml><?xml version="1.0" encoding="utf-8"?>
<worksheet xmlns="http://schemas.openxmlformats.org/spreadsheetml/2006/main" xmlns:r="http://schemas.openxmlformats.org/officeDocument/2006/relationships">
  <sheetPr codeName="Sheet4">
    <pageSetUpPr fitToPage="1"/>
  </sheetPr>
  <dimension ref="A1:Z84"/>
  <sheetViews>
    <sheetView showGridLines="0" tabSelected="1" showOutlineSymbols="0" view="pageBreakPreview" zoomScale="65" zoomScaleNormal="100" zoomScaleSheetLayoutView="65" workbookViewId="0">
      <selection activeCell="E48" sqref="E48"/>
    </sheetView>
  </sheetViews>
  <sheetFormatPr defaultColWidth="8.88671875" defaultRowHeight="15.75"/>
  <cols>
    <col min="1" max="2" width="2.5546875" style="4" customWidth="1"/>
    <col min="3" max="3" width="34.33203125" style="4" customWidth="1"/>
    <col min="4" max="4" width="6.88671875" style="7" customWidth="1"/>
    <col min="5" max="5" width="6.21875" style="7" customWidth="1"/>
    <col min="6" max="6" width="10.21875" style="7" customWidth="1"/>
    <col min="7" max="7" width="8.44140625" style="7" bestFit="1" customWidth="1"/>
    <col min="8" max="8" width="6.21875" style="7" customWidth="1"/>
    <col min="9" max="9" width="9.77734375" style="7" customWidth="1"/>
    <col min="10" max="10" width="6.21875" style="7" bestFit="1" customWidth="1"/>
    <col min="11" max="11" width="5.6640625" style="7" customWidth="1"/>
    <col min="12" max="12" width="9.33203125" style="7" bestFit="1" customWidth="1"/>
    <col min="13" max="13" width="7" style="7" bestFit="1" customWidth="1"/>
    <col min="14" max="14" width="6.109375" style="7" customWidth="1"/>
    <col min="15" max="15" width="9.77734375" style="7" customWidth="1"/>
    <col min="16" max="17" width="5.6640625" style="7" customWidth="1"/>
    <col min="18" max="18" width="8.5546875" style="7" customWidth="1"/>
    <col min="19" max="19" width="6.109375" style="7" customWidth="1"/>
    <col min="20" max="20" width="5.6640625" style="7" customWidth="1"/>
    <col min="21" max="21" width="7" style="7" customWidth="1"/>
    <col min="22" max="22" width="9.5546875" style="7" customWidth="1"/>
    <col min="23" max="23" width="9.77734375" style="7" bestFit="1" customWidth="1"/>
    <col min="24" max="24" width="13.21875" style="7" bestFit="1" customWidth="1"/>
    <col min="25" max="25" width="6.5546875" style="68" customWidth="1"/>
    <col min="26" max="26" width="7.6640625" style="4" customWidth="1"/>
    <col min="27" max="16384" width="8.88671875" style="4"/>
  </cols>
  <sheetData>
    <row r="1" spans="1:25" ht="20.25">
      <c r="A1" s="1592" t="s">
        <v>144</v>
      </c>
      <c r="B1" s="1593"/>
      <c r="C1" s="1593"/>
      <c r="D1" s="1593"/>
      <c r="E1" s="1593"/>
      <c r="F1" s="1593"/>
      <c r="G1" s="1593"/>
      <c r="H1" s="1593"/>
      <c r="I1" s="1593"/>
      <c r="J1" s="1593"/>
      <c r="K1" s="1593"/>
      <c r="L1" s="1593"/>
      <c r="M1" s="1593"/>
      <c r="N1" s="1593"/>
      <c r="O1" s="1593"/>
      <c r="P1" s="1593"/>
      <c r="Q1" s="1593"/>
      <c r="R1" s="1593"/>
      <c r="S1" s="1593"/>
      <c r="T1" s="1593"/>
      <c r="U1" s="1593"/>
      <c r="V1" s="1593"/>
      <c r="W1" s="1593"/>
      <c r="X1" s="1593"/>
      <c r="Y1" s="67" t="s">
        <v>0</v>
      </c>
    </row>
    <row r="2" spans="1:25">
      <c r="A2" s="1594"/>
      <c r="B2" s="1594"/>
      <c r="C2" s="1594"/>
      <c r="D2" s="1594"/>
      <c r="E2" s="1594"/>
      <c r="F2" s="1594"/>
      <c r="G2" s="1594"/>
      <c r="H2" s="1594"/>
      <c r="I2" s="1594"/>
      <c r="J2" s="1594"/>
      <c r="K2" s="1594"/>
      <c r="L2" s="1594"/>
      <c r="M2" s="1594"/>
      <c r="N2" s="1594"/>
      <c r="O2" s="1594"/>
      <c r="P2" s="1594"/>
      <c r="Q2" s="1594"/>
      <c r="R2" s="1594"/>
      <c r="S2" s="1594"/>
      <c r="T2" s="1594"/>
      <c r="U2" s="1594"/>
      <c r="V2" s="1594"/>
      <c r="W2" s="1594"/>
      <c r="X2" s="1594"/>
      <c r="Y2" s="67" t="s">
        <v>0</v>
      </c>
    </row>
    <row r="3" spans="1:25">
      <c r="A3" s="1595"/>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67" t="s">
        <v>0</v>
      </c>
    </row>
    <row r="4" spans="1:25" ht="22.5">
      <c r="A4" s="1568" t="s">
        <v>107</v>
      </c>
      <c r="B4" s="1561"/>
      <c r="C4" s="1561"/>
      <c r="D4" s="1561"/>
      <c r="E4" s="1561"/>
      <c r="F4" s="1561"/>
      <c r="G4" s="1561"/>
      <c r="H4" s="1561"/>
      <c r="I4" s="1561"/>
      <c r="J4" s="1561"/>
      <c r="K4" s="1561"/>
      <c r="L4" s="1561"/>
      <c r="M4" s="1561"/>
      <c r="N4" s="1561"/>
      <c r="O4" s="1561"/>
      <c r="P4" s="1561"/>
      <c r="Q4" s="1561"/>
      <c r="R4" s="1561"/>
      <c r="S4" s="1561"/>
      <c r="T4" s="1561"/>
      <c r="U4" s="1561"/>
      <c r="V4" s="1561"/>
      <c r="W4" s="1561"/>
      <c r="X4" s="1561"/>
      <c r="Y4" s="67" t="s">
        <v>0</v>
      </c>
    </row>
    <row r="5" spans="1:25" ht="23.25">
      <c r="A5" s="1553" t="s">
        <v>190</v>
      </c>
      <c r="B5" s="1562"/>
      <c r="C5" s="1562"/>
      <c r="D5" s="1562"/>
      <c r="E5" s="1562"/>
      <c r="F5" s="1562"/>
      <c r="G5" s="1562"/>
      <c r="H5" s="1562"/>
      <c r="I5" s="1562"/>
      <c r="J5" s="1562"/>
      <c r="K5" s="1562"/>
      <c r="L5" s="1562"/>
      <c r="M5" s="1562"/>
      <c r="N5" s="1562"/>
      <c r="O5" s="1562"/>
      <c r="P5" s="1562"/>
      <c r="Q5" s="1562"/>
      <c r="R5" s="1562"/>
      <c r="S5" s="1562"/>
      <c r="T5" s="1562"/>
      <c r="U5" s="1562"/>
      <c r="V5" s="1562"/>
      <c r="W5" s="1562"/>
      <c r="X5" s="1562"/>
      <c r="Y5" s="67" t="s">
        <v>0</v>
      </c>
    </row>
    <row r="6" spans="1:25" ht="23.25">
      <c r="A6" s="1553" t="s">
        <v>208</v>
      </c>
      <c r="B6" s="1561"/>
      <c r="C6" s="1561"/>
      <c r="D6" s="1561"/>
      <c r="E6" s="1561"/>
      <c r="F6" s="1561"/>
      <c r="G6" s="1561"/>
      <c r="H6" s="1561"/>
      <c r="I6" s="1561"/>
      <c r="J6" s="1561"/>
      <c r="K6" s="1561"/>
      <c r="L6" s="1561"/>
      <c r="M6" s="1561"/>
      <c r="N6" s="1561"/>
      <c r="O6" s="1561"/>
      <c r="P6" s="1561"/>
      <c r="Q6" s="1561"/>
      <c r="R6" s="1561"/>
      <c r="S6" s="1561"/>
      <c r="T6" s="1561"/>
      <c r="U6" s="1561"/>
      <c r="V6" s="1561"/>
      <c r="W6" s="1561"/>
      <c r="X6" s="1561"/>
      <c r="Y6" s="67" t="s">
        <v>0</v>
      </c>
    </row>
    <row r="7" spans="1:25" ht="23.25">
      <c r="A7" s="1553" t="s">
        <v>98</v>
      </c>
      <c r="B7" s="1562"/>
      <c r="C7" s="1562"/>
      <c r="D7" s="1562"/>
      <c r="E7" s="1562"/>
      <c r="F7" s="1562"/>
      <c r="G7" s="1562"/>
      <c r="H7" s="1562"/>
      <c r="I7" s="1562"/>
      <c r="J7" s="1562"/>
      <c r="K7" s="1562"/>
      <c r="L7" s="1562"/>
      <c r="M7" s="1562"/>
      <c r="N7" s="1562"/>
      <c r="O7" s="1562"/>
      <c r="P7" s="1562"/>
      <c r="Q7" s="1562"/>
      <c r="R7" s="1562"/>
      <c r="S7" s="1562"/>
      <c r="T7" s="1562"/>
      <c r="U7" s="1562"/>
      <c r="V7" s="1562"/>
      <c r="W7" s="1562"/>
      <c r="X7" s="1562"/>
      <c r="Y7" s="67" t="s">
        <v>0</v>
      </c>
    </row>
    <row r="8" spans="1:25" ht="23.25">
      <c r="A8" s="1596"/>
      <c r="B8" s="1596"/>
      <c r="C8" s="1596"/>
      <c r="D8" s="1596"/>
      <c r="E8" s="1596"/>
      <c r="F8" s="1596"/>
      <c r="G8" s="1596"/>
      <c r="H8" s="1596"/>
      <c r="I8" s="1596"/>
      <c r="J8" s="1596"/>
      <c r="K8" s="1596"/>
      <c r="L8" s="1596"/>
      <c r="M8" s="1596"/>
      <c r="N8" s="1596"/>
      <c r="O8" s="1596"/>
      <c r="P8" s="1596"/>
      <c r="Q8" s="1596"/>
      <c r="R8" s="1596"/>
      <c r="S8" s="1596"/>
      <c r="T8" s="1596"/>
      <c r="U8" s="1596"/>
      <c r="V8" s="1596"/>
      <c r="W8" s="1596"/>
      <c r="X8" s="1596"/>
      <c r="Y8" s="67" t="s">
        <v>0</v>
      </c>
    </row>
    <row r="9" spans="1:25" ht="23.25">
      <c r="A9" s="1596"/>
      <c r="B9" s="1596"/>
      <c r="C9" s="1596"/>
      <c r="D9" s="1596"/>
      <c r="E9" s="1596"/>
      <c r="F9" s="1596"/>
      <c r="G9" s="1596"/>
      <c r="H9" s="1596"/>
      <c r="I9" s="1596"/>
      <c r="J9" s="1596"/>
      <c r="K9" s="1596"/>
      <c r="L9" s="1596"/>
      <c r="M9" s="1596"/>
      <c r="N9" s="1596"/>
      <c r="O9" s="1596"/>
      <c r="P9" s="1596"/>
      <c r="Q9" s="1596"/>
      <c r="R9" s="1596"/>
      <c r="S9" s="1596"/>
      <c r="T9" s="1596"/>
      <c r="U9" s="1596"/>
      <c r="V9" s="1596"/>
      <c r="W9" s="1596"/>
      <c r="X9" s="1596"/>
      <c r="Y9" s="67" t="s">
        <v>0</v>
      </c>
    </row>
    <row r="10" spans="1:25" ht="23.25">
      <c r="A10" s="1596"/>
      <c r="B10" s="1596"/>
      <c r="C10" s="1596"/>
      <c r="D10" s="1596"/>
      <c r="E10" s="1596"/>
      <c r="F10" s="1596"/>
      <c r="G10" s="1596"/>
      <c r="H10" s="1596"/>
      <c r="I10" s="1596"/>
      <c r="J10" s="1596"/>
      <c r="K10" s="1596"/>
      <c r="L10" s="1596"/>
      <c r="M10" s="1596"/>
      <c r="N10" s="1596"/>
      <c r="O10" s="1596"/>
      <c r="P10" s="1596"/>
      <c r="Q10" s="1596"/>
      <c r="R10" s="1596"/>
      <c r="S10" s="1596"/>
      <c r="T10" s="1596"/>
      <c r="U10" s="1596"/>
      <c r="V10" s="1596"/>
      <c r="W10" s="1596"/>
      <c r="X10" s="1596"/>
      <c r="Y10" s="67" t="s">
        <v>0</v>
      </c>
    </row>
    <row r="11" spans="1:25">
      <c r="A11" s="1595"/>
      <c r="B11" s="1595"/>
      <c r="C11" s="1595"/>
      <c r="D11" s="1595"/>
      <c r="E11" s="1595"/>
      <c r="F11" s="1595"/>
      <c r="G11" s="1595"/>
      <c r="H11" s="1595"/>
      <c r="I11" s="1595"/>
      <c r="J11" s="1595"/>
      <c r="K11" s="1595"/>
      <c r="L11" s="1595"/>
      <c r="M11" s="1595"/>
      <c r="N11" s="1595"/>
      <c r="O11" s="1595"/>
      <c r="P11" s="1595"/>
      <c r="Q11" s="1595"/>
      <c r="R11" s="1595"/>
      <c r="S11" s="1595"/>
      <c r="T11" s="1595"/>
      <c r="U11" s="1603"/>
      <c r="V11" s="1600" t="s">
        <v>148</v>
      </c>
      <c r="W11" s="1601"/>
      <c r="X11" s="1602"/>
      <c r="Y11" s="67" t="s">
        <v>0</v>
      </c>
    </row>
    <row r="12" spans="1:25">
      <c r="A12" s="1595"/>
      <c r="B12" s="1595"/>
      <c r="C12" s="1595"/>
      <c r="D12" s="1595"/>
      <c r="E12" s="1595"/>
      <c r="F12" s="1595"/>
      <c r="G12" s="1595"/>
      <c r="H12" s="1595"/>
      <c r="I12" s="1595"/>
      <c r="J12" s="1595"/>
      <c r="K12" s="1595"/>
      <c r="L12" s="1595"/>
      <c r="M12" s="1595"/>
      <c r="N12" s="1595"/>
      <c r="O12" s="1595"/>
      <c r="P12" s="1595"/>
      <c r="Q12" s="1595"/>
      <c r="R12" s="1595"/>
      <c r="S12" s="1595"/>
      <c r="T12" s="1595"/>
      <c r="U12" s="1603"/>
      <c r="V12" s="1606" t="s">
        <v>11</v>
      </c>
      <c r="W12" s="1599" t="s">
        <v>25</v>
      </c>
      <c r="X12" s="1597" t="s">
        <v>117</v>
      </c>
      <c r="Y12" s="67" t="s">
        <v>0</v>
      </c>
    </row>
    <row r="13" spans="1:25" ht="16.5" thickBot="1">
      <c r="A13" s="1604"/>
      <c r="B13" s="1604"/>
      <c r="C13" s="1604"/>
      <c r="D13" s="1604"/>
      <c r="E13" s="1604"/>
      <c r="F13" s="1604"/>
      <c r="G13" s="1604"/>
      <c r="H13" s="1604"/>
      <c r="I13" s="1604"/>
      <c r="J13" s="1604"/>
      <c r="K13" s="1604"/>
      <c r="L13" s="1604"/>
      <c r="M13" s="1604"/>
      <c r="N13" s="1604"/>
      <c r="O13" s="1604"/>
      <c r="P13" s="1604"/>
      <c r="Q13" s="1604"/>
      <c r="R13" s="1604"/>
      <c r="S13" s="1604"/>
      <c r="T13" s="1604"/>
      <c r="U13" s="1605"/>
      <c r="V13" s="1607"/>
      <c r="W13" s="1598"/>
      <c r="X13" s="1598"/>
      <c r="Y13" s="67" t="s">
        <v>0</v>
      </c>
    </row>
    <row r="14" spans="1:25">
      <c r="A14" s="1579" t="s">
        <v>172</v>
      </c>
      <c r="B14" s="1580"/>
      <c r="C14" s="1580"/>
      <c r="D14" s="1580"/>
      <c r="E14" s="1580"/>
      <c r="F14" s="1580"/>
      <c r="G14" s="1580"/>
      <c r="H14" s="1580"/>
      <c r="I14" s="1580"/>
      <c r="J14" s="1580"/>
      <c r="K14" s="1580"/>
      <c r="L14" s="1580"/>
      <c r="M14" s="1580"/>
      <c r="N14" s="1580"/>
      <c r="O14" s="1580"/>
      <c r="P14" s="1580"/>
      <c r="Q14" s="1580"/>
      <c r="R14" s="1580"/>
      <c r="S14" s="1580"/>
      <c r="T14" s="1580"/>
      <c r="U14" s="1580"/>
      <c r="V14" s="881">
        <v>702</v>
      </c>
      <c r="W14" s="881">
        <v>680</v>
      </c>
      <c r="X14" s="102">
        <v>140124</v>
      </c>
      <c r="Y14" s="67" t="s">
        <v>0</v>
      </c>
    </row>
    <row r="15" spans="1:25">
      <c r="A15" s="1383"/>
      <c r="B15" s="1388" t="s">
        <v>567</v>
      </c>
      <c r="C15" s="1388"/>
      <c r="D15" s="1388"/>
      <c r="E15" s="1388"/>
      <c r="F15" s="1388"/>
      <c r="G15" s="1388"/>
      <c r="H15" s="1388"/>
      <c r="I15" s="1388"/>
      <c r="J15" s="1388"/>
      <c r="K15" s="1388"/>
      <c r="L15" s="1388"/>
      <c r="M15" s="1388"/>
      <c r="N15" s="1388"/>
      <c r="O15" s="1388"/>
      <c r="P15" s="1388"/>
      <c r="Q15" s="1388"/>
      <c r="R15" s="1388"/>
      <c r="S15" s="1388"/>
      <c r="T15" s="1388"/>
      <c r="U15" s="1388"/>
      <c r="V15" s="425"/>
      <c r="W15" s="425"/>
      <c r="X15" s="431">
        <v>31230</v>
      </c>
      <c r="Y15" s="67" t="s">
        <v>0</v>
      </c>
    </row>
    <row r="16" spans="1:25">
      <c r="A16" s="1383"/>
      <c r="B16" s="1388" t="s">
        <v>568</v>
      </c>
      <c r="C16" s="1388"/>
      <c r="D16" s="1388"/>
      <c r="E16" s="1388"/>
      <c r="F16" s="1388"/>
      <c r="G16" s="1388"/>
      <c r="H16" s="1388"/>
      <c r="I16" s="1388"/>
      <c r="J16" s="1388"/>
      <c r="K16" s="1388"/>
      <c r="L16" s="1388"/>
      <c r="M16" s="1388"/>
      <c r="N16" s="1388"/>
      <c r="O16" s="1388"/>
      <c r="P16" s="1388"/>
      <c r="Q16" s="1388"/>
      <c r="R16" s="1388"/>
      <c r="S16" s="1388"/>
      <c r="T16" s="1388"/>
      <c r="U16" s="1388"/>
      <c r="V16" s="425"/>
      <c r="W16" s="425"/>
      <c r="X16" s="431">
        <v>6055</v>
      </c>
      <c r="Y16" s="67" t="s">
        <v>0</v>
      </c>
    </row>
    <row r="17" spans="1:26">
      <c r="A17" s="1383"/>
      <c r="B17" s="1388" t="s">
        <v>620</v>
      </c>
      <c r="C17" s="1388"/>
      <c r="D17" s="1388"/>
      <c r="E17" s="1388"/>
      <c r="F17" s="1388"/>
      <c r="G17" s="1388"/>
      <c r="H17" s="1388"/>
      <c r="I17" s="1388"/>
      <c r="J17" s="1388"/>
      <c r="K17" s="1388"/>
      <c r="L17" s="1388"/>
      <c r="M17" s="1388"/>
      <c r="N17" s="1388"/>
      <c r="O17" s="1388"/>
      <c r="P17" s="1388"/>
      <c r="Q17" s="1388"/>
      <c r="R17" s="1388"/>
      <c r="S17" s="1388"/>
      <c r="T17" s="1388"/>
      <c r="U17" s="1388"/>
      <c r="V17" s="425"/>
      <c r="W17" s="425"/>
      <c r="X17" s="431">
        <v>6861</v>
      </c>
      <c r="Y17" s="67" t="s">
        <v>0</v>
      </c>
    </row>
    <row r="18" spans="1:26">
      <c r="A18" s="1383"/>
      <c r="B18" s="629" t="s">
        <v>207</v>
      </c>
      <c r="C18" s="1388"/>
      <c r="D18" s="1388"/>
      <c r="E18" s="1388"/>
      <c r="F18" s="1388"/>
      <c r="G18" s="1388"/>
      <c r="H18" s="1388"/>
      <c r="I18" s="1388"/>
      <c r="J18" s="1388"/>
      <c r="K18" s="1388"/>
      <c r="L18" s="1388"/>
      <c r="M18" s="1388"/>
      <c r="N18" s="1388"/>
      <c r="O18" s="1388"/>
      <c r="P18" s="1388"/>
      <c r="Q18" s="1388"/>
      <c r="R18" s="1388"/>
      <c r="S18" s="1388"/>
      <c r="T18" s="1388"/>
      <c r="U18" s="1388"/>
      <c r="V18" s="881">
        <v>702</v>
      </c>
      <c r="W18" s="881">
        <v>680</v>
      </c>
      <c r="X18" s="102">
        <f>X14+X17+X15+X16</f>
        <v>184270</v>
      </c>
      <c r="Y18" s="67" t="s">
        <v>0</v>
      </c>
    </row>
    <row r="19" spans="1:26">
      <c r="A19" s="1579" t="s">
        <v>171</v>
      </c>
      <c r="B19" s="1580"/>
      <c r="C19" s="1580"/>
      <c r="D19" s="1580"/>
      <c r="E19" s="1580"/>
      <c r="F19" s="1580"/>
      <c r="G19" s="1580"/>
      <c r="H19" s="1580"/>
      <c r="I19" s="1580"/>
      <c r="J19" s="1580"/>
      <c r="K19" s="1580"/>
      <c r="L19" s="1580"/>
      <c r="M19" s="1580"/>
      <c r="N19" s="1580"/>
      <c r="O19" s="1580"/>
      <c r="P19" s="1580"/>
      <c r="Q19" s="1580"/>
      <c r="R19" s="1580"/>
      <c r="S19" s="1580"/>
      <c r="T19" s="1580"/>
      <c r="U19" s="1580"/>
      <c r="V19" s="425">
        <v>702</v>
      </c>
      <c r="W19" s="425">
        <v>686</v>
      </c>
      <c r="X19" s="429">
        <v>175056</v>
      </c>
      <c r="Y19" s="67" t="s">
        <v>0</v>
      </c>
    </row>
    <row r="20" spans="1:26">
      <c r="A20" s="1583" t="s">
        <v>597</v>
      </c>
      <c r="B20" s="1584"/>
      <c r="C20" s="1584"/>
      <c r="D20" s="1584"/>
      <c r="E20" s="1584"/>
      <c r="F20" s="1584"/>
      <c r="G20" s="1584"/>
      <c r="H20" s="1584"/>
      <c r="I20" s="1584"/>
      <c r="J20" s="1584"/>
      <c r="K20" s="1584"/>
      <c r="L20" s="1584"/>
      <c r="M20" s="1584"/>
      <c r="N20" s="1584"/>
      <c r="O20" s="1584"/>
      <c r="P20" s="1584"/>
      <c r="Q20" s="1584"/>
      <c r="R20" s="1584"/>
      <c r="S20" s="1584"/>
      <c r="T20" s="1584"/>
      <c r="U20" s="1584"/>
      <c r="V20" s="1437">
        <f>V19</f>
        <v>702</v>
      </c>
      <c r="W20" s="1437">
        <f>W19</f>
        <v>686</v>
      </c>
      <c r="X20" s="70">
        <v>175056</v>
      </c>
      <c r="Y20" s="67" t="s">
        <v>0</v>
      </c>
    </row>
    <row r="21" spans="1:26">
      <c r="A21" s="1549" t="s">
        <v>5</v>
      </c>
      <c r="B21" s="1550"/>
      <c r="C21" s="1550"/>
      <c r="D21" s="1550"/>
      <c r="E21" s="1550"/>
      <c r="F21" s="1550"/>
      <c r="G21" s="1550"/>
      <c r="H21" s="1550"/>
      <c r="I21" s="1550"/>
      <c r="J21" s="1550"/>
      <c r="K21" s="1550"/>
      <c r="L21" s="1550"/>
      <c r="M21" s="1550"/>
      <c r="N21" s="1550"/>
      <c r="O21" s="1550"/>
      <c r="P21" s="1550"/>
      <c r="Q21" s="1550"/>
      <c r="R21" s="1550"/>
      <c r="S21" s="1550"/>
      <c r="T21" s="1550"/>
      <c r="U21" s="1585"/>
      <c r="V21" s="425"/>
      <c r="W21" s="425"/>
      <c r="X21" s="388"/>
      <c r="Y21" s="67" t="s">
        <v>0</v>
      </c>
    </row>
    <row r="22" spans="1:26">
      <c r="A22" s="1565" t="s">
        <v>164</v>
      </c>
      <c r="B22" s="1566"/>
      <c r="C22" s="1566"/>
      <c r="D22" s="1566"/>
      <c r="E22" s="1566"/>
      <c r="F22" s="1566"/>
      <c r="G22" s="1566"/>
      <c r="H22" s="1566"/>
      <c r="I22" s="1566"/>
      <c r="J22" s="1566"/>
      <c r="K22" s="1566"/>
      <c r="L22" s="1566"/>
      <c r="M22" s="1566"/>
      <c r="N22" s="1566"/>
      <c r="O22" s="1566"/>
      <c r="P22" s="1566"/>
      <c r="Q22" s="1566"/>
      <c r="R22" s="1566"/>
      <c r="S22" s="1566"/>
      <c r="T22" s="1566"/>
      <c r="U22" s="1567"/>
      <c r="V22" s="425"/>
      <c r="W22" s="425"/>
      <c r="X22" s="388"/>
      <c r="Y22" s="67" t="s">
        <v>0</v>
      </c>
      <c r="Z22" s="271"/>
    </row>
    <row r="23" spans="1:26">
      <c r="A23" s="1586" t="s">
        <v>140</v>
      </c>
      <c r="B23" s="1587"/>
      <c r="C23" s="1587"/>
      <c r="D23" s="1587"/>
      <c r="E23" s="1587"/>
      <c r="F23" s="1587"/>
      <c r="G23" s="1587"/>
      <c r="H23" s="1587"/>
      <c r="I23" s="1587"/>
      <c r="J23" s="1587"/>
      <c r="K23" s="1587"/>
      <c r="L23" s="1587"/>
      <c r="M23" s="1587"/>
      <c r="N23" s="1587"/>
      <c r="O23" s="1587"/>
      <c r="P23" s="1587"/>
      <c r="Q23" s="1587"/>
      <c r="R23" s="1587"/>
      <c r="S23" s="1587"/>
      <c r="T23" s="1587"/>
      <c r="U23" s="1588"/>
      <c r="V23" s="425"/>
      <c r="W23" s="425"/>
      <c r="X23" s="388">
        <v>304</v>
      </c>
      <c r="Y23" s="67" t="s">
        <v>0</v>
      </c>
      <c r="Z23" s="271"/>
    </row>
    <row r="24" spans="1:26">
      <c r="A24" s="1546" t="s">
        <v>209</v>
      </c>
      <c r="B24" s="1547"/>
      <c r="C24" s="1547"/>
      <c r="D24" s="1547"/>
      <c r="E24" s="1547"/>
      <c r="F24" s="1547"/>
      <c r="G24" s="1547"/>
      <c r="H24" s="1547"/>
      <c r="I24" s="1547"/>
      <c r="J24" s="1547"/>
      <c r="K24" s="1547"/>
      <c r="L24" s="1547"/>
      <c r="M24" s="1547"/>
      <c r="N24" s="1547"/>
      <c r="O24" s="1547"/>
      <c r="P24" s="1547"/>
      <c r="Q24" s="1547"/>
      <c r="R24" s="1547"/>
      <c r="S24" s="1547"/>
      <c r="T24" s="1547"/>
      <c r="U24" s="1548"/>
      <c r="V24" s="425"/>
      <c r="W24" s="425"/>
      <c r="X24" s="388">
        <v>54</v>
      </c>
      <c r="Y24" s="67" t="s">
        <v>0</v>
      </c>
      <c r="Z24" s="271"/>
    </row>
    <row r="25" spans="1:26">
      <c r="A25" s="1546" t="s">
        <v>488</v>
      </c>
      <c r="B25" s="1547"/>
      <c r="C25" s="1547"/>
      <c r="D25" s="1547"/>
      <c r="E25" s="1547"/>
      <c r="F25" s="1547"/>
      <c r="G25" s="1547"/>
      <c r="H25" s="1547"/>
      <c r="I25" s="1547"/>
      <c r="J25" s="1547"/>
      <c r="K25" s="1547"/>
      <c r="L25" s="1547"/>
      <c r="M25" s="1547"/>
      <c r="N25" s="1547"/>
      <c r="O25" s="1547"/>
      <c r="P25" s="1547"/>
      <c r="Q25" s="1547"/>
      <c r="R25" s="1547"/>
      <c r="S25" s="1547"/>
      <c r="T25" s="1547"/>
      <c r="U25" s="1548"/>
      <c r="V25" s="425"/>
      <c r="W25" s="425"/>
      <c r="X25" s="388">
        <v>50</v>
      </c>
      <c r="Y25" s="67" t="s">
        <v>0</v>
      </c>
      <c r="Z25" s="271"/>
    </row>
    <row r="26" spans="1:26">
      <c r="A26" s="1546" t="s">
        <v>210</v>
      </c>
      <c r="B26" s="1547"/>
      <c r="C26" s="1547"/>
      <c r="D26" s="1547"/>
      <c r="E26" s="1547"/>
      <c r="F26" s="1547"/>
      <c r="G26" s="1547"/>
      <c r="H26" s="1547"/>
      <c r="I26" s="1547"/>
      <c r="J26" s="1547"/>
      <c r="K26" s="1547"/>
      <c r="L26" s="1547"/>
      <c r="M26" s="1547"/>
      <c r="N26" s="1547"/>
      <c r="O26" s="1547"/>
      <c r="P26" s="1547"/>
      <c r="Q26" s="1547"/>
      <c r="R26" s="1547"/>
      <c r="S26" s="1547"/>
      <c r="T26" s="1547"/>
      <c r="U26" s="1548"/>
      <c r="V26" s="425"/>
      <c r="W26" s="425"/>
      <c r="X26" s="388">
        <v>253</v>
      </c>
      <c r="Y26" s="67" t="s">
        <v>0</v>
      </c>
      <c r="Z26" s="271"/>
    </row>
    <row r="27" spans="1:26">
      <c r="A27" s="1546" t="s">
        <v>211</v>
      </c>
      <c r="B27" s="1547"/>
      <c r="C27" s="1547"/>
      <c r="D27" s="1547"/>
      <c r="E27" s="1547"/>
      <c r="F27" s="1547"/>
      <c r="G27" s="1547"/>
      <c r="H27" s="1547"/>
      <c r="I27" s="1547"/>
      <c r="J27" s="1547"/>
      <c r="K27" s="1547"/>
      <c r="L27" s="1547"/>
      <c r="M27" s="1547"/>
      <c r="N27" s="1547"/>
      <c r="O27" s="1547"/>
      <c r="P27" s="1547"/>
      <c r="Q27" s="1547"/>
      <c r="R27" s="1547"/>
      <c r="S27" s="1547"/>
      <c r="T27" s="1547"/>
      <c r="U27" s="1548"/>
      <c r="V27" s="425"/>
      <c r="W27" s="425"/>
      <c r="X27" s="388">
        <v>378</v>
      </c>
      <c r="Y27" s="67" t="s">
        <v>0</v>
      </c>
      <c r="Z27" s="271"/>
    </row>
    <row r="28" spans="1:26">
      <c r="A28" s="1546" t="s">
        <v>212</v>
      </c>
      <c r="B28" s="1547"/>
      <c r="C28" s="1547"/>
      <c r="D28" s="1547"/>
      <c r="E28" s="1547"/>
      <c r="F28" s="1547"/>
      <c r="G28" s="1547"/>
      <c r="H28" s="1547"/>
      <c r="I28" s="1547"/>
      <c r="J28" s="1547"/>
      <c r="K28" s="1547"/>
      <c r="L28" s="1547"/>
      <c r="M28" s="1547"/>
      <c r="N28" s="1547"/>
      <c r="O28" s="1547"/>
      <c r="P28" s="1547"/>
      <c r="Q28" s="1547"/>
      <c r="R28" s="1547"/>
      <c r="S28" s="1547"/>
      <c r="T28" s="1547"/>
      <c r="U28" s="1548"/>
      <c r="V28" s="425"/>
      <c r="W28" s="425"/>
      <c r="X28" s="388">
        <v>381</v>
      </c>
      <c r="Y28" s="67" t="s">
        <v>0</v>
      </c>
      <c r="Z28" s="271"/>
    </row>
    <row r="29" spans="1:26">
      <c r="A29" s="1546" t="s">
        <v>139</v>
      </c>
      <c r="B29" s="1547"/>
      <c r="C29" s="1547"/>
      <c r="D29" s="1547"/>
      <c r="E29" s="1547"/>
      <c r="F29" s="1547"/>
      <c r="G29" s="1547"/>
      <c r="H29" s="1547"/>
      <c r="I29" s="1547"/>
      <c r="J29" s="1547"/>
      <c r="K29" s="1547"/>
      <c r="L29" s="1547"/>
      <c r="M29" s="1547"/>
      <c r="N29" s="1547"/>
      <c r="O29" s="1547"/>
      <c r="P29" s="1547"/>
      <c r="Q29" s="1547"/>
      <c r="R29" s="1547"/>
      <c r="S29" s="1547"/>
      <c r="T29" s="1547"/>
      <c r="U29" s="1548"/>
      <c r="V29" s="425"/>
      <c r="W29" s="425"/>
      <c r="X29" s="388">
        <v>1686</v>
      </c>
      <c r="Y29" s="67" t="s">
        <v>0</v>
      </c>
      <c r="Z29" s="271"/>
    </row>
    <row r="30" spans="1:26">
      <c r="A30" s="1546" t="s">
        <v>213</v>
      </c>
      <c r="B30" s="1547"/>
      <c r="C30" s="1547"/>
      <c r="D30" s="1547"/>
      <c r="E30" s="1547"/>
      <c r="F30" s="1547"/>
      <c r="G30" s="1547"/>
      <c r="H30" s="1547"/>
      <c r="I30" s="1547"/>
      <c r="J30" s="1547"/>
      <c r="K30" s="1547"/>
      <c r="L30" s="1547"/>
      <c r="M30" s="1547"/>
      <c r="N30" s="1547"/>
      <c r="O30" s="1547"/>
      <c r="P30" s="1547"/>
      <c r="Q30" s="1547"/>
      <c r="R30" s="1547"/>
      <c r="S30" s="1547"/>
      <c r="T30" s="1547"/>
      <c r="U30" s="1548"/>
      <c r="V30" s="425"/>
      <c r="W30" s="425"/>
      <c r="X30" s="388">
        <v>13</v>
      </c>
      <c r="Y30" s="67" t="s">
        <v>0</v>
      </c>
    </row>
    <row r="31" spans="1:26">
      <c r="A31" s="1546" t="s">
        <v>111</v>
      </c>
      <c r="B31" s="1547"/>
      <c r="C31" s="1547"/>
      <c r="D31" s="1547"/>
      <c r="E31" s="1547"/>
      <c r="F31" s="1547"/>
      <c r="G31" s="1547"/>
      <c r="H31" s="1547"/>
      <c r="I31" s="1547"/>
      <c r="J31" s="1547"/>
      <c r="K31" s="1547"/>
      <c r="L31" s="1547"/>
      <c r="M31" s="1547"/>
      <c r="N31" s="1547"/>
      <c r="O31" s="1547"/>
      <c r="P31" s="1547"/>
      <c r="Q31" s="1547"/>
      <c r="R31" s="1547"/>
      <c r="S31" s="1547"/>
      <c r="T31" s="1547"/>
      <c r="U31" s="1548"/>
      <c r="V31" s="425">
        <f>SUM(V23:V30)</f>
        <v>0</v>
      </c>
      <c r="W31" s="425">
        <f>SUM(W23:W30)</f>
        <v>0</v>
      </c>
      <c r="X31" s="425">
        <f>SUM(X23:X30)</f>
        <v>3119</v>
      </c>
      <c r="Y31" s="67" t="s">
        <v>0</v>
      </c>
    </row>
    <row r="32" spans="1:26">
      <c r="A32" s="1565" t="s">
        <v>21</v>
      </c>
      <c r="B32" s="1566"/>
      <c r="C32" s="1566"/>
      <c r="D32" s="1566"/>
      <c r="E32" s="1566"/>
      <c r="F32" s="1566"/>
      <c r="G32" s="1566"/>
      <c r="H32" s="1566"/>
      <c r="I32" s="1566"/>
      <c r="J32" s="1566"/>
      <c r="K32" s="1566"/>
      <c r="L32" s="1566"/>
      <c r="M32" s="1566"/>
      <c r="N32" s="1566"/>
      <c r="O32" s="1566"/>
      <c r="P32" s="1566"/>
      <c r="Q32" s="1566"/>
      <c r="R32" s="1566"/>
      <c r="S32" s="1566"/>
      <c r="T32" s="1566"/>
      <c r="U32" s="1567"/>
      <c r="V32" s="425">
        <f>+V31</f>
        <v>0</v>
      </c>
      <c r="W32" s="425">
        <f>+W31</f>
        <v>0</v>
      </c>
      <c r="X32" s="425">
        <f>+X31</f>
        <v>3119</v>
      </c>
      <c r="Y32" s="67" t="s">
        <v>0</v>
      </c>
    </row>
    <row r="33" spans="1:25">
      <c r="A33" s="1565" t="s">
        <v>20</v>
      </c>
      <c r="B33" s="1566"/>
      <c r="C33" s="1566"/>
      <c r="D33" s="1566"/>
      <c r="E33" s="1566"/>
      <c r="F33" s="1566"/>
      <c r="G33" s="1566"/>
      <c r="H33" s="1566"/>
      <c r="I33" s="1566"/>
      <c r="J33" s="1566"/>
      <c r="K33" s="1566"/>
      <c r="L33" s="1566"/>
      <c r="M33" s="1566"/>
      <c r="N33" s="1566"/>
      <c r="O33" s="1566"/>
      <c r="P33" s="1566"/>
      <c r="Q33" s="1566"/>
      <c r="R33" s="1566"/>
      <c r="S33" s="1566"/>
      <c r="T33" s="1566"/>
      <c r="U33" s="1567"/>
      <c r="V33" s="425">
        <f>V32</f>
        <v>0</v>
      </c>
      <c r="W33" s="425">
        <f>W32</f>
        <v>0</v>
      </c>
      <c r="X33" s="425">
        <f>X32</f>
        <v>3119</v>
      </c>
      <c r="Y33" s="67" t="s">
        <v>0</v>
      </c>
    </row>
    <row r="34" spans="1:25">
      <c r="A34" s="1589" t="s">
        <v>150</v>
      </c>
      <c r="B34" s="1590"/>
      <c r="C34" s="1590"/>
      <c r="D34" s="1590"/>
      <c r="E34" s="1590"/>
      <c r="F34" s="1590"/>
      <c r="G34" s="1590"/>
      <c r="H34" s="1590"/>
      <c r="I34" s="1590"/>
      <c r="J34" s="1590"/>
      <c r="K34" s="1590"/>
      <c r="L34" s="1590"/>
      <c r="M34" s="1590"/>
      <c r="N34" s="1590"/>
      <c r="O34" s="1590"/>
      <c r="P34" s="1590"/>
      <c r="Q34" s="1590"/>
      <c r="R34" s="1590"/>
      <c r="S34" s="1590"/>
      <c r="T34" s="1590"/>
      <c r="U34" s="1591"/>
      <c r="V34" s="881">
        <f>+V33+V20</f>
        <v>702</v>
      </c>
      <c r="W34" s="881">
        <f>+W33+W20</f>
        <v>686</v>
      </c>
      <c r="X34" s="99">
        <f>+X33+X20</f>
        <v>178175</v>
      </c>
      <c r="Y34" s="67" t="s">
        <v>0</v>
      </c>
    </row>
    <row r="35" spans="1:25">
      <c r="A35" s="1384" t="s">
        <v>62</v>
      </c>
      <c r="B35" s="1187"/>
      <c r="C35" s="1385"/>
      <c r="D35" s="1385"/>
      <c r="E35" s="1385"/>
      <c r="F35" s="1385"/>
      <c r="G35" s="1385"/>
      <c r="H35" s="1385"/>
      <c r="I35" s="1385"/>
      <c r="J35" s="1385"/>
      <c r="K35" s="1385"/>
      <c r="L35" s="1385"/>
      <c r="M35" s="1385"/>
      <c r="N35" s="1385"/>
      <c r="O35" s="1385"/>
      <c r="P35" s="1385"/>
      <c r="Q35" s="1385"/>
      <c r="R35" s="1385"/>
      <c r="S35" s="1385"/>
      <c r="T35" s="1385"/>
      <c r="U35" s="1385"/>
      <c r="V35" s="425"/>
      <c r="W35" s="425"/>
      <c r="X35" s="1190"/>
      <c r="Y35" s="67" t="s">
        <v>0</v>
      </c>
    </row>
    <row r="36" spans="1:25">
      <c r="A36" s="1185"/>
      <c r="B36" s="1186"/>
      <c r="C36" s="1186" t="s">
        <v>164</v>
      </c>
      <c r="D36" s="1186"/>
      <c r="E36" s="1186"/>
      <c r="F36" s="1186"/>
      <c r="G36" s="1186"/>
      <c r="H36" s="1186"/>
      <c r="I36" s="1186"/>
      <c r="J36" s="1186"/>
      <c r="K36" s="1186"/>
      <c r="L36" s="1186"/>
      <c r="M36" s="1186"/>
      <c r="N36" s="1186"/>
      <c r="O36" s="1186"/>
      <c r="P36" s="1186"/>
      <c r="Q36" s="1186"/>
      <c r="R36" s="1186"/>
      <c r="S36" s="1186"/>
      <c r="T36" s="1186"/>
      <c r="U36" s="1186"/>
      <c r="V36" s="425"/>
      <c r="W36" s="425"/>
      <c r="X36" s="1190"/>
      <c r="Y36" s="67" t="s">
        <v>0</v>
      </c>
    </row>
    <row r="37" spans="1:25">
      <c r="A37" s="1546" t="s">
        <v>621</v>
      </c>
      <c r="B37" s="1547"/>
      <c r="C37" s="1547"/>
      <c r="D37" s="1547"/>
      <c r="E37" s="1547"/>
      <c r="F37" s="1547"/>
      <c r="G37" s="1547"/>
      <c r="H37" s="1547"/>
      <c r="I37" s="1547"/>
      <c r="J37" s="1547"/>
      <c r="K37" s="1547"/>
      <c r="L37" s="1547"/>
      <c r="M37" s="1547"/>
      <c r="N37" s="1547"/>
      <c r="O37" s="1547"/>
      <c r="P37" s="1547"/>
      <c r="Q37" s="1547"/>
      <c r="R37" s="1547"/>
      <c r="S37" s="1547"/>
      <c r="T37" s="1547"/>
      <c r="U37" s="1548"/>
      <c r="V37" s="425">
        <v>0</v>
      </c>
      <c r="W37" s="425">
        <v>0</v>
      </c>
      <c r="X37" s="1190">
        <v>5000</v>
      </c>
      <c r="Y37" s="67" t="s">
        <v>0</v>
      </c>
    </row>
    <row r="38" spans="1:25">
      <c r="A38" s="1188"/>
      <c r="B38" s="1189"/>
      <c r="C38" s="644" t="s">
        <v>622</v>
      </c>
      <c r="D38" s="1189"/>
      <c r="E38" s="1189"/>
      <c r="F38" s="1189"/>
      <c r="G38" s="1189"/>
      <c r="H38" s="1189"/>
      <c r="I38" s="1189"/>
      <c r="J38" s="1189"/>
      <c r="K38" s="1189"/>
      <c r="L38" s="1189"/>
      <c r="M38" s="1189"/>
      <c r="N38" s="1189"/>
      <c r="O38" s="1189"/>
      <c r="P38" s="1189"/>
      <c r="Q38" s="1189"/>
      <c r="R38" s="1189"/>
      <c r="S38" s="1189"/>
      <c r="T38" s="1189"/>
      <c r="U38" s="1189"/>
      <c r="V38" s="1438">
        <v>702</v>
      </c>
      <c r="W38" s="1438">
        <v>686</v>
      </c>
      <c r="X38" s="1125">
        <f>SUM(X36:X37)</f>
        <v>5000</v>
      </c>
      <c r="Y38" s="67" t="s">
        <v>0</v>
      </c>
    </row>
    <row r="39" spans="1:25" ht="18" customHeight="1">
      <c r="A39" s="1581" t="s">
        <v>232</v>
      </c>
      <c r="B39" s="1582"/>
      <c r="C39" s="1582"/>
      <c r="D39" s="1582"/>
      <c r="E39" s="1582"/>
      <c r="F39" s="1582"/>
      <c r="G39" s="1582"/>
      <c r="H39" s="1582"/>
      <c r="I39" s="1582"/>
      <c r="J39" s="1582"/>
      <c r="K39" s="1582"/>
      <c r="L39" s="1582"/>
      <c r="M39" s="1582"/>
      <c r="N39" s="1582"/>
      <c r="O39" s="1582"/>
      <c r="P39" s="1582"/>
      <c r="Q39" s="1582"/>
      <c r="R39" s="1582"/>
      <c r="S39" s="1582"/>
      <c r="T39" s="1582"/>
      <c r="U39" s="1582"/>
      <c r="V39" s="1234">
        <f>V34</f>
        <v>702</v>
      </c>
      <c r="W39" s="1234">
        <v>686</v>
      </c>
      <c r="X39" s="1234">
        <f>X34+X38</f>
        <v>183175</v>
      </c>
      <c r="Y39" s="67" t="s">
        <v>0</v>
      </c>
    </row>
    <row r="40" spans="1:25" ht="18" customHeight="1">
      <c r="A40" s="1551" t="s">
        <v>590</v>
      </c>
      <c r="B40" s="1552"/>
      <c r="C40" s="1552"/>
      <c r="D40" s="1552"/>
      <c r="E40" s="1552"/>
      <c r="F40" s="1552"/>
      <c r="G40" s="1552"/>
      <c r="H40" s="1552"/>
      <c r="I40" s="1552"/>
      <c r="J40" s="1552"/>
      <c r="K40" s="1552"/>
      <c r="L40" s="1552"/>
      <c r="M40" s="1552"/>
      <c r="N40" s="1552"/>
      <c r="O40" s="1552"/>
      <c r="P40" s="1552"/>
      <c r="Q40" s="1552"/>
      <c r="R40" s="1552"/>
      <c r="S40" s="1552"/>
      <c r="T40" s="1552"/>
      <c r="U40" s="1552"/>
      <c r="V40" s="421">
        <f>+V39-V14</f>
        <v>0</v>
      </c>
      <c r="W40" s="421">
        <f>+W39-W14</f>
        <v>6</v>
      </c>
      <c r="X40" s="421">
        <f>+X39-X20</f>
        <v>8119</v>
      </c>
      <c r="Y40" s="67" t="s">
        <v>0</v>
      </c>
    </row>
    <row r="41" spans="1:25" ht="18" customHeight="1">
      <c r="A41" s="1389"/>
      <c r="B41" s="1389"/>
      <c r="C41" s="1389"/>
      <c r="D41" s="1389"/>
      <c r="E41" s="1389"/>
      <c r="F41" s="1389"/>
      <c r="G41" s="1389"/>
      <c r="H41" s="1389"/>
      <c r="I41" s="1389"/>
      <c r="J41" s="1389"/>
      <c r="K41" s="1389"/>
      <c r="L41" s="1389"/>
      <c r="M41" s="1389"/>
      <c r="N41" s="1389"/>
      <c r="O41" s="1389"/>
      <c r="P41" s="1389"/>
      <c r="Q41" s="1389"/>
      <c r="R41" s="1389"/>
      <c r="S41" s="1389"/>
      <c r="T41" s="1389"/>
      <c r="U41" s="1389"/>
      <c r="V41" s="399"/>
      <c r="W41" s="399"/>
      <c r="X41" s="399"/>
      <c r="Y41" s="67"/>
    </row>
    <row r="42" spans="1:25" ht="32.25" customHeight="1">
      <c r="A42" s="1577" t="s">
        <v>660</v>
      </c>
      <c r="B42" s="1578"/>
      <c r="C42" s="1578"/>
      <c r="D42" s="1578"/>
      <c r="E42" s="1578"/>
      <c r="F42" s="1578"/>
      <c r="G42" s="1578"/>
      <c r="H42" s="1578"/>
      <c r="I42" s="1578"/>
      <c r="J42" s="1578"/>
      <c r="K42" s="1578"/>
      <c r="L42" s="1578"/>
      <c r="M42" s="1578"/>
      <c r="N42" s="1578"/>
      <c r="O42" s="1578"/>
      <c r="P42" s="1578"/>
      <c r="Q42" s="1578"/>
      <c r="R42" s="1578"/>
      <c r="S42" s="1578"/>
      <c r="T42" s="1578"/>
      <c r="U42" s="1578"/>
      <c r="V42" s="1578"/>
      <c r="W42" s="1578"/>
      <c r="X42" s="1578"/>
      <c r="Y42" s="67" t="s">
        <v>13</v>
      </c>
    </row>
    <row r="43" spans="1:25" ht="18" customHeight="1">
      <c r="A43" s="1387"/>
      <c r="B43" s="1387"/>
      <c r="C43" s="1387"/>
      <c r="D43" s="18"/>
      <c r="E43" s="18"/>
      <c r="F43" s="18"/>
      <c r="G43" s="18"/>
      <c r="H43" s="18"/>
      <c r="I43" s="18"/>
      <c r="J43" s="18"/>
      <c r="K43" s="18"/>
      <c r="L43" s="18"/>
      <c r="M43" s="18"/>
      <c r="N43" s="18"/>
      <c r="O43" s="18"/>
      <c r="P43" s="18"/>
      <c r="Q43" s="18"/>
      <c r="R43" s="18"/>
      <c r="S43" s="18"/>
      <c r="T43" s="18"/>
      <c r="U43" s="18"/>
      <c r="V43" s="18"/>
      <c r="W43" s="18"/>
      <c r="X43" s="18"/>
      <c r="Y43" s="67" t="s">
        <v>0</v>
      </c>
    </row>
    <row r="44" spans="1:25" ht="18" customHeight="1">
      <c r="Y44" s="67" t="s">
        <v>0</v>
      </c>
    </row>
    <row r="45" spans="1:25" ht="18" customHeight="1">
      <c r="Y45" s="67" t="s">
        <v>0</v>
      </c>
    </row>
    <row r="46" spans="1:25" ht="18" customHeight="1">
      <c r="Y46" s="67" t="s">
        <v>0</v>
      </c>
    </row>
    <row r="47" spans="1:25" ht="18" customHeight="1">
      <c r="Y47" s="67" t="s">
        <v>0</v>
      </c>
    </row>
    <row r="48" spans="1:25" ht="18" customHeight="1">
      <c r="Y48" s="67" t="s">
        <v>0</v>
      </c>
    </row>
    <row r="49" spans="1:25" ht="18" customHeight="1">
      <c r="Y49" s="67" t="s">
        <v>0</v>
      </c>
    </row>
    <row r="50" spans="1:25" ht="22.5">
      <c r="A50" s="1568" t="s">
        <v>107</v>
      </c>
      <c r="B50" s="1561"/>
      <c r="C50" s="1561"/>
      <c r="D50" s="1561"/>
      <c r="E50" s="1561"/>
      <c r="F50" s="1561"/>
      <c r="G50" s="1561"/>
      <c r="H50" s="1561"/>
      <c r="I50" s="1561"/>
      <c r="J50" s="1561"/>
      <c r="K50" s="1561"/>
      <c r="L50" s="1561"/>
      <c r="M50" s="1561"/>
      <c r="N50" s="1561"/>
      <c r="O50" s="1561"/>
      <c r="P50" s="1561"/>
      <c r="Q50" s="1561"/>
      <c r="R50" s="1561"/>
      <c r="S50" s="1561"/>
      <c r="T50" s="1561"/>
      <c r="U50" s="1561"/>
      <c r="V50" s="1561"/>
      <c r="W50" s="1561"/>
      <c r="X50" s="1561"/>
      <c r="Y50" s="67" t="s">
        <v>0</v>
      </c>
    </row>
    <row r="51" spans="1:25" ht="23.25">
      <c r="A51" s="1553" t="str">
        <f>A5</f>
        <v>Office of Justice Programs</v>
      </c>
      <c r="B51" s="1554"/>
      <c r="C51" s="1554"/>
      <c r="D51" s="1554"/>
      <c r="E51" s="1554"/>
      <c r="F51" s="1554"/>
      <c r="G51" s="1554"/>
      <c r="H51" s="1554"/>
      <c r="I51" s="1554"/>
      <c r="J51" s="1554"/>
      <c r="K51" s="1554"/>
      <c r="L51" s="1554"/>
      <c r="M51" s="1554"/>
      <c r="N51" s="1554"/>
      <c r="O51" s="1554"/>
      <c r="P51" s="1554"/>
      <c r="Q51" s="1554"/>
      <c r="R51" s="1554"/>
      <c r="S51" s="1554"/>
      <c r="T51" s="1554"/>
      <c r="U51" s="1554"/>
      <c r="V51" s="1554"/>
      <c r="W51" s="1554"/>
      <c r="X51" s="1554"/>
      <c r="Y51" s="67" t="s">
        <v>0</v>
      </c>
    </row>
    <row r="52" spans="1:25" ht="23.25">
      <c r="A52" s="1553" t="str">
        <f>A6</f>
        <v>Salaries and Expenses/Management &amp; Administration</v>
      </c>
      <c r="B52" s="1561"/>
      <c r="C52" s="1561"/>
      <c r="D52" s="1561"/>
      <c r="E52" s="1561"/>
      <c r="F52" s="1561"/>
      <c r="G52" s="1561"/>
      <c r="H52" s="1561"/>
      <c r="I52" s="1561"/>
      <c r="J52" s="1561"/>
      <c r="K52" s="1561"/>
      <c r="L52" s="1561"/>
      <c r="M52" s="1561"/>
      <c r="N52" s="1561"/>
      <c r="O52" s="1561"/>
      <c r="P52" s="1561"/>
      <c r="Q52" s="1561"/>
      <c r="R52" s="1561"/>
      <c r="S52" s="1561"/>
      <c r="T52" s="1561"/>
      <c r="U52" s="1561"/>
      <c r="V52" s="1561"/>
      <c r="W52" s="1561"/>
      <c r="X52" s="1561"/>
      <c r="Y52" s="67" t="s">
        <v>0</v>
      </c>
    </row>
    <row r="53" spans="1:25" ht="23.25">
      <c r="A53" s="1553" t="s">
        <v>98</v>
      </c>
      <c r="B53" s="1562"/>
      <c r="C53" s="1562"/>
      <c r="D53" s="1562"/>
      <c r="E53" s="1562"/>
      <c r="F53" s="1562"/>
      <c r="G53" s="1562"/>
      <c r="H53" s="1562"/>
      <c r="I53" s="1562"/>
      <c r="J53" s="1562"/>
      <c r="K53" s="1562"/>
      <c r="L53" s="1562"/>
      <c r="M53" s="1562"/>
      <c r="N53" s="1562"/>
      <c r="O53" s="1562"/>
      <c r="P53" s="1562"/>
      <c r="Q53" s="1562"/>
      <c r="R53" s="1562"/>
      <c r="S53" s="1562"/>
      <c r="T53" s="1562"/>
      <c r="U53" s="1562"/>
      <c r="V53" s="1562"/>
      <c r="W53" s="1562"/>
      <c r="X53" s="1562"/>
      <c r="Y53" s="67" t="s">
        <v>0</v>
      </c>
    </row>
    <row r="54" spans="1:25" ht="18" customHeight="1">
      <c r="Y54" s="67" t="s">
        <v>0</v>
      </c>
    </row>
    <row r="55" spans="1:25" ht="18" customHeight="1">
      <c r="Y55" s="67" t="s">
        <v>0</v>
      </c>
    </row>
    <row r="56" spans="1:25" ht="18" customHeight="1">
      <c r="Y56" s="67" t="s">
        <v>0</v>
      </c>
    </row>
    <row r="57" spans="1:25" ht="18" customHeight="1">
      <c r="Y57" s="67" t="s">
        <v>0</v>
      </c>
    </row>
    <row r="58" spans="1:25" ht="18" customHeight="1">
      <c r="A58" s="37"/>
      <c r="B58" s="37"/>
      <c r="C58" s="37"/>
      <c r="D58" s="38"/>
      <c r="E58" s="38"/>
      <c r="F58" s="38"/>
      <c r="G58" s="38"/>
      <c r="H58" s="38"/>
      <c r="I58" s="38"/>
      <c r="J58" s="38"/>
      <c r="K58" s="38"/>
      <c r="L58" s="38"/>
      <c r="M58" s="38"/>
      <c r="N58" s="38"/>
      <c r="O58" s="38"/>
      <c r="P58" s="38"/>
      <c r="Q58" s="38"/>
      <c r="R58" s="38"/>
      <c r="S58" s="38"/>
      <c r="T58" s="38"/>
      <c r="U58" s="38"/>
      <c r="V58" s="38"/>
      <c r="W58" s="38"/>
      <c r="X58" s="38"/>
      <c r="Y58" s="67" t="s">
        <v>0</v>
      </c>
    </row>
    <row r="59" spans="1:25" ht="22.5" customHeight="1">
      <c r="A59" s="1569" t="s">
        <v>114</v>
      </c>
      <c r="B59" s="1570"/>
      <c r="C59" s="1571"/>
      <c r="D59" s="1540" t="s">
        <v>169</v>
      </c>
      <c r="E59" s="1558"/>
      <c r="F59" s="1563"/>
      <c r="G59" s="1540" t="s">
        <v>591</v>
      </c>
      <c r="H59" s="1541"/>
      <c r="I59" s="1542"/>
      <c r="J59" s="1540" t="s">
        <v>151</v>
      </c>
      <c r="K59" s="1558"/>
      <c r="L59" s="1563"/>
      <c r="M59" s="1540" t="s">
        <v>150</v>
      </c>
      <c r="N59" s="1558"/>
      <c r="O59" s="1563"/>
      <c r="P59" s="1540" t="s">
        <v>152</v>
      </c>
      <c r="Q59" s="1555"/>
      <c r="R59" s="1555"/>
      <c r="S59" s="1540" t="s">
        <v>153</v>
      </c>
      <c r="T59" s="1558"/>
      <c r="U59" s="1558"/>
      <c r="V59" s="1540" t="s">
        <v>154</v>
      </c>
      <c r="W59" s="1558"/>
      <c r="X59" s="1563"/>
      <c r="Y59" s="67" t="s">
        <v>0</v>
      </c>
    </row>
    <row r="60" spans="1:25" ht="27.75" customHeight="1">
      <c r="A60" s="1572"/>
      <c r="B60" s="1554"/>
      <c r="C60" s="1573"/>
      <c r="D60" s="1559"/>
      <c r="E60" s="1560"/>
      <c r="F60" s="1564"/>
      <c r="G60" s="1543"/>
      <c r="H60" s="1544"/>
      <c r="I60" s="1545"/>
      <c r="J60" s="1559"/>
      <c r="K60" s="1560"/>
      <c r="L60" s="1564"/>
      <c r="M60" s="1559"/>
      <c r="N60" s="1560"/>
      <c r="O60" s="1564"/>
      <c r="P60" s="1556"/>
      <c r="Q60" s="1557"/>
      <c r="R60" s="1557"/>
      <c r="S60" s="1559"/>
      <c r="T60" s="1560"/>
      <c r="U60" s="1560"/>
      <c r="V60" s="1559"/>
      <c r="W60" s="1560"/>
      <c r="X60" s="1564"/>
      <c r="Y60" s="67" t="s">
        <v>0</v>
      </c>
    </row>
    <row r="61" spans="1:25" ht="16.5" thickBot="1">
      <c r="A61" s="1574"/>
      <c r="B61" s="1575"/>
      <c r="C61" s="1576"/>
      <c r="D61" s="135" t="s">
        <v>115</v>
      </c>
      <c r="E61" s="136" t="s">
        <v>25</v>
      </c>
      <c r="F61" s="137" t="s">
        <v>117</v>
      </c>
      <c r="G61" s="135" t="s">
        <v>115</v>
      </c>
      <c r="H61" s="136" t="s">
        <v>25</v>
      </c>
      <c r="I61" s="137" t="s">
        <v>117</v>
      </c>
      <c r="J61" s="135" t="s">
        <v>115</v>
      </c>
      <c r="K61" s="136" t="s">
        <v>25</v>
      </c>
      <c r="L61" s="137" t="s">
        <v>117</v>
      </c>
      <c r="M61" s="135" t="s">
        <v>115</v>
      </c>
      <c r="N61" s="136" t="s">
        <v>25</v>
      </c>
      <c r="O61" s="137" t="s">
        <v>117</v>
      </c>
      <c r="P61" s="135" t="s">
        <v>115</v>
      </c>
      <c r="Q61" s="136" t="s">
        <v>25</v>
      </c>
      <c r="R61" s="137" t="s">
        <v>117</v>
      </c>
      <c r="S61" s="135" t="s">
        <v>115</v>
      </c>
      <c r="T61" s="136" t="s">
        <v>25</v>
      </c>
      <c r="U61" s="137" t="s">
        <v>117</v>
      </c>
      <c r="V61" s="138" t="s">
        <v>115</v>
      </c>
      <c r="W61" s="136" t="s">
        <v>25</v>
      </c>
      <c r="X61" s="139" t="s">
        <v>117</v>
      </c>
      <c r="Y61" s="67" t="s">
        <v>0</v>
      </c>
    </row>
    <row r="62" spans="1:25">
      <c r="A62" s="1549" t="s">
        <v>672</v>
      </c>
      <c r="B62" s="1550"/>
      <c r="C62" s="1550"/>
      <c r="D62" s="1327">
        <v>702</v>
      </c>
      <c r="E62" s="1328">
        <v>680</v>
      </c>
      <c r="F62" s="109">
        <v>140124</v>
      </c>
      <c r="G62" s="1327">
        <v>702</v>
      </c>
      <c r="H62" s="1328">
        <v>686</v>
      </c>
      <c r="I62" s="1328">
        <v>175056</v>
      </c>
      <c r="J62" s="107"/>
      <c r="K62" s="108"/>
      <c r="L62" s="109">
        <v>3119</v>
      </c>
      <c r="M62" s="1327">
        <v>702</v>
      </c>
      <c r="N62" s="1328">
        <v>686</v>
      </c>
      <c r="O62" s="109">
        <f>I62+L62</f>
        <v>178175</v>
      </c>
      <c r="P62" s="107"/>
      <c r="Q62" s="108"/>
      <c r="R62" s="109">
        <v>5000</v>
      </c>
      <c r="S62" s="107"/>
      <c r="T62" s="108"/>
      <c r="U62" s="109">
        <v>0</v>
      </c>
      <c r="V62" s="1327">
        <f>P62+M62+S62</f>
        <v>702</v>
      </c>
      <c r="W62" s="1328">
        <f>+N62+Q62+T62</f>
        <v>686</v>
      </c>
      <c r="X62" s="110">
        <f>R62+O62+U62</f>
        <v>183175</v>
      </c>
      <c r="Y62" s="67" t="s">
        <v>0</v>
      </c>
    </row>
    <row r="63" spans="1:25">
      <c r="A63" s="1456" t="s">
        <v>206</v>
      </c>
      <c r="B63" s="130"/>
      <c r="C63" s="847"/>
      <c r="D63" s="1329">
        <f t="shared" ref="D63:X63" si="0">SUM(D62:D62)</f>
        <v>702</v>
      </c>
      <c r="E63" s="1330">
        <f t="shared" si="0"/>
        <v>680</v>
      </c>
      <c r="F63" s="1497">
        <f t="shared" si="0"/>
        <v>140124</v>
      </c>
      <c r="G63" s="1329">
        <f>SUM(G62:G62)</f>
        <v>702</v>
      </c>
      <c r="H63" s="1330">
        <f t="shared" si="0"/>
        <v>686</v>
      </c>
      <c r="I63" s="1497">
        <f t="shared" si="0"/>
        <v>175056</v>
      </c>
      <c r="J63" s="1329">
        <f t="shared" si="0"/>
        <v>0</v>
      </c>
      <c r="K63" s="1330">
        <f t="shared" si="0"/>
        <v>0</v>
      </c>
      <c r="L63" s="1497">
        <f t="shared" si="0"/>
        <v>3119</v>
      </c>
      <c r="M63" s="1329">
        <f t="shared" si="0"/>
        <v>702</v>
      </c>
      <c r="N63" s="1330">
        <f t="shared" si="0"/>
        <v>686</v>
      </c>
      <c r="O63" s="1497">
        <f t="shared" si="0"/>
        <v>178175</v>
      </c>
      <c r="P63" s="1329">
        <f t="shared" si="0"/>
        <v>0</v>
      </c>
      <c r="Q63" s="1330">
        <f t="shared" si="0"/>
        <v>0</v>
      </c>
      <c r="R63" s="1497">
        <f t="shared" si="0"/>
        <v>5000</v>
      </c>
      <c r="S63" s="1329">
        <f t="shared" si="0"/>
        <v>0</v>
      </c>
      <c r="T63" s="1330">
        <f t="shared" si="0"/>
        <v>0</v>
      </c>
      <c r="U63" s="1497">
        <f t="shared" si="0"/>
        <v>0</v>
      </c>
      <c r="V63" s="1329">
        <f t="shared" si="0"/>
        <v>702</v>
      </c>
      <c r="W63" s="1330">
        <f t="shared" si="0"/>
        <v>686</v>
      </c>
      <c r="X63" s="1498">
        <f t="shared" si="0"/>
        <v>183175</v>
      </c>
      <c r="Y63" s="67" t="s">
        <v>0</v>
      </c>
    </row>
    <row r="64" spans="1:25">
      <c r="A64" s="155"/>
      <c r="B64" s="1455" t="s">
        <v>205</v>
      </c>
      <c r="C64" s="1458"/>
      <c r="D64" s="1331"/>
      <c r="E64" s="1332"/>
      <c r="F64" s="1499">
        <v>44146</v>
      </c>
      <c r="G64" s="1331"/>
      <c r="H64" s="1332"/>
      <c r="I64" s="1500"/>
      <c r="J64" s="1331"/>
      <c r="K64" s="1332"/>
      <c r="L64" s="1500"/>
      <c r="M64" s="1331"/>
      <c r="N64" s="1332"/>
      <c r="O64" s="1500"/>
      <c r="P64" s="1331"/>
      <c r="Q64" s="1332"/>
      <c r="R64" s="1500"/>
      <c r="S64" s="1331"/>
      <c r="T64" s="1332"/>
      <c r="U64" s="1500"/>
      <c r="V64" s="1331"/>
      <c r="W64" s="1332"/>
      <c r="X64" s="1501"/>
      <c r="Y64" s="67" t="s">
        <v>0</v>
      </c>
    </row>
    <row r="65" spans="1:25" ht="17.25" customHeight="1">
      <c r="A65" s="1482" t="s">
        <v>26</v>
      </c>
      <c r="B65" s="1453"/>
      <c r="C65" s="1454"/>
      <c r="D65" s="1329">
        <f t="shared" ref="D65:X65" si="1">D63+D64</f>
        <v>702</v>
      </c>
      <c r="E65" s="1330">
        <f t="shared" si="1"/>
        <v>680</v>
      </c>
      <c r="F65" s="1497">
        <f t="shared" si="1"/>
        <v>184270</v>
      </c>
      <c r="G65" s="1329">
        <f t="shared" si="1"/>
        <v>702</v>
      </c>
      <c r="H65" s="1330">
        <f t="shared" si="1"/>
        <v>686</v>
      </c>
      <c r="I65" s="1497">
        <f t="shared" si="1"/>
        <v>175056</v>
      </c>
      <c r="J65" s="1329">
        <f t="shared" si="1"/>
        <v>0</v>
      </c>
      <c r="K65" s="1330">
        <f t="shared" si="1"/>
        <v>0</v>
      </c>
      <c r="L65" s="1497">
        <f t="shared" si="1"/>
        <v>3119</v>
      </c>
      <c r="M65" s="1329">
        <f t="shared" si="1"/>
        <v>702</v>
      </c>
      <c r="N65" s="1330">
        <f t="shared" si="1"/>
        <v>686</v>
      </c>
      <c r="O65" s="1497">
        <f t="shared" si="1"/>
        <v>178175</v>
      </c>
      <c r="P65" s="1329">
        <f t="shared" si="1"/>
        <v>0</v>
      </c>
      <c r="Q65" s="1330">
        <f t="shared" si="1"/>
        <v>0</v>
      </c>
      <c r="R65" s="1497">
        <f t="shared" si="1"/>
        <v>5000</v>
      </c>
      <c r="S65" s="1329">
        <f t="shared" si="1"/>
        <v>0</v>
      </c>
      <c r="T65" s="1330">
        <f t="shared" si="1"/>
        <v>0</v>
      </c>
      <c r="U65" s="1497">
        <f t="shared" si="1"/>
        <v>0</v>
      </c>
      <c r="V65" s="1329">
        <f t="shared" si="1"/>
        <v>702</v>
      </c>
      <c r="W65" s="1330">
        <f t="shared" si="1"/>
        <v>686</v>
      </c>
      <c r="X65" s="1498">
        <f t="shared" si="1"/>
        <v>183175</v>
      </c>
      <c r="Y65" s="67" t="s">
        <v>0</v>
      </c>
    </row>
    <row r="66" spans="1:25">
      <c r="A66" s="129"/>
      <c r="B66" s="1538" t="s">
        <v>103</v>
      </c>
      <c r="C66" s="1539"/>
      <c r="D66" s="142"/>
      <c r="E66" s="143"/>
      <c r="F66" s="113"/>
      <c r="G66" s="144"/>
      <c r="H66" s="145"/>
      <c r="I66" s="145"/>
      <c r="J66" s="144"/>
      <c r="K66" s="145"/>
      <c r="L66" s="145"/>
      <c r="M66" s="144"/>
      <c r="N66" s="145"/>
      <c r="O66" s="145"/>
      <c r="P66" s="144"/>
      <c r="Q66" s="145"/>
      <c r="R66" s="145"/>
      <c r="S66" s="144"/>
      <c r="T66" s="145"/>
      <c r="U66" s="145"/>
      <c r="V66" s="144"/>
      <c r="W66" s="143"/>
      <c r="X66" s="168"/>
      <c r="Y66" s="67" t="s">
        <v>0</v>
      </c>
    </row>
    <row r="67" spans="1:25">
      <c r="A67" s="127"/>
      <c r="B67" s="1527" t="s">
        <v>102</v>
      </c>
      <c r="C67" s="1528"/>
      <c r="D67" s="1327"/>
      <c r="E67" s="1328">
        <f>+E63+E66</f>
        <v>680</v>
      </c>
      <c r="F67" s="1502"/>
      <c r="G67" s="1327"/>
      <c r="H67" s="1328">
        <f>+H63+H66</f>
        <v>686</v>
      </c>
      <c r="I67" s="1328"/>
      <c r="J67" s="1327"/>
      <c r="K67" s="1328">
        <f>+K63+K66</f>
        <v>0</v>
      </c>
      <c r="L67" s="1328"/>
      <c r="M67" s="1327"/>
      <c r="N67" s="1328">
        <f>+N63+N66</f>
        <v>686</v>
      </c>
      <c r="O67" s="1328"/>
      <c r="P67" s="1327"/>
      <c r="Q67" s="1328">
        <f>+Q63+Q66</f>
        <v>0</v>
      </c>
      <c r="R67" s="1328"/>
      <c r="S67" s="1327"/>
      <c r="T67" s="1328">
        <f>+T63+T66</f>
        <v>0</v>
      </c>
      <c r="U67" s="1328"/>
      <c r="V67" s="1327"/>
      <c r="W67" s="1328">
        <f>+W63+W66</f>
        <v>686</v>
      </c>
      <c r="X67" s="69"/>
      <c r="Y67" s="67" t="s">
        <v>0</v>
      </c>
    </row>
    <row r="68" spans="1:25">
      <c r="A68" s="131"/>
      <c r="B68" s="1534"/>
      <c r="C68" s="1535"/>
      <c r="D68" s="1503"/>
      <c r="E68" s="1504"/>
      <c r="F68" s="1505"/>
      <c r="G68" s="1503"/>
      <c r="H68" s="1504"/>
      <c r="I68" s="1504"/>
      <c r="J68" s="1503"/>
      <c r="K68" s="1504"/>
      <c r="L68" s="1504"/>
      <c r="M68" s="1503"/>
      <c r="N68" s="1504"/>
      <c r="O68" s="1504"/>
      <c r="P68" s="1503"/>
      <c r="Q68" s="1504"/>
      <c r="R68" s="1504"/>
      <c r="S68" s="1503"/>
      <c r="T68" s="1504"/>
      <c r="U68" s="1504"/>
      <c r="V68" s="1503"/>
      <c r="W68" s="1506"/>
      <c r="X68" s="183"/>
      <c r="Y68" s="67" t="s">
        <v>0</v>
      </c>
    </row>
    <row r="69" spans="1:25">
      <c r="A69" s="127"/>
      <c r="B69" s="1527" t="s">
        <v>100</v>
      </c>
      <c r="C69" s="1528"/>
      <c r="D69" s="1327"/>
      <c r="E69" s="1328"/>
      <c r="F69" s="1502"/>
      <c r="G69" s="1327"/>
      <c r="H69" s="1328"/>
      <c r="I69" s="1328"/>
      <c r="J69" s="1327"/>
      <c r="K69" s="1328"/>
      <c r="L69" s="1328"/>
      <c r="M69" s="1327"/>
      <c r="N69" s="1328"/>
      <c r="O69" s="1328"/>
      <c r="P69" s="1327"/>
      <c r="Q69" s="1328"/>
      <c r="R69" s="1328"/>
      <c r="S69" s="1327"/>
      <c r="T69" s="1328"/>
      <c r="U69" s="1328"/>
      <c r="V69" s="1327"/>
      <c r="W69" s="1328"/>
      <c r="X69" s="69"/>
      <c r="Y69" s="67" t="s">
        <v>0</v>
      </c>
    </row>
    <row r="70" spans="1:25">
      <c r="A70" s="127"/>
      <c r="B70" s="132"/>
      <c r="C70" s="128" t="s">
        <v>31</v>
      </c>
      <c r="D70" s="1327"/>
      <c r="E70" s="1328"/>
      <c r="F70" s="1502"/>
      <c r="G70" s="1327"/>
      <c r="H70" s="1328"/>
      <c r="I70" s="1328"/>
      <c r="J70" s="1327"/>
      <c r="K70" s="1328"/>
      <c r="L70" s="1328"/>
      <c r="M70" s="1327"/>
      <c r="N70" s="1328"/>
      <c r="O70" s="1328"/>
      <c r="P70" s="1327"/>
      <c r="Q70" s="1328"/>
      <c r="R70" s="1328"/>
      <c r="S70" s="1327"/>
      <c r="T70" s="1328"/>
      <c r="U70" s="1328"/>
      <c r="V70" s="1327"/>
      <c r="W70" s="1507"/>
      <c r="X70" s="69"/>
      <c r="Y70" s="67" t="s">
        <v>0</v>
      </c>
    </row>
    <row r="71" spans="1:25">
      <c r="A71" s="129"/>
      <c r="B71" s="133"/>
      <c r="C71" s="134" t="s">
        <v>60</v>
      </c>
      <c r="D71" s="1508"/>
      <c r="E71" s="1509"/>
      <c r="F71" s="1510"/>
      <c r="G71" s="1508"/>
      <c r="H71" s="1509"/>
      <c r="I71" s="1509"/>
      <c r="J71" s="1508"/>
      <c r="K71" s="1509"/>
      <c r="L71" s="1509"/>
      <c r="M71" s="1508"/>
      <c r="N71" s="1509"/>
      <c r="O71" s="1509"/>
      <c r="P71" s="1508"/>
      <c r="Q71" s="1509"/>
      <c r="R71" s="1509"/>
      <c r="S71" s="1508"/>
      <c r="T71" s="1509"/>
      <c r="U71" s="1509"/>
      <c r="V71" s="1508"/>
      <c r="W71" s="1509"/>
      <c r="X71" s="168"/>
      <c r="Y71" s="67" t="s">
        <v>0</v>
      </c>
    </row>
    <row r="72" spans="1:25">
      <c r="A72" s="129"/>
      <c r="B72" s="1529" t="s">
        <v>101</v>
      </c>
      <c r="C72" s="1530"/>
      <c r="D72" s="1508"/>
      <c r="E72" s="1509">
        <f>E71+E70+E67</f>
        <v>680</v>
      </c>
      <c r="F72" s="1510"/>
      <c r="G72" s="1508"/>
      <c r="H72" s="1509">
        <f>H71+H70+H67</f>
        <v>686</v>
      </c>
      <c r="I72" s="1509"/>
      <c r="J72" s="1508"/>
      <c r="K72" s="1509">
        <f>K71+K70+K67</f>
        <v>0</v>
      </c>
      <c r="L72" s="1509"/>
      <c r="M72" s="1508"/>
      <c r="N72" s="1509">
        <f>N71+N70+N67</f>
        <v>686</v>
      </c>
      <c r="O72" s="1509"/>
      <c r="P72" s="1508"/>
      <c r="Q72" s="1509">
        <f>Q71+Q70+Q67</f>
        <v>0</v>
      </c>
      <c r="R72" s="1509"/>
      <c r="S72" s="1508"/>
      <c r="T72" s="1509">
        <f>T71+T70+T67</f>
        <v>0</v>
      </c>
      <c r="U72" s="1509"/>
      <c r="V72" s="1508"/>
      <c r="W72" s="1509">
        <f>W71+W70+W67</f>
        <v>686</v>
      </c>
      <c r="X72" s="168"/>
      <c r="Y72" s="67" t="s">
        <v>0</v>
      </c>
    </row>
    <row r="73" spans="1:25">
      <c r="C73" s="5"/>
      <c r="Y73" s="67" t="s">
        <v>0</v>
      </c>
    </row>
    <row r="74" spans="1:25" ht="15" customHeight="1">
      <c r="A74" s="1532" t="s">
        <v>623</v>
      </c>
      <c r="B74" s="1533"/>
      <c r="C74" s="1533"/>
      <c r="D74" s="1533"/>
      <c r="E74" s="1533"/>
      <c r="F74" s="1533"/>
      <c r="G74" s="1533"/>
      <c r="H74" s="1533"/>
      <c r="I74" s="1533"/>
      <c r="J74" s="1533"/>
      <c r="K74" s="1533"/>
      <c r="L74" s="1533"/>
      <c r="M74" s="1533"/>
      <c r="N74" s="1533"/>
      <c r="O74" s="1533"/>
      <c r="P74" s="1533"/>
      <c r="Q74" s="1533"/>
      <c r="R74" s="1533"/>
      <c r="S74" s="1533"/>
      <c r="T74" s="1533"/>
      <c r="U74" s="1533"/>
      <c r="V74" s="1533"/>
      <c r="W74" s="1533"/>
      <c r="X74" s="1533"/>
      <c r="Y74" s="67" t="s">
        <v>0</v>
      </c>
    </row>
    <row r="75" spans="1:25" s="253" customFormat="1" ht="15">
      <c r="D75" s="254"/>
      <c r="E75" s="254"/>
      <c r="F75" s="254"/>
      <c r="G75" s="254"/>
      <c r="H75" s="254"/>
      <c r="I75" s="254"/>
      <c r="J75" s="254"/>
      <c r="K75" s="254"/>
      <c r="L75" s="254"/>
      <c r="M75" s="254"/>
      <c r="N75" s="254"/>
      <c r="O75" s="254"/>
      <c r="P75" s="254"/>
      <c r="Q75" s="254"/>
      <c r="R75" s="254"/>
      <c r="S75" s="254"/>
      <c r="T75" s="254"/>
      <c r="U75" s="254"/>
      <c r="V75" s="254"/>
      <c r="W75" s="254"/>
      <c r="X75" s="254"/>
      <c r="Y75" s="67" t="s">
        <v>13</v>
      </c>
    </row>
    <row r="76" spans="1:25" s="253" customFormat="1" ht="15">
      <c r="D76" s="254"/>
      <c r="E76" s="254"/>
      <c r="F76" s="254"/>
      <c r="G76" s="254"/>
      <c r="H76" s="254"/>
      <c r="I76" s="254"/>
      <c r="J76" s="254"/>
      <c r="K76" s="254"/>
      <c r="L76" s="254"/>
      <c r="M76" s="254"/>
      <c r="N76" s="254"/>
      <c r="O76" s="254"/>
      <c r="P76" s="254"/>
      <c r="Q76" s="254"/>
      <c r="R76" s="254"/>
      <c r="S76" s="254"/>
      <c r="T76" s="254"/>
      <c r="U76" s="254"/>
      <c r="V76" s="254"/>
      <c r="W76" s="254"/>
      <c r="X76" s="254"/>
      <c r="Y76" s="255"/>
    </row>
    <row r="77" spans="1:25" s="253" customFormat="1" ht="15">
      <c r="A77" s="1476"/>
      <c r="B77" s="1476"/>
      <c r="C77" s="1476"/>
      <c r="D77" s="1477"/>
      <c r="E77" s="1477"/>
      <c r="F77" s="1477"/>
      <c r="G77" s="1477"/>
      <c r="H77" s="1477"/>
      <c r="I77" s="1477"/>
      <c r="J77" s="1477"/>
      <c r="K77" s="1477"/>
      <c r="L77" s="1477"/>
      <c r="M77" s="1477"/>
      <c r="N77" s="1477"/>
      <c r="O77" s="1477"/>
      <c r="P77" s="1477"/>
      <c r="Q77" s="1477"/>
      <c r="R77" s="1477"/>
      <c r="S77" s="1477"/>
      <c r="T77" s="1477"/>
      <c r="U77" s="1477"/>
      <c r="V77" s="1477"/>
      <c r="W77" s="254"/>
      <c r="X77" s="254"/>
      <c r="Y77" s="255"/>
    </row>
    <row r="78" spans="1:25" s="253" customFormat="1" ht="15">
      <c r="A78" s="1476"/>
      <c r="B78" s="1476"/>
      <c r="C78" s="1476"/>
      <c r="D78" s="1477"/>
      <c r="E78" s="1477"/>
      <c r="F78" s="1477"/>
      <c r="G78" s="1477"/>
      <c r="H78" s="1477"/>
      <c r="I78" s="1477"/>
      <c r="J78" s="1477"/>
      <c r="K78" s="1477"/>
      <c r="L78" s="1477"/>
      <c r="M78" s="1477"/>
      <c r="N78" s="1477"/>
      <c r="O78" s="1477"/>
      <c r="P78" s="1477"/>
      <c r="Q78" s="1477"/>
      <c r="R78" s="1477"/>
      <c r="S78" s="1477"/>
      <c r="T78" s="1477"/>
      <c r="U78" s="1477"/>
      <c r="V78" s="1477"/>
      <c r="W78" s="254"/>
      <c r="X78" s="254"/>
      <c r="Y78" s="255"/>
    </row>
    <row r="79" spans="1:25" s="253" customFormat="1" ht="15">
      <c r="A79" s="1476"/>
      <c r="B79" s="1476"/>
      <c r="C79" s="1476"/>
      <c r="D79" s="1477"/>
      <c r="E79" s="1477"/>
      <c r="F79" s="1536"/>
      <c r="G79" s="1537"/>
      <c r="H79" s="1537"/>
      <c r="I79" s="1477"/>
      <c r="J79" s="1477"/>
      <c r="K79" s="1477"/>
      <c r="L79" s="1477"/>
      <c r="M79" s="1477"/>
      <c r="N79" s="1477"/>
      <c r="O79" s="1477"/>
      <c r="P79" s="1477"/>
      <c r="Q79" s="1477"/>
      <c r="R79" s="1477"/>
      <c r="S79" s="1477"/>
      <c r="T79" s="1477"/>
      <c r="U79" s="1477"/>
      <c r="V79" s="1477"/>
      <c r="W79" s="254"/>
      <c r="X79" s="254"/>
      <c r="Y79" s="255"/>
    </row>
    <row r="80" spans="1:25" s="253" customFormat="1">
      <c r="A80" s="1478"/>
      <c r="B80" s="1478"/>
      <c r="C80" s="1457"/>
      <c r="D80" s="1479"/>
      <c r="E80" s="1479"/>
      <c r="F80" s="1537"/>
      <c r="G80" s="1537"/>
      <c r="H80" s="1537"/>
      <c r="I80" s="1479"/>
      <c r="J80" s="1479"/>
      <c r="K80" s="1479"/>
      <c r="L80" s="1479"/>
      <c r="M80" s="1479"/>
      <c r="N80" s="1479"/>
      <c r="O80" s="1479"/>
      <c r="P80" s="1479"/>
      <c r="Q80" s="1479"/>
      <c r="R80" s="1479"/>
      <c r="S80" s="1479"/>
      <c r="T80" s="1479"/>
      <c r="U80" s="1479"/>
      <c r="V80" s="1479"/>
      <c r="W80" s="257"/>
      <c r="X80" s="257"/>
      <c r="Y80" s="255"/>
    </row>
    <row r="81" spans="1:25" s="253" customFormat="1" ht="15">
      <c r="A81" s="1478"/>
      <c r="B81" s="1478"/>
      <c r="C81" s="1480"/>
      <c r="D81" s="1481"/>
      <c r="E81" s="1481"/>
      <c r="F81" s="1537"/>
      <c r="G81" s="1537"/>
      <c r="H81" s="1537"/>
      <c r="I81" s="1481"/>
      <c r="J81" s="1481"/>
      <c r="K81" s="1481"/>
      <c r="L81" s="1481"/>
      <c r="M81" s="1481"/>
      <c r="N81" s="1481"/>
      <c r="O81" s="1481"/>
      <c r="P81" s="1481"/>
      <c r="Q81" s="1481"/>
      <c r="R81" s="1481"/>
      <c r="S81" s="1481"/>
      <c r="T81" s="1481"/>
      <c r="U81" s="1481"/>
      <c r="V81" s="1481"/>
      <c r="W81" s="273"/>
      <c r="X81" s="273"/>
      <c r="Y81" s="255"/>
    </row>
    <row r="82" spans="1:25" s="253" customFormat="1" ht="30" customHeight="1">
      <c r="A82" s="1531"/>
      <c r="B82" s="1531"/>
      <c r="C82" s="1531"/>
      <c r="D82" s="1531"/>
      <c r="E82" s="1531"/>
      <c r="F82" s="1531"/>
      <c r="G82" s="1531"/>
      <c r="H82" s="1531"/>
      <c r="I82" s="1531"/>
      <c r="J82" s="1531"/>
      <c r="K82" s="1531"/>
      <c r="L82" s="1531"/>
      <c r="M82" s="1531"/>
      <c r="N82" s="1531"/>
      <c r="O82" s="1531"/>
      <c r="P82" s="1531"/>
      <c r="Q82" s="1531"/>
      <c r="R82" s="1531"/>
      <c r="S82" s="1531"/>
      <c r="T82" s="1531"/>
      <c r="U82" s="1531"/>
      <c r="V82" s="1531"/>
      <c r="W82" s="49"/>
      <c r="X82" s="49"/>
      <c r="Y82" s="255"/>
    </row>
    <row r="83" spans="1:25">
      <c r="W83" s="29"/>
      <c r="X83" s="29"/>
    </row>
    <row r="84" spans="1:25">
      <c r="K84" s="53"/>
    </row>
  </sheetData>
  <customSheetViews>
    <customSheetView guid="{DA38F665-F06D-4DFB-B852-747D93BB00EF}" scale="65" showPageBreaks="1" showGridLines="0" outlineSymbols="0" fitToPage="1" printArea="1" view="pageBreakPreview">
      <selection activeCell="A5" sqref="A5:X5"/>
      <rowBreaks count="1" manualBreakCount="1">
        <brk id="38" max="23" man="1"/>
      </rowBreaks>
      <pageMargins left="0.5" right="0.4" top="0.5" bottom="0.25" header="0" footer="0"/>
      <printOptions horizontalCentered="1"/>
      <pageSetup scale="55" firstPageNumber="8" fitToHeight="0" orientation="landscape" useFirstPageNumber="1" r:id="rId1"/>
      <headerFooter alignWithMargins="0">
        <oddFooter>&amp;C&amp;"Times New Roman,Regular"Exhibit B - Summary of Requirements&amp;R&amp;"Times New Roman,Regular"Salaries and Expenses/Management &amp; Administration</oddFooter>
      </headerFooter>
    </customSheetView>
    <customSheetView guid="{3118AF25-8423-420A-806A-487665220C68}" scale="65" showPageBreaks="1" showGridLines="0" outlineSymbols="0" fitToPage="1" printArea="1" view="pageBreakPreview" topLeftCell="A50">
      <selection activeCell="W80" sqref="W80"/>
      <rowBreaks count="1" manualBreakCount="1">
        <brk id="47" max="23" man="1"/>
      </rowBreaks>
      <pageMargins left="0.5" right="0.4" top="0.5" bottom="0.25" header="0" footer="0"/>
      <printOptions horizontalCentered="1"/>
      <pageSetup scale="55" firstPageNumber="8" fitToHeight="0" orientation="landscape" useFirstPageNumber="1" r:id="rId2"/>
      <headerFooter alignWithMargins="0">
        <oddFooter>&amp;C&amp;"Times New Roman,Regular"Exhibit B - Summary of Requirements</oddFooter>
      </headerFooter>
    </customSheetView>
    <customSheetView guid="{56C0A34E-45B4-448B-85E5-70B3A8E63333}" scale="65" showPageBreaks="1" showGridLines="0" outlineSymbols="0" fitToPage="1" printArea="1" view="pageBreakPreview" topLeftCell="A6">
      <selection activeCell="X34" sqref="X34"/>
      <rowBreaks count="1" manualBreakCount="1">
        <brk id="49" max="23" man="1"/>
      </rowBreaks>
      <pageMargins left="0.5" right="0.4" top="0.5" bottom="0.25" header="0" footer="0"/>
      <printOptions horizontalCentered="1"/>
      <pageSetup scale="55" firstPageNumber="8" fitToHeight="0" orientation="landscape" useFirstPageNumber="1" r:id="rId3"/>
      <headerFooter alignWithMargins="0">
        <oddFooter>&amp;C&amp;"Times New Roman,Regular"Exhibit B - Summary of Requirements</oddFooter>
      </headerFooter>
    </customSheetView>
    <customSheetView guid="{4148B88B-8ED7-4FDE-9459-DEB244AD0552}" scale="65" showPageBreaks="1" showGridLines="0" outlineSymbols="0" fitToPage="1" printArea="1" view="pageBreakPreview" topLeftCell="C7">
      <selection activeCell="A38" sqref="A38:U38"/>
      <rowBreaks count="1" manualBreakCount="1">
        <brk id="47" max="23" man="1"/>
      </rowBreaks>
      <pageMargins left="0.5" right="0.4" top="0.5" bottom="0.25" header="0" footer="0"/>
      <printOptions horizontalCentered="1"/>
      <pageSetup scale="55" firstPageNumber="8" fitToHeight="0" orientation="landscape" useFirstPageNumber="1" r:id="rId4"/>
      <headerFooter alignWithMargins="0">
        <oddFooter>&amp;C&amp;"Times New Roman,Regular"Exhibit B - Summary of Requirements</oddFooter>
      </headerFooter>
    </customSheetView>
    <customSheetView guid="{12C66D54-5067-4346-818B-6EAB1C8A9183}" scale="65" showPageBreaks="1" showGridLines="0" outlineSymbols="0" fitToPage="1" printArea="1" view="pageBreakPreview">
      <selection activeCell="A21" sqref="A21:U21"/>
      <rowBreaks count="1" manualBreakCount="1">
        <brk id="47" max="23" man="1"/>
      </rowBreaks>
      <pageMargins left="0.5" right="0.4" top="0.5" bottom="0.25" header="0" footer="0"/>
      <printOptions horizontalCentered="1"/>
      <pageSetup scale="55" firstPageNumber="8" fitToHeight="0" orientation="landscape" useFirstPageNumber="1" r:id="rId5"/>
      <headerFooter alignWithMargins="0">
        <oddFooter>&amp;C&amp;"Times New Roman,Regular"Exhibit B - Summary of Requirements</oddFooter>
      </headerFooter>
    </customSheetView>
    <customSheetView guid="{AB21D485-B25C-4861-87C3-6754CE948F1C}" scale="65" showPageBreaks="1" showGridLines="0" outlineSymbols="0" fitToPage="1" printArea="1" view="pageBreakPreview" topLeftCell="A4">
      <selection activeCell="A6" sqref="A6:X6"/>
      <rowBreaks count="1" manualBreakCount="1">
        <brk id="47" max="23" man="1"/>
      </rowBreaks>
      <pageMargins left="0.5" right="0.4" top="0.5" bottom="0.25" header="0" footer="0"/>
      <printOptions horizontalCentered="1"/>
      <pageSetup scale="55" firstPageNumber="8" fitToHeight="0" orientation="landscape" useFirstPageNumber="1" r:id="rId6"/>
      <headerFooter alignWithMargins="0">
        <oddFooter>&amp;C&amp;"Times New Roman,Regular"Exhibit B - Summary of Requirements</oddFooter>
      </headerFooter>
    </customSheetView>
    <customSheetView guid="{4D0F9E3D-0229-48CC-A08B-F132802E9D7B}" scale="65" showPageBreaks="1" showGridLines="0" outlineSymbols="0" fitToPage="1" printArea="1" view="pageBreakPreview" topLeftCell="A25">
      <selection activeCell="X12" sqref="X12:X13"/>
      <rowBreaks count="1" manualBreakCount="1">
        <brk id="36" max="23" man="1"/>
      </rowBreaks>
      <pageMargins left="0.5" right="0.4" top="0.5" bottom="0.25" header="0" footer="0"/>
      <printOptions horizontalCentered="1"/>
      <pageSetup scale="55" firstPageNumber="8" fitToHeight="0" orientation="landscape" useFirstPageNumber="1" r:id="rId7"/>
      <headerFooter alignWithMargins="0">
        <oddFooter>&amp;C&amp;"Times New Roman,Regular"Exhibit B - Summary of Requirements&amp;R&amp;"Times New Roman,Regular"Salaries and Expenses/Management &amp; Administration</oddFooter>
      </headerFooter>
    </customSheetView>
    <customSheetView guid="{F6772377-6B25-4EEA-B255-4C2F62B37855}" scale="65" showPageBreaks="1" showGridLines="0" outlineSymbols="0" fitToPage="1" printArea="1" view="pageBreakPreview">
      <selection activeCell="W19" sqref="W19"/>
      <rowBreaks count="1" manualBreakCount="1">
        <brk id="42" max="23" man="1"/>
      </rowBreaks>
      <pageMargins left="0.5" right="0.4" top="0.5" bottom="0.25" header="0" footer="0"/>
      <printOptions horizontalCentered="1"/>
      <pageSetup scale="55" firstPageNumber="8" fitToHeight="0" orientation="landscape" useFirstPageNumber="1" r:id="rId8"/>
      <headerFooter alignWithMargins="0">
        <oddFooter>&amp;C&amp;"Times New Roman,Regular"Exhibit B - Summary of Requirements&amp;R&amp;"Times New Roman,Regular"Salaries and Expenses/Management &amp; Administration</oddFooter>
      </headerFooter>
    </customSheetView>
    <customSheetView guid="{27B9C207-C13F-4981-9CED-E69585BBD779}" scale="65" showPageBreaks="1" showGridLines="0" outlineSymbols="0" fitToPage="1" printArea="1" view="pageBreakPreview" topLeftCell="E23">
      <selection activeCell="A30" sqref="A30:U30"/>
      <rowBreaks count="1" manualBreakCount="1">
        <brk id="43" max="23" man="1"/>
      </rowBreaks>
      <pageMargins left="0.5" right="0.4" top="0.5" bottom="0.25" header="0" footer="0"/>
      <printOptions horizontalCentered="1"/>
      <pageSetup scale="55" firstPageNumber="8" fitToHeight="0" orientation="landscape" useFirstPageNumber="1" r:id="rId9"/>
      <headerFooter alignWithMargins="0">
        <oddFooter>&amp;C&amp;"Times New Roman,Regular"Exhibit B - Summary of Requirements&amp;R&amp;"Times New Roman,Regular"Salaries and Expenses/Management &amp; Administration</oddFooter>
      </headerFooter>
    </customSheetView>
  </customSheetViews>
  <mergeCells count="57">
    <mergeCell ref="A1:X1"/>
    <mergeCell ref="A14:U14"/>
    <mergeCell ref="A2:X2"/>
    <mergeCell ref="A3:X3"/>
    <mergeCell ref="A8:X8"/>
    <mergeCell ref="A9:X9"/>
    <mergeCell ref="X12:X13"/>
    <mergeCell ref="W12:W13"/>
    <mergeCell ref="A4:X4"/>
    <mergeCell ref="A5:X5"/>
    <mergeCell ref="A6:X6"/>
    <mergeCell ref="A7:X7"/>
    <mergeCell ref="V11:X11"/>
    <mergeCell ref="A10:X10"/>
    <mergeCell ref="A11:U13"/>
    <mergeCell ref="V12:V13"/>
    <mergeCell ref="A19:U19"/>
    <mergeCell ref="A24:U24"/>
    <mergeCell ref="A32:U32"/>
    <mergeCell ref="A39:U39"/>
    <mergeCell ref="A37:U37"/>
    <mergeCell ref="A20:U20"/>
    <mergeCell ref="A29:U29"/>
    <mergeCell ref="A30:U30"/>
    <mergeCell ref="A21:U21"/>
    <mergeCell ref="A22:U22"/>
    <mergeCell ref="A23:U23"/>
    <mergeCell ref="A34:U34"/>
    <mergeCell ref="A25:U25"/>
    <mergeCell ref="D59:F60"/>
    <mergeCell ref="A59:C61"/>
    <mergeCell ref="A26:U26"/>
    <mergeCell ref="A27:U27"/>
    <mergeCell ref="A28:U28"/>
    <mergeCell ref="A42:X42"/>
    <mergeCell ref="B66:C66"/>
    <mergeCell ref="G59:I60"/>
    <mergeCell ref="B67:C67"/>
    <mergeCell ref="A31:U31"/>
    <mergeCell ref="A62:C62"/>
    <mergeCell ref="A40:U40"/>
    <mergeCell ref="A51:X51"/>
    <mergeCell ref="P59:R60"/>
    <mergeCell ref="S59:U60"/>
    <mergeCell ref="A52:X52"/>
    <mergeCell ref="A53:X53"/>
    <mergeCell ref="V59:X60"/>
    <mergeCell ref="J59:L60"/>
    <mergeCell ref="M59:O60"/>
    <mergeCell ref="A33:U33"/>
    <mergeCell ref="A50:X50"/>
    <mergeCell ref="B69:C69"/>
    <mergeCell ref="B72:C72"/>
    <mergeCell ref="A82:V82"/>
    <mergeCell ref="A74:X74"/>
    <mergeCell ref="B68:C68"/>
    <mergeCell ref="F79:H81"/>
  </mergeCells>
  <phoneticPr fontId="0" type="noConversion"/>
  <printOptions horizontalCentered="1"/>
  <pageMargins left="0.5" right="0.4" top="0.5" bottom="0.25" header="0" footer="0"/>
  <pageSetup scale="53" firstPageNumber="8" fitToHeight="0" orientation="landscape" useFirstPageNumber="1" r:id="rId10"/>
  <headerFooter alignWithMargins="0">
    <oddFooter>&amp;C&amp;"Times New Roman,Regular"Exhibit B - Summary of Requirements&amp;R&amp;"Times New Roman,Regular"Salaries and Expenses/Management &amp; Administration</oddFooter>
  </headerFooter>
  <rowBreaks count="1" manualBreakCount="1">
    <brk id="43" max="23" man="1"/>
  </rowBreaks>
  <ignoredErrors>
    <ignoredError sqref="W62" formula="1"/>
  </ignoredErrors>
</worksheet>
</file>

<file path=xl/worksheets/sheet2.xml><?xml version="1.0" encoding="utf-8"?>
<worksheet xmlns="http://schemas.openxmlformats.org/spreadsheetml/2006/main" xmlns:r="http://schemas.openxmlformats.org/officeDocument/2006/relationships">
  <sheetPr codeName="Sheet9"/>
  <dimension ref="A1:T48"/>
  <sheetViews>
    <sheetView view="pageBreakPreview" zoomScale="60" zoomScaleNormal="75" workbookViewId="0">
      <selection activeCell="I12" sqref="I12"/>
    </sheetView>
  </sheetViews>
  <sheetFormatPr defaultColWidth="8.88671875" defaultRowHeight="12.75"/>
  <cols>
    <col min="1" max="1" width="53.88671875" style="190" customWidth="1"/>
    <col min="2" max="2" width="1.21875" style="190" customWidth="1"/>
    <col min="3" max="3" width="10.77734375" style="190" customWidth="1"/>
    <col min="4" max="4" width="11" style="190" customWidth="1"/>
    <col min="5" max="5" width="1.21875" style="190" customWidth="1"/>
    <col min="6" max="7" width="11.21875" style="190" customWidth="1"/>
    <col min="8" max="8" width="1.21875" style="190" customWidth="1"/>
    <col min="9" max="16" width="10.77734375" style="190" customWidth="1"/>
    <col min="17" max="17" width="11" style="190" customWidth="1"/>
    <col min="18" max="16384" width="8.88671875" style="190"/>
  </cols>
  <sheetData>
    <row r="1" spans="1:20" ht="20.25">
      <c r="A1" s="1608" t="s">
        <v>145</v>
      </c>
      <c r="B1" s="1609"/>
      <c r="C1" s="1609"/>
      <c r="D1" s="1609"/>
      <c r="E1" s="1609"/>
      <c r="F1" s="1609"/>
      <c r="G1" s="1609"/>
      <c r="H1" s="1609"/>
      <c r="I1" s="1609"/>
      <c r="J1" s="1609"/>
      <c r="K1" s="1609"/>
      <c r="L1" s="1609"/>
      <c r="M1" s="1609"/>
      <c r="N1" s="1609"/>
      <c r="O1" s="1609"/>
      <c r="P1" s="1609"/>
      <c r="Q1" s="188" t="s">
        <v>0</v>
      </c>
      <c r="R1" s="189"/>
      <c r="S1" s="189"/>
    </row>
    <row r="2" spans="1:20" ht="19.149999999999999" customHeight="1">
      <c r="A2" s="191"/>
      <c r="Q2" s="188" t="s">
        <v>0</v>
      </c>
      <c r="T2" s="188"/>
    </row>
    <row r="3" spans="1:20" ht="15.75">
      <c r="A3" s="1610" t="s">
        <v>126</v>
      </c>
      <c r="B3" s="1611"/>
      <c r="C3" s="1611"/>
      <c r="D3" s="1611"/>
      <c r="E3" s="1611"/>
      <c r="F3" s="1611"/>
      <c r="G3" s="1611"/>
      <c r="H3" s="1611"/>
      <c r="I3" s="1611"/>
      <c r="J3" s="1611"/>
      <c r="K3" s="1611"/>
      <c r="L3" s="1611"/>
      <c r="M3" s="1611"/>
      <c r="N3" s="1611"/>
      <c r="O3" s="1611"/>
      <c r="P3" s="1611"/>
      <c r="Q3" s="188" t="s">
        <v>0</v>
      </c>
      <c r="R3" s="36"/>
      <c r="S3" s="36"/>
      <c r="T3" s="188"/>
    </row>
    <row r="4" spans="1:20" ht="15.75">
      <c r="A4" s="1612" t="str">
        <f>'B. Summ of Reqs - S&amp;E-M&amp;A '!A5:X5</f>
        <v>Office of Justice Programs</v>
      </c>
      <c r="B4" s="1611"/>
      <c r="C4" s="1611"/>
      <c r="D4" s="1611"/>
      <c r="E4" s="1611"/>
      <c r="F4" s="1611"/>
      <c r="G4" s="1611"/>
      <c r="H4" s="1611"/>
      <c r="I4" s="1611"/>
      <c r="J4" s="1611"/>
      <c r="K4" s="1611"/>
      <c r="L4" s="1611"/>
      <c r="M4" s="1611"/>
      <c r="N4" s="1611"/>
      <c r="O4" s="1611"/>
      <c r="P4" s="1611"/>
      <c r="Q4" s="188" t="s">
        <v>0</v>
      </c>
      <c r="R4" s="34"/>
      <c r="S4" s="34"/>
    </row>
    <row r="5" spans="1:20" ht="15.75">
      <c r="A5" s="1612" t="str">
        <f>'B. Summ of Reqs - S&amp;E-M&amp;A '!A6:X6</f>
        <v>Salaries and Expenses/Management &amp; Administration</v>
      </c>
      <c r="B5" s="1611"/>
      <c r="C5" s="1611"/>
      <c r="D5" s="1611"/>
      <c r="E5" s="1611"/>
      <c r="F5" s="1611"/>
      <c r="G5" s="1611"/>
      <c r="H5" s="1611"/>
      <c r="I5" s="1611"/>
      <c r="J5" s="1611"/>
      <c r="K5" s="1611"/>
      <c r="L5" s="1611"/>
      <c r="M5" s="1611"/>
      <c r="N5" s="1611"/>
      <c r="O5" s="1611"/>
      <c r="P5" s="1611"/>
      <c r="Q5" s="188" t="s">
        <v>0</v>
      </c>
      <c r="R5" s="323"/>
      <c r="S5" s="323"/>
    </row>
    <row r="6" spans="1:20" ht="15">
      <c r="A6" s="1613" t="s">
        <v>98</v>
      </c>
      <c r="B6" s="1611"/>
      <c r="C6" s="1611"/>
      <c r="D6" s="1611"/>
      <c r="E6" s="1611"/>
      <c r="F6" s="1611"/>
      <c r="G6" s="1611"/>
      <c r="H6" s="1611"/>
      <c r="I6" s="1611"/>
      <c r="J6" s="1611"/>
      <c r="K6" s="1611"/>
      <c r="L6" s="1611"/>
      <c r="M6" s="1611"/>
      <c r="N6" s="1611"/>
      <c r="O6" s="1611"/>
      <c r="P6" s="1611"/>
      <c r="Q6" s="188" t="s">
        <v>0</v>
      </c>
      <c r="R6" s="36"/>
      <c r="S6" s="36"/>
      <c r="T6" s="188"/>
    </row>
    <row r="7" spans="1:20">
      <c r="Q7" s="188" t="s">
        <v>0</v>
      </c>
      <c r="T7" s="188"/>
    </row>
    <row r="8" spans="1:20" ht="13.5" thickBot="1">
      <c r="Q8" s="188" t="s">
        <v>0</v>
      </c>
      <c r="T8" s="188"/>
    </row>
    <row r="9" spans="1:20" ht="37.5" customHeight="1">
      <c r="A9" s="192"/>
      <c r="B9" s="193"/>
      <c r="C9" s="1614" t="s">
        <v>173</v>
      </c>
      <c r="D9" s="1615"/>
      <c r="E9" s="194"/>
      <c r="F9" s="1614" t="s">
        <v>166</v>
      </c>
      <c r="G9" s="1615"/>
      <c r="H9" s="194"/>
      <c r="I9" s="1627" t="s">
        <v>150</v>
      </c>
      <c r="J9" s="1615"/>
      <c r="K9" s="1628">
        <v>2013</v>
      </c>
      <c r="L9" s="1629"/>
      <c r="M9" s="1629"/>
      <c r="N9" s="1630"/>
      <c r="O9" s="1627" t="s">
        <v>154</v>
      </c>
      <c r="P9" s="1615"/>
      <c r="Q9" s="188" t="s">
        <v>0</v>
      </c>
      <c r="S9" s="195"/>
      <c r="T9" s="188"/>
    </row>
    <row r="10" spans="1:20" ht="14.25" customHeight="1">
      <c r="A10" s="193"/>
      <c r="B10" s="193"/>
      <c r="C10" s="1616"/>
      <c r="D10" s="1617"/>
      <c r="E10" s="194"/>
      <c r="F10" s="1625"/>
      <c r="G10" s="1626"/>
      <c r="H10" s="194"/>
      <c r="I10" s="1625"/>
      <c r="J10" s="1626"/>
      <c r="K10" s="1631" t="s">
        <v>118</v>
      </c>
      <c r="L10" s="1632"/>
      <c r="M10" s="1621" t="s">
        <v>127</v>
      </c>
      <c r="N10" s="1622"/>
      <c r="O10" s="1625"/>
      <c r="P10" s="1626"/>
      <c r="Q10" s="188" t="s">
        <v>0</v>
      </c>
      <c r="S10" s="195"/>
      <c r="T10" s="188"/>
    </row>
    <row r="11" spans="1:20" hidden="1">
      <c r="A11" s="1623" t="s">
        <v>128</v>
      </c>
      <c r="B11" s="193"/>
      <c r="C11" s="196"/>
      <c r="D11" s="197"/>
      <c r="E11" s="198"/>
      <c r="F11" s="196"/>
      <c r="G11" s="197"/>
      <c r="H11" s="198"/>
      <c r="I11" s="196"/>
      <c r="J11" s="197"/>
      <c r="K11" s="196"/>
      <c r="L11" s="197"/>
      <c r="M11" s="199"/>
      <c r="N11" s="197"/>
      <c r="O11" s="196"/>
      <c r="P11" s="197"/>
      <c r="Q11" s="188" t="s">
        <v>0</v>
      </c>
      <c r="S11" s="199"/>
      <c r="T11" s="188"/>
    </row>
    <row r="12" spans="1:20" ht="25.5">
      <c r="A12" s="1624"/>
      <c r="B12" s="193"/>
      <c r="C12" s="200" t="s">
        <v>129</v>
      </c>
      <c r="D12" s="201" t="s">
        <v>130</v>
      </c>
      <c r="E12" s="198"/>
      <c r="F12" s="200" t="s">
        <v>129</v>
      </c>
      <c r="G12" s="201" t="s">
        <v>130</v>
      </c>
      <c r="H12" s="198"/>
      <c r="I12" s="200" t="s">
        <v>129</v>
      </c>
      <c r="J12" s="201" t="s">
        <v>130</v>
      </c>
      <c r="K12" s="200" t="s">
        <v>129</v>
      </c>
      <c r="L12" s="201" t="s">
        <v>130</v>
      </c>
      <c r="M12" s="200" t="s">
        <v>129</v>
      </c>
      <c r="N12" s="201" t="s">
        <v>130</v>
      </c>
      <c r="O12" s="200" t="s">
        <v>129</v>
      </c>
      <c r="P12" s="201" t="s">
        <v>130</v>
      </c>
      <c r="Q12" s="188" t="s">
        <v>0</v>
      </c>
      <c r="S12" s="202"/>
      <c r="T12" s="188"/>
    </row>
    <row r="13" spans="1:20">
      <c r="A13" s="203"/>
      <c r="B13" s="193"/>
      <c r="C13" s="204"/>
      <c r="D13" s="205"/>
      <c r="E13" s="206"/>
      <c r="F13" s="204"/>
      <c r="G13" s="205"/>
      <c r="H13" s="206"/>
      <c r="I13" s="204"/>
      <c r="J13" s="205"/>
      <c r="K13" s="204"/>
      <c r="L13" s="207"/>
      <c r="M13" s="208"/>
      <c r="N13" s="205"/>
      <c r="O13" s="204"/>
      <c r="P13" s="205"/>
      <c r="Q13" s="188" t="s">
        <v>0</v>
      </c>
      <c r="S13" s="209"/>
      <c r="T13" s="188"/>
    </row>
    <row r="14" spans="1:20" ht="25.5">
      <c r="A14" s="305" t="s">
        <v>187</v>
      </c>
      <c r="B14" s="193"/>
      <c r="C14" s="204"/>
      <c r="D14" s="211"/>
      <c r="E14" s="206"/>
      <c r="F14" s="204"/>
      <c r="G14" s="211"/>
      <c r="H14" s="206"/>
      <c r="I14" s="204"/>
      <c r="J14" s="211"/>
      <c r="K14" s="204"/>
      <c r="L14" s="207"/>
      <c r="M14" s="204"/>
      <c r="N14" s="211"/>
      <c r="O14" s="204"/>
      <c r="P14" s="211"/>
      <c r="Q14" s="188" t="s">
        <v>0</v>
      </c>
      <c r="S14" s="212"/>
      <c r="T14" s="188"/>
    </row>
    <row r="15" spans="1:20">
      <c r="A15" s="307" t="s">
        <v>131</v>
      </c>
      <c r="B15" s="193"/>
      <c r="C15" s="204"/>
      <c r="D15" s="211"/>
      <c r="E15" s="206"/>
      <c r="F15" s="204"/>
      <c r="G15" s="211"/>
      <c r="H15" s="206"/>
      <c r="I15" s="204"/>
      <c r="J15" s="205"/>
      <c r="K15" s="204"/>
      <c r="L15" s="207"/>
      <c r="M15" s="204"/>
      <c r="N15" s="211"/>
      <c r="O15" s="204"/>
      <c r="P15" s="205"/>
      <c r="Q15" s="188" t="s">
        <v>0</v>
      </c>
      <c r="S15" s="212"/>
      <c r="T15" s="188"/>
    </row>
    <row r="16" spans="1:20">
      <c r="A16" s="306" t="s">
        <v>175</v>
      </c>
      <c r="B16" s="193"/>
      <c r="C16" s="204"/>
      <c r="D16" s="211"/>
      <c r="E16" s="206"/>
      <c r="F16" s="204"/>
      <c r="G16" s="211"/>
      <c r="H16" s="206"/>
      <c r="I16" s="204"/>
      <c r="J16" s="205"/>
      <c r="K16" s="204"/>
      <c r="L16" s="207"/>
      <c r="M16" s="204"/>
      <c r="N16" s="211"/>
      <c r="O16" s="204"/>
      <c r="P16" s="205"/>
      <c r="Q16" s="188" t="s">
        <v>0</v>
      </c>
      <c r="S16" s="212"/>
      <c r="T16" s="188"/>
    </row>
    <row r="17" spans="1:20" ht="13.5" customHeight="1">
      <c r="A17" s="307" t="s">
        <v>176</v>
      </c>
      <c r="B17" s="213"/>
      <c r="C17" s="310"/>
      <c r="D17" s="311"/>
      <c r="E17" s="214"/>
      <c r="F17" s="310"/>
      <c r="G17" s="311"/>
      <c r="H17" s="215"/>
      <c r="I17" s="204"/>
      <c r="J17" s="205"/>
      <c r="K17" s="310"/>
      <c r="L17" s="312"/>
      <c r="M17" s="310"/>
      <c r="N17" s="311"/>
      <c r="O17" s="310"/>
      <c r="P17" s="311"/>
      <c r="Q17" s="188" t="s">
        <v>0</v>
      </c>
      <c r="S17" s="216"/>
      <c r="T17" s="188"/>
    </row>
    <row r="18" spans="1:20" s="218" customFormat="1">
      <c r="A18" s="308" t="s">
        <v>132</v>
      </c>
      <c r="B18" s="210"/>
      <c r="C18" s="223">
        <f>SUM(C15:C17)</f>
        <v>0</v>
      </c>
      <c r="D18" s="313">
        <f>SUM(D15:D17)</f>
        <v>0</v>
      </c>
      <c r="E18" s="314"/>
      <c r="F18" s="223">
        <f>SUM(F15:F17)</f>
        <v>0</v>
      </c>
      <c r="G18" s="313">
        <f>SUM(G15:G17)</f>
        <v>0</v>
      </c>
      <c r="H18" s="315"/>
      <c r="I18" s="223">
        <f t="shared" ref="I18:P18" si="0">SUM(I15:I17)</f>
        <v>0</v>
      </c>
      <c r="J18" s="313">
        <f t="shared" si="0"/>
        <v>0</v>
      </c>
      <c r="K18" s="223">
        <f t="shared" si="0"/>
        <v>0</v>
      </c>
      <c r="L18" s="313">
        <f t="shared" si="0"/>
        <v>0</v>
      </c>
      <c r="M18" s="223">
        <f t="shared" si="0"/>
        <v>0</v>
      </c>
      <c r="N18" s="313">
        <f t="shared" si="0"/>
        <v>0</v>
      </c>
      <c r="O18" s="223">
        <f t="shared" si="0"/>
        <v>0</v>
      </c>
      <c r="P18" s="313">
        <f t="shared" si="0"/>
        <v>0</v>
      </c>
      <c r="Q18" s="188" t="s">
        <v>0</v>
      </c>
      <c r="R18" s="190"/>
      <c r="S18" s="217"/>
      <c r="T18" s="188"/>
    </row>
    <row r="19" spans="1:20">
      <c r="A19" s="309"/>
      <c r="B19" s="193"/>
      <c r="C19" s="204"/>
      <c r="D19" s="205"/>
      <c r="E19" s="219"/>
      <c r="F19" s="204"/>
      <c r="G19" s="205"/>
      <c r="H19" s="219"/>
      <c r="I19" s="204"/>
      <c r="J19" s="205"/>
      <c r="K19" s="204"/>
      <c r="L19" s="207"/>
      <c r="M19" s="204"/>
      <c r="N19" s="205"/>
      <c r="O19" s="204"/>
      <c r="P19" s="205"/>
      <c r="Q19" s="188" t="s">
        <v>0</v>
      </c>
      <c r="S19" s="209"/>
      <c r="T19" s="188"/>
    </row>
    <row r="20" spans="1:20" ht="25.5">
      <c r="A20" s="305" t="s">
        <v>188</v>
      </c>
      <c r="B20" s="193"/>
      <c r="C20" s="204"/>
      <c r="D20" s="205"/>
      <c r="E20" s="220"/>
      <c r="F20" s="204"/>
      <c r="G20" s="205"/>
      <c r="H20" s="220"/>
      <c r="I20" s="204"/>
      <c r="J20" s="205"/>
      <c r="K20" s="204"/>
      <c r="L20" s="207"/>
      <c r="M20" s="204"/>
      <c r="N20" s="205"/>
      <c r="O20" s="221"/>
      <c r="P20" s="222"/>
      <c r="Q20" s="188" t="s">
        <v>0</v>
      </c>
      <c r="S20" s="209"/>
      <c r="T20" s="188"/>
    </row>
    <row r="21" spans="1:20">
      <c r="A21" s="307" t="s">
        <v>177</v>
      </c>
      <c r="B21" s="193"/>
      <c r="C21" s="204"/>
      <c r="D21" s="205"/>
      <c r="E21" s="220"/>
      <c r="F21" s="204"/>
      <c r="G21" s="205"/>
      <c r="H21" s="220"/>
      <c r="I21" s="204"/>
      <c r="J21" s="205"/>
      <c r="K21" s="204"/>
      <c r="L21" s="207"/>
      <c r="M21" s="204"/>
      <c r="N21" s="205"/>
      <c r="O21" s="204"/>
      <c r="P21" s="205"/>
      <c r="Q21" s="188" t="s">
        <v>0</v>
      </c>
      <c r="S21" s="209"/>
      <c r="T21" s="188"/>
    </row>
    <row r="22" spans="1:20" ht="31.5" customHeight="1">
      <c r="A22" s="306" t="s">
        <v>182</v>
      </c>
      <c r="B22" s="193"/>
      <c r="C22" s="204"/>
      <c r="D22" s="205"/>
      <c r="E22" s="220"/>
      <c r="F22" s="204"/>
      <c r="G22" s="205"/>
      <c r="H22" s="220"/>
      <c r="I22" s="204"/>
      <c r="J22" s="205"/>
      <c r="K22" s="204"/>
      <c r="L22" s="207"/>
      <c r="M22" s="204"/>
      <c r="N22" s="205"/>
      <c r="O22" s="204"/>
      <c r="P22" s="205"/>
      <c r="Q22" s="188" t="s">
        <v>0</v>
      </c>
      <c r="S22" s="209"/>
      <c r="T22" s="188"/>
    </row>
    <row r="23" spans="1:20" ht="25.5">
      <c r="A23" s="306" t="s">
        <v>483</v>
      </c>
      <c r="B23" s="193"/>
      <c r="C23" s="204"/>
      <c r="D23" s="205"/>
      <c r="E23" s="220"/>
      <c r="F23" s="204"/>
      <c r="G23" s="205"/>
      <c r="H23" s="220"/>
      <c r="I23" s="204"/>
      <c r="J23" s="205"/>
      <c r="K23" s="204"/>
      <c r="L23" s="207"/>
      <c r="M23" s="204"/>
      <c r="N23" s="205"/>
      <c r="O23" s="204"/>
      <c r="P23" s="205"/>
      <c r="Q23" s="188" t="s">
        <v>0</v>
      </c>
      <c r="S23" s="209"/>
      <c r="T23" s="188"/>
    </row>
    <row r="24" spans="1:20">
      <c r="A24" s="306" t="s">
        <v>178</v>
      </c>
      <c r="B24" s="193"/>
      <c r="C24" s="204"/>
      <c r="D24" s="205"/>
      <c r="E24" s="220"/>
      <c r="F24" s="204"/>
      <c r="G24" s="205"/>
      <c r="H24" s="220"/>
      <c r="I24" s="204"/>
      <c r="J24" s="205"/>
      <c r="K24" s="204"/>
      <c r="L24" s="207"/>
      <c r="M24" s="204"/>
      <c r="N24" s="205"/>
      <c r="O24" s="204"/>
      <c r="P24" s="205"/>
      <c r="Q24" s="188" t="s">
        <v>0</v>
      </c>
      <c r="S24" s="209"/>
      <c r="T24" s="188"/>
    </row>
    <row r="25" spans="1:20">
      <c r="A25" s="307" t="s">
        <v>179</v>
      </c>
      <c r="B25" s="193"/>
      <c r="C25" s="204"/>
      <c r="D25" s="205"/>
      <c r="E25" s="220"/>
      <c r="F25" s="204"/>
      <c r="G25" s="205"/>
      <c r="H25" s="220"/>
      <c r="I25" s="204"/>
      <c r="J25" s="205"/>
      <c r="K25" s="204"/>
      <c r="L25" s="207"/>
      <c r="M25" s="204"/>
      <c r="N25" s="205"/>
      <c r="O25" s="204"/>
      <c r="P25" s="205"/>
      <c r="Q25" s="188" t="s">
        <v>0</v>
      </c>
      <c r="S25" s="209"/>
      <c r="T25" s="188"/>
    </row>
    <row r="26" spans="1:20">
      <c r="A26" s="306" t="s">
        <v>180</v>
      </c>
      <c r="B26" s="193"/>
      <c r="C26" s="204"/>
      <c r="D26" s="205"/>
      <c r="E26" s="220"/>
      <c r="F26" s="204"/>
      <c r="G26" s="205"/>
      <c r="H26" s="220"/>
      <c r="I26" s="204"/>
      <c r="J26" s="205"/>
      <c r="K26" s="204"/>
      <c r="L26" s="207"/>
      <c r="M26" s="204"/>
      <c r="N26" s="205"/>
      <c r="O26" s="204"/>
      <c r="P26" s="205"/>
      <c r="Q26" s="188" t="s">
        <v>0</v>
      </c>
      <c r="R26" s="209"/>
      <c r="S26" s="209"/>
      <c r="T26" s="188"/>
    </row>
    <row r="27" spans="1:20">
      <c r="A27" s="308" t="s">
        <v>133</v>
      </c>
      <c r="B27" s="210"/>
      <c r="C27" s="223">
        <f>SUM(C21:C26)</f>
        <v>0</v>
      </c>
      <c r="D27" s="313">
        <f>SUM(D21:D26)</f>
        <v>0</v>
      </c>
      <c r="E27" s="316"/>
      <c r="F27" s="223">
        <f>SUM(F21:F26)</f>
        <v>0</v>
      </c>
      <c r="G27" s="313">
        <f>SUM(G21:G26)</f>
        <v>0</v>
      </c>
      <c r="H27" s="317"/>
      <c r="I27" s="223">
        <f t="shared" ref="I27:P27" si="1">SUM(I21:I26)</f>
        <v>0</v>
      </c>
      <c r="J27" s="313">
        <f t="shared" si="1"/>
        <v>0</v>
      </c>
      <c r="K27" s="223">
        <f t="shared" si="1"/>
        <v>0</v>
      </c>
      <c r="L27" s="318">
        <f t="shared" si="1"/>
        <v>0</v>
      </c>
      <c r="M27" s="223">
        <f t="shared" si="1"/>
        <v>0</v>
      </c>
      <c r="N27" s="313">
        <f t="shared" si="1"/>
        <v>0</v>
      </c>
      <c r="O27" s="223">
        <f t="shared" si="1"/>
        <v>0</v>
      </c>
      <c r="P27" s="313">
        <f t="shared" si="1"/>
        <v>0</v>
      </c>
      <c r="Q27" s="188" t="s">
        <v>0</v>
      </c>
      <c r="R27" s="217"/>
      <c r="S27" s="217"/>
      <c r="T27" s="188"/>
    </row>
    <row r="28" spans="1:20">
      <c r="A28" s="309"/>
      <c r="B28" s="193"/>
      <c r="C28" s="204"/>
      <c r="D28" s="205"/>
      <c r="E28" s="193"/>
      <c r="F28" s="204"/>
      <c r="G28" s="205"/>
      <c r="H28" s="193"/>
      <c r="I28" s="204"/>
      <c r="J28" s="205"/>
      <c r="K28" s="204"/>
      <c r="L28" s="207"/>
      <c r="M28" s="204"/>
      <c r="N28" s="205"/>
      <c r="O28" s="204"/>
      <c r="P28" s="205"/>
      <c r="Q28" s="188" t="s">
        <v>0</v>
      </c>
      <c r="R28" s="209"/>
      <c r="S28" s="209"/>
      <c r="T28" s="188"/>
    </row>
    <row r="29" spans="1:20" ht="39" customHeight="1">
      <c r="A29" s="305" t="s">
        <v>189</v>
      </c>
      <c r="B29" s="193"/>
      <c r="C29" s="204"/>
      <c r="D29" s="205"/>
      <c r="E29" s="206"/>
      <c r="F29" s="204"/>
      <c r="G29" s="205"/>
      <c r="H29" s="206"/>
      <c r="I29" s="204"/>
      <c r="J29" s="205"/>
      <c r="K29" s="204"/>
      <c r="L29" s="207"/>
      <c r="M29" s="204"/>
      <c r="N29" s="205"/>
      <c r="O29" s="204"/>
      <c r="P29" s="205"/>
      <c r="Q29" s="188" t="s">
        <v>0</v>
      </c>
      <c r="R29" s="209"/>
      <c r="S29" s="209"/>
      <c r="T29" s="188"/>
    </row>
    <row r="30" spans="1:20" ht="41.25" customHeight="1">
      <c r="A30" s="306" t="s">
        <v>482</v>
      </c>
      <c r="B30" s="193"/>
      <c r="C30" s="204">
        <v>680</v>
      </c>
      <c r="D30" s="205">
        <v>140124</v>
      </c>
      <c r="E30" s="206"/>
      <c r="F30" s="204">
        <v>686</v>
      </c>
      <c r="G30" s="205">
        <v>175056</v>
      </c>
      <c r="H30" s="206"/>
      <c r="I30" s="204">
        <v>686</v>
      </c>
      <c r="J30" s="205">
        <v>178175</v>
      </c>
      <c r="K30" s="204">
        <v>0</v>
      </c>
      <c r="L30" s="207">
        <v>5000</v>
      </c>
      <c r="M30" s="204">
        <v>0</v>
      </c>
      <c r="N30" s="205">
        <v>0</v>
      </c>
      <c r="O30" s="204">
        <f>+I30+K30+M30</f>
        <v>686</v>
      </c>
      <c r="P30" s="205">
        <f>+J30+L30+N30</f>
        <v>183175</v>
      </c>
      <c r="Q30" s="188" t="s">
        <v>0</v>
      </c>
      <c r="R30" s="209"/>
      <c r="S30" s="209"/>
      <c r="T30" s="188"/>
    </row>
    <row r="31" spans="1:20" ht="38.25">
      <c r="A31" s="306" t="s">
        <v>184</v>
      </c>
      <c r="B31" s="193"/>
      <c r="C31" s="204"/>
      <c r="D31" s="205"/>
      <c r="E31" s="206"/>
      <c r="F31" s="204"/>
      <c r="G31" s="205"/>
      <c r="H31" s="206"/>
      <c r="I31" s="204"/>
      <c r="J31" s="205"/>
      <c r="K31" s="204"/>
      <c r="L31" s="207"/>
      <c r="M31" s="204"/>
      <c r="N31" s="205"/>
      <c r="O31" s="204"/>
      <c r="P31" s="205"/>
      <c r="Q31" s="188" t="s">
        <v>0</v>
      </c>
      <c r="R31" s="209"/>
      <c r="S31" s="209"/>
      <c r="T31" s="188"/>
    </row>
    <row r="32" spans="1:20" ht="42" customHeight="1">
      <c r="A32" s="306" t="s">
        <v>185</v>
      </c>
      <c r="B32" s="193"/>
      <c r="C32" s="204"/>
      <c r="D32" s="205"/>
      <c r="E32" s="206"/>
      <c r="F32" s="204"/>
      <c r="G32" s="205"/>
      <c r="H32" s="206"/>
      <c r="I32" s="204"/>
      <c r="J32" s="205"/>
      <c r="K32" s="204"/>
      <c r="L32" s="207"/>
      <c r="M32" s="204"/>
      <c r="N32" s="205"/>
      <c r="O32" s="204"/>
      <c r="P32" s="205"/>
      <c r="Q32" s="188" t="s">
        <v>0</v>
      </c>
      <c r="R32" s="209"/>
      <c r="S32" s="209"/>
      <c r="T32" s="188"/>
    </row>
    <row r="33" spans="1:20" ht="25.5">
      <c r="A33" s="910" t="s">
        <v>481</v>
      </c>
      <c r="B33" s="193"/>
      <c r="C33" s="204"/>
      <c r="D33" s="205"/>
      <c r="E33" s="206"/>
      <c r="F33" s="204"/>
      <c r="G33" s="205"/>
      <c r="H33" s="206"/>
      <c r="I33" s="319"/>
      <c r="J33" s="320"/>
      <c r="K33" s="204"/>
      <c r="L33" s="207"/>
      <c r="M33" s="204"/>
      <c r="N33" s="205"/>
      <c r="O33" s="204"/>
      <c r="P33" s="205"/>
      <c r="Q33" s="188" t="s">
        <v>0</v>
      </c>
      <c r="R33" s="209"/>
      <c r="S33" s="209"/>
      <c r="T33" s="188"/>
    </row>
    <row r="34" spans="1:20" ht="13.5" thickBot="1">
      <c r="A34" s="992" t="s">
        <v>134</v>
      </c>
      <c r="B34" s="210"/>
      <c r="C34" s="316">
        <f>SUM(C30:C33)</f>
        <v>680</v>
      </c>
      <c r="D34" s="994">
        <f>SUM(D30:D33)</f>
        <v>140124</v>
      </c>
      <c r="E34" s="314"/>
      <c r="F34" s="316">
        <f>SUM(F30:F33)</f>
        <v>686</v>
      </c>
      <c r="G34" s="994">
        <f>SUM(G30:G33)</f>
        <v>175056</v>
      </c>
      <c r="H34" s="315"/>
      <c r="I34" s="316">
        <f t="shared" ref="I34:P34" si="2">SUM(I30:I33)</f>
        <v>686</v>
      </c>
      <c r="J34" s="994">
        <f t="shared" si="2"/>
        <v>178175</v>
      </c>
      <c r="K34" s="316">
        <f t="shared" si="2"/>
        <v>0</v>
      </c>
      <c r="L34" s="991">
        <f t="shared" si="2"/>
        <v>5000</v>
      </c>
      <c r="M34" s="316">
        <f t="shared" si="2"/>
        <v>0</v>
      </c>
      <c r="N34" s="994">
        <f t="shared" si="2"/>
        <v>0</v>
      </c>
      <c r="O34" s="316">
        <f t="shared" si="2"/>
        <v>686</v>
      </c>
      <c r="P34" s="994">
        <f t="shared" si="2"/>
        <v>183175</v>
      </c>
      <c r="Q34" s="188" t="s">
        <v>0</v>
      </c>
      <c r="R34" s="217"/>
      <c r="S34" s="217"/>
      <c r="T34" s="188"/>
    </row>
    <row r="35" spans="1:20" ht="13.5" thickBot="1">
      <c r="A35" s="993" t="s">
        <v>205</v>
      </c>
      <c r="B35" s="988"/>
      <c r="C35" s="995"/>
      <c r="D35" s="996">
        <v>44146</v>
      </c>
      <c r="E35" s="997"/>
      <c r="F35" s="996"/>
      <c r="G35" s="996"/>
      <c r="H35" s="997"/>
      <c r="I35" s="996"/>
      <c r="J35" s="996"/>
      <c r="K35" s="996"/>
      <c r="L35" s="996"/>
      <c r="M35" s="996"/>
      <c r="N35" s="996"/>
      <c r="O35" s="996"/>
      <c r="P35" s="998"/>
      <c r="Q35" s="188" t="s">
        <v>0</v>
      </c>
      <c r="R35" s="217"/>
      <c r="S35" s="217"/>
      <c r="T35" s="188"/>
    </row>
    <row r="36" spans="1:20" ht="13.5" thickBot="1">
      <c r="A36" s="987"/>
      <c r="B36" s="988"/>
      <c r="C36" s="989"/>
      <c r="D36" s="989"/>
      <c r="E36" s="990"/>
      <c r="F36" s="989"/>
      <c r="G36" s="989"/>
      <c r="H36" s="990"/>
      <c r="I36" s="989"/>
      <c r="J36" s="989"/>
      <c r="K36" s="989"/>
      <c r="L36" s="989"/>
      <c r="M36" s="989"/>
      <c r="N36" s="989"/>
      <c r="O36" s="989"/>
      <c r="P36" s="989"/>
      <c r="Q36" s="188" t="s">
        <v>0</v>
      </c>
      <c r="R36" s="217"/>
      <c r="S36" s="217"/>
      <c r="T36" s="188"/>
    </row>
    <row r="37" spans="1:20" s="228" customFormat="1" ht="18.75" customHeight="1" thickBot="1">
      <c r="A37" s="224" t="s">
        <v>135</v>
      </c>
      <c r="B37" s="225"/>
      <c r="C37" s="349">
        <f>C18+C27+C34</f>
        <v>680</v>
      </c>
      <c r="D37" s="350">
        <f>D34+D35</f>
        <v>184270</v>
      </c>
      <c r="E37" s="351"/>
      <c r="F37" s="349">
        <f>F18+F27+F34</f>
        <v>686</v>
      </c>
      <c r="G37" s="350">
        <f>G18+G27+G34</f>
        <v>175056</v>
      </c>
      <c r="H37" s="351"/>
      <c r="I37" s="349">
        <f t="shared" ref="I37:P37" si="3">I18+I27+I34</f>
        <v>686</v>
      </c>
      <c r="J37" s="350">
        <f t="shared" si="3"/>
        <v>178175</v>
      </c>
      <c r="K37" s="349">
        <f t="shared" si="3"/>
        <v>0</v>
      </c>
      <c r="L37" s="350">
        <f t="shared" si="3"/>
        <v>5000</v>
      </c>
      <c r="M37" s="349">
        <f t="shared" si="3"/>
        <v>0</v>
      </c>
      <c r="N37" s="350">
        <f t="shared" si="3"/>
        <v>0</v>
      </c>
      <c r="O37" s="349">
        <f t="shared" si="3"/>
        <v>686</v>
      </c>
      <c r="P37" s="350">
        <f t="shared" si="3"/>
        <v>183175</v>
      </c>
      <c r="Q37" s="188" t="s">
        <v>13</v>
      </c>
      <c r="R37" s="226"/>
      <c r="S37" s="227"/>
      <c r="T37" s="188"/>
    </row>
    <row r="38" spans="1:20">
      <c r="A38" s="230"/>
      <c r="B38" s="230"/>
      <c r="C38" s="226"/>
      <c r="D38" s="227"/>
      <c r="E38" s="230"/>
      <c r="F38" s="226"/>
      <c r="G38" s="227"/>
      <c r="H38" s="230"/>
      <c r="I38" s="226"/>
      <c r="J38" s="227"/>
      <c r="K38" s="228"/>
      <c r="L38" s="228"/>
      <c r="M38" s="228"/>
      <c r="N38" s="228"/>
      <c r="O38" s="228"/>
      <c r="P38" s="228"/>
      <c r="Q38" s="228"/>
      <c r="R38" s="229"/>
      <c r="S38" s="229"/>
      <c r="T38" s="188"/>
    </row>
    <row r="39" spans="1:20">
      <c r="A39" s="999" t="s">
        <v>569</v>
      </c>
      <c r="B39" s="230"/>
      <c r="C39" s="226"/>
      <c r="D39" s="227"/>
      <c r="E39" s="230"/>
      <c r="F39" s="226"/>
      <c r="G39" s="227"/>
      <c r="H39" s="230"/>
      <c r="I39" s="226"/>
      <c r="J39" s="227"/>
      <c r="K39" s="228"/>
      <c r="L39" s="228"/>
      <c r="M39" s="228"/>
      <c r="N39" s="228"/>
      <c r="O39" s="228"/>
      <c r="P39" s="228"/>
      <c r="Q39" s="228"/>
      <c r="R39" s="229"/>
      <c r="S39" s="229"/>
      <c r="T39" s="188"/>
    </row>
    <row r="40" spans="1:20">
      <c r="A40" s="230"/>
      <c r="B40" s="230"/>
      <c r="C40" s="226"/>
      <c r="D40" s="227"/>
      <c r="E40" s="230"/>
      <c r="F40" s="226"/>
      <c r="G40" s="227"/>
      <c r="H40" s="230"/>
      <c r="I40" s="226"/>
      <c r="J40" s="227"/>
      <c r="K40" s="228"/>
      <c r="L40" s="228"/>
      <c r="M40" s="228"/>
      <c r="N40" s="228"/>
      <c r="O40" s="228"/>
      <c r="P40" s="228"/>
      <c r="Q40" s="228"/>
      <c r="R40" s="229"/>
      <c r="S40" s="229"/>
    </row>
    <row r="41" spans="1:20" ht="204.75" customHeight="1">
      <c r="A41" s="274"/>
      <c r="C41" s="274"/>
      <c r="D41" s="275"/>
    </row>
    <row r="42" spans="1:20" ht="15">
      <c r="A42" s="1633"/>
      <c r="B42" s="1634"/>
      <c r="C42" s="1634"/>
      <c r="D42" s="1634"/>
      <c r="E42" s="1634"/>
      <c r="F42" s="1634"/>
      <c r="G42" s="1634"/>
      <c r="H42" s="234"/>
      <c r="I42" s="45"/>
      <c r="J42" s="45"/>
      <c r="K42" s="45"/>
      <c r="L42" s="45"/>
      <c r="M42" s="45"/>
      <c r="N42" s="45"/>
      <c r="O42" s="45"/>
      <c r="P42" s="45"/>
      <c r="Q42" s="45"/>
      <c r="R42" s="45"/>
      <c r="S42" s="45"/>
    </row>
    <row r="43" spans="1:20">
      <c r="A43" s="235"/>
      <c r="B43" s="235"/>
      <c r="C43" s="235"/>
      <c r="D43" s="235"/>
      <c r="E43" s="235"/>
      <c r="F43" s="235"/>
      <c r="G43" s="235"/>
      <c r="H43" s="235"/>
      <c r="I43" s="231"/>
      <c r="J43" s="231"/>
      <c r="K43" s="231"/>
      <c r="L43" s="231"/>
      <c r="M43" s="231"/>
      <c r="N43" s="231"/>
      <c r="O43" s="231"/>
      <c r="P43" s="231"/>
      <c r="Q43" s="231"/>
      <c r="R43" s="231"/>
      <c r="S43" s="231"/>
    </row>
    <row r="44" spans="1:20" ht="57" customHeight="1">
      <c r="A44" s="1635"/>
      <c r="B44" s="1636"/>
      <c r="C44" s="1636"/>
      <c r="D44" s="1636"/>
      <c r="E44" s="1636"/>
      <c r="F44" s="1636"/>
      <c r="G44" s="1636"/>
      <c r="H44" s="233"/>
      <c r="I44" s="44"/>
      <c r="J44" s="232"/>
      <c r="K44" s="232"/>
      <c r="L44" s="232"/>
      <c r="M44" s="232"/>
      <c r="N44" s="232"/>
      <c r="O44" s="232"/>
      <c r="P44" s="232"/>
      <c r="Q44" s="232"/>
      <c r="R44" s="232"/>
      <c r="S44" s="232"/>
    </row>
    <row r="45" spans="1:20" ht="33.75" customHeight="1">
      <c r="A45" s="1635"/>
      <c r="B45" s="1636"/>
      <c r="C45" s="1636"/>
      <c r="D45" s="1636"/>
      <c r="E45" s="1636"/>
      <c r="F45" s="1636"/>
      <c r="G45" s="1636"/>
      <c r="H45" s="233"/>
      <c r="I45" s="44"/>
      <c r="J45" s="232"/>
      <c r="K45" s="232"/>
      <c r="L45" s="232"/>
      <c r="M45" s="232"/>
      <c r="N45" s="232"/>
      <c r="O45" s="232"/>
      <c r="P45" s="232"/>
      <c r="Q45" s="232"/>
      <c r="R45" s="232"/>
      <c r="S45" s="232"/>
    </row>
    <row r="46" spans="1:20" ht="15">
      <c r="A46" s="1618"/>
      <c r="B46" s="1619"/>
      <c r="C46" s="1619"/>
      <c r="D46" s="1619"/>
      <c r="E46" s="1619"/>
      <c r="F46" s="1619"/>
      <c r="G46" s="1619"/>
      <c r="H46" s="1619"/>
      <c r="I46" s="1619"/>
      <c r="J46" s="1620"/>
      <c r="K46" s="1620"/>
      <c r="L46" s="1620"/>
      <c r="M46" s="1620"/>
      <c r="N46" s="1620"/>
      <c r="O46" s="1620"/>
      <c r="P46" s="1620"/>
      <c r="Q46" s="1620"/>
      <c r="R46" s="1620"/>
      <c r="S46" s="1620"/>
    </row>
    <row r="47" spans="1:20" ht="15">
      <c r="A47" s="1618"/>
      <c r="B47" s="1619"/>
      <c r="C47" s="1619"/>
      <c r="D47" s="1619"/>
      <c r="E47" s="1619"/>
      <c r="F47" s="1619"/>
      <c r="G47" s="1619"/>
      <c r="H47" s="1619"/>
      <c r="I47" s="1619"/>
      <c r="J47" s="1620"/>
      <c r="K47" s="1620"/>
      <c r="L47" s="1620"/>
      <c r="M47" s="1620"/>
      <c r="N47" s="1620"/>
      <c r="O47" s="1620"/>
      <c r="P47" s="1620"/>
      <c r="Q47" s="1620"/>
      <c r="R47" s="1620"/>
      <c r="S47" s="1620"/>
    </row>
    <row r="48" spans="1:20">
      <c r="S48" s="188"/>
    </row>
  </sheetData>
  <customSheetViews>
    <customSheetView guid="{DA38F665-F06D-4DFB-B852-747D93BB00EF}" scale="60" showPageBreaks="1" printArea="1" hiddenRows="1" view="pageBreakPreview">
      <selection activeCell="F29" sqref="F29"/>
      <pageMargins left="0.75" right="0.75" top="1" bottom="0.79" header="0.5" footer="0.5"/>
      <printOptions horizontalCentered="1"/>
      <pageSetup scale="54" orientation="landscape" r:id="rId1"/>
      <headerFooter alignWithMargins="0">
        <oddFooter>&amp;C&amp;"Times New Roman,Regular"Exhibit D - Resources by DOJ Strategic Goals &amp; Strategic Objectives&amp;R&amp;"Times New Roman,Regular"Salaries and Expenses</oddFooter>
      </headerFooter>
    </customSheetView>
    <customSheetView guid="{3118AF25-8423-420A-806A-487665220C68}" scale="75" showPageBreaks="1" printArea="1" hiddenRows="1" view="pageBreakPreview" topLeftCell="A8">
      <selection activeCell="P43" sqref="P43"/>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oddFooter>
      </headerFooter>
    </customSheetView>
    <customSheetView guid="{56C0A34E-45B4-448B-85E5-70B3A8E63333}" scale="75" showPageBreaks="1" printArea="1" hiddenRows="1" view="pageBreakPreview" topLeftCell="A7">
      <selection activeCell="F11" sqref="F11"/>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oddFooter>
      </headerFooter>
    </customSheetView>
    <customSheetView guid="{4148B88B-8ED7-4FDE-9459-DEB244AD0552}" scale="75" showPageBreaks="1" printArea="1" hiddenRows="1" view="pageBreakPreview">
      <selection activeCell="D45" sqref="D45"/>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oddFooter>
      </headerFooter>
    </customSheetView>
    <customSheetView guid="{12C66D54-5067-4346-818B-6EAB1C8A9183}" scale="70" showPageBreaks="1" printArea="1" hiddenRows="1" view="pageBreakPreview">
      <selection activeCell="J23" sqref="J23"/>
      <pageMargins left="0.75" right="0.75" top="1" bottom="0.79" header="0.5" footer="0.5"/>
      <printOptions horizontalCentered="1"/>
      <pageSetup scale="54" orientation="landscape" r:id="rId5"/>
      <headerFooter alignWithMargins="0">
        <oddFooter>&amp;C&amp;"Times New Roman,Regular"Exhibit D - Resources by DOJ Strategic Goals &amp; Strategic Objectives</oddFooter>
      </headerFooter>
    </customSheetView>
    <customSheetView guid="{AB21D485-B25C-4861-87C3-6754CE948F1C}" scale="70" showPageBreaks="1" printArea="1" hiddenRows="1" view="pageBreakPreview">
      <selection activeCell="J23" sqref="J23"/>
      <pageMargins left="0.75" right="0.75" top="1" bottom="0.79" header="0.5" footer="0.5"/>
      <printOptions horizontalCentered="1"/>
      <pageSetup scale="54" orientation="landscape" r:id="rId6"/>
      <headerFooter alignWithMargins="0">
        <oddFooter>&amp;C&amp;"Times New Roman,Regular"Exhibit D - Resources by DOJ Strategic Goals &amp; Strategic Objectives</oddFooter>
      </headerFooter>
    </customSheetView>
    <customSheetView guid="{4D0F9E3D-0229-48CC-A08B-F132802E9D7B}" scale="60" showPageBreaks="1" printArea="1" hiddenRows="1" view="pageBreakPreview" topLeftCell="B10">
      <selection activeCell="I30" sqref="I30"/>
      <pageMargins left="0.75" right="0.75" top="1" bottom="0.79" header="0.5" footer="0.5"/>
      <printOptions horizontalCentered="1"/>
      <pageSetup scale="54" orientation="landscape" r:id="rId7"/>
      <headerFooter alignWithMargins="0">
        <oddFooter>&amp;C&amp;"Times New Roman,Regular"Exhibit D - Resources by DOJ Strategic Goals &amp; Strategic Objectives&amp;R&amp;"Times New Roman,Regular"Salaries and Expenses</oddFooter>
      </headerFooter>
    </customSheetView>
    <customSheetView guid="{F6772377-6B25-4EEA-B255-4C2F62B37855}" scale="60" showPageBreaks="1" printArea="1" hiddenRows="1" view="pageBreakPreview">
      <selection activeCell="K30" sqref="K30"/>
      <pageMargins left="0.75" right="0.75" top="1" bottom="0.79" header="0.5" footer="0.5"/>
      <printOptions horizontalCentered="1"/>
      <pageSetup scale="54" orientation="landscape" r:id="rId8"/>
      <headerFooter alignWithMargins="0">
        <oddFooter>&amp;C&amp;"Times New Roman,Regular"Exhibit D - Resources by DOJ Strategic Goals &amp; Strategic Objectives&amp;R&amp;"Times New Roman,Regular"Salaries and Expenses</oddFooter>
      </headerFooter>
    </customSheetView>
    <customSheetView guid="{27B9C207-C13F-4981-9CED-E69585BBD779}" scale="60" showPageBreaks="1" printArea="1" hiddenRows="1" view="pageBreakPreview" topLeftCell="C16">
      <selection activeCell="I32" sqref="I32"/>
      <pageMargins left="0.75" right="0.75" top="1" bottom="0.79" header="0.5" footer="0.5"/>
      <printOptions horizontalCentered="1"/>
      <pageSetup scale="54" orientation="landscape" r:id="rId9"/>
      <headerFooter alignWithMargins="0">
        <oddFooter>&amp;C&amp;"Times New Roman,Regular"Exhibit D - Resources by DOJ Strategic Goals &amp; Strategic Objectives&amp;R&amp;"Times New Roman,Regular"Salaries and Expenses/Management &amp; Administration</oddFooter>
      </headerFooter>
    </customSheetView>
  </customSheetViews>
  <mergeCells count="18">
    <mergeCell ref="A47:S47"/>
    <mergeCell ref="M10:N10"/>
    <mergeCell ref="A11:A12"/>
    <mergeCell ref="F9:G10"/>
    <mergeCell ref="O9:P10"/>
    <mergeCell ref="K9:N9"/>
    <mergeCell ref="A46:S46"/>
    <mergeCell ref="K10:L10"/>
    <mergeCell ref="I9:J10"/>
    <mergeCell ref="A42:G42"/>
    <mergeCell ref="A45:G45"/>
    <mergeCell ref="A44:G44"/>
    <mergeCell ref="A1:P1"/>
    <mergeCell ref="A3:P3"/>
    <mergeCell ref="A4:P4"/>
    <mergeCell ref="A6:P6"/>
    <mergeCell ref="C9:D10"/>
    <mergeCell ref="A5:P5"/>
  </mergeCells>
  <printOptions horizontalCentered="1"/>
  <pageMargins left="0.75" right="0.75" top="1" bottom="0.79" header="0.5" footer="0.5"/>
  <pageSetup scale="54" orientation="landscape" r:id="rId10"/>
  <headerFooter alignWithMargins="0">
    <oddFooter>&amp;C&amp;"Times New Roman,Regular"Exhibit D - Resources by DOJ Strategic Goals &amp; Strategic Objectives&amp;R&amp;"Times New Roman,Regular"Salaries and Expenses/Management &amp; Administration</oddFooter>
  </headerFooter>
</worksheet>
</file>

<file path=xl/worksheets/sheet3.xml><?xml version="1.0" encoding="utf-8"?>
<worksheet xmlns="http://schemas.openxmlformats.org/spreadsheetml/2006/main" xmlns:r="http://schemas.openxmlformats.org/officeDocument/2006/relationships">
  <sheetPr codeName="Sheet10"/>
  <dimension ref="A1:X49"/>
  <sheetViews>
    <sheetView view="pageBreakPreview" topLeftCell="B1" zoomScale="80" zoomScaleNormal="75" zoomScaleSheetLayoutView="80" workbookViewId="0">
      <selection activeCell="I38" sqref="I38"/>
    </sheetView>
  </sheetViews>
  <sheetFormatPr defaultRowHeight="15"/>
  <cols>
    <col min="1" max="1" width="33.44140625" customWidth="1"/>
    <col min="2" max="2" width="9.5546875" customWidth="1"/>
    <col min="3" max="3" width="13.109375" customWidth="1"/>
    <col min="4" max="4" width="10.33203125" customWidth="1"/>
    <col min="5" max="5" width="9.5546875" customWidth="1"/>
    <col min="6" max="6" width="41.33203125" customWidth="1"/>
    <col min="7" max="7" width="7.6640625" style="25" customWidth="1"/>
    <col min="8" max="8" width="7.77734375" style="25" customWidth="1"/>
    <col min="9" max="9" width="12.109375" style="25" customWidth="1"/>
    <col min="11" max="11" width="45.6640625" style="57" customWidth="1"/>
  </cols>
  <sheetData>
    <row r="1" spans="1:24" ht="20.25">
      <c r="A1" s="1653" t="s">
        <v>146</v>
      </c>
      <c r="B1" s="1654"/>
      <c r="C1" s="1654"/>
      <c r="D1" s="1654"/>
      <c r="E1" s="1654"/>
      <c r="F1" s="1654"/>
      <c r="G1" s="1654"/>
      <c r="H1" s="1654"/>
      <c r="I1" s="1654"/>
      <c r="J1" s="57" t="s">
        <v>0</v>
      </c>
    </row>
    <row r="2" spans="1:24" ht="15.75">
      <c r="A2" s="1657" t="s">
        <v>116</v>
      </c>
      <c r="B2" s="1657"/>
      <c r="C2" s="1657"/>
      <c r="D2" s="1657"/>
      <c r="E2" s="1657"/>
      <c r="F2" s="1657"/>
      <c r="G2" s="1657"/>
      <c r="H2" s="1657"/>
      <c r="I2" s="1658"/>
      <c r="J2" s="57" t="s">
        <v>0</v>
      </c>
    </row>
    <row r="3" spans="1:24" ht="15" customHeight="1">
      <c r="A3" s="1610" t="s">
        <v>93</v>
      </c>
      <c r="B3" s="1611"/>
      <c r="C3" s="1611"/>
      <c r="D3" s="1611"/>
      <c r="E3" s="1611"/>
      <c r="F3" s="1611"/>
      <c r="G3" s="1611"/>
      <c r="H3" s="1611"/>
      <c r="I3" s="1611"/>
      <c r="J3" s="57" t="s">
        <v>0</v>
      </c>
      <c r="L3" s="34"/>
      <c r="M3" s="34"/>
      <c r="N3" s="34"/>
      <c r="O3" s="34"/>
      <c r="P3" s="34"/>
      <c r="Q3" s="34"/>
      <c r="R3" s="34"/>
      <c r="S3" s="34"/>
      <c r="T3" s="34"/>
      <c r="U3" s="34"/>
      <c r="V3" s="34"/>
      <c r="W3" s="34"/>
      <c r="X3" s="34"/>
    </row>
    <row r="4" spans="1:24" ht="15.75">
      <c r="A4" s="1612" t="str">
        <f>+'B. Summ of Reqs - S&amp;E-M&amp;A '!A5</f>
        <v>Office of Justice Programs</v>
      </c>
      <c r="B4" s="1611"/>
      <c r="C4" s="1611"/>
      <c r="D4" s="1611"/>
      <c r="E4" s="1611"/>
      <c r="F4" s="1611"/>
      <c r="G4" s="1611"/>
      <c r="H4" s="1611"/>
      <c r="I4" s="1611"/>
      <c r="J4" s="57" t="s">
        <v>0</v>
      </c>
      <c r="L4" s="36"/>
      <c r="M4" s="34"/>
      <c r="N4" s="34"/>
      <c r="O4" s="34"/>
      <c r="P4" s="34"/>
      <c r="Q4" s="34"/>
      <c r="R4" s="34"/>
      <c r="S4" s="34"/>
      <c r="T4" s="34"/>
      <c r="U4" s="34"/>
      <c r="V4" s="34"/>
      <c r="W4" s="34"/>
      <c r="X4" s="34"/>
    </row>
    <row r="5" spans="1:24" s="322" customFormat="1" ht="15.75">
      <c r="A5" s="1612" t="str">
        <f>+'B. Summ of Reqs - S&amp;E-M&amp;A '!A6</f>
        <v>Salaries and Expenses/Management &amp; Administration</v>
      </c>
      <c r="B5" s="1611"/>
      <c r="C5" s="1611"/>
      <c r="D5" s="1611"/>
      <c r="E5" s="1611"/>
      <c r="F5" s="1611"/>
      <c r="G5" s="1611"/>
      <c r="H5" s="1611"/>
      <c r="I5" s="1611"/>
      <c r="J5" s="57" t="s">
        <v>0</v>
      </c>
      <c r="K5" s="57"/>
      <c r="L5" s="321"/>
      <c r="M5" s="323"/>
      <c r="N5" s="323"/>
      <c r="O5" s="323"/>
      <c r="P5" s="323"/>
      <c r="Q5" s="323"/>
      <c r="R5" s="323"/>
      <c r="S5" s="323"/>
      <c r="T5" s="323"/>
      <c r="U5" s="323"/>
      <c r="V5" s="323"/>
      <c r="W5" s="323"/>
      <c r="X5" s="323"/>
    </row>
    <row r="6" spans="1:24">
      <c r="A6" s="1659"/>
      <c r="B6" s="1659"/>
      <c r="C6" s="1659"/>
      <c r="D6" s="1659"/>
      <c r="E6" s="1659"/>
      <c r="F6" s="1659"/>
      <c r="G6" s="1659"/>
      <c r="H6" s="1659"/>
      <c r="I6" s="1659"/>
      <c r="J6" s="57" t="s">
        <v>0</v>
      </c>
      <c r="L6" s="35"/>
      <c r="M6" s="34"/>
      <c r="N6" s="34"/>
      <c r="O6" s="34"/>
      <c r="P6" s="34"/>
      <c r="Q6" s="34"/>
      <c r="R6" s="34"/>
      <c r="S6" s="34"/>
      <c r="T6" s="34"/>
      <c r="U6" s="34"/>
      <c r="V6" s="34"/>
      <c r="W6" s="34"/>
      <c r="X6" s="34"/>
    </row>
    <row r="7" spans="1:24">
      <c r="A7" s="1659"/>
      <c r="B7" s="1659"/>
      <c r="C7" s="1659"/>
      <c r="D7" s="1659"/>
      <c r="E7" s="1659"/>
      <c r="F7" s="1659"/>
      <c r="G7" s="1659"/>
      <c r="H7" s="1659"/>
      <c r="I7" s="1659"/>
      <c r="J7" s="57" t="s">
        <v>0</v>
      </c>
      <c r="L7" s="35"/>
      <c r="M7" s="34"/>
      <c r="N7" s="34"/>
      <c r="O7" s="34"/>
      <c r="P7" s="34"/>
      <c r="Q7" s="34"/>
      <c r="R7" s="34"/>
      <c r="S7" s="34"/>
      <c r="T7" s="34"/>
      <c r="U7" s="34"/>
      <c r="V7" s="34"/>
      <c r="W7" s="34"/>
      <c r="X7" s="34"/>
    </row>
    <row r="8" spans="1:24" ht="15.75">
      <c r="A8" s="1655" t="s">
        <v>61</v>
      </c>
      <c r="B8" s="1656"/>
      <c r="C8" s="1656"/>
      <c r="D8" s="1656"/>
      <c r="E8" s="1656"/>
      <c r="F8" s="1656"/>
      <c r="G8" s="1656"/>
      <c r="H8" s="1656"/>
      <c r="I8" s="1656"/>
      <c r="J8" s="57" t="s">
        <v>0</v>
      </c>
      <c r="L8" s="35"/>
      <c r="M8" s="34"/>
      <c r="N8" s="34"/>
      <c r="O8" s="34"/>
      <c r="P8" s="34"/>
      <c r="Q8" s="34"/>
      <c r="R8" s="34"/>
      <c r="S8" s="34"/>
      <c r="T8" s="34"/>
      <c r="U8" s="34"/>
      <c r="V8" s="34"/>
      <c r="W8" s="34"/>
      <c r="X8" s="34"/>
    </row>
    <row r="9" spans="1:24" ht="15.75">
      <c r="A9" s="1014"/>
      <c r="B9" s="1015"/>
      <c r="C9" s="1015"/>
      <c r="D9" s="1015"/>
      <c r="E9" s="1015"/>
      <c r="F9" s="1015"/>
      <c r="G9" s="1016" t="s">
        <v>94</v>
      </c>
      <c r="H9" s="1016" t="s">
        <v>25</v>
      </c>
      <c r="I9" s="1016" t="s">
        <v>117</v>
      </c>
      <c r="J9" s="57" t="s">
        <v>0</v>
      </c>
      <c r="K9" s="62"/>
      <c r="L9" s="35"/>
      <c r="M9" s="34"/>
      <c r="N9" s="34"/>
      <c r="O9" s="34"/>
      <c r="P9" s="34"/>
      <c r="Q9" s="34"/>
      <c r="R9" s="34"/>
      <c r="S9" s="34"/>
      <c r="T9" s="34"/>
      <c r="U9" s="34"/>
      <c r="V9" s="34"/>
      <c r="W9" s="34"/>
      <c r="X9" s="34"/>
    </row>
    <row r="10" spans="1:24" hidden="1">
      <c r="A10" s="1660" t="s">
        <v>6</v>
      </c>
      <c r="B10" s="1644"/>
      <c r="C10" s="1644"/>
      <c r="D10" s="1644"/>
      <c r="E10" s="1644"/>
      <c r="F10" s="1644"/>
      <c r="G10" s="1017"/>
      <c r="H10" s="1017"/>
      <c r="I10" s="1017"/>
      <c r="J10" s="57" t="s">
        <v>0</v>
      </c>
      <c r="K10" s="62"/>
      <c r="L10" s="35"/>
      <c r="M10" s="34"/>
      <c r="N10" s="34"/>
      <c r="O10" s="34"/>
      <c r="P10" s="34"/>
      <c r="Q10" s="34"/>
      <c r="R10" s="34"/>
      <c r="S10" s="34"/>
      <c r="T10" s="34"/>
      <c r="U10" s="34"/>
      <c r="V10" s="34"/>
      <c r="W10" s="34"/>
      <c r="X10" s="34"/>
    </row>
    <row r="11" spans="1:24" ht="15.75" hidden="1">
      <c r="A11" s="1655" t="s">
        <v>29</v>
      </c>
      <c r="B11" s="1656"/>
      <c r="C11" s="1656"/>
      <c r="D11" s="1656"/>
      <c r="E11" s="1656"/>
      <c r="F11" s="1656"/>
      <c r="G11" s="1656"/>
      <c r="H11" s="1656"/>
      <c r="I11" s="1656"/>
      <c r="J11" s="57" t="s">
        <v>0</v>
      </c>
      <c r="K11" s="62"/>
      <c r="L11" s="35"/>
      <c r="M11" s="35"/>
      <c r="N11" s="35"/>
    </row>
    <row r="12" spans="1:24" ht="15.75" hidden="1">
      <c r="A12" s="1018"/>
      <c r="B12" s="1018"/>
      <c r="C12" s="1018"/>
      <c r="D12" s="1018"/>
      <c r="E12" s="1018"/>
      <c r="F12" s="1018"/>
      <c r="G12" s="1016"/>
      <c r="H12" s="1016"/>
      <c r="I12" s="1016"/>
      <c r="J12" s="57" t="s">
        <v>0</v>
      </c>
      <c r="K12" s="62" t="s">
        <v>155</v>
      </c>
      <c r="L12" s="35"/>
    </row>
    <row r="13" spans="1:24" s="94" customFormat="1" ht="26.25" hidden="1" customHeight="1">
      <c r="A13" s="1660" t="s">
        <v>97</v>
      </c>
      <c r="B13" s="1644"/>
      <c r="C13" s="1644"/>
      <c r="D13" s="1644"/>
      <c r="E13" s="1644"/>
      <c r="F13" s="1644"/>
      <c r="G13" s="1019"/>
      <c r="H13" s="1019"/>
      <c r="I13" s="1020"/>
      <c r="J13" s="57" t="s">
        <v>0</v>
      </c>
      <c r="K13" s="62"/>
      <c r="L13" s="35"/>
    </row>
    <row r="14" spans="1:24" s="94" customFormat="1" ht="15" customHeight="1">
      <c r="A14" s="1661" t="s">
        <v>29</v>
      </c>
      <c r="B14" s="1661"/>
      <c r="C14" s="1661"/>
      <c r="D14" s="1661"/>
      <c r="E14" s="1661"/>
      <c r="F14" s="1661"/>
      <c r="G14" s="1661"/>
      <c r="H14" s="1661"/>
      <c r="I14" s="1661"/>
      <c r="J14" s="57" t="s">
        <v>0</v>
      </c>
      <c r="K14" s="62"/>
      <c r="L14" s="35"/>
    </row>
    <row r="15" spans="1:24" s="94" customFormat="1" ht="15" customHeight="1">
      <c r="A15" s="1052"/>
      <c r="B15" s="1053"/>
      <c r="C15" s="1053"/>
      <c r="D15" s="1053"/>
      <c r="E15" s="1053"/>
      <c r="F15" s="1053"/>
      <c r="G15" s="1052"/>
      <c r="H15" s="1052"/>
      <c r="I15" s="1020"/>
      <c r="J15" s="57" t="s">
        <v>0</v>
      </c>
      <c r="K15" s="62"/>
      <c r="L15" s="35"/>
    </row>
    <row r="16" spans="1:24" s="1091" customFormat="1" ht="44.25" customHeight="1">
      <c r="A16" s="1652" t="s">
        <v>626</v>
      </c>
      <c r="B16" s="1652"/>
      <c r="C16" s="1652"/>
      <c r="D16" s="1652"/>
      <c r="E16" s="1652"/>
      <c r="F16" s="1652"/>
      <c r="G16" s="1206"/>
      <c r="H16" s="1206"/>
      <c r="I16" s="1092">
        <v>-14</v>
      </c>
      <c r="J16" s="1089" t="s">
        <v>0</v>
      </c>
      <c r="K16" s="1089"/>
      <c r="L16" s="1090"/>
      <c r="M16" s="1063"/>
      <c r="N16" s="1063"/>
      <c r="O16" s="1063"/>
      <c r="P16" s="1063"/>
      <c r="Q16" s="1063"/>
      <c r="R16" s="1063"/>
      <c r="S16" s="1063"/>
      <c r="T16" s="1063"/>
      <c r="U16" s="1063"/>
      <c r="V16" s="1063"/>
      <c r="W16" s="1063"/>
      <c r="X16" s="1063"/>
    </row>
    <row r="17" spans="1:24" s="1091" customFormat="1" ht="15" customHeight="1">
      <c r="A17" s="1182"/>
      <c r="B17" s="1182"/>
      <c r="C17" s="1182"/>
      <c r="D17" s="1182"/>
      <c r="E17" s="1182"/>
      <c r="F17" s="1182"/>
      <c r="G17" s="1206"/>
      <c r="H17" s="1206"/>
      <c r="I17" s="1092"/>
      <c r="J17" s="1089" t="s">
        <v>0</v>
      </c>
      <c r="K17" s="1089"/>
      <c r="L17" s="1090"/>
      <c r="M17" s="1063"/>
      <c r="N17" s="1063"/>
      <c r="O17" s="1063"/>
      <c r="P17" s="1063"/>
      <c r="Q17" s="1063"/>
      <c r="R17" s="1063"/>
      <c r="S17" s="1063"/>
      <c r="T17" s="1063"/>
      <c r="U17" s="1063"/>
      <c r="V17" s="1063"/>
      <c r="W17" s="1063"/>
      <c r="X17" s="1063"/>
    </row>
    <row r="18" spans="1:24" s="1091" customFormat="1" ht="47.25" customHeight="1">
      <c r="A18" s="1652" t="s">
        <v>627</v>
      </c>
      <c r="B18" s="1652"/>
      <c r="C18" s="1652"/>
      <c r="D18" s="1652"/>
      <c r="E18" s="1652"/>
      <c r="F18" s="1652"/>
      <c r="G18" s="1206"/>
      <c r="H18" s="1206"/>
      <c r="I18" s="1092">
        <v>-20</v>
      </c>
      <c r="J18" s="1089" t="s">
        <v>0</v>
      </c>
      <c r="K18" s="1089"/>
      <c r="L18" s="1090"/>
      <c r="M18" s="1063"/>
      <c r="N18" s="1063"/>
      <c r="O18" s="1063"/>
      <c r="P18" s="1063"/>
      <c r="Q18" s="1063"/>
      <c r="R18" s="1063"/>
      <c r="S18" s="1063"/>
      <c r="T18" s="1063"/>
      <c r="U18" s="1063"/>
      <c r="V18" s="1063"/>
      <c r="W18" s="1063"/>
      <c r="X18" s="1063"/>
    </row>
    <row r="19" spans="1:24" s="1091" customFormat="1" ht="15" customHeight="1">
      <c r="A19" s="1182"/>
      <c r="B19" s="1182"/>
      <c r="C19" s="1182"/>
      <c r="D19" s="1182"/>
      <c r="E19" s="1182"/>
      <c r="F19" s="1182"/>
      <c r="G19" s="1206"/>
      <c r="H19" s="1206"/>
      <c r="I19" s="1092"/>
      <c r="J19" s="1089" t="s">
        <v>0</v>
      </c>
      <c r="K19" s="1089"/>
      <c r="L19" s="1090"/>
      <c r="M19" s="1063"/>
      <c r="N19" s="1063"/>
      <c r="O19" s="1063"/>
      <c r="P19" s="1063"/>
      <c r="Q19" s="1063"/>
      <c r="R19" s="1063"/>
      <c r="S19" s="1063"/>
      <c r="T19" s="1063"/>
      <c r="U19" s="1063"/>
      <c r="V19" s="1063"/>
      <c r="W19" s="1063"/>
      <c r="X19" s="1063"/>
    </row>
    <row r="20" spans="1:24" s="1091" customFormat="1" ht="32.25" customHeight="1">
      <c r="A20" s="1652" t="s">
        <v>628</v>
      </c>
      <c r="B20" s="1652"/>
      <c r="C20" s="1652"/>
      <c r="D20" s="1652"/>
      <c r="E20" s="1652"/>
      <c r="F20" s="1652"/>
      <c r="G20" s="1206"/>
      <c r="H20" s="1206"/>
      <c r="I20" s="1092">
        <v>34</v>
      </c>
      <c r="J20" s="1089" t="s">
        <v>0</v>
      </c>
      <c r="K20" s="1089"/>
      <c r="L20" s="1090"/>
      <c r="M20" s="1063"/>
      <c r="N20" s="1063"/>
      <c r="O20" s="1063"/>
      <c r="P20" s="1063"/>
      <c r="Q20" s="1063"/>
      <c r="R20" s="1063"/>
      <c r="S20" s="1063"/>
      <c r="T20" s="1063"/>
      <c r="U20" s="1063"/>
      <c r="V20" s="1063"/>
      <c r="W20" s="1063"/>
      <c r="X20" s="1063"/>
    </row>
    <row r="21" spans="1:24" s="1091" customFormat="1" ht="15.75">
      <c r="A21" s="1183"/>
      <c r="B21" s="1207"/>
      <c r="C21" s="1207"/>
      <c r="D21" s="1207"/>
      <c r="E21" s="1207"/>
      <c r="F21" s="1207"/>
      <c r="G21" s="1008"/>
      <c r="H21" s="1008"/>
      <c r="I21" s="1008"/>
      <c r="J21" s="1089" t="s">
        <v>0</v>
      </c>
      <c r="K21" s="1089"/>
      <c r="L21" s="1090"/>
      <c r="M21" s="1063"/>
      <c r="N21" s="1063"/>
      <c r="O21" s="1063"/>
      <c r="P21" s="1063"/>
      <c r="Q21" s="1063"/>
      <c r="R21" s="1063"/>
      <c r="S21" s="1063"/>
      <c r="T21" s="1063"/>
      <c r="U21" s="1063"/>
      <c r="V21" s="1063"/>
      <c r="W21" s="1063"/>
      <c r="X21" s="1063"/>
    </row>
    <row r="22" spans="1:24" s="94" customFormat="1">
      <c r="A22" s="1641" t="s">
        <v>118</v>
      </c>
      <c r="B22" s="1642"/>
      <c r="C22" s="1642"/>
      <c r="D22" s="1642"/>
      <c r="E22" s="1642"/>
      <c r="F22" s="1642"/>
      <c r="G22" s="1642"/>
      <c r="H22" s="1642"/>
      <c r="I22" s="1642"/>
      <c r="J22" s="57" t="s">
        <v>0</v>
      </c>
      <c r="K22" s="62"/>
      <c r="L22" s="35"/>
    </row>
    <row r="23" spans="1:24" s="94" customFormat="1">
      <c r="A23" s="1184"/>
      <c r="B23" s="1017"/>
      <c r="C23" s="1017"/>
      <c r="D23" s="1017"/>
      <c r="E23" s="1017"/>
      <c r="F23" s="1017"/>
      <c r="G23" s="1017"/>
      <c r="H23" s="1017"/>
      <c r="I23" s="1017"/>
      <c r="J23" s="57" t="s">
        <v>0</v>
      </c>
      <c r="K23" s="62"/>
      <c r="L23" s="35"/>
    </row>
    <row r="24" spans="1:24" s="94" customFormat="1" ht="30" customHeight="1">
      <c r="A24" s="1650" t="s">
        <v>653</v>
      </c>
      <c r="B24" s="1651"/>
      <c r="C24" s="1651"/>
      <c r="D24" s="1651"/>
      <c r="E24" s="1651"/>
      <c r="F24" s="1651"/>
      <c r="G24" s="1017"/>
      <c r="H24" s="1017"/>
      <c r="I24" s="1205">
        <v>253</v>
      </c>
      <c r="J24" s="568" t="s">
        <v>0</v>
      </c>
      <c r="K24" s="62"/>
      <c r="L24" s="35"/>
    </row>
    <row r="25" spans="1:24" s="94" customFormat="1" ht="15" customHeight="1">
      <c r="A25" s="1208"/>
      <c r="B25" s="1208"/>
      <c r="C25" s="1208"/>
      <c r="D25" s="1208"/>
      <c r="E25" s="1208"/>
      <c r="F25" s="1208"/>
      <c r="G25" s="1208"/>
      <c r="H25" s="1208"/>
      <c r="I25" s="1208"/>
      <c r="J25" s="57" t="s">
        <v>0</v>
      </c>
      <c r="K25" s="57"/>
      <c r="L25" s="35"/>
    </row>
    <row r="26" spans="1:24" s="94" customFormat="1" ht="51.75" customHeight="1">
      <c r="A26" s="1638" t="s">
        <v>570</v>
      </c>
      <c r="B26" s="1639"/>
      <c r="C26" s="1639"/>
      <c r="D26" s="1639"/>
      <c r="E26" s="1639"/>
      <c r="F26" s="1639"/>
      <c r="G26" s="342"/>
      <c r="H26" s="342"/>
      <c r="I26" s="1000">
        <f>151+153</f>
        <v>304</v>
      </c>
      <c r="J26" s="57" t="s">
        <v>0</v>
      </c>
      <c r="K26" s="57"/>
      <c r="L26" s="35"/>
    </row>
    <row r="27" spans="1:24" s="94" customFormat="1" ht="7.5" customHeight="1">
      <c r="A27" s="345"/>
      <c r="B27" s="345"/>
      <c r="C27" s="345"/>
      <c r="D27" s="345"/>
      <c r="E27" s="345"/>
      <c r="F27" s="345"/>
      <c r="G27" s="345"/>
      <c r="H27" s="345"/>
      <c r="I27" s="1034"/>
      <c r="J27" s="57" t="s">
        <v>0</v>
      </c>
      <c r="K27" s="57"/>
    </row>
    <row r="28" spans="1:24" s="94" customFormat="1" ht="77.25" customHeight="1">
      <c r="A28" s="1645" t="s">
        <v>571</v>
      </c>
      <c r="B28" s="1646"/>
      <c r="C28" s="1646"/>
      <c r="D28" s="1646"/>
      <c r="E28" s="1646"/>
      <c r="F28" s="1646"/>
      <c r="G28" s="343"/>
      <c r="H28" s="343"/>
      <c r="I28" s="1001">
        <v>54</v>
      </c>
      <c r="J28" s="57" t="s">
        <v>0</v>
      </c>
      <c r="K28" s="57"/>
      <c r="L28" s="35"/>
    </row>
    <row r="29" spans="1:24" s="94" customFormat="1" ht="9.75" customHeight="1">
      <c r="A29" s="1006"/>
      <c r="B29" s="1007"/>
      <c r="C29" s="1007"/>
      <c r="D29" s="1007"/>
      <c r="E29" s="1007"/>
      <c r="F29" s="1007"/>
      <c r="G29" s="343"/>
      <c r="H29" s="343"/>
      <c r="I29" s="1001"/>
      <c r="J29" s="57" t="s">
        <v>0</v>
      </c>
      <c r="K29" s="57"/>
      <c r="L29" s="35"/>
    </row>
    <row r="30" spans="1:24" s="94" customFormat="1" ht="32.25" customHeight="1">
      <c r="A30" s="1647" t="s">
        <v>572</v>
      </c>
      <c r="B30" s="1639"/>
      <c r="C30" s="1639"/>
      <c r="D30" s="1639"/>
      <c r="E30" s="1639"/>
      <c r="F30" s="1639"/>
      <c r="G30" s="342"/>
      <c r="H30" s="342"/>
      <c r="I30" s="1000">
        <v>50</v>
      </c>
      <c r="J30" s="57" t="s">
        <v>0</v>
      </c>
      <c r="K30" s="57"/>
    </row>
    <row r="31" spans="1:24" s="94" customFormat="1" ht="9.75" customHeight="1">
      <c r="A31" s="1035"/>
      <c r="B31" s="1036"/>
      <c r="C31" s="1036"/>
      <c r="D31" s="1036"/>
      <c r="E31" s="1036"/>
      <c r="F31" s="1036"/>
      <c r="G31" s="343"/>
      <c r="H31" s="343"/>
      <c r="I31" s="1001"/>
      <c r="J31" s="57" t="s">
        <v>0</v>
      </c>
      <c r="K31" s="57"/>
      <c r="L31" s="35"/>
    </row>
    <row r="32" spans="1:24" s="94" customFormat="1" ht="7.5" customHeight="1">
      <c r="A32" s="345"/>
      <c r="B32" s="345"/>
      <c r="C32" s="345"/>
      <c r="D32" s="345"/>
      <c r="E32" s="345"/>
      <c r="F32" s="345"/>
      <c r="G32" s="345"/>
      <c r="H32" s="345"/>
      <c r="I32" s="1034"/>
      <c r="J32" s="57" t="s">
        <v>0</v>
      </c>
      <c r="K32" s="57"/>
    </row>
    <row r="33" spans="1:12" s="94" customFormat="1" ht="38.25" customHeight="1">
      <c r="A33" s="1638" t="s">
        <v>573</v>
      </c>
      <c r="B33" s="1639"/>
      <c r="C33" s="1639"/>
      <c r="D33" s="1639"/>
      <c r="E33" s="1639"/>
      <c r="F33" s="1639"/>
      <c r="G33" s="342"/>
      <c r="H33" s="342"/>
      <c r="I33" s="1000">
        <v>378</v>
      </c>
      <c r="J33" s="57" t="s">
        <v>0</v>
      </c>
      <c r="K33" s="57"/>
    </row>
    <row r="34" spans="1:12" s="94" customFormat="1" ht="7.5" customHeight="1">
      <c r="A34" s="345"/>
      <c r="B34" s="345"/>
      <c r="C34" s="345"/>
      <c r="D34" s="345"/>
      <c r="E34" s="345"/>
      <c r="F34" s="345"/>
      <c r="G34" s="345"/>
      <c r="H34" s="345"/>
      <c r="I34" s="1002"/>
      <c r="J34" s="57" t="s">
        <v>0</v>
      </c>
      <c r="K34" s="57"/>
    </row>
    <row r="35" spans="1:12" s="94" customFormat="1" ht="7.5" customHeight="1">
      <c r="A35" s="345"/>
      <c r="B35" s="345"/>
      <c r="C35" s="345"/>
      <c r="D35" s="345"/>
      <c r="E35" s="345"/>
      <c r="F35" s="345"/>
      <c r="G35" s="345"/>
      <c r="H35" s="345"/>
      <c r="I35" s="1054"/>
      <c r="J35" s="57"/>
      <c r="K35" s="57"/>
    </row>
    <row r="36" spans="1:12" s="94" customFormat="1" ht="34.5" customHeight="1">
      <c r="A36" s="1648" t="s">
        <v>574</v>
      </c>
      <c r="B36" s="1639"/>
      <c r="C36" s="1639"/>
      <c r="D36" s="1639"/>
      <c r="E36" s="1639"/>
      <c r="F36" s="1639"/>
      <c r="G36" s="342"/>
      <c r="H36" s="342"/>
      <c r="I36" s="1000">
        <v>381</v>
      </c>
      <c r="J36" s="57" t="s">
        <v>0</v>
      </c>
      <c r="K36" s="57"/>
    </row>
    <row r="37" spans="1:12" s="94" customFormat="1" ht="10.5" customHeight="1">
      <c r="A37" s="344"/>
      <c r="B37" s="344"/>
      <c r="C37" s="344"/>
      <c r="D37" s="344"/>
      <c r="E37" s="344"/>
      <c r="F37" s="344"/>
      <c r="G37" s="344"/>
      <c r="H37" s="344"/>
      <c r="I37" s="1003"/>
      <c r="J37" s="57" t="s">
        <v>0</v>
      </c>
      <c r="K37" s="57"/>
    </row>
    <row r="38" spans="1:12" s="94" customFormat="1" ht="60" customHeight="1">
      <c r="A38" s="1649" t="s">
        <v>575</v>
      </c>
      <c r="B38" s="1639"/>
      <c r="C38" s="1639"/>
      <c r="D38" s="1639"/>
      <c r="E38" s="1639"/>
      <c r="F38" s="1639"/>
      <c r="G38" s="342"/>
      <c r="H38" s="342"/>
      <c r="I38" s="1004">
        <v>1686</v>
      </c>
      <c r="J38" s="57" t="s">
        <v>0</v>
      </c>
      <c r="K38" s="57"/>
    </row>
    <row r="39" spans="1:12" s="94" customFormat="1" ht="11.25" customHeight="1">
      <c r="A39" s="343"/>
      <c r="B39" s="343"/>
      <c r="C39" s="343"/>
      <c r="D39" s="343"/>
      <c r="E39" s="343"/>
      <c r="F39" s="343"/>
      <c r="G39" s="343"/>
      <c r="H39" s="343"/>
      <c r="I39" s="1005"/>
      <c r="J39" s="57" t="s">
        <v>0</v>
      </c>
      <c r="K39" s="57"/>
    </row>
    <row r="40" spans="1:12" s="94" customFormat="1" ht="33.75" customHeight="1">
      <c r="A40" s="1643" t="s">
        <v>576</v>
      </c>
      <c r="B40" s="1644"/>
      <c r="C40" s="1644"/>
      <c r="D40" s="1644"/>
      <c r="E40" s="1644"/>
      <c r="F40" s="1644"/>
      <c r="G40" s="342"/>
      <c r="H40" s="342"/>
      <c r="I40" s="1000">
        <v>13</v>
      </c>
      <c r="J40" s="57" t="s">
        <v>0</v>
      </c>
      <c r="K40" s="57"/>
    </row>
    <row r="41" spans="1:12" s="94" customFormat="1">
      <c r="A41" s="343"/>
      <c r="B41" s="343"/>
      <c r="C41" s="343"/>
      <c r="D41" s="343"/>
      <c r="E41" s="343"/>
      <c r="F41" s="343"/>
      <c r="G41" s="343"/>
      <c r="H41" s="343"/>
      <c r="I41" s="343"/>
      <c r="J41" s="57" t="s">
        <v>0</v>
      </c>
      <c r="K41" s="57"/>
    </row>
    <row r="42" spans="1:12" s="94" customFormat="1">
      <c r="A42" s="343"/>
      <c r="B42" s="343"/>
      <c r="C42" s="343"/>
      <c r="D42" s="343"/>
      <c r="E42" s="343"/>
      <c r="F42" s="1005"/>
      <c r="G42" s="1008" t="s">
        <v>94</v>
      </c>
      <c r="H42" s="1008" t="s">
        <v>25</v>
      </c>
      <c r="I42" s="1008" t="s">
        <v>117</v>
      </c>
      <c r="J42" s="57" t="s">
        <v>0</v>
      </c>
      <c r="K42" s="57"/>
    </row>
    <row r="43" spans="1:12" s="94" customFormat="1">
      <c r="A43" s="343"/>
      <c r="B43" s="343"/>
      <c r="C43" s="343"/>
      <c r="D43" s="343"/>
      <c r="E43" s="343"/>
      <c r="F43" s="1005"/>
      <c r="G43" s="1005"/>
      <c r="H43" s="1005"/>
      <c r="I43" s="1005"/>
      <c r="J43" s="57" t="s">
        <v>0</v>
      </c>
      <c r="K43" s="57"/>
    </row>
    <row r="44" spans="1:12" s="94" customFormat="1">
      <c r="A44" s="343"/>
      <c r="B44" s="343"/>
      <c r="C44" s="343"/>
      <c r="D44" s="343"/>
      <c r="E44" s="343"/>
      <c r="F44" s="1009" t="s">
        <v>95</v>
      </c>
      <c r="G44" s="1001">
        <f>SUM(G26:G43)</f>
        <v>0</v>
      </c>
      <c r="H44" s="1001">
        <v>6</v>
      </c>
      <c r="I44" s="1010">
        <f>SUM(I24:I40)</f>
        <v>3119</v>
      </c>
      <c r="J44" s="57" t="s">
        <v>0</v>
      </c>
      <c r="K44" s="57"/>
    </row>
    <row r="45" spans="1:12" s="94" customFormat="1" ht="15" customHeight="1">
      <c r="A45" s="347"/>
      <c r="B45" s="346"/>
      <c r="C45" s="346"/>
      <c r="D45" s="346"/>
      <c r="E45" s="346"/>
      <c r="F45" s="1013"/>
      <c r="G45" s="1011"/>
      <c r="H45" s="1011"/>
      <c r="I45" s="1011"/>
      <c r="J45" s="57" t="s">
        <v>0</v>
      </c>
      <c r="K45" s="57"/>
      <c r="L45" s="35"/>
    </row>
    <row r="46" spans="1:12" s="94" customFormat="1" ht="17.25" customHeight="1">
      <c r="A46" s="347"/>
      <c r="B46" s="346"/>
      <c r="C46" s="346"/>
      <c r="D46" s="346"/>
      <c r="E46" s="346"/>
      <c r="F46" s="1009" t="s">
        <v>96</v>
      </c>
      <c r="G46" s="1011">
        <f>SUM(G44)</f>
        <v>0</v>
      </c>
      <c r="H46" s="1011">
        <f t="shared" ref="H46" si="0">SUM(H44)</f>
        <v>6</v>
      </c>
      <c r="I46" s="1012">
        <f>SUM(I16:I20,I44)</f>
        <v>3119</v>
      </c>
      <c r="J46" s="568" t="s">
        <v>13</v>
      </c>
      <c r="K46" s="57"/>
      <c r="L46" s="35"/>
    </row>
    <row r="47" spans="1:12" s="94" customFormat="1" ht="18.75" customHeight="1">
      <c r="A47" s="252"/>
      <c r="B47" s="152"/>
      <c r="C47" s="152"/>
      <c r="D47" s="152"/>
      <c r="E47" s="152"/>
      <c r="F47" s="152"/>
      <c r="G47" s="153"/>
      <c r="H47" s="153"/>
      <c r="I47" s="153"/>
      <c r="K47" s="96"/>
      <c r="L47" s="95"/>
    </row>
    <row r="48" spans="1:12" ht="36" customHeight="1">
      <c r="A48" s="1640"/>
      <c r="B48" s="1640"/>
      <c r="C48" s="1640"/>
      <c r="D48" s="1640"/>
      <c r="E48" s="1640"/>
      <c r="F48" s="1640"/>
      <c r="G48" s="1640"/>
      <c r="H48" s="1640"/>
      <c r="I48" s="1640"/>
      <c r="J48" s="1640"/>
    </row>
    <row r="49" spans="1:9" ht="35.25" customHeight="1">
      <c r="A49" s="1637"/>
      <c r="B49" s="1637"/>
      <c r="C49" s="1637"/>
      <c r="D49" s="1637"/>
      <c r="E49" s="1637"/>
      <c r="F49" s="1637"/>
      <c r="G49" s="1637"/>
      <c r="H49" s="1637"/>
      <c r="I49" s="1637"/>
    </row>
  </sheetData>
  <customSheetViews>
    <customSheetView guid="{DA38F665-F06D-4DFB-B852-747D93BB00EF}" showPageBreaks="1" printArea="1" hiddenRows="1" view="pageBreakPreview" topLeftCell="A177">
      <selection activeCell="B210" sqref="B210"/>
      <pageMargins left="0.75" right="0.75" top="1" bottom="1" header="0.5" footer="0.5"/>
      <pageSetup scale="57" fitToHeight="3" orientation="landscape" r:id="rId1"/>
      <headerFooter alignWithMargins="0">
        <oddFooter>&amp;C&amp;"Times New Roman,Regular"&amp;11Exhibit E - Justification for Base Adjustments&amp;R&amp;"Times New Roman,Regular"Research, Evaluation, and Statistics</oddFooter>
      </headerFooter>
    </customSheetView>
    <customSheetView guid="{3118AF25-8423-420A-806A-487665220C68}" showPageBreaks="1" printArea="1" view="pageBreakPreview" topLeftCell="A55">
      <selection activeCell="I71" sqref="I71"/>
      <rowBreaks count="2" manualBreakCount="2">
        <brk id="34" max="8" man="1"/>
        <brk id="55" max="8" man="1"/>
      </rowBreaks>
      <pageMargins left="0.75" right="0.75" top="1" bottom="1" header="0.5" footer="0.5"/>
      <pageSetup scale="67" fitToHeight="3" orientation="landscape" r:id="rId2"/>
      <headerFooter alignWithMargins="0">
        <oddFooter>&amp;C&amp;"Times New Roman,Regular"&amp;11Exhibit E - Justification for Base Adjustments</oddFooter>
      </headerFooter>
    </customSheetView>
    <customSheetView guid="{56C0A34E-45B4-448B-85E5-70B3A8E63333}" showPageBreaks="1" printArea="1" view="pageBreakPreview" topLeftCell="A55">
      <selection activeCell="F64" sqref="F64"/>
      <rowBreaks count="2" manualBreakCount="2">
        <brk id="36" max="8" man="1"/>
        <brk id="57" max="8" man="1"/>
      </rowBreaks>
      <pageMargins left="0.75" right="0.75" top="1" bottom="1" header="0.5" footer="0.5"/>
      <pageSetup scale="67" fitToHeight="3" orientation="landscape" r:id="rId3"/>
      <headerFooter alignWithMargins="0">
        <oddFooter>&amp;C&amp;"Times New Roman,Regular"&amp;11Exhibit E - Justification for Base Adjustments</oddFooter>
      </headerFooter>
    </customSheetView>
    <customSheetView guid="{4148B88B-8ED7-4FDE-9459-DEB244AD0552}" showPageBreaks="1" printArea="1" view="pageBreakPreview">
      <selection activeCell="F64" sqref="F64"/>
      <rowBreaks count="2" manualBreakCount="2">
        <brk id="36" max="8" man="1"/>
        <brk id="57" max="8" man="1"/>
      </rowBreaks>
      <pageMargins left="0.75" right="0.75" top="1" bottom="1" header="0.5" footer="0.5"/>
      <pageSetup scale="67" fitToHeight="3" orientation="landscape" r:id="rId4"/>
      <headerFooter alignWithMargins="0">
        <oddFooter>&amp;C&amp;"Times New Roman,Regular"&amp;11Exhibit E - Justification for Base Adjustments</oddFooter>
      </headerFooter>
    </customSheetView>
    <customSheetView guid="{12C66D54-5067-4346-818B-6EAB1C8A9183}" showPageBreaks="1" printArea="1" view="pageBreakPreview" topLeftCell="A31">
      <selection activeCell="B39" sqref="B39"/>
      <rowBreaks count="2" manualBreakCount="2">
        <brk id="34" max="8" man="1"/>
        <brk id="55" max="8" man="1"/>
      </rowBreaks>
      <pageMargins left="0.75" right="0.75" top="1" bottom="1" header="0.5" footer="0.5"/>
      <pageSetup scale="67" fitToHeight="3" orientation="landscape" r:id="rId5"/>
      <headerFooter alignWithMargins="0">
        <oddFooter>&amp;C&amp;"Times New Roman,Regular"&amp;11Exhibit E - Justification for Base Adjustments</oddFooter>
      </headerFooter>
    </customSheetView>
    <customSheetView guid="{AB21D485-B25C-4861-87C3-6754CE948F1C}" showPageBreaks="1" printArea="1" view="pageBreakPreview" topLeftCell="A31">
      <selection activeCell="B39" sqref="B39"/>
      <rowBreaks count="2" manualBreakCount="2">
        <brk id="34" max="8" man="1"/>
        <brk id="55" max="8" man="1"/>
      </rowBreaks>
      <pageMargins left="0.75" right="0.75" top="1" bottom="1" header="0.5" footer="0.5"/>
      <pageSetup scale="67" fitToHeight="3" orientation="landscape" r:id="rId6"/>
      <headerFooter alignWithMargins="0">
        <oddFooter>&amp;C&amp;"Times New Roman,Regular"&amp;11Exhibit E - Justification for Base Adjustments</oddFooter>
      </headerFooter>
    </customSheetView>
    <customSheetView guid="{4D0F9E3D-0229-48CC-A08B-F132802E9D7B}" showPageBreaks="1" printArea="1" hiddenRows="1" view="pageBreakPreview">
      <selection activeCell="A77" sqref="A77:I77"/>
      <rowBreaks count="1" manualBreakCount="1">
        <brk id="55" max="8" man="1"/>
      </rowBreaks>
      <pageMargins left="0.75" right="0.75" top="1" bottom="1" header="0.5" footer="0.5"/>
      <pageSetup scale="64" fitToHeight="3" orientation="landscape" r:id="rId7"/>
      <headerFooter alignWithMargins="0">
        <oddFooter>&amp;C&amp;"Times New Roman,Regular"&amp;11Exhibit E - Justification for Base Adjustments&amp;R&amp;"Times New Roman,Regular"Research, Evaluation, and Statistics</oddFooter>
      </headerFooter>
    </customSheetView>
    <customSheetView guid="{F6772377-6B25-4EEA-B255-4C2F62B37855}" showPageBreaks="1" printArea="1" hiddenRows="1" view="pageBreakPreview" topLeftCell="B1">
      <selection activeCell="A33" sqref="A33:F33"/>
      <pageMargins left="0.75" right="0.75" top="1" bottom="1" header="0.5" footer="0.5"/>
      <pageSetup scale="52" fitToHeight="3" orientation="landscape" r:id="rId8"/>
      <headerFooter alignWithMargins="0">
        <oddFooter>&amp;C&amp;"Times New Roman,Regular"&amp;11Exhibit E - Justification for Base Adjustments&amp;R&amp;"Times New Roman,Regular"Research, Evaluation, and Statistics</oddFooter>
      </headerFooter>
    </customSheetView>
    <customSheetView guid="{27B9C207-C13F-4981-9CED-E69585BBD779}" scale="80" showPageBreaks="1" printArea="1" hiddenRows="1" view="pageBreakPreview" topLeftCell="B32">
      <selection activeCell="I38" sqref="I38"/>
      <rowBreaks count="1" manualBreakCount="1">
        <brk id="32" max="8" man="1"/>
      </rowBreaks>
      <pageMargins left="0.75" right="0.75" top="1" bottom="1" header="0.5" footer="0.5"/>
      <pageSetup scale="69" fitToHeight="3" orientation="landscape" r:id="rId9"/>
      <headerFooter alignWithMargins="0">
        <oddFooter>&amp;C&amp;"Times New Roman,Regular"&amp;11Exhibit E - Justification for Base Adjustments&amp;R&amp;"Times New Roman,Regular"Salaries and Expenses/Management &amp; Administration</oddFooter>
      </headerFooter>
    </customSheetView>
  </customSheetViews>
  <mergeCells count="26">
    <mergeCell ref="A16:F16"/>
    <mergeCell ref="A18:F18"/>
    <mergeCell ref="A20:F20"/>
    <mergeCell ref="A1:I1"/>
    <mergeCell ref="A3:I3"/>
    <mergeCell ref="A4:I4"/>
    <mergeCell ref="A8:I8"/>
    <mergeCell ref="A2:I2"/>
    <mergeCell ref="A6:I6"/>
    <mergeCell ref="A7:I7"/>
    <mergeCell ref="A10:F10"/>
    <mergeCell ref="A13:F13"/>
    <mergeCell ref="A11:I11"/>
    <mergeCell ref="A5:I5"/>
    <mergeCell ref="A14:I14"/>
    <mergeCell ref="A49:I49"/>
    <mergeCell ref="A26:F26"/>
    <mergeCell ref="A48:J48"/>
    <mergeCell ref="A22:I22"/>
    <mergeCell ref="A40:F40"/>
    <mergeCell ref="A28:F28"/>
    <mergeCell ref="A30:F30"/>
    <mergeCell ref="A33:F33"/>
    <mergeCell ref="A36:F36"/>
    <mergeCell ref="A38:F38"/>
    <mergeCell ref="A24:F24"/>
  </mergeCells>
  <phoneticPr fontId="0" type="noConversion"/>
  <pageMargins left="0.75" right="0.75" top="1" bottom="1" header="0.5" footer="0.5"/>
  <pageSetup scale="69" fitToHeight="3" orientation="landscape" r:id="rId10"/>
  <headerFooter alignWithMargins="0">
    <oddFooter>&amp;C&amp;"Times New Roman,Regular"&amp;11Exhibit E - Justification for Base Adjustments&amp;R&amp;"Times New Roman,Regular"Salaries and Expenses/Management &amp; Administration</oddFooter>
  </headerFooter>
  <rowBreaks count="1" manualBreakCount="1">
    <brk id="32" max="8" man="1"/>
  </rowBreaks>
</worksheet>
</file>

<file path=xl/worksheets/sheet4.xml><?xml version="1.0" encoding="utf-8"?>
<worksheet xmlns="http://schemas.openxmlformats.org/spreadsheetml/2006/main" xmlns:r="http://schemas.openxmlformats.org/officeDocument/2006/relationships">
  <sheetPr codeName="Sheet11">
    <pageSetUpPr fitToPage="1"/>
  </sheetPr>
  <dimension ref="A1:AC35"/>
  <sheetViews>
    <sheetView showGridLines="0" showOutlineSymbols="0" view="pageBreakPreview" zoomScale="75" zoomScaleNormal="75" zoomScaleSheetLayoutView="75" workbookViewId="0">
      <selection activeCell="A28" sqref="A28:O28"/>
    </sheetView>
  </sheetViews>
  <sheetFormatPr defaultColWidth="8.88671875" defaultRowHeight="15.75"/>
  <cols>
    <col min="1" max="1" width="27.77734375" style="8" customWidth="1"/>
    <col min="2" max="2" width="7.5546875" style="8" bestFit="1" customWidth="1"/>
    <col min="3" max="3" width="6.77734375" style="8" customWidth="1"/>
    <col min="4" max="4" width="10.88671875" style="8" bestFit="1" customWidth="1"/>
    <col min="5" max="5" width="5.77734375" style="8" customWidth="1"/>
    <col min="6" max="6" width="5.6640625" style="8" customWidth="1"/>
    <col min="7" max="7" width="7.77734375" style="8" customWidth="1"/>
    <col min="8" max="8" width="5.5546875" style="8" customWidth="1"/>
    <col min="9" max="9" width="5.6640625" style="8" customWidth="1"/>
    <col min="10" max="10" width="7.77734375" style="8" customWidth="1"/>
    <col min="11" max="11" width="8.77734375" style="8" customWidth="1"/>
    <col min="12" max="12" width="10" style="8" customWidth="1"/>
    <col min="13" max="13" width="7.5546875" style="8" bestFit="1" customWidth="1"/>
    <col min="14" max="14" width="6.77734375" style="8" customWidth="1"/>
    <col min="15" max="15" width="10.88671875" style="8" bestFit="1" customWidth="1"/>
    <col min="16" max="16" width="9.44140625" style="66" customWidth="1"/>
    <col min="17" max="16384" width="8.88671875" style="8"/>
  </cols>
  <sheetData>
    <row r="1" spans="1:29" ht="20.25">
      <c r="A1" s="1692" t="s">
        <v>156</v>
      </c>
      <c r="B1" s="1693"/>
      <c r="C1" s="1693"/>
      <c r="D1" s="1693"/>
      <c r="E1" s="1693"/>
      <c r="F1" s="1693"/>
      <c r="G1" s="1693"/>
      <c r="H1" s="1693"/>
      <c r="I1" s="1693"/>
      <c r="J1" s="1693"/>
      <c r="K1" s="1693"/>
      <c r="L1" s="1693"/>
      <c r="M1" s="1693"/>
      <c r="N1" s="1693"/>
      <c r="O1" s="1693"/>
      <c r="P1" s="65" t="s">
        <v>0</v>
      </c>
    </row>
    <row r="2" spans="1:29" ht="16.5" customHeight="1">
      <c r="A2" s="1688"/>
      <c r="B2" s="1688"/>
      <c r="C2" s="1688"/>
      <c r="D2" s="1688"/>
      <c r="E2" s="1688"/>
      <c r="F2" s="1688"/>
      <c r="G2" s="1688"/>
      <c r="H2" s="1688"/>
      <c r="I2" s="1688"/>
      <c r="J2" s="1688"/>
      <c r="K2" s="1688"/>
      <c r="L2" s="1688"/>
      <c r="M2" s="1688"/>
      <c r="N2" s="1688"/>
      <c r="O2" s="1688"/>
      <c r="P2" s="65" t="s">
        <v>0</v>
      </c>
    </row>
    <row r="3" spans="1:29" ht="16.5" customHeight="1">
      <c r="A3" s="1694" t="s">
        <v>136</v>
      </c>
      <c r="B3" s="1695"/>
      <c r="C3" s="1695"/>
      <c r="D3" s="1695"/>
      <c r="E3" s="1695"/>
      <c r="F3" s="1695"/>
      <c r="G3" s="1695"/>
      <c r="H3" s="1695"/>
      <c r="I3" s="1695"/>
      <c r="J3" s="1695"/>
      <c r="K3" s="1695"/>
      <c r="L3" s="1695"/>
      <c r="M3" s="1695"/>
      <c r="N3" s="1695"/>
      <c r="O3" s="1695"/>
      <c r="P3" s="65" t="s">
        <v>0</v>
      </c>
    </row>
    <row r="4" spans="1:29" ht="16.5" customHeight="1">
      <c r="A4" s="1696" t="str">
        <f>+'B. Summ of Reqs - S&amp;E-M&amp;A '!A5</f>
        <v>Office of Justice Programs</v>
      </c>
      <c r="B4" s="1691"/>
      <c r="C4" s="1691"/>
      <c r="D4" s="1691"/>
      <c r="E4" s="1691"/>
      <c r="F4" s="1691"/>
      <c r="G4" s="1691"/>
      <c r="H4" s="1691"/>
      <c r="I4" s="1691"/>
      <c r="J4" s="1691"/>
      <c r="K4" s="1691"/>
      <c r="L4" s="1691"/>
      <c r="M4" s="1691"/>
      <c r="N4" s="1691"/>
      <c r="O4" s="1691"/>
      <c r="P4" s="65" t="s">
        <v>0</v>
      </c>
    </row>
    <row r="5" spans="1:29" ht="16.5" customHeight="1">
      <c r="A5" s="1696" t="str">
        <f>+'B. Summ of Reqs - S&amp;E-M&amp;A '!A6</f>
        <v>Salaries and Expenses/Management &amp; Administration</v>
      </c>
      <c r="B5" s="1695"/>
      <c r="C5" s="1695"/>
      <c r="D5" s="1695"/>
      <c r="E5" s="1695"/>
      <c r="F5" s="1695"/>
      <c r="G5" s="1695"/>
      <c r="H5" s="1695"/>
      <c r="I5" s="1695"/>
      <c r="J5" s="1695"/>
      <c r="K5" s="1695"/>
      <c r="L5" s="1695"/>
      <c r="M5" s="1695"/>
      <c r="N5" s="1695"/>
      <c r="O5" s="1695"/>
      <c r="P5" s="65" t="s">
        <v>0</v>
      </c>
    </row>
    <row r="6" spans="1:29" ht="16.5" customHeight="1">
      <c r="A6" s="1690" t="s">
        <v>98</v>
      </c>
      <c r="B6" s="1691"/>
      <c r="C6" s="1691"/>
      <c r="D6" s="1691"/>
      <c r="E6" s="1691"/>
      <c r="F6" s="1691"/>
      <c r="G6" s="1691"/>
      <c r="H6" s="1691"/>
      <c r="I6" s="1691"/>
      <c r="J6" s="1691"/>
      <c r="K6" s="1691"/>
      <c r="L6" s="1691"/>
      <c r="M6" s="1691"/>
      <c r="N6" s="1691"/>
      <c r="O6" s="1691"/>
      <c r="P6" s="65" t="s">
        <v>0</v>
      </c>
    </row>
    <row r="7" spans="1:29" ht="16.5" customHeight="1">
      <c r="A7" s="1688"/>
      <c r="B7" s="1688"/>
      <c r="C7" s="1688"/>
      <c r="D7" s="1688"/>
      <c r="E7" s="1688"/>
      <c r="F7" s="1688"/>
      <c r="G7" s="1688"/>
      <c r="H7" s="1688"/>
      <c r="I7" s="1688"/>
      <c r="J7" s="1688"/>
      <c r="K7" s="1688"/>
      <c r="L7" s="1688"/>
      <c r="M7" s="1688"/>
      <c r="N7" s="1688"/>
      <c r="O7" s="1688"/>
      <c r="P7" s="65" t="s">
        <v>0</v>
      </c>
    </row>
    <row r="8" spans="1:29" ht="16.5" customHeight="1">
      <c r="A8" s="1689"/>
      <c r="B8" s="1689"/>
      <c r="C8" s="1689"/>
      <c r="D8" s="1689"/>
      <c r="E8" s="1689"/>
      <c r="F8" s="1689"/>
      <c r="G8" s="1689"/>
      <c r="H8" s="1689"/>
      <c r="I8" s="1689"/>
      <c r="J8" s="1689"/>
      <c r="K8" s="1689"/>
      <c r="L8" s="1689"/>
      <c r="M8" s="1689"/>
      <c r="N8" s="1689"/>
      <c r="O8" s="1689"/>
      <c r="P8" s="65" t="s">
        <v>0</v>
      </c>
    </row>
    <row r="9" spans="1:29" ht="16.5" customHeight="1">
      <c r="A9" s="1682" t="s">
        <v>23</v>
      </c>
      <c r="B9" s="1664" t="s">
        <v>592</v>
      </c>
      <c r="C9" s="1665"/>
      <c r="D9" s="1666"/>
      <c r="E9" s="1676" t="s">
        <v>109</v>
      </c>
      <c r="F9" s="1677"/>
      <c r="G9" s="1678"/>
      <c r="H9" s="1664" t="s">
        <v>12</v>
      </c>
      <c r="I9" s="1665"/>
      <c r="J9" s="1665"/>
      <c r="K9" s="1674" t="s">
        <v>141</v>
      </c>
      <c r="L9" s="1674" t="s">
        <v>142</v>
      </c>
      <c r="M9" s="1664" t="s">
        <v>137</v>
      </c>
      <c r="N9" s="1665"/>
      <c r="O9" s="1666"/>
      <c r="P9" s="65" t="s">
        <v>0</v>
      </c>
    </row>
    <row r="10" spans="1:29" ht="16.5" customHeight="1">
      <c r="A10" s="1683"/>
      <c r="B10" s="1667"/>
      <c r="C10" s="1668"/>
      <c r="D10" s="1669"/>
      <c r="E10" s="1679"/>
      <c r="F10" s="1680"/>
      <c r="G10" s="1681"/>
      <c r="H10" s="1667"/>
      <c r="I10" s="1668"/>
      <c r="J10" s="1668"/>
      <c r="K10" s="1675"/>
      <c r="L10" s="1675"/>
      <c r="M10" s="1667"/>
      <c r="N10" s="1668"/>
      <c r="O10" s="1669"/>
      <c r="P10" s="65" t="s">
        <v>0</v>
      </c>
    </row>
    <row r="11" spans="1:29" ht="16.5" customHeight="1" thickBot="1">
      <c r="A11" s="1684"/>
      <c r="B11" s="156" t="s">
        <v>115</v>
      </c>
      <c r="C11" s="157" t="s">
        <v>25</v>
      </c>
      <c r="D11" s="157" t="s">
        <v>117</v>
      </c>
      <c r="E11" s="156" t="s">
        <v>115</v>
      </c>
      <c r="F11" s="157" t="s">
        <v>25</v>
      </c>
      <c r="G11" s="157" t="s">
        <v>117</v>
      </c>
      <c r="H11" s="156" t="s">
        <v>115</v>
      </c>
      <c r="I11" s="157" t="s">
        <v>25</v>
      </c>
      <c r="J11" s="157" t="s">
        <v>117</v>
      </c>
      <c r="K11" s="265" t="s">
        <v>117</v>
      </c>
      <c r="L11" s="266" t="s">
        <v>117</v>
      </c>
      <c r="M11" s="156" t="s">
        <v>115</v>
      </c>
      <c r="N11" s="157" t="s">
        <v>25</v>
      </c>
      <c r="O11" s="158" t="s">
        <v>117</v>
      </c>
      <c r="P11" s="65" t="s">
        <v>0</v>
      </c>
    </row>
    <row r="12" spans="1:29" ht="16.5" customHeight="1">
      <c r="A12" s="324" t="s">
        <v>99</v>
      </c>
      <c r="B12" s="874">
        <v>702</v>
      </c>
      <c r="C12" s="875">
        <v>680</v>
      </c>
      <c r="D12" s="875">
        <v>140124</v>
      </c>
      <c r="E12" s="874"/>
      <c r="F12" s="875"/>
      <c r="G12" s="875">
        <v>0</v>
      </c>
      <c r="H12" s="874"/>
      <c r="I12" s="875"/>
      <c r="J12" s="875">
        <v>44146</v>
      </c>
      <c r="K12" s="876">
        <v>1824</v>
      </c>
      <c r="L12" s="875">
        <v>4</v>
      </c>
      <c r="M12" s="874">
        <f>B12+E12+H12</f>
        <v>702</v>
      </c>
      <c r="N12" s="875">
        <f>C12+F12+I12</f>
        <v>680</v>
      </c>
      <c r="O12" s="877">
        <f>D12+G12+J12+K12+L12</f>
        <v>186098</v>
      </c>
      <c r="P12" s="65" t="s">
        <v>0</v>
      </c>
    </row>
    <row r="13" spans="1:29" ht="16.5" customHeight="1">
      <c r="A13" s="162" t="s">
        <v>124</v>
      </c>
      <c r="B13" s="163">
        <f t="shared" ref="B13:O13" si="0">SUM(B12:B12)</f>
        <v>702</v>
      </c>
      <c r="C13" s="164">
        <f t="shared" si="0"/>
        <v>680</v>
      </c>
      <c r="D13" s="165">
        <f t="shared" si="0"/>
        <v>140124</v>
      </c>
      <c r="E13" s="163">
        <f t="shared" si="0"/>
        <v>0</v>
      </c>
      <c r="F13" s="164">
        <f t="shared" si="0"/>
        <v>0</v>
      </c>
      <c r="G13" s="165">
        <f t="shared" si="0"/>
        <v>0</v>
      </c>
      <c r="H13" s="163">
        <f t="shared" si="0"/>
        <v>0</v>
      </c>
      <c r="I13" s="164">
        <f t="shared" si="0"/>
        <v>0</v>
      </c>
      <c r="J13" s="165">
        <f t="shared" si="0"/>
        <v>44146</v>
      </c>
      <c r="K13" s="262">
        <f t="shared" si="0"/>
        <v>1824</v>
      </c>
      <c r="L13" s="165">
        <f t="shared" si="0"/>
        <v>4</v>
      </c>
      <c r="M13" s="163">
        <f t="shared" si="0"/>
        <v>702</v>
      </c>
      <c r="N13" s="164">
        <f t="shared" si="0"/>
        <v>680</v>
      </c>
      <c r="O13" s="167">
        <f t="shared" si="0"/>
        <v>186098</v>
      </c>
      <c r="P13" s="65" t="s">
        <v>0</v>
      </c>
    </row>
    <row r="14" spans="1:29" ht="16.5" customHeight="1">
      <c r="A14" s="155" t="s">
        <v>103</v>
      </c>
      <c r="B14" s="144" t="s">
        <v>116</v>
      </c>
      <c r="C14" s="145"/>
      <c r="D14" s="145"/>
      <c r="E14" s="144"/>
      <c r="F14" s="145"/>
      <c r="G14" s="145"/>
      <c r="H14" s="144"/>
      <c r="I14" s="145"/>
      <c r="J14" s="145"/>
      <c r="K14" s="71"/>
      <c r="L14" s="145"/>
      <c r="M14" s="144"/>
      <c r="N14" s="145"/>
      <c r="O14" s="168"/>
      <c r="P14" s="65" t="s">
        <v>0</v>
      </c>
      <c r="Q14" s="10"/>
      <c r="R14" s="10"/>
      <c r="S14" s="10"/>
      <c r="T14" s="10"/>
      <c r="U14" s="10"/>
      <c r="V14" s="10"/>
      <c r="W14" s="10"/>
      <c r="X14" s="10"/>
      <c r="Y14" s="10"/>
      <c r="Z14" s="10"/>
      <c r="AA14" s="10"/>
      <c r="AB14" s="10"/>
      <c r="AC14" s="10"/>
    </row>
    <row r="15" spans="1:29" ht="16.5" customHeight="1">
      <c r="A15" s="155" t="s">
        <v>102</v>
      </c>
      <c r="B15" s="169"/>
      <c r="C15" s="170">
        <f>SUM(C13:C14)</f>
        <v>680</v>
      </c>
      <c r="D15" s="170"/>
      <c r="E15" s="169"/>
      <c r="F15" s="170">
        <f>+F13+F14</f>
        <v>0</v>
      </c>
      <c r="G15" s="170"/>
      <c r="H15" s="169"/>
      <c r="I15" s="170">
        <f>+I13+I14</f>
        <v>0</v>
      </c>
      <c r="J15" s="170"/>
      <c r="K15" s="263"/>
      <c r="L15" s="170"/>
      <c r="M15" s="169"/>
      <c r="N15" s="170">
        <f>SUM(N13:N14)</f>
        <v>680</v>
      </c>
      <c r="O15" s="171"/>
      <c r="P15" s="65" t="s">
        <v>0</v>
      </c>
    </row>
    <row r="16" spans="1:29" ht="16.5" customHeight="1">
      <c r="A16" s="155" t="s">
        <v>104</v>
      </c>
      <c r="B16" s="169"/>
      <c r="C16" s="170"/>
      <c r="D16" s="170"/>
      <c r="E16" s="169"/>
      <c r="F16" s="170"/>
      <c r="G16" s="170"/>
      <c r="H16" s="169"/>
      <c r="I16" s="170"/>
      <c r="J16" s="170"/>
      <c r="K16" s="263"/>
      <c r="L16" s="170"/>
      <c r="M16" s="169"/>
      <c r="N16" s="170"/>
      <c r="O16" s="171"/>
      <c r="P16" s="65" t="s">
        <v>0</v>
      </c>
    </row>
    <row r="17" spans="1:16" ht="16.5" customHeight="1">
      <c r="A17" s="879" t="s">
        <v>31</v>
      </c>
      <c r="B17" s="169"/>
      <c r="C17" s="170"/>
      <c r="D17" s="170"/>
      <c r="E17" s="169"/>
      <c r="F17" s="170"/>
      <c r="G17" s="170"/>
      <c r="H17" s="169"/>
      <c r="I17" s="170"/>
      <c r="J17" s="170"/>
      <c r="K17" s="263"/>
      <c r="L17" s="170"/>
      <c r="M17" s="169"/>
      <c r="N17" s="170"/>
      <c r="O17" s="171"/>
      <c r="P17" s="65" t="s">
        <v>0</v>
      </c>
    </row>
    <row r="18" spans="1:16" ht="16.5" customHeight="1">
      <c r="A18" s="878" t="s">
        <v>60</v>
      </c>
      <c r="B18" s="144"/>
      <c r="C18" s="145"/>
      <c r="D18" s="145"/>
      <c r="E18" s="144"/>
      <c r="F18" s="145"/>
      <c r="G18" s="145"/>
      <c r="H18" s="144"/>
      <c r="I18" s="145"/>
      <c r="J18" s="145"/>
      <c r="K18" s="71"/>
      <c r="L18" s="145"/>
      <c r="M18" s="144"/>
      <c r="N18" s="145"/>
      <c r="O18" s="168"/>
      <c r="P18" s="65" t="s">
        <v>0</v>
      </c>
    </row>
    <row r="19" spans="1:16" ht="16.5" customHeight="1">
      <c r="A19" s="155" t="s">
        <v>105</v>
      </c>
      <c r="B19" s="144"/>
      <c r="C19" s="145">
        <f>C18+C17+C15</f>
        <v>680</v>
      </c>
      <c r="D19" s="175"/>
      <c r="E19" s="144"/>
      <c r="F19" s="145">
        <f>F18+F17+F15</f>
        <v>0</v>
      </c>
      <c r="G19" s="175"/>
      <c r="H19" s="144"/>
      <c r="I19" s="145">
        <f>I18+I17+I15</f>
        <v>0</v>
      </c>
      <c r="J19" s="175"/>
      <c r="K19" s="264"/>
      <c r="L19" s="175"/>
      <c r="M19" s="144"/>
      <c r="N19" s="145">
        <f>N18+N17+N15</f>
        <v>680</v>
      </c>
      <c r="O19" s="176"/>
      <c r="P19" s="65" t="s">
        <v>0</v>
      </c>
    </row>
    <row r="20" spans="1:16" ht="16.5" customHeight="1">
      <c r="B20" s="1"/>
      <c r="C20" s="1"/>
      <c r="D20" s="1"/>
      <c r="E20" s="1"/>
      <c r="F20" s="1"/>
      <c r="G20" s="1"/>
      <c r="H20" s="1"/>
      <c r="I20" s="1"/>
      <c r="J20" s="1"/>
      <c r="K20" s="1"/>
      <c r="L20" s="1"/>
      <c r="M20" s="1"/>
      <c r="N20" s="1"/>
      <c r="O20" s="1"/>
      <c r="P20" s="65" t="s">
        <v>0</v>
      </c>
    </row>
    <row r="21" spans="1:16" ht="33" customHeight="1">
      <c r="A21" s="1686" t="s">
        <v>624</v>
      </c>
      <c r="B21" s="1687"/>
      <c r="C21" s="1687"/>
      <c r="D21" s="1687"/>
      <c r="E21" s="1687"/>
      <c r="F21" s="1687"/>
      <c r="G21" s="1687"/>
      <c r="H21" s="1687"/>
      <c r="I21" s="1687"/>
      <c r="J21" s="1687"/>
      <c r="K21" s="1687"/>
      <c r="L21" s="1687"/>
      <c r="M21" s="1687"/>
      <c r="N21" s="1687"/>
      <c r="O21" s="1687"/>
      <c r="P21" s="65" t="s">
        <v>0</v>
      </c>
    </row>
    <row r="22" spans="1:16" ht="16.5" customHeight="1">
      <c r="A22" s="1"/>
      <c r="B22" s="18"/>
      <c r="C22" s="1"/>
      <c r="D22" s="1"/>
      <c r="E22" s="1"/>
      <c r="F22" s="1"/>
      <c r="G22" s="1"/>
      <c r="H22" s="1"/>
      <c r="I22" s="1"/>
      <c r="J22" s="1"/>
      <c r="K22" s="1"/>
      <c r="L22" s="1"/>
      <c r="M22" s="1"/>
      <c r="N22" s="1"/>
      <c r="O22" s="1"/>
      <c r="P22" s="65" t="s">
        <v>0</v>
      </c>
    </row>
    <row r="23" spans="1:16" ht="16.5" customHeight="1">
      <c r="A23" s="26"/>
      <c r="B23" s="26"/>
      <c r="C23" s="26"/>
      <c r="D23" s="26"/>
      <c r="E23" s="26"/>
      <c r="F23" s="26"/>
      <c r="G23" s="26"/>
      <c r="H23" s="1"/>
      <c r="I23" s="1"/>
      <c r="J23" s="1"/>
      <c r="K23" s="1"/>
      <c r="L23" s="1"/>
      <c r="M23" s="1"/>
      <c r="N23" s="1"/>
      <c r="O23" s="1"/>
      <c r="P23" s="57" t="s">
        <v>13</v>
      </c>
    </row>
    <row r="24" spans="1:16" ht="16.5" customHeight="1">
      <c r="A24" s="1672"/>
      <c r="B24" s="1663"/>
      <c r="C24" s="1663"/>
      <c r="D24" s="1663"/>
      <c r="E24" s="1663"/>
      <c r="F24" s="1663"/>
      <c r="G24" s="1663"/>
      <c r="H24" s="1663"/>
      <c r="I24" s="1663"/>
      <c r="J24" s="1663"/>
      <c r="K24" s="1663"/>
      <c r="L24" s="1663"/>
      <c r="M24" s="1663"/>
      <c r="N24" s="1663"/>
      <c r="O24" s="1663"/>
      <c r="P24" s="18"/>
    </row>
    <row r="25" spans="1:16" ht="16.5" customHeight="1">
      <c r="A25" s="1685"/>
      <c r="B25" s="1685"/>
      <c r="C25" s="1685"/>
      <c r="D25" s="1685"/>
      <c r="E25" s="1685"/>
      <c r="F25" s="1685"/>
      <c r="G25" s="1685"/>
      <c r="H25" s="1685"/>
      <c r="I25" s="1685"/>
      <c r="J25" s="1685"/>
      <c r="K25" s="1685"/>
      <c r="L25" s="1685"/>
      <c r="M25" s="1685"/>
      <c r="N25" s="1685"/>
      <c r="O25" s="1685"/>
      <c r="P25" s="18"/>
    </row>
    <row r="26" spans="1:16" ht="16.5" customHeight="1">
      <c r="A26" s="1670"/>
      <c r="B26" s="1671"/>
      <c r="C26" s="1671"/>
      <c r="D26" s="1671"/>
      <c r="E26" s="1671"/>
      <c r="F26" s="1671"/>
      <c r="G26" s="1671"/>
      <c r="H26" s="1671"/>
      <c r="I26" s="1671"/>
      <c r="J26" s="1671"/>
      <c r="K26" s="1671"/>
      <c r="L26" s="1671"/>
      <c r="M26" s="1671"/>
      <c r="N26" s="1671"/>
      <c r="O26" s="1671"/>
      <c r="P26" s="18"/>
    </row>
    <row r="27" spans="1:16" ht="16.5" customHeight="1">
      <c r="A27" s="259"/>
      <c r="B27" s="258"/>
      <c r="C27" s="258"/>
      <c r="D27" s="258"/>
      <c r="E27" s="258"/>
      <c r="F27" s="258"/>
      <c r="G27" s="258"/>
      <c r="H27" s="258"/>
      <c r="I27" s="258"/>
      <c r="J27" s="258"/>
      <c r="K27" s="258"/>
      <c r="L27" s="261"/>
      <c r="M27" s="258"/>
      <c r="N27" s="258"/>
      <c r="O27" s="258"/>
      <c r="P27" s="18"/>
    </row>
    <row r="28" spans="1:16" ht="35.25" customHeight="1">
      <c r="A28" s="1673"/>
      <c r="B28" s="1670"/>
      <c r="C28" s="1670"/>
      <c r="D28" s="1670"/>
      <c r="E28" s="1670"/>
      <c r="F28" s="1670"/>
      <c r="G28" s="1670"/>
      <c r="H28" s="1670"/>
      <c r="I28" s="1670"/>
      <c r="J28" s="1670"/>
      <c r="K28" s="1670"/>
      <c r="L28" s="1670"/>
      <c r="M28" s="1670"/>
      <c r="N28" s="1670"/>
      <c r="O28" s="1670"/>
      <c r="P28" s="18"/>
    </row>
    <row r="29" spans="1:16" ht="35.25" customHeight="1">
      <c r="A29" s="1670"/>
      <c r="B29" s="1670"/>
      <c r="C29" s="1670"/>
      <c r="D29" s="1670"/>
      <c r="E29" s="1670"/>
      <c r="F29" s="1670"/>
      <c r="G29" s="1670"/>
      <c r="H29" s="1670"/>
      <c r="I29" s="1670"/>
      <c r="J29" s="1670"/>
      <c r="K29" s="1670"/>
      <c r="L29" s="1670"/>
      <c r="M29" s="1670"/>
      <c r="N29" s="1670"/>
      <c r="O29" s="1670"/>
      <c r="P29" s="18"/>
    </row>
    <row r="30" spans="1:16" ht="16.5" customHeight="1">
      <c r="A30" s="1670"/>
      <c r="B30" s="1671"/>
      <c r="C30" s="1671"/>
      <c r="D30" s="1671"/>
      <c r="E30" s="1671"/>
      <c r="F30" s="1671"/>
      <c r="G30" s="1671"/>
      <c r="H30" s="1671"/>
      <c r="I30" s="1671"/>
      <c r="J30" s="1671"/>
      <c r="K30" s="1671"/>
      <c r="L30" s="1671"/>
      <c r="M30" s="1671"/>
      <c r="N30" s="1671"/>
      <c r="O30" s="1671"/>
      <c r="P30" s="18"/>
    </row>
    <row r="31" spans="1:16" ht="16.5" customHeight="1">
      <c r="A31" s="1662"/>
      <c r="B31" s="1663"/>
      <c r="C31" s="1663"/>
      <c r="D31" s="1663"/>
      <c r="E31" s="1663"/>
      <c r="F31" s="1663"/>
      <c r="G31" s="1663"/>
      <c r="H31" s="1663"/>
      <c r="I31" s="1663"/>
      <c r="J31" s="1663"/>
      <c r="K31" s="1663"/>
      <c r="L31" s="1663"/>
      <c r="M31" s="1663"/>
      <c r="N31" s="1663"/>
      <c r="O31" s="1663"/>
      <c r="P31" s="1663"/>
    </row>
    <row r="32" spans="1:16" ht="16.5" customHeight="1"/>
    <row r="33" ht="16.5" customHeight="1"/>
    <row r="34" ht="16.5" customHeight="1"/>
    <row r="35" ht="16.5" customHeight="1"/>
  </sheetData>
  <customSheetViews>
    <customSheetView guid="{DA38F665-F06D-4DFB-B852-747D93BB00EF}" scale="75" showPageBreaks="1" showGridLines="0" outlineSymbols="0" fitToPage="1" printArea="1" view="pageBreakPreview">
      <selection activeCell="B210" sqref="B210"/>
      <pageMargins left="0.5" right="0.5" top="0.5" bottom="0.55000000000000004" header="0" footer="0"/>
      <printOptions horizontalCentered="1"/>
      <pageSetup scale="79" firstPageNumber="2" orientation="landscape" useFirstPageNumber="1" horizontalDpi="300" verticalDpi="300" r:id="rId1"/>
      <headerFooter alignWithMargins="0">
        <oddFooter>&amp;C&amp;"Times New Roman,Regular"Exhibit F - Crosswalk of 2011 Availability&amp;R&amp;"Times New Roman,Regular"Salaries and Expenses</oddFooter>
      </headerFooter>
    </customSheetView>
    <customSheetView guid="{3118AF25-8423-420A-806A-487665220C68}" scale="75" showPageBreaks="1" showGridLines="0" outlineSymbols="0" fitToPage="1" printArea="1" view="pageBreakPreview">
      <selection activeCell="N22" sqref="N22"/>
      <pageMargins left="0.5" right="0.5" top="0.5" bottom="0.55000000000000004" header="0" footer="0"/>
      <printOptions horizontalCentered="1"/>
      <pageSetup scale="79" firstPageNumber="2" orientation="landscape" useFirstPageNumber="1" horizontalDpi="300" verticalDpi="300" r:id="rId2"/>
      <headerFooter alignWithMargins="0">
        <oddFooter>&amp;C&amp;"Times New Roman,Regular"Exhibit F - Crosswalk of 2011 Availability</oddFooter>
      </headerFooter>
    </customSheetView>
    <customSheetView guid="{56C0A34E-45B4-448B-85E5-70B3A8E63333}" scale="75" showPageBreaks="1" showGridLines="0" outlineSymbols="0" fitToPage="1" printArea="1" view="pageBreakPreview">
      <selection activeCell="S30" sqref="S30"/>
      <pageMargins left="0.5" right="0.5" top="0.5" bottom="0.55000000000000004" header="0" footer="0"/>
      <printOptions horizontalCentered="1"/>
      <pageSetup scale="68" firstPageNumber="2" orientation="landscape" useFirstPageNumber="1" horizontalDpi="300" verticalDpi="300" r:id="rId3"/>
      <headerFooter alignWithMargins="0">
        <oddFooter>&amp;C&amp;"Times New Roman,Regular"Exhibit F - Crosswalk of 2011 Availability</oddFooter>
      </headerFooter>
    </customSheetView>
    <customSheetView guid="{4148B88B-8ED7-4FDE-9459-DEB244AD0552}" scale="75" showPageBreaks="1" showGridLines="0" outlineSymbols="0" fitToPage="1" printArea="1" hiddenColumns="1" view="pageBreakPreview">
      <selection activeCell="L12" sqref="L12"/>
      <pageMargins left="0.5" right="0.5" top="0.5" bottom="0.55000000000000004" header="0" footer="0"/>
      <printOptions horizontalCentered="1"/>
      <pageSetup scale="79" firstPageNumber="2" orientation="landscape" useFirstPageNumber="1" horizontalDpi="300" verticalDpi="300" r:id="rId4"/>
      <headerFooter alignWithMargins="0">
        <oddFooter>&amp;C&amp;"Times New Roman,Regular"Exhibit F - Crosswalk of 2011 Availability</oddFooter>
      </headerFooter>
    </customSheetView>
    <customSheetView guid="{12C66D54-5067-4346-818B-6EAB1C8A9183}" scale="75" showPageBreaks="1" showGridLines="0" outlineSymbols="0" fitToPage="1" printArea="1" view="pageBreakPreview">
      <selection activeCell="A36" sqref="A36:O36"/>
      <pageMargins left="0.5" right="0.5" top="0.5" bottom="0.55000000000000004" header="0" footer="0"/>
      <printOptions horizontalCentered="1"/>
      <pageSetup scale="79" firstPageNumber="2" orientation="landscape" useFirstPageNumber="1" horizontalDpi="300" verticalDpi="300" r:id="rId5"/>
      <headerFooter alignWithMargins="0">
        <oddFooter>&amp;C&amp;"Times New Roman,Regular"Exhibit F - Crosswalk of 2011 Availability</oddFooter>
      </headerFooter>
    </customSheetView>
    <customSheetView guid="{AB21D485-B25C-4861-87C3-6754CE948F1C}" scale="75" showPageBreaks="1" showGridLines="0" outlineSymbols="0" fitToPage="1" printArea="1" view="pageBreakPreview">
      <selection activeCell="A36" sqref="A36:O36"/>
      <pageMargins left="0.5" right="0.5" top="0.5" bottom="0.55000000000000004" header="0" footer="0"/>
      <printOptions horizontalCentered="1"/>
      <pageSetup scale="79" firstPageNumber="2" orientation="landscape" useFirstPageNumber="1" horizontalDpi="300" verticalDpi="300" r:id="rId6"/>
      <headerFooter alignWithMargins="0">
        <oddFooter>&amp;C&amp;"Times New Roman,Regular"Exhibit F - Crosswalk of 2011 Availability</oddFooter>
      </headerFooter>
    </customSheetView>
    <customSheetView guid="{4D0F9E3D-0229-48CC-A08B-F132802E9D7B}" scale="75" showPageBreaks="1" showGridLines="0" outlineSymbols="0" fitToPage="1" printArea="1" view="pageBreakPreview">
      <selection activeCell="N31" sqref="N31"/>
      <pageMargins left="0.5" right="0.5" top="0.5" bottom="0.55000000000000004" header="0" footer="0"/>
      <printOptions horizontalCentered="1"/>
      <pageSetup scale="79" firstPageNumber="2" orientation="landscape" useFirstPageNumber="1" horizontalDpi="300" verticalDpi="300" r:id="rId7"/>
      <headerFooter alignWithMargins="0">
        <oddFooter>&amp;C&amp;"Times New Roman,Regular"Exhibit F - Crosswalk of 2011 Availability&amp;R&amp;"Times New Roman,Regular"Salaries and Expenses</oddFooter>
      </headerFooter>
    </customSheetView>
    <customSheetView guid="{F6772377-6B25-4EEA-B255-4C2F62B37855}" scale="75" showPageBreaks="1" showGridLines="0" outlineSymbols="0" fitToPage="1" printArea="1" view="pageBreakPreview">
      <selection activeCell="R11" sqref="R11"/>
      <pageMargins left="0.5" right="0.5" top="0.5" bottom="0.55000000000000004" header="0" footer="0"/>
      <printOptions horizontalCentered="1"/>
      <pageSetup scale="79" firstPageNumber="2" orientation="landscape" useFirstPageNumber="1" horizontalDpi="300" verticalDpi="300" r:id="rId8"/>
      <headerFooter alignWithMargins="0">
        <oddFooter>&amp;C&amp;"Times New Roman,Regular"Exhibit F - Crosswalk of 2011 Availability&amp;R&amp;"Times New Roman,Regular"Salaries and Expenses</oddFooter>
      </headerFooter>
    </customSheetView>
    <customSheetView guid="{27B9C207-C13F-4981-9CED-E69585BBD779}" scale="75" showPageBreaks="1" showGridLines="0" outlineSymbols="0" fitToPage="1" printArea="1" view="pageBreakPreview" topLeftCell="A4">
      <selection activeCell="A29" sqref="A29:O29"/>
      <rowBreaks count="1" manualBreakCount="1">
        <brk id="20" max="14" man="1"/>
      </rowBreaks>
      <pageMargins left="0.5" right="0.5" top="0.5" bottom="0.55000000000000004" header="0" footer="0"/>
      <printOptions horizontalCentered="1"/>
      <pageSetup scale="79" firstPageNumber="2" orientation="landscape" useFirstPageNumber="1" horizontalDpi="300" verticalDpi="300" r:id="rId9"/>
      <headerFooter alignWithMargins="0">
        <oddFooter>&amp;C&amp;"Times New Roman,Regular"Exhibit F - Crosswalk of 2011 Availability&amp;R&amp;"Times New Roman,Regular"Salaries and Expenses/Management &amp; Administration</oddFooter>
      </headerFooter>
    </customSheetView>
  </customSheetViews>
  <mergeCells count="23">
    <mergeCell ref="A7:O7"/>
    <mergeCell ref="A8:O8"/>
    <mergeCell ref="A2:O2"/>
    <mergeCell ref="A6:O6"/>
    <mergeCell ref="A1:O1"/>
    <mergeCell ref="A3:O3"/>
    <mergeCell ref="A4:O4"/>
    <mergeCell ref="A5:O5"/>
    <mergeCell ref="A31:P31"/>
    <mergeCell ref="M9:O10"/>
    <mergeCell ref="A26:O26"/>
    <mergeCell ref="A30:O30"/>
    <mergeCell ref="A24:O24"/>
    <mergeCell ref="A28:O28"/>
    <mergeCell ref="A29:O29"/>
    <mergeCell ref="H9:J10"/>
    <mergeCell ref="K9:K10"/>
    <mergeCell ref="L9:L10"/>
    <mergeCell ref="E9:G10"/>
    <mergeCell ref="B9:D10"/>
    <mergeCell ref="A9:A11"/>
    <mergeCell ref="A25:O25"/>
    <mergeCell ref="A21:O21"/>
  </mergeCells>
  <phoneticPr fontId="0" type="noConversion"/>
  <printOptions horizontalCentered="1"/>
  <pageMargins left="0.5" right="0.5" top="0.5" bottom="0.55000000000000004" header="0" footer="0"/>
  <pageSetup scale="79" firstPageNumber="2" orientation="landscape" useFirstPageNumber="1" horizontalDpi="300" verticalDpi="300" r:id="rId10"/>
  <headerFooter alignWithMargins="0">
    <oddFooter>&amp;C&amp;"Times New Roman,Regular"Exhibit F - Crosswalk of 2011 Availability&amp;R&amp;"Times New Roman,Regular"Salaries and Expenses/Management &amp; Administration</oddFooter>
  </headerFooter>
  <rowBreaks count="1" manualBreakCount="1">
    <brk id="20" max="14" man="1"/>
  </rowBreaks>
  <ignoredErrors>
    <ignoredError sqref="N13 D13" 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T29"/>
  <sheetViews>
    <sheetView view="pageBreakPreview" topLeftCell="B1" zoomScale="75" zoomScaleNormal="100" zoomScaleSheetLayoutView="75" workbookViewId="0">
      <selection activeCell="K9" sqref="K9:M10"/>
    </sheetView>
  </sheetViews>
  <sheetFormatPr defaultRowHeight="15.75"/>
  <cols>
    <col min="1" max="1" width="35.21875" customWidth="1"/>
    <col min="8" max="8" width="8.88671875" hidden="1" customWidth="1"/>
    <col min="9" max="9" width="8.88671875" style="236" hidden="1" customWidth="1"/>
    <col min="10" max="10" width="8.88671875" hidden="1" customWidth="1"/>
    <col min="14" max="14" width="9.44140625" style="8" customWidth="1"/>
    <col min="15" max="15" width="10" style="8" customWidth="1"/>
  </cols>
  <sheetData>
    <row r="1" spans="1:20" ht="20.25">
      <c r="A1" s="1692" t="s">
        <v>203</v>
      </c>
      <c r="B1" s="1693"/>
      <c r="C1" s="1693"/>
      <c r="D1" s="1693"/>
      <c r="E1" s="1693"/>
      <c r="F1" s="1693"/>
      <c r="G1" s="1693"/>
      <c r="H1" s="1693"/>
      <c r="I1" s="1693"/>
      <c r="J1" s="1693"/>
      <c r="K1" s="1693"/>
      <c r="L1" s="1693"/>
      <c r="M1" s="1693"/>
      <c r="N1" s="1693"/>
      <c r="O1" s="1693"/>
      <c r="P1" s="1693"/>
      <c r="Q1" s="1693"/>
      <c r="R1" s="1693"/>
      <c r="S1" s="65" t="s">
        <v>0</v>
      </c>
      <c r="T1" s="8"/>
    </row>
    <row r="2" spans="1:20">
      <c r="A2" s="1688"/>
      <c r="B2" s="1688"/>
      <c r="C2" s="1688"/>
      <c r="D2" s="1688"/>
      <c r="E2" s="1688"/>
      <c r="F2" s="1688"/>
      <c r="G2" s="1688"/>
      <c r="H2" s="1688"/>
      <c r="I2" s="1688"/>
      <c r="J2" s="1688"/>
      <c r="K2" s="1688"/>
      <c r="L2" s="1688"/>
      <c r="M2" s="1688"/>
      <c r="N2" s="1688"/>
      <c r="O2" s="1688"/>
      <c r="P2" s="1688"/>
      <c r="Q2" s="1688"/>
      <c r="R2" s="1688"/>
      <c r="S2" s="65" t="s">
        <v>0</v>
      </c>
      <c r="T2" s="8"/>
    </row>
    <row r="3" spans="1:20" ht="18.75">
      <c r="A3" s="1694" t="s">
        <v>158</v>
      </c>
      <c r="B3" s="1695"/>
      <c r="C3" s="1695"/>
      <c r="D3" s="1695"/>
      <c r="E3" s="1695"/>
      <c r="F3" s="1695"/>
      <c r="G3" s="1695"/>
      <c r="H3" s="1695"/>
      <c r="I3" s="1695"/>
      <c r="J3" s="1695"/>
      <c r="K3" s="1695"/>
      <c r="L3" s="1695"/>
      <c r="M3" s="1695"/>
      <c r="N3" s="1695"/>
      <c r="O3" s="1695"/>
      <c r="P3" s="1695"/>
      <c r="Q3" s="1695"/>
      <c r="R3" s="1695"/>
      <c r="S3" s="65" t="s">
        <v>0</v>
      </c>
      <c r="T3" s="8"/>
    </row>
    <row r="4" spans="1:20" ht="16.5">
      <c r="A4" s="1696" t="str">
        <f>+'B. Summ of Reqs - S&amp;E-M&amp;A '!A5</f>
        <v>Office of Justice Programs</v>
      </c>
      <c r="B4" s="1691"/>
      <c r="C4" s="1691"/>
      <c r="D4" s="1691"/>
      <c r="E4" s="1691"/>
      <c r="F4" s="1691"/>
      <c r="G4" s="1691"/>
      <c r="H4" s="1691"/>
      <c r="I4" s="1691"/>
      <c r="J4" s="1691"/>
      <c r="K4" s="1691"/>
      <c r="L4" s="1691"/>
      <c r="M4" s="1691"/>
      <c r="N4" s="1691"/>
      <c r="O4" s="1691"/>
      <c r="P4" s="1691"/>
      <c r="Q4" s="1691"/>
      <c r="R4" s="1691"/>
      <c r="S4" s="65" t="s">
        <v>0</v>
      </c>
      <c r="T4" s="8"/>
    </row>
    <row r="5" spans="1:20" ht="16.5">
      <c r="A5" s="1696" t="str">
        <f>+'B. Summ of Reqs - S&amp;E-M&amp;A '!A6</f>
        <v>Salaries and Expenses/Management &amp; Administration</v>
      </c>
      <c r="B5" s="1695"/>
      <c r="C5" s="1695"/>
      <c r="D5" s="1695"/>
      <c r="E5" s="1695"/>
      <c r="F5" s="1695"/>
      <c r="G5" s="1695"/>
      <c r="H5" s="1695"/>
      <c r="I5" s="1695"/>
      <c r="J5" s="1695"/>
      <c r="K5" s="1695"/>
      <c r="L5" s="1695"/>
      <c r="M5" s="1695"/>
      <c r="N5" s="1695"/>
      <c r="O5" s="1695"/>
      <c r="P5" s="1695"/>
      <c r="Q5" s="1695"/>
      <c r="R5" s="1695"/>
      <c r="S5" s="65" t="s">
        <v>0</v>
      </c>
      <c r="T5" s="8"/>
    </row>
    <row r="6" spans="1:20">
      <c r="A6" s="1690" t="s">
        <v>98</v>
      </c>
      <c r="B6" s="1691"/>
      <c r="C6" s="1691"/>
      <c r="D6" s="1691"/>
      <c r="E6" s="1691"/>
      <c r="F6" s="1691"/>
      <c r="G6" s="1691"/>
      <c r="H6" s="1691"/>
      <c r="I6" s="1691"/>
      <c r="J6" s="1691"/>
      <c r="K6" s="1691"/>
      <c r="L6" s="1691"/>
      <c r="M6" s="1691"/>
      <c r="N6" s="1691"/>
      <c r="O6" s="1691"/>
      <c r="P6" s="1691"/>
      <c r="Q6" s="1691"/>
      <c r="R6" s="1691"/>
      <c r="S6" s="65" t="s">
        <v>0</v>
      </c>
      <c r="T6" s="8"/>
    </row>
    <row r="7" spans="1:20">
      <c r="A7" s="1688"/>
      <c r="B7" s="1688"/>
      <c r="C7" s="1688"/>
      <c r="D7" s="1688"/>
      <c r="E7" s="1688"/>
      <c r="F7" s="1688"/>
      <c r="G7" s="1688"/>
      <c r="H7" s="1688"/>
      <c r="I7" s="1688"/>
      <c r="J7" s="1688"/>
      <c r="K7" s="1688"/>
      <c r="L7" s="1688"/>
      <c r="M7" s="1688"/>
      <c r="N7" s="1688"/>
      <c r="O7" s="1688"/>
      <c r="P7" s="1688"/>
      <c r="Q7" s="1688"/>
      <c r="R7" s="1688"/>
      <c r="S7" s="65" t="s">
        <v>0</v>
      </c>
      <c r="T7" s="8"/>
    </row>
    <row r="8" spans="1:20">
      <c r="A8" s="1689"/>
      <c r="B8" s="1689"/>
      <c r="C8" s="1689"/>
      <c r="D8" s="1689"/>
      <c r="E8" s="1689"/>
      <c r="F8" s="1689"/>
      <c r="G8" s="1689"/>
      <c r="H8" s="1689"/>
      <c r="I8" s="1689"/>
      <c r="J8" s="1689"/>
      <c r="K8" s="1689"/>
      <c r="L8" s="1689"/>
      <c r="M8" s="1689"/>
      <c r="N8" s="1689"/>
      <c r="O8" s="1689"/>
      <c r="P8" s="1689"/>
      <c r="Q8" s="1689"/>
      <c r="R8" s="1689"/>
      <c r="S8" s="65" t="s">
        <v>0</v>
      </c>
      <c r="T8" s="8"/>
    </row>
    <row r="9" spans="1:20" ht="15.75" customHeight="1">
      <c r="A9" s="1682" t="s">
        <v>23</v>
      </c>
      <c r="B9" s="1664" t="s">
        <v>594</v>
      </c>
      <c r="C9" s="1665"/>
      <c r="D9" s="1666"/>
      <c r="E9" s="1676" t="s">
        <v>109</v>
      </c>
      <c r="F9" s="1677"/>
      <c r="G9" s="1678"/>
      <c r="H9" s="1676" t="s">
        <v>110</v>
      </c>
      <c r="I9" s="1677"/>
      <c r="J9" s="1678"/>
      <c r="K9" s="1664" t="s">
        <v>12</v>
      </c>
      <c r="L9" s="1665"/>
      <c r="M9" s="1666"/>
      <c r="N9" s="1674" t="s">
        <v>141</v>
      </c>
      <c r="O9" s="1697" t="s">
        <v>142</v>
      </c>
      <c r="P9" s="1664" t="s">
        <v>157</v>
      </c>
      <c r="Q9" s="1665"/>
      <c r="R9" s="1666"/>
      <c r="S9" s="65" t="s">
        <v>0</v>
      </c>
      <c r="T9" s="8"/>
    </row>
    <row r="10" spans="1:20">
      <c r="A10" s="1683"/>
      <c r="B10" s="1667"/>
      <c r="C10" s="1668"/>
      <c r="D10" s="1669"/>
      <c r="E10" s="1679"/>
      <c r="F10" s="1680"/>
      <c r="G10" s="1681"/>
      <c r="H10" s="1679"/>
      <c r="I10" s="1680"/>
      <c r="J10" s="1681"/>
      <c r="K10" s="1667"/>
      <c r="L10" s="1668"/>
      <c r="M10" s="1669"/>
      <c r="N10" s="1675"/>
      <c r="O10" s="1698"/>
      <c r="P10" s="1667"/>
      <c r="Q10" s="1668"/>
      <c r="R10" s="1669"/>
      <c r="S10" s="65" t="s">
        <v>0</v>
      </c>
      <c r="T10" s="8"/>
    </row>
    <row r="11" spans="1:20" ht="16.5" thickBot="1">
      <c r="A11" s="1684"/>
      <c r="B11" s="156" t="s">
        <v>115</v>
      </c>
      <c r="C11" s="157" t="s">
        <v>25</v>
      </c>
      <c r="D11" s="157" t="s">
        <v>117</v>
      </c>
      <c r="E11" s="156" t="s">
        <v>115</v>
      </c>
      <c r="F11" s="157" t="s">
        <v>25</v>
      </c>
      <c r="G11" s="157" t="s">
        <v>117</v>
      </c>
      <c r="H11" s="156" t="s">
        <v>115</v>
      </c>
      <c r="I11" s="157" t="s">
        <v>25</v>
      </c>
      <c r="J11" s="157" t="s">
        <v>117</v>
      </c>
      <c r="K11" s="156" t="s">
        <v>115</v>
      </c>
      <c r="L11" s="157" t="s">
        <v>25</v>
      </c>
      <c r="M11" s="157" t="s">
        <v>117</v>
      </c>
      <c r="N11" s="265" t="s">
        <v>117</v>
      </c>
      <c r="O11" s="266" t="s">
        <v>117</v>
      </c>
      <c r="P11" s="156" t="s">
        <v>115</v>
      </c>
      <c r="Q11" s="157" t="s">
        <v>25</v>
      </c>
      <c r="R11" s="158" t="s">
        <v>117</v>
      </c>
      <c r="S11" s="65" t="s">
        <v>0</v>
      </c>
      <c r="T11" s="8"/>
    </row>
    <row r="12" spans="1:20">
      <c r="A12" s="338" t="s">
        <v>204</v>
      </c>
      <c r="B12" s="806">
        <v>702</v>
      </c>
      <c r="C12" s="807">
        <v>686</v>
      </c>
      <c r="D12" s="807">
        <v>175056</v>
      </c>
      <c r="E12" s="806"/>
      <c r="F12" s="807"/>
      <c r="G12" s="807">
        <v>0</v>
      </c>
      <c r="H12" s="806"/>
      <c r="I12" s="807"/>
      <c r="J12" s="807"/>
      <c r="K12" s="806"/>
      <c r="L12" s="807"/>
      <c r="M12" s="807">
        <v>0</v>
      </c>
      <c r="N12" s="1210">
        <v>2550</v>
      </c>
      <c r="O12" s="807">
        <v>0</v>
      </c>
      <c r="P12" s="806">
        <f>B12+E12+H12+K12</f>
        <v>702</v>
      </c>
      <c r="Q12" s="807">
        <f>C12+F12+I12+L12</f>
        <v>686</v>
      </c>
      <c r="R12" s="808">
        <f>D12+G12+J12+M12+N12+O12</f>
        <v>177606</v>
      </c>
      <c r="S12" s="65" t="s">
        <v>0</v>
      </c>
      <c r="T12" s="8"/>
    </row>
    <row r="13" spans="1:20">
      <c r="A13" s="162" t="s">
        <v>124</v>
      </c>
      <c r="B13" s="163">
        <f t="shared" ref="B13:R13" si="0">SUM(B12:B12)</f>
        <v>702</v>
      </c>
      <c r="C13" s="164">
        <f t="shared" si="0"/>
        <v>686</v>
      </c>
      <c r="D13" s="165">
        <f t="shared" si="0"/>
        <v>175056</v>
      </c>
      <c r="E13" s="163">
        <f t="shared" si="0"/>
        <v>0</v>
      </c>
      <c r="F13" s="164">
        <f t="shared" si="0"/>
        <v>0</v>
      </c>
      <c r="G13" s="165">
        <f t="shared" si="0"/>
        <v>0</v>
      </c>
      <c r="H13" s="163">
        <f t="shared" si="0"/>
        <v>0</v>
      </c>
      <c r="I13" s="164">
        <f t="shared" si="0"/>
        <v>0</v>
      </c>
      <c r="J13" s="165">
        <f t="shared" si="0"/>
        <v>0</v>
      </c>
      <c r="K13" s="163">
        <f t="shared" si="0"/>
        <v>0</v>
      </c>
      <c r="L13" s="164">
        <f t="shared" si="0"/>
        <v>0</v>
      </c>
      <c r="M13" s="165">
        <f t="shared" si="0"/>
        <v>0</v>
      </c>
      <c r="N13" s="262">
        <f t="shared" si="0"/>
        <v>2550</v>
      </c>
      <c r="O13" s="165">
        <f t="shared" si="0"/>
        <v>0</v>
      </c>
      <c r="P13" s="163">
        <f t="shared" si="0"/>
        <v>702</v>
      </c>
      <c r="Q13" s="164">
        <f t="shared" si="0"/>
        <v>686</v>
      </c>
      <c r="R13" s="167">
        <f t="shared" si="0"/>
        <v>177606</v>
      </c>
      <c r="S13" s="65" t="s">
        <v>0</v>
      </c>
      <c r="T13" s="8"/>
    </row>
    <row r="14" spans="1:20">
      <c r="A14" s="155" t="s">
        <v>103</v>
      </c>
      <c r="B14" s="381" t="s">
        <v>116</v>
      </c>
      <c r="C14" s="382"/>
      <c r="D14" s="382"/>
      <c r="E14" s="381"/>
      <c r="F14" s="382"/>
      <c r="G14" s="382"/>
      <c r="H14" s="381"/>
      <c r="I14" s="382"/>
      <c r="J14" s="382"/>
      <c r="K14" s="381"/>
      <c r="L14" s="382"/>
      <c r="M14" s="382"/>
      <c r="N14" s="421"/>
      <c r="O14" s="382"/>
      <c r="P14" s="381"/>
      <c r="Q14" s="382"/>
      <c r="R14" s="379"/>
      <c r="S14" s="65" t="s">
        <v>0</v>
      </c>
      <c r="T14" s="10"/>
    </row>
    <row r="15" spans="1:20">
      <c r="A15" s="155" t="s">
        <v>102</v>
      </c>
      <c r="B15" s="560"/>
      <c r="C15" s="407">
        <f>SUM(C13:C14)</f>
        <v>686</v>
      </c>
      <c r="D15" s="407"/>
      <c r="E15" s="560"/>
      <c r="F15" s="407">
        <f>+F13+F14</f>
        <v>0</v>
      </c>
      <c r="G15" s="407"/>
      <c r="H15" s="560"/>
      <c r="I15" s="407">
        <f>+I13+I14</f>
        <v>0</v>
      </c>
      <c r="J15" s="407"/>
      <c r="K15" s="560"/>
      <c r="L15" s="407">
        <f>+L13+L14</f>
        <v>0</v>
      </c>
      <c r="M15" s="407"/>
      <c r="N15" s="561"/>
      <c r="O15" s="407"/>
      <c r="P15" s="560"/>
      <c r="Q15" s="407">
        <f>SUM(Q13:Q14)</f>
        <v>686</v>
      </c>
      <c r="R15" s="408"/>
      <c r="S15" s="65" t="s">
        <v>0</v>
      </c>
      <c r="T15" s="8"/>
    </row>
    <row r="16" spans="1:20">
      <c r="A16" s="172" t="s">
        <v>104</v>
      </c>
      <c r="B16" s="390"/>
      <c r="C16" s="391"/>
      <c r="D16" s="391"/>
      <c r="E16" s="390"/>
      <c r="F16" s="391"/>
      <c r="G16" s="391"/>
      <c r="H16" s="390"/>
      <c r="I16" s="391"/>
      <c r="J16" s="391"/>
      <c r="K16" s="390"/>
      <c r="L16" s="391"/>
      <c r="M16" s="391"/>
      <c r="N16" s="425"/>
      <c r="O16" s="391"/>
      <c r="P16" s="390"/>
      <c r="Q16" s="391"/>
      <c r="R16" s="388"/>
      <c r="S16" s="65" t="s">
        <v>0</v>
      </c>
      <c r="T16" s="8"/>
    </row>
    <row r="17" spans="1:20">
      <c r="A17" s="173" t="s">
        <v>31</v>
      </c>
      <c r="B17" s="390"/>
      <c r="C17" s="391"/>
      <c r="D17" s="391"/>
      <c r="E17" s="390"/>
      <c r="F17" s="391"/>
      <c r="G17" s="391"/>
      <c r="H17" s="390"/>
      <c r="I17" s="391"/>
      <c r="J17" s="391"/>
      <c r="K17" s="390"/>
      <c r="L17" s="391"/>
      <c r="M17" s="391"/>
      <c r="N17" s="425"/>
      <c r="O17" s="391"/>
      <c r="P17" s="390"/>
      <c r="Q17" s="391"/>
      <c r="R17" s="388"/>
      <c r="S17" s="65" t="s">
        <v>0</v>
      </c>
      <c r="T17" s="8"/>
    </row>
    <row r="18" spans="1:20">
      <c r="A18" s="174" t="s">
        <v>60</v>
      </c>
      <c r="B18" s="381"/>
      <c r="C18" s="382"/>
      <c r="D18" s="382"/>
      <c r="E18" s="381"/>
      <c r="F18" s="382"/>
      <c r="G18" s="382"/>
      <c r="H18" s="381"/>
      <c r="I18" s="382"/>
      <c r="J18" s="382"/>
      <c r="K18" s="381"/>
      <c r="L18" s="382"/>
      <c r="M18" s="382"/>
      <c r="N18" s="421"/>
      <c r="O18" s="382"/>
      <c r="P18" s="381"/>
      <c r="Q18" s="382"/>
      <c r="R18" s="379"/>
      <c r="S18" s="65" t="s">
        <v>0</v>
      </c>
      <c r="T18" s="8"/>
    </row>
    <row r="19" spans="1:20">
      <c r="A19" s="155" t="s">
        <v>105</v>
      </c>
      <c r="B19" s="381"/>
      <c r="C19" s="382">
        <f>C18+C17+C15</f>
        <v>686</v>
      </c>
      <c r="D19" s="565"/>
      <c r="E19" s="381"/>
      <c r="F19" s="382">
        <f>F18+F17+F15</f>
        <v>0</v>
      </c>
      <c r="G19" s="565"/>
      <c r="H19" s="381"/>
      <c r="I19" s="382">
        <f>I18+I17+I15</f>
        <v>0</v>
      </c>
      <c r="J19" s="565"/>
      <c r="K19" s="381"/>
      <c r="L19" s="382">
        <f>L18+L17+L15</f>
        <v>0</v>
      </c>
      <c r="M19" s="565"/>
      <c r="N19" s="566"/>
      <c r="O19" s="565"/>
      <c r="P19" s="381"/>
      <c r="Q19" s="382">
        <f>Q18+Q17+Q15</f>
        <v>686</v>
      </c>
      <c r="R19" s="567"/>
      <c r="S19" s="65" t="s">
        <v>0</v>
      </c>
      <c r="T19" s="8"/>
    </row>
    <row r="20" spans="1:20">
      <c r="A20" s="8"/>
      <c r="B20" s="1"/>
      <c r="C20" s="1"/>
      <c r="D20" s="1"/>
      <c r="E20" s="1"/>
      <c r="F20" s="1"/>
      <c r="G20" s="1"/>
      <c r="H20" s="1"/>
      <c r="I20" s="1"/>
      <c r="J20" s="1"/>
      <c r="K20" s="1"/>
      <c r="L20" s="1"/>
      <c r="M20" s="1"/>
      <c r="N20" s="1"/>
      <c r="O20" s="1"/>
      <c r="P20" s="1"/>
      <c r="Q20" s="1"/>
      <c r="R20" s="1"/>
      <c r="S20" s="57" t="s">
        <v>13</v>
      </c>
      <c r="T20" s="8"/>
    </row>
    <row r="21" spans="1:20">
      <c r="A21" s="1"/>
      <c r="B21" s="18"/>
      <c r="C21" s="1"/>
      <c r="D21" s="1"/>
      <c r="E21" s="1"/>
      <c r="F21" s="1"/>
      <c r="G21" s="1"/>
      <c r="H21" s="1"/>
      <c r="I21" s="1"/>
      <c r="J21" s="2"/>
      <c r="K21" s="1"/>
      <c r="L21" s="1"/>
      <c r="M21" s="1"/>
      <c r="N21" s="1"/>
      <c r="O21" s="1"/>
      <c r="P21" s="1"/>
      <c r="Q21" s="1"/>
      <c r="R21" s="1"/>
      <c r="S21" s="65"/>
      <c r="T21" s="8"/>
    </row>
    <row r="22" spans="1:20" s="8" customFormat="1" ht="16.5" customHeight="1">
      <c r="A22" s="1685"/>
      <c r="B22" s="1685"/>
      <c r="C22" s="1685"/>
      <c r="D22" s="1685"/>
      <c r="E22" s="1685"/>
      <c r="F22" s="1685"/>
      <c r="G22" s="1685"/>
      <c r="H22" s="1685"/>
      <c r="I22" s="1685"/>
      <c r="J22" s="1685"/>
      <c r="K22" s="1685"/>
      <c r="L22" s="1685"/>
      <c r="M22" s="1685"/>
      <c r="N22" s="1685"/>
      <c r="O22" s="1685"/>
      <c r="P22" s="1685"/>
      <c r="Q22" s="1685"/>
      <c r="R22" s="1685"/>
      <c r="S22" s="18"/>
    </row>
    <row r="23" spans="1:20" s="8" customFormat="1" ht="16.5" customHeight="1">
      <c r="A23" s="1670"/>
      <c r="B23" s="1671"/>
      <c r="C23" s="1671"/>
      <c r="D23" s="1671"/>
      <c r="E23" s="1671"/>
      <c r="F23" s="1671"/>
      <c r="G23" s="1671"/>
      <c r="H23" s="1671"/>
      <c r="I23" s="1671"/>
      <c r="J23" s="1671"/>
      <c r="K23" s="1671"/>
      <c r="L23" s="1671"/>
      <c r="M23" s="1671"/>
      <c r="N23" s="1671"/>
      <c r="O23" s="1671"/>
      <c r="P23" s="1671"/>
      <c r="Q23" s="1671"/>
      <c r="R23" s="1671"/>
      <c r="S23" s="18"/>
    </row>
    <row r="24" spans="1:20" s="8" customFormat="1" ht="16.5" customHeight="1">
      <c r="A24" s="259"/>
      <c r="B24" s="276"/>
      <c r="C24" s="276"/>
      <c r="D24" s="276"/>
      <c r="E24" s="276"/>
      <c r="F24" s="276"/>
      <c r="G24" s="276"/>
      <c r="H24" s="276"/>
      <c r="I24" s="276"/>
      <c r="J24" s="276"/>
      <c r="K24" s="276"/>
      <c r="L24" s="276"/>
      <c r="M24" s="276"/>
      <c r="N24" s="276"/>
      <c r="O24" s="276"/>
      <c r="P24" s="276"/>
      <c r="Q24" s="276"/>
      <c r="R24" s="276"/>
      <c r="S24" s="18"/>
    </row>
    <row r="25" spans="1:20" s="8" customFormat="1" ht="16.5" customHeight="1">
      <c r="A25" s="1673"/>
      <c r="B25" s="1670"/>
      <c r="C25" s="1670"/>
      <c r="D25" s="1670"/>
      <c r="E25" s="1670"/>
      <c r="F25" s="1670"/>
      <c r="G25" s="1670"/>
      <c r="H25" s="1670"/>
      <c r="I25" s="1670"/>
      <c r="J25" s="1670"/>
      <c r="K25" s="1670"/>
      <c r="L25" s="1670"/>
      <c r="M25" s="1670"/>
      <c r="N25" s="1670"/>
      <c r="O25" s="1670"/>
      <c r="P25" s="1670"/>
      <c r="Q25" s="1670"/>
      <c r="R25" s="1670"/>
      <c r="S25" s="18"/>
    </row>
    <row r="26" spans="1:20" s="8" customFormat="1" ht="16.5" customHeight="1">
      <c r="A26" s="1670"/>
      <c r="B26" s="1670"/>
      <c r="C26" s="1670"/>
      <c r="D26" s="1670"/>
      <c r="E26" s="1670"/>
      <c r="F26" s="1670"/>
      <c r="G26" s="1670"/>
      <c r="H26" s="1670"/>
      <c r="I26" s="1670"/>
      <c r="J26" s="1670"/>
      <c r="K26" s="1670"/>
      <c r="L26" s="1670"/>
      <c r="M26" s="1670"/>
      <c r="N26" s="1670"/>
      <c r="O26" s="1670"/>
      <c r="P26" s="1670"/>
      <c r="Q26" s="1670"/>
      <c r="R26" s="1670"/>
      <c r="S26" s="18"/>
    </row>
    <row r="27" spans="1:20" s="8" customFormat="1" ht="16.5" customHeight="1">
      <c r="A27" s="1670"/>
      <c r="B27" s="1671"/>
      <c r="C27" s="1671"/>
      <c r="D27" s="1671"/>
      <c r="E27" s="1671"/>
      <c r="F27" s="1671"/>
      <c r="G27" s="1671"/>
      <c r="H27" s="1671"/>
      <c r="I27" s="1671"/>
      <c r="J27" s="1671"/>
      <c r="K27" s="1671"/>
      <c r="L27" s="1671"/>
      <c r="M27" s="1671"/>
      <c r="N27" s="1671"/>
      <c r="O27" s="1671"/>
      <c r="P27" s="1671"/>
      <c r="Q27" s="1671"/>
      <c r="R27" s="1671"/>
      <c r="S27" s="18"/>
    </row>
    <row r="28" spans="1:20" s="8" customFormat="1" ht="16.5" customHeight="1">
      <c r="A28" s="1662"/>
      <c r="B28" s="1663"/>
      <c r="C28" s="1663"/>
      <c r="D28" s="1663"/>
      <c r="E28" s="1663"/>
      <c r="F28" s="1663"/>
      <c r="G28" s="1663"/>
      <c r="H28" s="1663"/>
      <c r="I28" s="1663"/>
      <c r="J28" s="1663"/>
      <c r="K28" s="1663"/>
      <c r="L28" s="1663"/>
      <c r="M28" s="1663"/>
      <c r="N28" s="1663"/>
      <c r="O28" s="1663"/>
      <c r="P28" s="1663"/>
      <c r="Q28" s="1663"/>
      <c r="R28" s="1663"/>
      <c r="S28" s="1663"/>
    </row>
    <row r="29" spans="1:20" ht="18">
      <c r="A29" s="101"/>
      <c r="B29" s="18"/>
      <c r="C29" s="18"/>
      <c r="D29" s="18"/>
      <c r="E29" s="18"/>
      <c r="F29" s="18"/>
      <c r="G29" s="18"/>
      <c r="H29" s="18"/>
      <c r="I29" s="18"/>
      <c r="J29" s="18"/>
      <c r="K29" s="18"/>
      <c r="L29" s="18"/>
      <c r="M29" s="18"/>
      <c r="P29" s="18"/>
      <c r="Q29" s="18"/>
      <c r="R29" s="18"/>
      <c r="S29" s="18"/>
      <c r="T29" s="66"/>
    </row>
  </sheetData>
  <customSheetViews>
    <customSheetView guid="{DA38F665-F06D-4DFB-B852-747D93BB00EF}" scale="75" showPageBreaks="1" fitToPage="1" printArea="1" hiddenColumns="1" view="pageBreakPreview">
      <selection activeCell="B210" sqref="B210"/>
      <pageMargins left="0.75" right="0.75" top="1" bottom="1" header="0.5" footer="0.5"/>
      <pageSetup scale="62" orientation="landscape" r:id="rId1"/>
      <headerFooter alignWithMargins="0">
        <oddFooter>&amp;C&amp;"Times New Roman,Regular"Exhibit G:  Crosswalk of 2012 Availability&amp;R&amp;"Times New Roman,Regular"Salaries and Expenses</oddFooter>
      </headerFooter>
    </customSheetView>
    <customSheetView guid="{3118AF25-8423-420A-806A-487665220C68}" scale="75" showPageBreaks="1" fitToPage="1" printArea="1" hiddenColumns="1" view="pageBreakPreview">
      <selection activeCell="R16" sqref="R16"/>
      <pageMargins left="0.75" right="0.75" top="1" bottom="1" header="0.5" footer="0.5"/>
      <pageSetup scale="62" orientation="landscape" r:id="rId2"/>
      <headerFooter alignWithMargins="0">
        <oddFooter>&amp;C&amp;"Times New Roman,Regular"Exhibit G:  Crosswalk of 2012 Availability</oddFooter>
      </headerFooter>
    </customSheetView>
    <customSheetView guid="{56C0A34E-45B4-448B-85E5-70B3A8E63333}" scale="75" showPageBreaks="1" fitToPage="1" printArea="1" view="pageBreakPreview">
      <selection activeCell="E13" sqref="E13"/>
      <pageMargins left="0.75" right="0.75" top="1" bottom="1" header="0.5" footer="0.5"/>
      <pageSetup scale="54" orientation="landscape" r:id="rId3"/>
      <headerFooter alignWithMargins="0">
        <oddFooter>&amp;C&amp;"Times New Roman,Regular"Exhibit G:  Crosswalk of 2012 Availability</oddFooter>
      </headerFooter>
    </customSheetView>
    <customSheetView guid="{4148B88B-8ED7-4FDE-9459-DEB244AD0552}" scale="75" showPageBreaks="1" fitToPage="1" printArea="1" hiddenColumns="1" view="pageBreakPreview">
      <selection activeCell="N11" sqref="N11"/>
      <pageMargins left="0.75" right="0.75" top="1" bottom="1" header="0.5" footer="0.5"/>
      <pageSetup scale="62" orientation="landscape" r:id="rId4"/>
      <headerFooter alignWithMargins="0">
        <oddFooter>&amp;C&amp;"Times New Roman,Regular"Exhibit G:  Crosswalk of 2012 Availability</oddFooter>
      </headerFooter>
    </customSheetView>
    <customSheetView guid="{12C66D54-5067-4346-818B-6EAB1C8A9183}" scale="75" showPageBreaks="1" fitToPage="1" printArea="1" hiddenColumns="1" view="pageBreakPreview">
      <selection activeCell="E43" sqref="E43"/>
      <pageMargins left="0.75" right="0.75" top="1" bottom="1" header="0.5" footer="0.5"/>
      <pageSetup scale="62" orientation="landscape" r:id="rId5"/>
      <headerFooter alignWithMargins="0">
        <oddFooter>&amp;C&amp;"Times New Roman,Regular"Exhibit G:  Crosswalk of 2012 Availability</oddFooter>
      </headerFooter>
    </customSheetView>
    <customSheetView guid="{AB21D485-B25C-4861-87C3-6754CE948F1C}" scale="75" showPageBreaks="1" fitToPage="1" printArea="1" hiddenColumns="1" view="pageBreakPreview">
      <selection activeCell="E43" sqref="E43"/>
      <pageMargins left="0.75" right="0.75" top="1" bottom="1" header="0.5" footer="0.5"/>
      <pageSetup scale="62" orientation="landscape" r:id="rId6"/>
      <headerFooter alignWithMargins="0">
        <oddFooter>&amp;C&amp;"Times New Roman,Regular"Exhibit G:  Crosswalk of 2012 Availability</oddFooter>
      </headerFooter>
    </customSheetView>
    <customSheetView guid="{4D0F9E3D-0229-48CC-A08B-F132802E9D7B}" scale="75" showPageBreaks="1" fitToPage="1" printArea="1" hiddenColumns="1" view="pageBreakPreview">
      <selection activeCell="D17" sqref="D17"/>
      <pageMargins left="0.75" right="0.75" top="1" bottom="1" header="0.5" footer="0.5"/>
      <pageSetup scale="62" orientation="landscape" r:id="rId7"/>
      <headerFooter alignWithMargins="0">
        <oddFooter>&amp;C&amp;"Times New Roman,Regular"Exhibit G:  Crosswalk of 2012 Availability&amp;R&amp;"Times New Roman,Regular"Salaries and Expenses</oddFooter>
      </headerFooter>
    </customSheetView>
    <customSheetView guid="{F6772377-6B25-4EEA-B255-4C2F62B37855}" scale="75" showPageBreaks="1" fitToPage="1" printArea="1" hiddenColumns="1" view="pageBreakPreview">
      <selection activeCell="C13" sqref="C13"/>
      <pageMargins left="0.75" right="0.75" top="1" bottom="1" header="0.5" footer="0.5"/>
      <pageSetup scale="62" orientation="landscape" r:id="rId8"/>
      <headerFooter alignWithMargins="0">
        <oddFooter>&amp;C&amp;"Times New Roman,Regular"Exhibit G:  Crosswalk of 2012 Availability&amp;R&amp;"Times New Roman,Regular"Salaries and Expenses</oddFooter>
      </headerFooter>
    </customSheetView>
    <customSheetView guid="{27B9C207-C13F-4981-9CED-E69585BBD779}" scale="75" showPageBreaks="1" fitToPage="1" printArea="1" hiddenColumns="1" view="pageBreakPreview" topLeftCell="B1">
      <selection activeCell="O13" sqref="O13"/>
      <pageMargins left="0.75" right="0.75" top="1" bottom="1" header="0.5" footer="0.5"/>
      <pageSetup scale="62" orientation="landscape" r:id="rId9"/>
      <headerFooter alignWithMargins="0">
        <oddFooter>&amp;C&amp;"Times New Roman,Regular"Exhibit G:  Crosswalk of 2012 Availability&amp;R&amp;"Times New Roman,Regular"Salaries and Expenses/Management &amp; Administration</oddFooter>
      </headerFooter>
    </customSheetView>
  </customSheetViews>
  <mergeCells count="22">
    <mergeCell ref="A28:S28"/>
    <mergeCell ref="H9:J10"/>
    <mergeCell ref="K9:M10"/>
    <mergeCell ref="A1:R1"/>
    <mergeCell ref="A2:R2"/>
    <mergeCell ref="A3:R3"/>
    <mergeCell ref="A4:R4"/>
    <mergeCell ref="A5:R5"/>
    <mergeCell ref="P9:R10"/>
    <mergeCell ref="N9:N10"/>
    <mergeCell ref="O9:O10"/>
    <mergeCell ref="A6:R6"/>
    <mergeCell ref="A7:R7"/>
    <mergeCell ref="A8:R8"/>
    <mergeCell ref="A9:A11"/>
    <mergeCell ref="A27:R27"/>
    <mergeCell ref="B9:D10"/>
    <mergeCell ref="A22:R22"/>
    <mergeCell ref="A23:R23"/>
    <mergeCell ref="A25:R25"/>
    <mergeCell ref="A26:R26"/>
    <mergeCell ref="E9:G10"/>
  </mergeCells>
  <phoneticPr fontId="41" type="noConversion"/>
  <pageMargins left="0.75" right="0.75" top="1" bottom="1" header="0.5" footer="0.5"/>
  <pageSetup scale="62" orientation="landscape" r:id="rId10"/>
  <headerFooter alignWithMargins="0">
    <oddFooter>&amp;C&amp;"Times New Roman,Regular"Exhibit G:  Crosswalk of 2012 Availability&amp;R&amp;"Times New Roman,Regular"Salaries and Expenses/Management &amp; Administration</oddFooter>
  </headerFooter>
</worksheet>
</file>

<file path=xl/worksheets/sheet6.xml><?xml version="1.0" encoding="utf-8"?>
<worksheet xmlns="http://schemas.openxmlformats.org/spreadsheetml/2006/main" xmlns:r="http://schemas.openxmlformats.org/officeDocument/2006/relationships">
  <sheetPr codeName="Sheet13">
    <pageSetUpPr fitToPage="1"/>
  </sheetPr>
  <dimension ref="A1:AF34"/>
  <sheetViews>
    <sheetView showGridLines="0" showOutlineSymbols="0" view="pageBreakPreview" zoomScale="75" zoomScaleNormal="100" zoomScaleSheetLayoutView="75" workbookViewId="0">
      <selection activeCell="K12" sqref="K12"/>
    </sheetView>
  </sheetViews>
  <sheetFormatPr defaultColWidth="9.6640625" defaultRowHeight="15.75"/>
  <cols>
    <col min="1" max="1" width="4.44140625" style="18" customWidth="1"/>
    <col min="2" max="2" width="45.6640625" style="18" customWidth="1"/>
    <col min="3" max="3" width="6.5546875" style="18" customWidth="1"/>
    <col min="4" max="4" width="5.6640625" style="18" customWidth="1"/>
    <col min="5" max="5" width="10.44140625" style="18" bestFit="1" customWidth="1"/>
    <col min="6" max="7" width="5.6640625" style="18" customWidth="1"/>
    <col min="8" max="8" width="11.77734375" style="18" customWidth="1"/>
    <col min="9" max="10" width="5.6640625" style="18" customWidth="1"/>
    <col min="11" max="11" width="10.44140625" style="18" bestFit="1" customWidth="1"/>
    <col min="12" max="13" width="5.6640625" style="18" customWidth="1"/>
    <col min="14" max="14" width="9.109375" style="18" customWidth="1"/>
    <col min="15" max="15" width="10.21875" style="61" customWidth="1"/>
    <col min="16" max="16" width="27.5546875" style="18" customWidth="1"/>
    <col min="17" max="20" width="7.6640625" style="18" customWidth="1"/>
    <col min="21" max="21" width="3.6640625" style="18" customWidth="1"/>
    <col min="22" max="24" width="7.6640625" style="18" customWidth="1"/>
    <col min="25" max="25" width="3.6640625" style="18" customWidth="1"/>
    <col min="26" max="28" width="7.6640625" style="18" customWidth="1"/>
    <col min="29" max="29" width="3.6640625" style="18" customWidth="1"/>
    <col min="30" max="32" width="7.6640625" style="18" customWidth="1"/>
    <col min="33" max="16384" width="9.6640625" style="18"/>
  </cols>
  <sheetData>
    <row r="1" spans="1:21" ht="20.25">
      <c r="A1" s="1592" t="s">
        <v>147</v>
      </c>
      <c r="B1" s="1699"/>
      <c r="C1" s="1699"/>
      <c r="D1" s="1699"/>
      <c r="E1" s="1699"/>
      <c r="F1" s="1699"/>
      <c r="G1" s="1699"/>
      <c r="H1" s="1699"/>
      <c r="I1" s="1699"/>
      <c r="J1" s="1699"/>
      <c r="K1" s="1699"/>
      <c r="L1" s="1699"/>
      <c r="M1" s="1699"/>
      <c r="N1" s="1699"/>
      <c r="O1" s="60" t="s">
        <v>0</v>
      </c>
      <c r="P1" s="1"/>
      <c r="Q1" s="1"/>
      <c r="R1" s="1"/>
      <c r="S1" s="1"/>
      <c r="T1" s="1"/>
      <c r="U1" s="1"/>
    </row>
    <row r="2" spans="1:21" ht="13.9" customHeight="1">
      <c r="A2" s="17"/>
      <c r="B2" s="7"/>
      <c r="C2" s="7"/>
      <c r="D2" s="7"/>
      <c r="E2" s="7"/>
      <c r="F2" s="7"/>
      <c r="G2" s="7"/>
      <c r="H2" s="7"/>
      <c r="I2" s="7"/>
      <c r="J2" s="7"/>
      <c r="K2" s="7"/>
      <c r="L2" s="7"/>
      <c r="M2" s="7"/>
      <c r="N2" s="7"/>
      <c r="O2" s="60" t="s">
        <v>0</v>
      </c>
      <c r="P2" s="1"/>
      <c r="Q2" s="1"/>
      <c r="R2" s="1"/>
      <c r="S2" s="1"/>
      <c r="T2" s="1"/>
      <c r="U2" s="1"/>
    </row>
    <row r="3" spans="1:21" ht="18.75">
      <c r="A3" s="1700" t="s">
        <v>55</v>
      </c>
      <c r="B3" s="1701"/>
      <c r="C3" s="1701"/>
      <c r="D3" s="1701"/>
      <c r="E3" s="1701"/>
      <c r="F3" s="1701"/>
      <c r="G3" s="1701"/>
      <c r="H3" s="1701"/>
      <c r="I3" s="1701"/>
      <c r="J3" s="1701"/>
      <c r="K3" s="1701"/>
      <c r="L3" s="1701"/>
      <c r="M3" s="1701"/>
      <c r="N3" s="1701"/>
      <c r="O3" s="60" t="s">
        <v>0</v>
      </c>
      <c r="P3" s="1"/>
      <c r="Q3" s="1"/>
      <c r="R3" s="1"/>
      <c r="S3" s="1"/>
      <c r="T3" s="1"/>
      <c r="U3" s="1"/>
    </row>
    <row r="4" spans="1:21" ht="16.5">
      <c r="A4" s="1702" t="str">
        <f>+'B. Summ of Reqs - S&amp;E-M&amp;A '!A5</f>
        <v>Office of Justice Programs</v>
      </c>
      <c r="B4" s="1703"/>
      <c r="C4" s="1703"/>
      <c r="D4" s="1703"/>
      <c r="E4" s="1703"/>
      <c r="F4" s="1703"/>
      <c r="G4" s="1703"/>
      <c r="H4" s="1703"/>
      <c r="I4" s="1703"/>
      <c r="J4" s="1703"/>
      <c r="K4" s="1703"/>
      <c r="L4" s="1703"/>
      <c r="M4" s="1703"/>
      <c r="N4" s="1703"/>
      <c r="O4" s="60" t="s">
        <v>0</v>
      </c>
      <c r="P4" s="1"/>
      <c r="Q4" s="1"/>
      <c r="R4" s="1"/>
      <c r="S4" s="1"/>
      <c r="T4" s="1"/>
      <c r="U4" s="1"/>
    </row>
    <row r="5" spans="1:21" ht="16.5">
      <c r="A5" s="1702" t="str">
        <f>+'B. Summ of Reqs - S&amp;E-M&amp;A '!A6</f>
        <v>Salaries and Expenses/Management &amp; Administration</v>
      </c>
      <c r="B5" s="1701"/>
      <c r="C5" s="1701"/>
      <c r="D5" s="1701"/>
      <c r="E5" s="1701"/>
      <c r="F5" s="1701"/>
      <c r="G5" s="1701"/>
      <c r="H5" s="1701"/>
      <c r="I5" s="1701"/>
      <c r="J5" s="1701"/>
      <c r="K5" s="1701"/>
      <c r="L5" s="1701"/>
      <c r="M5" s="1701"/>
      <c r="N5" s="1701"/>
      <c r="O5" s="60" t="s">
        <v>0</v>
      </c>
      <c r="P5" s="1"/>
      <c r="Q5" s="1"/>
      <c r="R5" s="1"/>
      <c r="S5" s="1"/>
      <c r="T5" s="1"/>
      <c r="U5" s="1"/>
    </row>
    <row r="6" spans="1:21">
      <c r="A6" s="1704" t="s">
        <v>98</v>
      </c>
      <c r="B6" s="1703"/>
      <c r="C6" s="1703"/>
      <c r="D6" s="1703"/>
      <c r="E6" s="1703"/>
      <c r="F6" s="1703"/>
      <c r="G6" s="1703"/>
      <c r="H6" s="1703"/>
      <c r="I6" s="1703"/>
      <c r="J6" s="1703"/>
      <c r="K6" s="1703"/>
      <c r="L6" s="1703"/>
      <c r="M6" s="1703"/>
      <c r="N6" s="1703"/>
      <c r="O6" s="60" t="s">
        <v>0</v>
      </c>
      <c r="P6" s="1"/>
      <c r="Q6" s="1"/>
      <c r="R6" s="1"/>
      <c r="S6" s="1"/>
      <c r="T6" s="1"/>
      <c r="U6" s="1"/>
    </row>
    <row r="7" spans="1:21">
      <c r="A7" s="7"/>
      <c r="B7" s="7"/>
      <c r="C7" s="7"/>
      <c r="D7" s="7"/>
      <c r="E7" s="7"/>
      <c r="F7" s="177"/>
      <c r="G7" s="177"/>
      <c r="H7" s="177"/>
      <c r="I7" s="7"/>
      <c r="J7" s="7"/>
      <c r="K7" s="7"/>
      <c r="L7" s="7"/>
      <c r="M7" s="7"/>
      <c r="N7" s="7"/>
      <c r="O7" s="60" t="s">
        <v>0</v>
      </c>
      <c r="P7" s="1"/>
      <c r="Q7" s="1"/>
      <c r="R7" s="1"/>
      <c r="S7" s="1"/>
      <c r="T7" s="1"/>
      <c r="U7" s="1"/>
    </row>
    <row r="8" spans="1:21">
      <c r="A8" s="1569" t="s">
        <v>112</v>
      </c>
      <c r="B8" s="1705"/>
      <c r="C8" s="1708" t="s">
        <v>167</v>
      </c>
      <c r="D8" s="1709"/>
      <c r="E8" s="1710"/>
      <c r="F8" s="1708" t="s">
        <v>159</v>
      </c>
      <c r="G8" s="1709"/>
      <c r="H8" s="1710"/>
      <c r="I8" s="1708" t="s">
        <v>154</v>
      </c>
      <c r="J8" s="1709"/>
      <c r="K8" s="1710"/>
      <c r="L8" s="1708" t="s">
        <v>22</v>
      </c>
      <c r="M8" s="1709"/>
      <c r="N8" s="1710"/>
      <c r="O8" s="60" t="s">
        <v>0</v>
      </c>
      <c r="P8" s="1"/>
      <c r="Q8" s="1"/>
      <c r="R8" s="1"/>
      <c r="S8" s="1"/>
      <c r="T8" s="1"/>
      <c r="U8" s="1"/>
    </row>
    <row r="9" spans="1:21" ht="16.5" thickBot="1">
      <c r="A9" s="1706"/>
      <c r="B9" s="1707"/>
      <c r="C9" s="156" t="s">
        <v>115</v>
      </c>
      <c r="D9" s="157" t="s">
        <v>25</v>
      </c>
      <c r="E9" s="158" t="s">
        <v>117</v>
      </c>
      <c r="F9" s="156" t="s">
        <v>115</v>
      </c>
      <c r="G9" s="157" t="s">
        <v>25</v>
      </c>
      <c r="H9" s="157" t="s">
        <v>117</v>
      </c>
      <c r="I9" s="156" t="s">
        <v>115</v>
      </c>
      <c r="J9" s="157" t="s">
        <v>25</v>
      </c>
      <c r="K9" s="157" t="s">
        <v>117</v>
      </c>
      <c r="L9" s="156" t="s">
        <v>115</v>
      </c>
      <c r="M9" s="157" t="s">
        <v>25</v>
      </c>
      <c r="N9" s="158" t="s">
        <v>117</v>
      </c>
      <c r="O9" s="60" t="s">
        <v>0</v>
      </c>
      <c r="P9" s="1"/>
      <c r="Q9" s="1"/>
      <c r="R9" s="1"/>
      <c r="S9" s="1"/>
      <c r="T9" s="1"/>
      <c r="U9" s="1"/>
    </row>
    <row r="10" spans="1:21">
      <c r="A10" s="1720" t="s">
        <v>195</v>
      </c>
      <c r="B10" s="1721"/>
      <c r="C10" s="146"/>
      <c r="D10" s="109"/>
      <c r="E10" s="69">
        <v>6856</v>
      </c>
      <c r="F10" s="146"/>
      <c r="G10" s="109"/>
      <c r="H10" s="109">
        <f>173997+3967</f>
        <v>177964</v>
      </c>
      <c r="I10" s="146"/>
      <c r="J10" s="109"/>
      <c r="K10" s="109">
        <v>186083</v>
      </c>
      <c r="L10" s="146"/>
      <c r="M10" s="109"/>
      <c r="N10" s="69">
        <f t="shared" ref="N10:N12" si="0">K10-H10</f>
        <v>8119</v>
      </c>
      <c r="O10" s="60" t="s">
        <v>0</v>
      </c>
      <c r="P10" s="1"/>
      <c r="Q10" s="1"/>
      <c r="R10" s="1"/>
      <c r="S10" s="1"/>
      <c r="T10" s="1"/>
      <c r="U10" s="1"/>
    </row>
    <row r="11" spans="1:21">
      <c r="A11" s="1713" t="s">
        <v>198</v>
      </c>
      <c r="B11" s="1714"/>
      <c r="C11" s="146"/>
      <c r="D11" s="109"/>
      <c r="E11" s="69">
        <v>578</v>
      </c>
      <c r="F11" s="146"/>
      <c r="G11" s="109"/>
      <c r="H11" s="109">
        <v>579</v>
      </c>
      <c r="I11" s="146"/>
      <c r="J11" s="109"/>
      <c r="K11" s="109">
        <v>579</v>
      </c>
      <c r="L11" s="146"/>
      <c r="M11" s="109"/>
      <c r="N11" s="69">
        <f t="shared" si="0"/>
        <v>0</v>
      </c>
      <c r="O11" s="60" t="s">
        <v>0</v>
      </c>
      <c r="P11" s="1"/>
      <c r="Q11" s="1"/>
      <c r="R11" s="1"/>
      <c r="S11" s="1"/>
      <c r="T11" s="1"/>
      <c r="U11" s="1"/>
    </row>
    <row r="12" spans="1:21">
      <c r="A12" s="1713" t="s">
        <v>199</v>
      </c>
      <c r="B12" s="1714"/>
      <c r="C12" s="146"/>
      <c r="D12" s="109"/>
      <c r="E12" s="69">
        <v>425</v>
      </c>
      <c r="F12" s="146"/>
      <c r="G12" s="109"/>
      <c r="H12" s="109">
        <v>480</v>
      </c>
      <c r="I12" s="146"/>
      <c r="J12" s="109"/>
      <c r="K12" s="109">
        <v>480</v>
      </c>
      <c r="L12" s="146"/>
      <c r="M12" s="109"/>
      <c r="N12" s="69">
        <f t="shared" si="0"/>
        <v>0</v>
      </c>
      <c r="O12" s="60" t="s">
        <v>0</v>
      </c>
      <c r="P12" s="1"/>
      <c r="Q12" s="1"/>
      <c r="R12" s="1"/>
      <c r="S12" s="1"/>
      <c r="T12" s="1"/>
      <c r="U12" s="1"/>
    </row>
    <row r="13" spans="1:21">
      <c r="A13" s="330" t="s">
        <v>201</v>
      </c>
      <c r="B13" s="331"/>
      <c r="C13" s="332"/>
      <c r="D13" s="333"/>
      <c r="E13" s="334">
        <v>624</v>
      </c>
      <c r="F13" s="332"/>
      <c r="G13" s="333"/>
      <c r="H13" s="334">
        <v>0</v>
      </c>
      <c r="I13" s="332"/>
      <c r="J13" s="333"/>
      <c r="K13" s="334">
        <v>0</v>
      </c>
      <c r="L13" s="146"/>
      <c r="M13" s="109"/>
      <c r="N13" s="69">
        <v>0</v>
      </c>
      <c r="O13" s="60" t="s">
        <v>0</v>
      </c>
      <c r="P13" s="1"/>
      <c r="Q13" s="1"/>
      <c r="R13" s="1"/>
      <c r="S13" s="1"/>
      <c r="T13" s="1"/>
      <c r="U13" s="1"/>
    </row>
    <row r="14" spans="1:21">
      <c r="A14" s="335" t="s">
        <v>202</v>
      </c>
      <c r="B14" s="336"/>
      <c r="C14" s="332"/>
      <c r="D14" s="333"/>
      <c r="E14" s="334">
        <v>42</v>
      </c>
      <c r="F14" s="332"/>
      <c r="G14" s="333"/>
      <c r="H14" s="333">
        <v>0</v>
      </c>
      <c r="I14" s="332"/>
      <c r="J14" s="333"/>
      <c r="K14" s="334">
        <v>0</v>
      </c>
      <c r="L14" s="146"/>
      <c r="M14" s="109"/>
      <c r="N14" s="69"/>
      <c r="O14" s="60" t="s">
        <v>0</v>
      </c>
      <c r="P14" s="1"/>
      <c r="Q14" s="1"/>
      <c r="R14" s="1"/>
      <c r="S14" s="1"/>
      <c r="T14" s="1"/>
      <c r="U14" s="1"/>
    </row>
    <row r="15" spans="1:21">
      <c r="A15" s="1715" t="s">
        <v>200</v>
      </c>
      <c r="B15" s="1716"/>
      <c r="C15" s="159"/>
      <c r="D15" s="160"/>
      <c r="E15" s="161">
        <v>2</v>
      </c>
      <c r="F15" s="159"/>
      <c r="G15" s="160"/>
      <c r="H15" s="160">
        <v>0</v>
      </c>
      <c r="I15" s="159"/>
      <c r="J15" s="160"/>
      <c r="K15" s="160">
        <v>0</v>
      </c>
      <c r="L15" s="1223"/>
      <c r="M15" s="1224"/>
      <c r="N15" s="1225">
        <f>K15-H15</f>
        <v>0</v>
      </c>
      <c r="O15" s="60" t="s">
        <v>0</v>
      </c>
      <c r="P15" s="9"/>
      <c r="Q15" s="9"/>
      <c r="R15" s="1"/>
      <c r="S15" s="1"/>
      <c r="T15" s="1"/>
      <c r="U15" s="1"/>
    </row>
    <row r="16" spans="1:21">
      <c r="A16" s="1711"/>
      <c r="B16" s="1712"/>
      <c r="C16" s="184"/>
      <c r="D16" s="185"/>
      <c r="E16" s="186"/>
      <c r="F16" s="184"/>
      <c r="G16" s="187"/>
      <c r="H16" s="187"/>
      <c r="I16" s="184"/>
      <c r="J16" s="187"/>
      <c r="K16" s="187"/>
      <c r="L16" s="184"/>
      <c r="M16" s="187"/>
      <c r="N16" s="186"/>
      <c r="O16" s="60" t="s">
        <v>0</v>
      </c>
      <c r="P16" s="1"/>
      <c r="Q16" s="1"/>
      <c r="R16" s="1"/>
      <c r="S16" s="1"/>
      <c r="T16" s="1"/>
      <c r="U16" s="1"/>
    </row>
    <row r="17" spans="1:32">
      <c r="A17" s="1718" t="s">
        <v>113</v>
      </c>
      <c r="B17" s="1719"/>
      <c r="C17" s="163">
        <f>SUM(C10:C16)</f>
        <v>0</v>
      </c>
      <c r="D17" s="164">
        <f t="shared" ref="D17:M17" si="1">SUM(D10:D16)</f>
        <v>0</v>
      </c>
      <c r="E17" s="167">
        <f>SUM(E10:E16)</f>
        <v>8527</v>
      </c>
      <c r="F17" s="163">
        <f t="shared" si="1"/>
        <v>0</v>
      </c>
      <c r="G17" s="164">
        <f t="shared" si="1"/>
        <v>0</v>
      </c>
      <c r="H17" s="165">
        <f>SUM(H10:H16)</f>
        <v>179023</v>
      </c>
      <c r="I17" s="163">
        <f t="shared" si="1"/>
        <v>0</v>
      </c>
      <c r="J17" s="164">
        <f t="shared" si="1"/>
        <v>0</v>
      </c>
      <c r="K17" s="165">
        <f t="shared" si="1"/>
        <v>187142</v>
      </c>
      <c r="L17" s="163">
        <f>SUM(L10:L16)</f>
        <v>0</v>
      </c>
      <c r="M17" s="164">
        <f t="shared" si="1"/>
        <v>0</v>
      </c>
      <c r="N17" s="167">
        <f>SUM(N10:N16)</f>
        <v>8119</v>
      </c>
      <c r="O17" s="60" t="s">
        <v>0</v>
      </c>
      <c r="P17" s="1"/>
      <c r="Q17" s="1"/>
      <c r="R17" s="1"/>
      <c r="S17" s="1"/>
      <c r="T17" s="1"/>
      <c r="U17" s="1"/>
    </row>
    <row r="18" spans="1:32">
      <c r="A18" s="178"/>
      <c r="B18" s="376"/>
      <c r="C18" s="399"/>
      <c r="D18" s="399"/>
      <c r="E18" s="805"/>
      <c r="F18" s="399"/>
      <c r="G18" s="399"/>
      <c r="H18" s="805"/>
      <c r="I18" s="399"/>
      <c r="J18" s="399"/>
      <c r="K18" s="805"/>
      <c r="L18" s="179"/>
      <c r="M18" s="179"/>
      <c r="N18" s="180"/>
      <c r="O18" s="1717" t="s">
        <v>13</v>
      </c>
      <c r="P18" s="1717"/>
      <c r="Q18" s="1"/>
      <c r="R18" s="1"/>
      <c r="S18" s="1"/>
      <c r="T18" s="1"/>
      <c r="U18" s="1"/>
    </row>
    <row r="19" spans="1:32">
      <c r="A19" s="899" t="s">
        <v>661</v>
      </c>
      <c r="B19" s="178"/>
      <c r="C19" s="179"/>
      <c r="D19" s="179"/>
      <c r="E19" s="180"/>
      <c r="F19" s="179"/>
      <c r="G19" s="179"/>
      <c r="H19" s="180"/>
      <c r="I19" s="179"/>
      <c r="J19" s="179"/>
      <c r="K19" s="180"/>
      <c r="L19" s="179"/>
      <c r="M19" s="179"/>
      <c r="N19" s="180"/>
      <c r="O19" s="1717"/>
      <c r="P19" s="1717"/>
      <c r="Q19" s="1"/>
      <c r="R19" s="1"/>
      <c r="S19" s="1"/>
      <c r="T19" s="1"/>
      <c r="U19" s="1"/>
    </row>
    <row r="20" spans="1:32">
      <c r="A20" s="898"/>
      <c r="B20" s="897"/>
      <c r="C20" s="897"/>
      <c r="D20" s="897"/>
      <c r="E20" s="897"/>
      <c r="F20" s="897"/>
      <c r="G20" s="897"/>
      <c r="H20" s="897"/>
      <c r="I20" s="897"/>
      <c r="J20" s="897"/>
      <c r="K20" s="897"/>
      <c r="L20" s="897"/>
      <c r="M20" s="897"/>
      <c r="N20" s="897"/>
      <c r="O20" s="1717"/>
      <c r="P20" s="1717"/>
      <c r="Q20" s="19"/>
      <c r="R20" s="19"/>
      <c r="S20" s="19"/>
      <c r="T20" s="19"/>
      <c r="U20" s="19"/>
      <c r="V20" s="19"/>
      <c r="W20" s="19"/>
      <c r="X20" s="19"/>
      <c r="Y20" s="19"/>
      <c r="Z20" s="19"/>
      <c r="AA20" s="19"/>
      <c r="AB20" s="19"/>
      <c r="AC20" s="19"/>
      <c r="AD20" s="19"/>
      <c r="AE20" s="19"/>
      <c r="AF20" s="19"/>
    </row>
    <row r="21" spans="1:32">
      <c r="A21" s="1"/>
      <c r="B21" s="1"/>
      <c r="C21" s="2"/>
      <c r="D21" s="2"/>
      <c r="E21" s="2"/>
      <c r="F21" s="2"/>
      <c r="G21" s="2"/>
      <c r="H21" s="2"/>
      <c r="I21" s="2"/>
      <c r="J21" s="2"/>
      <c r="K21" s="2"/>
      <c r="L21" s="2"/>
      <c r="M21" s="2"/>
      <c r="N21" s="2"/>
      <c r="P21" s="19"/>
      <c r="Q21" s="19"/>
      <c r="R21" s="19"/>
      <c r="S21" s="19"/>
      <c r="T21" s="19"/>
      <c r="U21" s="19"/>
      <c r="V21" s="19"/>
      <c r="W21" s="19"/>
      <c r="X21" s="19"/>
      <c r="Y21" s="19"/>
      <c r="Z21" s="19"/>
      <c r="AA21" s="19"/>
      <c r="AB21" s="19"/>
      <c r="AC21" s="19"/>
      <c r="AD21" s="19"/>
      <c r="AE21" s="19"/>
      <c r="AF21" s="19"/>
    </row>
    <row r="22" spans="1:32">
      <c r="A22" s="23"/>
      <c r="B22" s="23"/>
      <c r="C22" s="55"/>
      <c r="D22" s="55"/>
      <c r="E22" s="55"/>
      <c r="F22" s="55"/>
      <c r="G22" s="55"/>
      <c r="H22" s="55"/>
      <c r="I22" s="55"/>
      <c r="J22" s="55"/>
      <c r="K22" s="55"/>
      <c r="L22" s="55"/>
      <c r="M22" s="55"/>
      <c r="N22" s="55"/>
      <c r="P22" s="19"/>
      <c r="Q22" s="19"/>
      <c r="R22" s="19"/>
      <c r="S22" s="19"/>
      <c r="T22" s="19"/>
      <c r="U22" s="19"/>
      <c r="V22" s="19"/>
      <c r="W22" s="19"/>
      <c r="X22" s="19"/>
      <c r="Y22" s="19"/>
      <c r="Z22" s="19"/>
      <c r="AA22" s="19"/>
      <c r="AB22" s="19"/>
      <c r="AC22" s="19"/>
      <c r="AD22" s="19"/>
      <c r="AE22" s="19"/>
      <c r="AF22" s="19"/>
    </row>
    <row r="23" spans="1:32">
      <c r="A23" s="26"/>
      <c r="B23" s="26"/>
      <c r="C23" s="26"/>
      <c r="D23" s="26"/>
      <c r="E23" s="26"/>
      <c r="F23" s="26"/>
      <c r="G23" s="26"/>
      <c r="H23" s="26"/>
      <c r="I23" s="26"/>
      <c r="J23" s="26"/>
      <c r="K23" s="26"/>
      <c r="L23" s="26"/>
      <c r="M23" s="26"/>
      <c r="N23" s="26"/>
      <c r="P23" s="19"/>
      <c r="Q23" s="19"/>
      <c r="R23" s="19"/>
      <c r="S23" s="19"/>
      <c r="T23" s="19"/>
      <c r="U23" s="19"/>
      <c r="V23" s="19"/>
      <c r="W23" s="19"/>
      <c r="X23" s="19"/>
      <c r="Y23" s="19"/>
      <c r="Z23" s="19"/>
      <c r="AA23" s="19"/>
      <c r="AB23" s="19"/>
      <c r="AC23" s="19"/>
      <c r="AD23" s="19"/>
      <c r="AE23" s="19"/>
      <c r="AF23" s="19"/>
    </row>
    <row r="24" spans="1:32" ht="18">
      <c r="A24" s="42"/>
      <c r="B24" s="46"/>
      <c r="C24" s="46"/>
      <c r="D24" s="46"/>
      <c r="E24" s="46"/>
      <c r="F24" s="46"/>
      <c r="G24" s="46"/>
      <c r="H24" s="46"/>
      <c r="I24" s="46"/>
      <c r="J24" s="46"/>
      <c r="K24" s="46"/>
      <c r="L24" s="46"/>
      <c r="M24" s="46"/>
      <c r="N24" s="46"/>
      <c r="P24" s="20"/>
      <c r="Q24" s="21"/>
      <c r="R24" s="21"/>
      <c r="S24" s="21"/>
      <c r="T24" s="21"/>
      <c r="U24" s="21"/>
      <c r="V24" s="21"/>
      <c r="W24" s="21"/>
      <c r="X24" s="21"/>
      <c r="Y24" s="21"/>
      <c r="Z24" s="21"/>
      <c r="AA24" s="21"/>
      <c r="AB24" s="21"/>
      <c r="AC24" s="21"/>
      <c r="AD24" s="21"/>
      <c r="AE24" s="21"/>
      <c r="AF24" s="21"/>
    </row>
    <row r="25" spans="1:32" ht="42.75" customHeight="1">
      <c r="A25" s="1722"/>
      <c r="B25" s="1723"/>
      <c r="C25" s="1723"/>
      <c r="D25" s="1723"/>
      <c r="E25" s="1723"/>
      <c r="F25" s="1723"/>
      <c r="G25" s="1723"/>
      <c r="H25" s="1723"/>
      <c r="I25" s="1723"/>
      <c r="J25" s="1723"/>
      <c r="K25" s="1723"/>
      <c r="L25" s="1723"/>
      <c r="M25" s="1723"/>
      <c r="N25" s="1724"/>
      <c r="P25" s="20"/>
      <c r="Q25" s="21"/>
      <c r="R25" s="21"/>
      <c r="S25" s="21"/>
      <c r="T25" s="21"/>
      <c r="U25" s="21"/>
      <c r="V25" s="21"/>
      <c r="W25" s="21"/>
      <c r="X25" s="21"/>
      <c r="Y25" s="21"/>
      <c r="Z25" s="21"/>
      <c r="AA25" s="21"/>
      <c r="AB25" s="21"/>
      <c r="AC25" s="21"/>
      <c r="AD25" s="21"/>
      <c r="AE25" s="21"/>
      <c r="AF25" s="21"/>
    </row>
    <row r="26" spans="1:32">
      <c r="A26" s="41"/>
      <c r="B26" s="41"/>
      <c r="C26" s="41"/>
      <c r="D26" s="41"/>
      <c r="E26" s="41"/>
      <c r="F26" s="41"/>
      <c r="G26" s="41"/>
      <c r="H26" s="41"/>
      <c r="I26" s="41"/>
      <c r="J26" s="41"/>
      <c r="K26" s="41"/>
      <c r="L26" s="41"/>
      <c r="M26" s="41"/>
      <c r="N26" s="41"/>
      <c r="P26" s="19"/>
      <c r="Q26" s="19"/>
      <c r="R26" s="19"/>
      <c r="S26" s="19"/>
      <c r="T26" s="19"/>
      <c r="U26" s="19"/>
      <c r="V26" s="19"/>
      <c r="W26" s="19"/>
      <c r="X26" s="19"/>
      <c r="Y26" s="19"/>
      <c r="Z26" s="19"/>
      <c r="AA26" s="19"/>
      <c r="AB26" s="19"/>
      <c r="AC26" s="19"/>
      <c r="AD26" s="19"/>
      <c r="AE26" s="19"/>
      <c r="AF26" s="19"/>
    </row>
    <row r="27" spans="1:32" ht="96.75" customHeight="1">
      <c r="A27" s="1727"/>
      <c r="B27" s="1728"/>
      <c r="C27" s="1728"/>
      <c r="D27" s="1728"/>
      <c r="E27" s="1728"/>
      <c r="F27" s="1728"/>
      <c r="G27" s="1728"/>
      <c r="H27" s="1728"/>
      <c r="I27" s="1728"/>
      <c r="J27" s="1728"/>
      <c r="K27" s="1728"/>
      <c r="L27" s="1728"/>
      <c r="M27" s="1728"/>
      <c r="N27" s="1728"/>
      <c r="P27" s="19"/>
      <c r="Q27" s="19"/>
      <c r="R27" s="19"/>
      <c r="S27" s="19"/>
      <c r="T27" s="19"/>
      <c r="U27" s="19"/>
      <c r="V27" s="19"/>
      <c r="W27" s="19"/>
      <c r="X27" s="19"/>
      <c r="Y27" s="19"/>
      <c r="Z27" s="19"/>
      <c r="AA27" s="19"/>
      <c r="AB27" s="19"/>
      <c r="AC27" s="19"/>
      <c r="AD27" s="19"/>
      <c r="AE27" s="19"/>
      <c r="AF27" s="19"/>
    </row>
    <row r="28" spans="1:32" ht="18.75" customHeight="1">
      <c r="A28" s="154"/>
      <c r="B28" s="154"/>
      <c r="C28" s="154"/>
      <c r="D28" s="154"/>
      <c r="E28" s="154"/>
      <c r="F28" s="154"/>
      <c r="G28" s="154"/>
      <c r="H28" s="154"/>
      <c r="I28" s="154"/>
      <c r="J28" s="154"/>
      <c r="K28" s="154"/>
      <c r="L28" s="154"/>
      <c r="M28" s="154"/>
      <c r="N28" s="154"/>
      <c r="P28" s="19"/>
      <c r="Q28" s="19"/>
      <c r="R28" s="19"/>
      <c r="S28" s="19"/>
      <c r="T28" s="19"/>
      <c r="U28" s="19"/>
      <c r="V28" s="19"/>
      <c r="W28" s="19"/>
      <c r="X28" s="19"/>
      <c r="Y28" s="19"/>
      <c r="Z28" s="19"/>
      <c r="AA28" s="19"/>
      <c r="AB28" s="19"/>
      <c r="AC28" s="19"/>
      <c r="AD28" s="19"/>
      <c r="AE28" s="19"/>
      <c r="AF28" s="19"/>
    </row>
    <row r="29" spans="1:32" ht="15.75" customHeight="1">
      <c r="A29" s="1725"/>
      <c r="B29" s="1726"/>
      <c r="C29" s="1726"/>
      <c r="D29" s="1726"/>
      <c r="E29" s="1726"/>
      <c r="F29" s="1726"/>
      <c r="G29" s="1726"/>
      <c r="H29" s="1726"/>
      <c r="I29" s="1726"/>
      <c r="J29" s="1726"/>
      <c r="K29" s="1726"/>
      <c r="L29" s="1726"/>
      <c r="M29" s="1726"/>
      <c r="N29" s="1726"/>
      <c r="P29" s="19"/>
      <c r="Q29" s="19"/>
      <c r="R29" s="19"/>
      <c r="S29" s="19"/>
      <c r="T29" s="19"/>
      <c r="U29" s="19"/>
      <c r="V29" s="19"/>
      <c r="W29" s="19"/>
      <c r="X29" s="19"/>
      <c r="Y29" s="19"/>
      <c r="Z29" s="19"/>
      <c r="AA29" s="19"/>
      <c r="AB29" s="19"/>
      <c r="AC29" s="19"/>
      <c r="AD29" s="19"/>
      <c r="AE29" s="19"/>
      <c r="AF29" s="19"/>
    </row>
    <row r="30" spans="1:32" ht="24" customHeight="1">
      <c r="A30" s="1726"/>
      <c r="B30" s="1726"/>
      <c r="C30" s="1726"/>
      <c r="D30" s="1726"/>
      <c r="E30" s="1726"/>
      <c r="F30" s="1726"/>
      <c r="G30" s="1726"/>
      <c r="H30" s="1726"/>
      <c r="I30" s="1726"/>
      <c r="J30" s="1726"/>
      <c r="K30" s="1726"/>
      <c r="L30" s="1726"/>
      <c r="M30" s="1726"/>
      <c r="N30" s="1726"/>
      <c r="P30" s="19"/>
      <c r="Q30" s="19"/>
      <c r="R30" s="19"/>
      <c r="S30" s="19"/>
      <c r="T30" s="19"/>
      <c r="U30" s="19"/>
      <c r="V30" s="19"/>
      <c r="W30" s="19"/>
      <c r="X30" s="19"/>
      <c r="Y30" s="19"/>
      <c r="Z30" s="19"/>
      <c r="AA30" s="19"/>
      <c r="AB30" s="19"/>
      <c r="AC30" s="19"/>
      <c r="AD30" s="19"/>
      <c r="AE30" s="19"/>
      <c r="AF30" s="19"/>
    </row>
    <row r="31" spans="1:32" ht="15.75" customHeight="1">
      <c r="A31" s="41"/>
      <c r="B31" s="41"/>
      <c r="C31" s="41"/>
      <c r="D31" s="41"/>
      <c r="E31" s="41"/>
      <c r="F31" s="41"/>
      <c r="G31" s="41"/>
      <c r="H31" s="41"/>
      <c r="I31" s="41"/>
      <c r="J31" s="41"/>
      <c r="K31" s="41"/>
      <c r="L31" s="41"/>
      <c r="M31" s="41"/>
      <c r="N31" s="41"/>
      <c r="P31" s="19"/>
      <c r="Q31" s="19"/>
      <c r="R31" s="19"/>
      <c r="S31" s="19"/>
      <c r="T31" s="19"/>
      <c r="U31" s="19"/>
      <c r="V31" s="19"/>
      <c r="W31" s="19"/>
      <c r="X31" s="19"/>
      <c r="Y31" s="19"/>
      <c r="Z31" s="19"/>
      <c r="AA31" s="19"/>
      <c r="AB31" s="19"/>
      <c r="AC31" s="19"/>
      <c r="AD31" s="19"/>
      <c r="AE31" s="19"/>
      <c r="AF31" s="19"/>
    </row>
    <row r="32" spans="1:32" ht="18" customHeight="1">
      <c r="A32" s="1723"/>
      <c r="B32" s="1723"/>
      <c r="C32" s="1723"/>
      <c r="D32" s="1723"/>
      <c r="E32" s="1723"/>
      <c r="F32" s="1723"/>
      <c r="G32" s="1723"/>
      <c r="H32" s="1723"/>
      <c r="I32" s="1723"/>
      <c r="J32" s="1723"/>
      <c r="K32" s="1723"/>
      <c r="L32" s="1723"/>
      <c r="M32" s="1723"/>
      <c r="N32" s="1724"/>
      <c r="P32" s="19"/>
      <c r="Q32" s="19"/>
      <c r="R32" s="19"/>
      <c r="S32" s="19"/>
      <c r="T32" s="19"/>
      <c r="U32" s="19"/>
      <c r="V32" s="19"/>
      <c r="W32" s="19"/>
      <c r="X32" s="19"/>
      <c r="Y32" s="19"/>
      <c r="Z32" s="19"/>
      <c r="AA32" s="19"/>
      <c r="AB32" s="19"/>
      <c r="AC32" s="19"/>
      <c r="AD32" s="19"/>
      <c r="AE32" s="19"/>
      <c r="AF32" s="19"/>
    </row>
    <row r="33" spans="1:32">
      <c r="A33" s="1"/>
      <c r="B33" s="1"/>
      <c r="C33" s="1"/>
      <c r="D33" s="1"/>
      <c r="E33" s="1"/>
      <c r="F33" s="1"/>
      <c r="G33" s="1"/>
      <c r="H33" s="1"/>
      <c r="I33" s="1"/>
      <c r="J33" s="1"/>
      <c r="K33" s="1"/>
      <c r="L33" s="1"/>
      <c r="M33" s="1"/>
      <c r="N33" s="1"/>
      <c r="P33" s="19"/>
      <c r="Q33" s="19"/>
      <c r="R33" s="19"/>
      <c r="S33" s="19"/>
      <c r="T33" s="19"/>
      <c r="U33" s="19"/>
      <c r="V33" s="19"/>
      <c r="W33" s="19"/>
      <c r="X33" s="19"/>
      <c r="Y33" s="19"/>
      <c r="Z33" s="19"/>
      <c r="AA33" s="19"/>
      <c r="AB33" s="19"/>
      <c r="AC33" s="19"/>
      <c r="AD33" s="19"/>
      <c r="AE33" s="19"/>
      <c r="AF33" s="19"/>
    </row>
    <row r="34" spans="1:32" ht="18">
      <c r="A34" s="1722"/>
      <c r="B34" s="1723"/>
      <c r="C34" s="1723"/>
      <c r="D34" s="1723"/>
      <c r="E34" s="1723"/>
      <c r="F34" s="1723"/>
      <c r="G34" s="1723"/>
      <c r="H34" s="1723"/>
      <c r="I34" s="1723"/>
      <c r="J34" s="1723"/>
      <c r="K34" s="1723"/>
      <c r="L34" s="1723"/>
      <c r="M34" s="1723"/>
      <c r="N34" s="1724"/>
      <c r="P34" s="19"/>
      <c r="Q34" s="19"/>
      <c r="R34" s="19"/>
      <c r="S34" s="19"/>
      <c r="T34" s="19"/>
      <c r="U34" s="19"/>
      <c r="V34" s="19"/>
      <c r="W34" s="19"/>
      <c r="X34" s="19"/>
      <c r="Y34" s="19"/>
      <c r="Z34" s="19"/>
      <c r="AA34" s="19"/>
      <c r="AB34" s="19"/>
      <c r="AC34" s="19"/>
      <c r="AD34" s="19"/>
      <c r="AE34" s="19"/>
      <c r="AF34" s="19"/>
    </row>
  </sheetData>
  <customSheetViews>
    <customSheetView guid="{DA38F665-F06D-4DFB-B852-747D93BB00EF}" scale="75" showPageBreaks="1" showGridLines="0" outlineSymbols="0" fitToPage="1" printArea="1" view="pageBreakPreview">
      <selection activeCell="B210" sqref="B210"/>
      <pageMargins left="1" right="1" top="0.5" bottom="0.55000000000000004" header="0" footer="0"/>
      <printOptions horizontalCentered="1"/>
      <pageSetup scale="69" orientation="landscape" horizontalDpi="300" verticalDpi="300" r:id="rId1"/>
      <headerFooter alignWithMargins="0">
        <oddFooter>&amp;C&amp;"Times New Roman,Regular"Exhibit H - Summary of Reimbursable Resources&amp;R&amp;"Times New Roman,Regular"Salaries and Expenses</oddFooter>
      </headerFooter>
    </customSheetView>
    <customSheetView guid="{3118AF25-8423-420A-806A-487665220C68}"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2"/>
      <headerFooter alignWithMargins="0">
        <oddFooter>&amp;C&amp;"Times New Roman,Regular"Exhibit H - Summary of Reimbursable Resources</oddFooter>
      </headerFooter>
    </customSheetView>
    <customSheetView guid="{56C0A34E-45B4-448B-85E5-70B3A8E6333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3"/>
      <headerFooter alignWithMargins="0">
        <oddFooter>&amp;C&amp;"Times New Roman,Regular"Exhibit H - Summary of Reimbursable Resources</oddFooter>
      </headerFooter>
    </customSheetView>
    <customSheetView guid="{4148B88B-8ED7-4FDE-9459-DEB244AD0552}"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4"/>
      <headerFooter alignWithMargins="0">
        <oddFooter>&amp;C&amp;"Times New Roman,Regular"Exhibit H - Summary of Reimbursable Resources</oddFooter>
      </headerFooter>
    </customSheetView>
    <customSheetView guid="{12C66D54-5067-4346-818B-6EAB1C8A918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5"/>
      <headerFooter alignWithMargins="0">
        <oddFooter>&amp;C&amp;"Times New Roman,Regular"Exhibit H - Summary of Reimbursable Resources</oddFooter>
      </headerFooter>
    </customSheetView>
    <customSheetView guid="{AB21D485-B25C-4861-87C3-6754CE948F1C}"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6"/>
      <headerFooter alignWithMargins="0">
        <oddFooter>&amp;C&amp;"Times New Roman,Regular"Exhibit H - Summary of Reimbursable Resources</oddFooter>
      </headerFooter>
    </customSheetView>
    <customSheetView guid="{4D0F9E3D-0229-48CC-A08B-F132802E9D7B}" scale="75" showPageBreaks="1" showGridLines="0" outlineSymbols="0" fitToPage="1" printArea="1" view="pageBreakPreview">
      <selection activeCell="N14" sqref="N14"/>
      <pageMargins left="1" right="1" top="0.5" bottom="0.55000000000000004" header="0" footer="0"/>
      <printOptions horizontalCentered="1"/>
      <pageSetup scale="69" orientation="landscape" horizontalDpi="300" verticalDpi="300" r:id="rId7"/>
      <headerFooter alignWithMargins="0">
        <oddFooter>&amp;C&amp;"Times New Roman,Regular"Exhibit H - Summary of Reimbursable Resources&amp;R&amp;"Times New Roman,Regular"Salaries and Expenses</oddFooter>
      </headerFooter>
    </customSheetView>
    <customSheetView guid="{F6772377-6B25-4EEA-B255-4C2F62B37855}" scale="75" showPageBreaks="1" showGridLines="0" outlineSymbols="0" fitToPage="1" printArea="1" view="pageBreakPreview">
      <selection activeCell="K11" sqref="K11"/>
      <pageMargins left="1" right="1" top="0.5" bottom="0.55000000000000004" header="0" footer="0"/>
      <printOptions horizontalCentered="1"/>
      <pageSetup scale="69" orientation="landscape" horizontalDpi="300" verticalDpi="300" r:id="rId8"/>
      <headerFooter alignWithMargins="0">
        <oddFooter>&amp;C&amp;"Times New Roman,Regular"Exhibit H - Summary of Reimbursable Resources&amp;R&amp;"Times New Roman,Regular"Salaries and Expenses</oddFooter>
      </headerFooter>
    </customSheetView>
    <customSheetView guid="{27B9C207-C13F-4981-9CED-E69585BBD779}" scale="75" showPageBreaks="1" showGridLines="0" outlineSymbols="0" fitToPage="1" printArea="1" view="pageBreakPreview" topLeftCell="A4">
      <selection activeCell="K12" sqref="K12"/>
      <pageMargins left="1" right="1" top="0.5" bottom="0.55000000000000004" header="0" footer="0"/>
      <printOptions horizontalCentered="1"/>
      <pageSetup scale="69" orientation="landscape" horizontalDpi="300" verticalDpi="300" r:id="rId9"/>
      <headerFooter alignWithMargins="0">
        <oddFooter>&amp;C&amp;"Times New Roman,Regular"Exhibit H - Summary of Reimbursable Resources&amp;R&amp;"Times New Roman,Regular"Salaries and Expenses/Management &amp; Administration</oddFooter>
      </headerFooter>
    </customSheetView>
  </customSheetViews>
  <mergeCells count="22">
    <mergeCell ref="O18:P20"/>
    <mergeCell ref="A17:B17"/>
    <mergeCell ref="A10:B10"/>
    <mergeCell ref="A11:B11"/>
    <mergeCell ref="A34:N34"/>
    <mergeCell ref="A32:N32"/>
    <mergeCell ref="A29:N30"/>
    <mergeCell ref="A25:N25"/>
    <mergeCell ref="A27:N27"/>
    <mergeCell ref="A8:B9"/>
    <mergeCell ref="L8:N8"/>
    <mergeCell ref="I8:K8"/>
    <mergeCell ref="A16:B16"/>
    <mergeCell ref="A12:B12"/>
    <mergeCell ref="F8:H8"/>
    <mergeCell ref="C8:E8"/>
    <mergeCell ref="A15:B15"/>
    <mergeCell ref="A1:N1"/>
    <mergeCell ref="A3:N3"/>
    <mergeCell ref="A4:N4"/>
    <mergeCell ref="A5:N5"/>
    <mergeCell ref="A6:N6"/>
  </mergeCells>
  <phoneticPr fontId="0" type="noConversion"/>
  <printOptions horizontalCentered="1"/>
  <pageMargins left="1" right="1" top="0.5" bottom="0.55000000000000004" header="0" footer="0"/>
  <pageSetup scale="69" orientation="landscape" horizontalDpi="300" verticalDpi="300" r:id="rId10"/>
  <headerFooter alignWithMargins="0">
    <oddFooter>&amp;C&amp;"Times New Roman,Regular"Exhibit H - Summary of Reimbursable Resources&amp;R&amp;"Times New Roman,Regular"Salaries and Expenses/Management &amp; Administration</oddFooter>
  </headerFooter>
  <ignoredErrors>
    <ignoredError sqref="H17" formula="1"/>
  </ignoredErrors>
</worksheet>
</file>

<file path=xl/worksheets/sheet7.xml><?xml version="1.0" encoding="utf-8"?>
<worksheet xmlns="http://schemas.openxmlformats.org/spreadsheetml/2006/main" xmlns:r="http://schemas.openxmlformats.org/officeDocument/2006/relationships">
  <sheetPr codeName="Sheet14">
    <pageSetUpPr fitToPage="1"/>
  </sheetPr>
  <dimension ref="A1:N46"/>
  <sheetViews>
    <sheetView view="pageBreakPreview" zoomScale="70" zoomScaleNormal="100" zoomScaleSheetLayoutView="70" workbookViewId="0">
      <selection activeCell="A33" sqref="A33:K33"/>
    </sheetView>
  </sheetViews>
  <sheetFormatPr defaultRowHeight="15"/>
  <cols>
    <col min="1" max="1" width="30.44140625" style="11" customWidth="1"/>
    <col min="2" max="2" width="10.77734375" style="11" customWidth="1"/>
    <col min="3" max="3" width="12.6640625" style="11" customWidth="1"/>
    <col min="4" max="4" width="10.88671875" style="11" customWidth="1"/>
    <col min="5" max="5" width="12.5546875" style="11" customWidth="1"/>
    <col min="6" max="6" width="9.77734375" style="11" customWidth="1"/>
    <col min="7" max="7" width="12" style="11" customWidth="1"/>
    <col min="8" max="9" width="9.77734375" style="11" customWidth="1"/>
    <col min="10" max="10" width="10.33203125" style="11" customWidth="1"/>
    <col min="11" max="11" width="13" style="11" customWidth="1"/>
    <col min="12" max="12" width="7.44140625" style="63" customWidth="1"/>
    <col min="13" max="16384" width="8.88671875" style="11"/>
  </cols>
  <sheetData>
    <row r="1" spans="1:12" ht="20.25">
      <c r="A1" s="1592" t="s">
        <v>18</v>
      </c>
      <c r="B1" s="1731"/>
      <c r="C1" s="1731"/>
      <c r="D1" s="1731"/>
      <c r="E1" s="1731"/>
      <c r="F1" s="1731"/>
      <c r="G1" s="1731"/>
      <c r="H1" s="1731"/>
      <c r="I1" s="1731"/>
      <c r="J1" s="1731"/>
      <c r="K1" s="1731"/>
      <c r="L1" s="63" t="s">
        <v>0</v>
      </c>
    </row>
    <row r="2" spans="1:12" ht="20.25">
      <c r="A2" s="1733"/>
      <c r="B2" s="1733"/>
      <c r="C2" s="1733"/>
      <c r="D2" s="1733"/>
      <c r="E2" s="1733"/>
      <c r="F2" s="1733"/>
      <c r="G2" s="1733"/>
      <c r="H2" s="1733"/>
      <c r="I2" s="1733"/>
      <c r="J2" s="1733"/>
      <c r="K2" s="1734"/>
      <c r="L2" s="63" t="s">
        <v>0</v>
      </c>
    </row>
    <row r="3" spans="1:12" ht="12.6" customHeight="1">
      <c r="A3" s="1733"/>
      <c r="B3" s="1733"/>
      <c r="C3" s="1733"/>
      <c r="D3" s="1733"/>
      <c r="E3" s="1733"/>
      <c r="F3" s="1733"/>
      <c r="G3" s="1733"/>
      <c r="H3" s="1733"/>
      <c r="I3" s="1733"/>
      <c r="J3" s="1733"/>
      <c r="K3" s="1734"/>
      <c r="L3" s="63" t="s">
        <v>0</v>
      </c>
    </row>
    <row r="4" spans="1:12" ht="18.75">
      <c r="A4" s="1700" t="s">
        <v>27</v>
      </c>
      <c r="B4" s="1703"/>
      <c r="C4" s="1703"/>
      <c r="D4" s="1703"/>
      <c r="E4" s="1703"/>
      <c r="F4" s="1703"/>
      <c r="G4" s="1703"/>
      <c r="H4" s="1703"/>
      <c r="I4" s="1703"/>
      <c r="J4" s="1703"/>
      <c r="K4" s="1703"/>
      <c r="L4" s="63" t="s">
        <v>0</v>
      </c>
    </row>
    <row r="5" spans="1:12" ht="16.5">
      <c r="A5" s="1702" t="str">
        <f>+'B. Summ of Reqs - S&amp;E-M&amp;A '!A5</f>
        <v>Office of Justice Programs</v>
      </c>
      <c r="B5" s="1703"/>
      <c r="C5" s="1703"/>
      <c r="D5" s="1703"/>
      <c r="E5" s="1703"/>
      <c r="F5" s="1703"/>
      <c r="G5" s="1703"/>
      <c r="H5" s="1703"/>
      <c r="I5" s="1703"/>
      <c r="J5" s="1703"/>
      <c r="K5" s="1703"/>
      <c r="L5" s="63" t="s">
        <v>0</v>
      </c>
    </row>
    <row r="6" spans="1:12" ht="16.5">
      <c r="A6" s="1732" t="str">
        <f>+'B. Summ of Reqs - S&amp;E-M&amp;A '!A6</f>
        <v>Salaries and Expenses/Management &amp; Administration</v>
      </c>
      <c r="B6" s="1703"/>
      <c r="C6" s="1703"/>
      <c r="D6" s="1703"/>
      <c r="E6" s="1703"/>
      <c r="F6" s="1703"/>
      <c r="G6" s="1703"/>
      <c r="H6" s="1703"/>
      <c r="I6" s="1703"/>
      <c r="J6" s="1703"/>
      <c r="K6" s="1703"/>
      <c r="L6" s="63" t="s">
        <v>0</v>
      </c>
    </row>
    <row r="7" spans="1:12" ht="15.75">
      <c r="A7" s="1737"/>
      <c r="B7" s="1737"/>
      <c r="C7" s="1737"/>
      <c r="D7" s="1737"/>
      <c r="E7" s="1737"/>
      <c r="F7" s="1737"/>
      <c r="G7" s="1737"/>
      <c r="H7" s="1737"/>
      <c r="I7" s="1737"/>
      <c r="J7" s="1737"/>
      <c r="K7" s="1737"/>
      <c r="L7" s="63" t="s">
        <v>0</v>
      </c>
    </row>
    <row r="8" spans="1:12">
      <c r="A8" s="1738"/>
      <c r="B8" s="1739"/>
      <c r="C8" s="1739"/>
      <c r="D8" s="1739"/>
      <c r="E8" s="1739"/>
      <c r="F8" s="1739"/>
      <c r="G8" s="1739"/>
      <c r="H8" s="1739"/>
      <c r="I8" s="1739"/>
      <c r="J8" s="1739"/>
      <c r="K8" s="1739"/>
      <c r="L8" s="63" t="s">
        <v>0</v>
      </c>
    </row>
    <row r="9" spans="1:12" ht="40.5" customHeight="1">
      <c r="A9" s="1755" t="s">
        <v>28</v>
      </c>
      <c r="B9" s="1751" t="s">
        <v>174</v>
      </c>
      <c r="C9" s="1750"/>
      <c r="D9" s="1749" t="s">
        <v>165</v>
      </c>
      <c r="E9" s="1750"/>
      <c r="F9" s="1746" t="s">
        <v>154</v>
      </c>
      <c r="G9" s="1747"/>
      <c r="H9" s="1747"/>
      <c r="I9" s="1747"/>
      <c r="J9" s="1747"/>
      <c r="K9" s="1748"/>
      <c r="L9" s="63" t="s">
        <v>0</v>
      </c>
    </row>
    <row r="10" spans="1:12">
      <c r="A10" s="1756"/>
      <c r="B10" s="1740" t="s">
        <v>16</v>
      </c>
      <c r="C10" s="1742" t="s">
        <v>17</v>
      </c>
      <c r="D10" s="1742" t="s">
        <v>16</v>
      </c>
      <c r="E10" s="1742" t="s">
        <v>17</v>
      </c>
      <c r="F10" s="1744" t="s">
        <v>7</v>
      </c>
      <c r="G10" s="1735" t="s">
        <v>91</v>
      </c>
      <c r="H10" s="1735" t="s">
        <v>14</v>
      </c>
      <c r="I10" s="1735" t="s">
        <v>15</v>
      </c>
      <c r="J10" s="1753" t="s">
        <v>16</v>
      </c>
      <c r="K10" s="1744" t="s">
        <v>17</v>
      </c>
      <c r="L10" s="63" t="s">
        <v>0</v>
      </c>
    </row>
    <row r="11" spans="1:12" ht="27" customHeight="1">
      <c r="A11" s="1757"/>
      <c r="B11" s="1741"/>
      <c r="C11" s="1743"/>
      <c r="D11" s="1743"/>
      <c r="E11" s="1743"/>
      <c r="F11" s="1745"/>
      <c r="G11" s="1736"/>
      <c r="H11" s="1736"/>
      <c r="I11" s="1736"/>
      <c r="J11" s="1754"/>
      <c r="K11" s="1752"/>
      <c r="L11" s="63" t="s">
        <v>0</v>
      </c>
    </row>
    <row r="12" spans="1:12">
      <c r="A12" s="1021" t="s">
        <v>191</v>
      </c>
      <c r="B12" s="1211">
        <v>30</v>
      </c>
      <c r="C12" s="1211"/>
      <c r="D12" s="1211">
        <v>30</v>
      </c>
      <c r="E12" s="1211"/>
      <c r="F12" s="1511"/>
      <c r="G12" s="1211"/>
      <c r="H12" s="1211"/>
      <c r="I12" s="1211"/>
      <c r="J12" s="1211">
        <v>30</v>
      </c>
      <c r="K12" s="1211"/>
      <c r="L12" s="63" t="s">
        <v>0</v>
      </c>
    </row>
    <row r="13" spans="1:12">
      <c r="A13" s="1022" t="s">
        <v>119</v>
      </c>
      <c r="B13" s="1212">
        <v>24</v>
      </c>
      <c r="C13" s="1212"/>
      <c r="D13" s="1212">
        <v>24</v>
      </c>
      <c r="E13" s="1212"/>
      <c r="F13" s="1212"/>
      <c r="G13" s="1212"/>
      <c r="H13" s="1212"/>
      <c r="I13" s="1212"/>
      <c r="J13" s="1212">
        <v>24</v>
      </c>
      <c r="K13" s="1212"/>
      <c r="L13" s="63" t="s">
        <v>0</v>
      </c>
    </row>
    <row r="14" spans="1:12">
      <c r="A14" s="1023" t="s">
        <v>120</v>
      </c>
      <c r="B14" s="1213">
        <v>261</v>
      </c>
      <c r="C14" s="1213"/>
      <c r="D14" s="1213">
        <v>245</v>
      </c>
      <c r="E14" s="1213"/>
      <c r="F14" s="1213"/>
      <c r="G14" s="1213"/>
      <c r="H14" s="1213"/>
      <c r="I14" s="1213"/>
      <c r="J14" s="1213">
        <v>245</v>
      </c>
      <c r="K14" s="1213"/>
      <c r="L14" s="63" t="s">
        <v>0</v>
      </c>
    </row>
    <row r="15" spans="1:12">
      <c r="A15" s="1023" t="s">
        <v>121</v>
      </c>
      <c r="B15" s="1213">
        <v>113</v>
      </c>
      <c r="C15" s="1213"/>
      <c r="D15" s="1213">
        <v>113</v>
      </c>
      <c r="E15" s="1213"/>
      <c r="F15" s="1213"/>
      <c r="G15" s="1213"/>
      <c r="H15" s="1213"/>
      <c r="I15" s="1213"/>
      <c r="J15" s="1213">
        <v>113</v>
      </c>
      <c r="K15" s="1213"/>
      <c r="L15" s="63" t="s">
        <v>0</v>
      </c>
    </row>
    <row r="16" spans="1:12">
      <c r="A16" s="1023" t="s">
        <v>192</v>
      </c>
      <c r="B16" s="1213">
        <v>1</v>
      </c>
      <c r="C16" s="1213"/>
      <c r="D16" s="1213">
        <v>1</v>
      </c>
      <c r="E16" s="1213"/>
      <c r="F16" s="1213"/>
      <c r="G16" s="1213"/>
      <c r="H16" s="1213"/>
      <c r="I16" s="1213"/>
      <c r="J16" s="1213">
        <v>1</v>
      </c>
      <c r="K16" s="1213"/>
      <c r="L16" s="63" t="s">
        <v>0</v>
      </c>
    </row>
    <row r="17" spans="1:14">
      <c r="A17" s="1023" t="s">
        <v>64</v>
      </c>
      <c r="B17" s="1213">
        <v>34</v>
      </c>
      <c r="C17" s="1213"/>
      <c r="D17" s="1213">
        <v>34</v>
      </c>
      <c r="E17" s="1213"/>
      <c r="F17" s="1213"/>
      <c r="G17" s="1213"/>
      <c r="H17" s="1213"/>
      <c r="I17" s="1213"/>
      <c r="J17" s="1213">
        <v>34</v>
      </c>
      <c r="K17" s="1213"/>
      <c r="L17" s="63" t="s">
        <v>0</v>
      </c>
    </row>
    <row r="18" spans="1:14">
      <c r="A18" s="1024" t="s">
        <v>65</v>
      </c>
      <c r="B18" s="1213">
        <v>4</v>
      </c>
      <c r="C18" s="1213"/>
      <c r="D18" s="1213">
        <v>4</v>
      </c>
      <c r="E18" s="1213"/>
      <c r="F18" s="1213"/>
      <c r="G18" s="1213"/>
      <c r="H18" s="1213"/>
      <c r="I18" s="1213"/>
      <c r="J18" s="1213">
        <v>4</v>
      </c>
      <c r="K18" s="1213"/>
      <c r="L18" s="63" t="s">
        <v>0</v>
      </c>
    </row>
    <row r="19" spans="1:14">
      <c r="A19" s="1023" t="s">
        <v>66</v>
      </c>
      <c r="B19" s="1213">
        <v>27</v>
      </c>
      <c r="C19" s="1213"/>
      <c r="D19" s="1213">
        <v>27</v>
      </c>
      <c r="E19" s="1213"/>
      <c r="F19" s="1213"/>
      <c r="G19" s="1213"/>
      <c r="H19" s="1213"/>
      <c r="I19" s="1213"/>
      <c r="J19" s="1213">
        <v>27</v>
      </c>
      <c r="K19" s="1213"/>
      <c r="L19" s="63" t="s">
        <v>0</v>
      </c>
    </row>
    <row r="20" spans="1:14">
      <c r="A20" s="1023" t="s">
        <v>67</v>
      </c>
      <c r="B20" s="1213">
        <v>103</v>
      </c>
      <c r="C20" s="1213"/>
      <c r="D20" s="1213">
        <v>103</v>
      </c>
      <c r="E20" s="1213"/>
      <c r="F20" s="1213"/>
      <c r="G20" s="1213"/>
      <c r="H20" s="1213"/>
      <c r="I20" s="1213"/>
      <c r="J20" s="1213">
        <v>103</v>
      </c>
      <c r="K20" s="1213"/>
      <c r="L20" s="63" t="s">
        <v>0</v>
      </c>
    </row>
    <row r="21" spans="1:14">
      <c r="A21" s="1023" t="s">
        <v>193</v>
      </c>
      <c r="B21" s="1213">
        <v>17</v>
      </c>
      <c r="C21" s="1213"/>
      <c r="D21" s="1213">
        <v>17</v>
      </c>
      <c r="E21" s="1213"/>
      <c r="F21" s="1213"/>
      <c r="G21" s="1213"/>
      <c r="H21" s="1213"/>
      <c r="I21" s="1213"/>
      <c r="J21" s="1213">
        <v>17</v>
      </c>
      <c r="K21" s="1213"/>
      <c r="L21" s="63" t="s">
        <v>0</v>
      </c>
    </row>
    <row r="22" spans="1:14">
      <c r="A22" s="1023" t="s">
        <v>68</v>
      </c>
      <c r="B22" s="1213">
        <v>1</v>
      </c>
      <c r="C22" s="1213"/>
      <c r="D22" s="1213">
        <v>1</v>
      </c>
      <c r="E22" s="1213"/>
      <c r="F22" s="1213"/>
      <c r="G22" s="1213"/>
      <c r="H22" s="1213"/>
      <c r="I22" s="1213"/>
      <c r="J22" s="1213">
        <v>1</v>
      </c>
      <c r="K22" s="1213"/>
      <c r="L22" s="63" t="s">
        <v>0</v>
      </c>
    </row>
    <row r="23" spans="1:14">
      <c r="A23" s="1023" t="s">
        <v>194</v>
      </c>
      <c r="B23" s="1213">
        <v>41</v>
      </c>
      <c r="C23" s="1213"/>
      <c r="D23" s="1213">
        <v>41</v>
      </c>
      <c r="E23" s="1213"/>
      <c r="F23" s="1213"/>
      <c r="G23" s="1213"/>
      <c r="H23" s="1213"/>
      <c r="I23" s="1213"/>
      <c r="J23" s="1213">
        <v>41</v>
      </c>
      <c r="K23" s="1213"/>
      <c r="L23" s="63" t="s">
        <v>0</v>
      </c>
    </row>
    <row r="24" spans="1:14">
      <c r="A24" s="1023" t="s">
        <v>69</v>
      </c>
      <c r="B24" s="1213">
        <v>1</v>
      </c>
      <c r="C24" s="1213"/>
      <c r="D24" s="1213">
        <v>1</v>
      </c>
      <c r="E24" s="1213"/>
      <c r="F24" s="1213"/>
      <c r="G24" s="1213"/>
      <c r="H24" s="1213"/>
      <c r="I24" s="1213"/>
      <c r="J24" s="1213">
        <v>1</v>
      </c>
      <c r="K24" s="1213"/>
      <c r="L24" s="63" t="s">
        <v>0</v>
      </c>
    </row>
    <row r="25" spans="1:14">
      <c r="A25" s="1023" t="s">
        <v>70</v>
      </c>
      <c r="B25" s="1213">
        <v>2</v>
      </c>
      <c r="C25" s="1213"/>
      <c r="D25" s="1213">
        <v>2</v>
      </c>
      <c r="E25" s="1213"/>
      <c r="F25" s="1213"/>
      <c r="G25" s="1213"/>
      <c r="H25" s="1213"/>
      <c r="I25" s="1213"/>
      <c r="J25" s="1213">
        <v>2</v>
      </c>
      <c r="K25" s="1213"/>
      <c r="L25" s="63" t="s">
        <v>0</v>
      </c>
    </row>
    <row r="26" spans="1:14">
      <c r="A26" s="1023" t="s">
        <v>86</v>
      </c>
      <c r="B26" s="1213">
        <v>39</v>
      </c>
      <c r="C26" s="1213"/>
      <c r="D26" s="1213">
        <v>39</v>
      </c>
      <c r="E26" s="1213"/>
      <c r="F26" s="1213"/>
      <c r="G26" s="1213"/>
      <c r="H26" s="1213"/>
      <c r="I26" s="1213"/>
      <c r="J26" s="1213">
        <v>39</v>
      </c>
      <c r="K26" s="1213"/>
      <c r="L26" s="63" t="s">
        <v>0</v>
      </c>
    </row>
    <row r="27" spans="1:14">
      <c r="A27" s="1025" t="s">
        <v>160</v>
      </c>
      <c r="B27" s="1214">
        <v>4</v>
      </c>
      <c r="C27" s="1214"/>
      <c r="D27" s="1214">
        <v>4</v>
      </c>
      <c r="E27" s="1214"/>
      <c r="F27" s="1214"/>
      <c r="G27" s="1214"/>
      <c r="H27" s="1214"/>
      <c r="I27" s="1214"/>
      <c r="J27" s="1214">
        <v>4</v>
      </c>
      <c r="K27" s="1214"/>
      <c r="L27" s="63" t="s">
        <v>0</v>
      </c>
    </row>
    <row r="28" spans="1:14" ht="15.75" thickBot="1">
      <c r="A28" s="1026" t="s">
        <v>24</v>
      </c>
      <c r="B28" s="281">
        <f t="shared" ref="B28:K28" si="0">SUM(B12:B27)</f>
        <v>702</v>
      </c>
      <c r="C28" s="279">
        <f t="shared" si="0"/>
        <v>0</v>
      </c>
      <c r="D28" s="281">
        <v>702</v>
      </c>
      <c r="E28" s="279">
        <f t="shared" si="0"/>
        <v>0</v>
      </c>
      <c r="F28" s="281">
        <f t="shared" si="0"/>
        <v>0</v>
      </c>
      <c r="G28" s="279">
        <f t="shared" si="0"/>
        <v>0</v>
      </c>
      <c r="H28" s="281">
        <f t="shared" si="0"/>
        <v>0</v>
      </c>
      <c r="I28" s="279">
        <f t="shared" si="0"/>
        <v>0</v>
      </c>
      <c r="J28" s="281">
        <v>702</v>
      </c>
      <c r="K28" s="279">
        <f t="shared" si="0"/>
        <v>0</v>
      </c>
      <c r="L28" s="64" t="s">
        <v>0</v>
      </c>
    </row>
    <row r="29" spans="1:14">
      <c r="A29" s="1027" t="s">
        <v>106</v>
      </c>
      <c r="B29" s="282"/>
      <c r="C29" s="283"/>
      <c r="D29" s="282"/>
      <c r="E29" s="283"/>
      <c r="F29" s="282"/>
      <c r="G29" s="283"/>
      <c r="H29" s="282"/>
      <c r="I29" s="284"/>
      <c r="J29" s="285"/>
      <c r="K29" s="284"/>
      <c r="L29" s="64" t="s">
        <v>0</v>
      </c>
      <c r="N29" s="260"/>
    </row>
    <row r="30" spans="1:14">
      <c r="A30" s="1028" t="s">
        <v>122</v>
      </c>
      <c r="B30" s="286"/>
      <c r="C30" s="287"/>
      <c r="D30" s="286"/>
      <c r="E30" s="287"/>
      <c r="F30" s="286"/>
      <c r="G30" s="287"/>
      <c r="H30" s="286"/>
      <c r="I30" s="288"/>
      <c r="J30" s="289"/>
      <c r="K30" s="288"/>
      <c r="L30" s="63" t="s">
        <v>0</v>
      </c>
    </row>
    <row r="31" spans="1:14">
      <c r="A31" s="1029" t="s">
        <v>123</v>
      </c>
      <c r="B31" s="290"/>
      <c r="C31" s="291"/>
      <c r="D31" s="290"/>
      <c r="E31" s="291"/>
      <c r="F31" s="290"/>
      <c r="G31" s="291"/>
      <c r="H31" s="290"/>
      <c r="I31" s="292"/>
      <c r="J31" s="293"/>
      <c r="K31" s="292"/>
      <c r="L31" s="63" t="s">
        <v>0</v>
      </c>
    </row>
    <row r="32" spans="1:14" s="12" customFormat="1">
      <c r="A32" s="1030" t="s">
        <v>24</v>
      </c>
      <c r="B32" s="278">
        <f>SUM(B29:B31)</f>
        <v>0</v>
      </c>
      <c r="C32" s="280">
        <f t="shared" ref="C32:J32" si="1">SUM(C29:C31)</f>
        <v>0</v>
      </c>
      <c r="D32" s="278">
        <f t="shared" si="1"/>
        <v>0</v>
      </c>
      <c r="E32" s="280">
        <f t="shared" si="1"/>
        <v>0</v>
      </c>
      <c r="F32" s="278">
        <f t="shared" si="1"/>
        <v>0</v>
      </c>
      <c r="G32" s="280">
        <f t="shared" si="1"/>
        <v>0</v>
      </c>
      <c r="H32" s="278">
        <f t="shared" si="1"/>
        <v>0</v>
      </c>
      <c r="I32" s="280">
        <f>SUM(I29:I31)</f>
        <v>0</v>
      </c>
      <c r="J32" s="278">
        <f t="shared" si="1"/>
        <v>0</v>
      </c>
      <c r="K32" s="280">
        <f>SUM(K29:K31)</f>
        <v>0</v>
      </c>
      <c r="L32" s="63" t="s">
        <v>13</v>
      </c>
    </row>
    <row r="33" spans="1:12" s="12" customFormat="1">
      <c r="A33" s="1730"/>
      <c r="B33" s="1730"/>
      <c r="C33" s="1730"/>
      <c r="D33" s="1730"/>
      <c r="E33" s="1730"/>
      <c r="F33" s="1730"/>
      <c r="G33" s="1730"/>
      <c r="H33" s="1730"/>
      <c r="I33" s="1730"/>
      <c r="J33" s="1730"/>
      <c r="K33" s="1730"/>
      <c r="L33" s="63"/>
    </row>
    <row r="34" spans="1:12" s="12" customFormat="1">
      <c r="L34" s="64"/>
    </row>
    <row r="35" spans="1:12" s="12" customFormat="1">
      <c r="A35" s="24"/>
      <c r="B35" s="73"/>
      <c r="C35" s="73"/>
      <c r="D35" s="73"/>
      <c r="E35" s="73"/>
      <c r="F35" s="73"/>
      <c r="G35" s="73"/>
      <c r="H35" s="73"/>
      <c r="I35" s="73"/>
      <c r="J35" s="73"/>
      <c r="K35" s="73"/>
      <c r="L35" s="64"/>
    </row>
    <row r="36" spans="1:12" s="12" customFormat="1" ht="12" customHeight="1">
      <c r="A36" s="104"/>
      <c r="B36" s="73"/>
      <c r="C36" s="73"/>
      <c r="D36" s="73"/>
      <c r="E36" s="73"/>
      <c r="F36" s="73"/>
      <c r="G36" s="73"/>
      <c r="H36" s="73"/>
      <c r="I36" s="73"/>
      <c r="J36" s="73"/>
      <c r="K36" s="73"/>
      <c r="L36" s="64"/>
    </row>
    <row r="37" spans="1:12" s="12" customFormat="1" ht="12" customHeight="1">
      <c r="A37" s="104"/>
      <c r="B37" s="73"/>
      <c r="C37" s="73"/>
      <c r="D37" s="73"/>
      <c r="E37" s="73"/>
      <c r="F37" s="73"/>
      <c r="G37" s="73"/>
      <c r="H37" s="73"/>
      <c r="I37" s="73"/>
      <c r="J37" s="73"/>
      <c r="K37" s="73"/>
      <c r="L37" s="64"/>
    </row>
    <row r="38" spans="1:12" s="12" customFormat="1" ht="12" customHeight="1">
      <c r="A38" s="27"/>
      <c r="B38" s="28"/>
      <c r="C38" s="28"/>
      <c r="D38" s="28"/>
      <c r="E38" s="28"/>
      <c r="F38" s="28"/>
      <c r="G38" s="28"/>
      <c r="H38" s="28"/>
      <c r="I38" s="28"/>
      <c r="J38" s="28"/>
      <c r="K38" s="28"/>
      <c r="L38" s="64"/>
    </row>
    <row r="39" spans="1:12" s="12" customFormat="1" ht="15.75">
      <c r="A39" s="47"/>
      <c r="B39" s="48"/>
      <c r="C39" s="48"/>
      <c r="D39" s="48"/>
      <c r="E39" s="48"/>
      <c r="F39" s="48"/>
      <c r="G39" s="48"/>
      <c r="H39" s="48"/>
      <c r="I39" s="48"/>
      <c r="J39" s="48"/>
      <c r="K39" s="48"/>
      <c r="L39" s="64"/>
    </row>
    <row r="40" spans="1:12" ht="71.25" customHeight="1">
      <c r="A40" s="1729"/>
      <c r="B40" s="1729"/>
      <c r="C40" s="1729"/>
      <c r="D40" s="1729"/>
      <c r="E40" s="1729"/>
      <c r="F40" s="1729"/>
      <c r="G40" s="1729"/>
      <c r="H40" s="1729"/>
      <c r="I40" s="1729"/>
      <c r="J40" s="1729"/>
      <c r="K40" s="1729"/>
    </row>
    <row r="41" spans="1:12" ht="39.75" customHeight="1">
      <c r="A41" s="1729"/>
      <c r="B41" s="1729"/>
      <c r="C41" s="1729"/>
      <c r="D41" s="1729"/>
      <c r="E41" s="1729"/>
      <c r="F41" s="1729"/>
      <c r="G41" s="1729"/>
      <c r="H41" s="1729"/>
      <c r="I41" s="1729"/>
      <c r="J41" s="1729"/>
      <c r="K41" s="1729"/>
    </row>
    <row r="42" spans="1:12" ht="58.5" customHeight="1">
      <c r="A42" s="1729"/>
      <c r="B42" s="1729"/>
      <c r="C42" s="1729"/>
      <c r="D42" s="1729"/>
      <c r="E42" s="1729"/>
      <c r="F42" s="1729"/>
      <c r="G42" s="1729"/>
      <c r="H42" s="1729"/>
      <c r="I42" s="1729"/>
      <c r="J42" s="1729"/>
      <c r="K42" s="1729"/>
    </row>
    <row r="43" spans="1:12" ht="69" customHeight="1">
      <c r="A43" s="1729"/>
      <c r="B43" s="1729"/>
      <c r="C43" s="1729"/>
      <c r="D43" s="1729"/>
      <c r="E43" s="1729"/>
      <c r="F43" s="1729"/>
      <c r="G43" s="1729"/>
      <c r="H43" s="1729"/>
      <c r="I43" s="1729"/>
      <c r="J43" s="1729"/>
      <c r="K43" s="1729"/>
    </row>
    <row r="44" spans="1:12">
      <c r="A44" s="43"/>
      <c r="B44" s="39"/>
      <c r="C44" s="39"/>
      <c r="D44" s="39"/>
      <c r="E44" s="39"/>
      <c r="F44" s="39"/>
      <c r="G44" s="39"/>
      <c r="H44" s="39"/>
      <c r="I44" s="39"/>
      <c r="J44" s="39"/>
      <c r="K44" s="39"/>
    </row>
    <row r="46" spans="1:12">
      <c r="A46" s="260"/>
      <c r="K46" s="52"/>
    </row>
  </sheetData>
  <customSheetViews>
    <customSheetView guid="{DA38F665-F06D-4DFB-B852-747D93BB00EF}" scale="75" showPageBreaks="1" fitToPage="1" printArea="1" view="pageBreakPreview">
      <pane xSplit="1" ySplit="11" topLeftCell="B12" activePane="bottomRight" state="frozen"/>
      <selection pane="bottomRight" activeCell="B210" sqref="B210"/>
      <pageMargins left="0.75" right="0.75" top="1" bottom="1" header="0.5" footer="0.5"/>
      <printOptions horizontalCentered="1"/>
      <pageSetup scale="71" orientation="landscape" r:id="rId1"/>
      <headerFooter alignWithMargins="0">
        <oddFooter>&amp;C&amp;"Times New Roman,Regular"Exhibit I - Detail of Permanent Positions by Category&amp;R&amp;"Times New Roman,Regular"Salaries and Expenses</oddFooter>
      </headerFooter>
    </customSheetView>
    <customSheetView guid="{3118AF25-8423-420A-806A-487665220C68}" scale="75" showPageBreaks="1" fitToPage="1" printArea="1" view="pageBreakPreview">
      <pane xSplit="1" ySplit="11" topLeftCell="B12" activePane="bottomRight" state="frozen"/>
      <selection pane="bottomRight" activeCell="J20" sqref="J20"/>
      <pageMargins left="0.75" right="0.75" top="1" bottom="1" header="0.5" footer="0.5"/>
      <printOptions horizontalCentered="1"/>
      <pageSetup scale="71" orientation="landscape" r:id="rId2"/>
      <headerFooter alignWithMargins="0">
        <oddFooter>&amp;C&amp;"Times New Roman,Regular"Exhibit I - Detail of Permanent Positions by Category</oddFooter>
      </headerFooter>
    </customSheetView>
    <customSheetView guid="{56C0A34E-45B4-448B-85E5-70B3A8E63333}" scale="75" showPageBreaks="1" fitToPage="1" printArea="1" view="pageBreakPreview">
      <pane xSplit="1" ySplit="11" topLeftCell="B12" activePane="bottomRight" state="frozen"/>
      <selection pane="bottomRight" activeCell="A48" sqref="A48"/>
      <pageMargins left="0.75" right="0.75" top="1" bottom="1" header="0.5" footer="0.5"/>
      <printOptions horizontalCentered="1"/>
      <pageSetup scale="71" orientation="landscape" r:id="rId3"/>
      <headerFooter alignWithMargins="0">
        <oddFooter>&amp;C&amp;"Times New Roman,Regular"Exhibit I - Detail of Permanent Positions by Category</oddFooter>
      </headerFooter>
    </customSheetView>
    <customSheetView guid="{4148B88B-8ED7-4FDE-9459-DEB244AD0552}" scale="75" showPageBreaks="1" fitToPage="1" printArea="1" view="pageBreakPreview">
      <pane xSplit="1" ySplit="11" topLeftCell="B40" activePane="bottomRight" state="frozen"/>
      <selection pane="bottomRight" activeCell="A47" sqref="A47"/>
      <pageMargins left="0.75" right="0.75" top="1" bottom="1" header="0.5" footer="0.5"/>
      <printOptions horizontalCentered="1"/>
      <pageSetup scale="71" orientation="landscape" r:id="rId4"/>
      <headerFooter alignWithMargins="0">
        <oddFooter>&amp;C&amp;"Times New Roman,Regular"Exhibit I - Detail of Permanent Positions by Category</oddFooter>
      </headerFooter>
    </customSheetView>
    <customSheetView guid="{12C66D54-5067-4346-818B-6EAB1C8A9183}" scale="75" showPageBreaks="1" fitToPage="1" printArea="1" view="pageBreakPreview">
      <pane xSplit="1" ySplit="11" topLeftCell="B12" activePane="bottomRight" state="frozen"/>
      <selection pane="bottomRight" activeCell="D15" sqref="D15"/>
      <pageMargins left="0.75" right="0.75" top="1" bottom="1" header="0.5" footer="0.5"/>
      <printOptions horizontalCentered="1"/>
      <pageSetup scale="71" orientation="landscape" r:id="rId5"/>
      <headerFooter alignWithMargins="0">
        <oddFooter>&amp;C&amp;"Times New Roman,Regular"Exhibit I - Detail of Permanent Positions by Category</oddFooter>
      </headerFooter>
    </customSheetView>
    <customSheetView guid="{AB21D485-B25C-4861-87C3-6754CE948F1C}" scale="75" showPageBreaks="1" fitToPage="1" printArea="1" view="pageBreakPreview">
      <pane xSplit="1" ySplit="11" topLeftCell="B12" activePane="bottomRight" state="frozen"/>
      <selection pane="bottomRight" activeCell="D15" sqref="D15"/>
      <pageMargins left="0.75" right="0.75" top="1" bottom="1" header="0.5" footer="0.5"/>
      <printOptions horizontalCentered="1"/>
      <pageSetup scale="71" orientation="landscape" r:id="rId6"/>
      <headerFooter alignWithMargins="0">
        <oddFooter>&amp;C&amp;"Times New Roman,Regular"Exhibit I - Detail of Permanent Positions by Category</oddFooter>
      </headerFooter>
    </customSheetView>
    <customSheetView guid="{4D0F9E3D-0229-48CC-A08B-F132802E9D7B}" scale="75" showPageBreaks="1" fitToPage="1" printArea="1" view="pageBreakPreview">
      <pane xSplit="1" ySplit="11" topLeftCell="B12" activePane="bottomRight" state="frozen"/>
      <selection pane="bottomRight" activeCell="N29" sqref="N29"/>
      <pageMargins left="0.75" right="0.75" top="1" bottom="1" header="0.5" footer="0.5"/>
      <printOptions horizontalCentered="1"/>
      <pageSetup scale="71" orientation="landscape" r:id="rId7"/>
      <headerFooter alignWithMargins="0">
        <oddFooter>&amp;C&amp;"Times New Roman,Regular"Exhibit I - Detail of Permanent Positions by Category&amp;R&amp;"Times New Roman,Regular"Salaries and Expenses</oddFooter>
      </headerFooter>
    </customSheetView>
    <customSheetView guid="{F6772377-6B25-4EEA-B255-4C2F62B37855}" scale="75" showPageBreaks="1" fitToPage="1" printArea="1" view="pageBreakPreview">
      <pane xSplit="1" ySplit="11" topLeftCell="B12" activePane="bottomRight" state="frozen"/>
      <selection pane="bottomRight" activeCell="J29" sqref="J29"/>
      <pageMargins left="0.75" right="0.75" top="1" bottom="1" header="0.5" footer="0.5"/>
      <printOptions horizontalCentered="1"/>
      <pageSetup scale="71" orientation="landscape" r:id="rId8"/>
      <headerFooter alignWithMargins="0">
        <oddFooter>&amp;C&amp;"Times New Roman,Regular"Exhibit I - Detail of Permanent Positions by Category&amp;R&amp;"Times New Roman,Regular"Salaries and Expenses</oddFooter>
      </headerFooter>
    </customSheetView>
    <customSheetView guid="{27B9C207-C13F-4981-9CED-E69585BBD779}" scale="75" showPageBreaks="1" fitToPage="1" printArea="1" view="pageBreakPreview" topLeftCell="A7">
      <selection activeCell="J31" sqref="J31"/>
      <pageMargins left="0.75" right="0.75" top="1" bottom="1" header="0.5" footer="0.5"/>
      <printOptions horizontalCentered="1"/>
      <pageSetup scale="71" orientation="landscape" r:id="rId9"/>
      <headerFooter alignWithMargins="0">
        <oddFooter>&amp;C&amp;"Times New Roman,Regular"Exhibit I - Detail of Permanent Positions by Category&amp;R&amp;"Times New Roman,Regular"Salaries and Expenses/Management &amp; Administration</oddFooter>
      </headerFooter>
    </customSheetView>
  </customSheetViews>
  <mergeCells count="27">
    <mergeCell ref="H10:H11"/>
    <mergeCell ref="A7:K7"/>
    <mergeCell ref="A8:K8"/>
    <mergeCell ref="G10:G11"/>
    <mergeCell ref="B10:B11"/>
    <mergeCell ref="C10:C11"/>
    <mergeCell ref="D10:D11"/>
    <mergeCell ref="F10:F11"/>
    <mergeCell ref="F9:K9"/>
    <mergeCell ref="D9:E9"/>
    <mergeCell ref="B9:C9"/>
    <mergeCell ref="K10:K11"/>
    <mergeCell ref="J10:J11"/>
    <mergeCell ref="I10:I11"/>
    <mergeCell ref="E10:E11"/>
    <mergeCell ref="A9:A11"/>
    <mergeCell ref="A1:K1"/>
    <mergeCell ref="A4:K4"/>
    <mergeCell ref="A5:K5"/>
    <mergeCell ref="A6:K6"/>
    <mergeCell ref="A2:K2"/>
    <mergeCell ref="A3:K3"/>
    <mergeCell ref="A43:K43"/>
    <mergeCell ref="A40:K40"/>
    <mergeCell ref="A41:K41"/>
    <mergeCell ref="A42:K42"/>
    <mergeCell ref="A33:K33"/>
  </mergeCells>
  <phoneticPr fontId="0" type="noConversion"/>
  <printOptions horizontalCentered="1"/>
  <pageMargins left="0.75" right="0.75" top="1" bottom="1" header="0.5" footer="0.5"/>
  <pageSetup scale="71" orientation="landscape" r:id="rId10"/>
  <headerFooter alignWithMargins="0">
    <oddFooter>&amp;C&amp;"Times New Roman,Regular"Exhibit I - Detail of Permanent Positions by Category&amp;R&amp;"Times New Roman,Regular"Salaries and Expenses/Management &amp; Administration</oddFooter>
  </headerFooter>
</worksheet>
</file>

<file path=xl/worksheets/sheet8.xml><?xml version="1.0" encoding="utf-8"?>
<worksheet xmlns="http://schemas.openxmlformats.org/spreadsheetml/2006/main" xmlns:r="http://schemas.openxmlformats.org/officeDocument/2006/relationships">
  <sheetPr codeName="Sheet16"/>
  <dimension ref="A1:N52"/>
  <sheetViews>
    <sheetView showGridLines="0" showOutlineSymbols="0" view="pageBreakPreview" zoomScale="75" zoomScaleNormal="75" zoomScaleSheetLayoutView="75" workbookViewId="0">
      <selection activeCell="E16" sqref="E16"/>
    </sheetView>
  </sheetViews>
  <sheetFormatPr defaultColWidth="9.6640625" defaultRowHeight="15.75"/>
  <cols>
    <col min="1" max="1" width="57" style="7" customWidth="1"/>
    <col min="2" max="2" width="8.33203125" style="7" customWidth="1"/>
    <col min="3" max="3" width="12.109375" style="7" customWidth="1"/>
    <col min="4" max="4" width="8.77734375" style="7" customWidth="1"/>
    <col min="5" max="5" width="9.77734375" style="7" customWidth="1"/>
    <col min="6" max="6" width="9.21875" style="7" customWidth="1"/>
    <col min="7" max="7" width="9.77734375" style="7" customWidth="1"/>
    <col min="8" max="8" width="7.77734375" style="7" customWidth="1"/>
    <col min="9" max="9" width="11.77734375" style="7" bestFit="1" customWidth="1"/>
    <col min="10" max="10" width="7.5546875" style="61" customWidth="1"/>
    <col min="11" max="16384" width="9.6640625" style="7"/>
  </cols>
  <sheetData>
    <row r="1" spans="1:10" ht="20.25">
      <c r="A1" s="1762" t="s">
        <v>90</v>
      </c>
      <c r="B1" s="1763"/>
      <c r="C1" s="1763"/>
      <c r="D1" s="1763"/>
      <c r="E1" s="1763"/>
      <c r="F1" s="1763"/>
      <c r="G1" s="1763"/>
      <c r="H1" s="1763"/>
      <c r="I1" s="1763"/>
      <c r="J1" s="181" t="s">
        <v>0</v>
      </c>
    </row>
    <row r="2" spans="1:10" ht="18.75">
      <c r="A2" s="1764"/>
      <c r="B2" s="1764"/>
      <c r="C2" s="1764"/>
      <c r="D2" s="1764"/>
      <c r="E2" s="1764"/>
      <c r="F2" s="1764"/>
      <c r="G2" s="1764"/>
      <c r="H2" s="1764"/>
      <c r="I2" s="1764"/>
      <c r="J2" s="181" t="s">
        <v>0</v>
      </c>
    </row>
    <row r="3" spans="1:10">
      <c r="A3" s="1765"/>
      <c r="B3" s="1765"/>
      <c r="C3" s="1765"/>
      <c r="D3" s="1765"/>
      <c r="E3" s="1765"/>
      <c r="F3" s="1765"/>
      <c r="G3" s="1765"/>
      <c r="H3" s="1765"/>
      <c r="I3" s="1765"/>
      <c r="J3" s="181" t="s">
        <v>0</v>
      </c>
    </row>
    <row r="4" spans="1:10" ht="20.25">
      <c r="A4" s="1759" t="s">
        <v>125</v>
      </c>
      <c r="B4" s="1701"/>
      <c r="C4" s="1701"/>
      <c r="D4" s="1701"/>
      <c r="E4" s="1701"/>
      <c r="F4" s="1701"/>
      <c r="G4" s="1701"/>
      <c r="H4" s="1701"/>
      <c r="I4" s="1701"/>
      <c r="J4" s="181" t="s">
        <v>0</v>
      </c>
    </row>
    <row r="5" spans="1:10" ht="18.75">
      <c r="A5" s="1758" t="str">
        <f>+'B. Summ of Reqs - S&amp;E-M&amp;A '!A5</f>
        <v>Office of Justice Programs</v>
      </c>
      <c r="B5" s="1703"/>
      <c r="C5" s="1703"/>
      <c r="D5" s="1703"/>
      <c r="E5" s="1703"/>
      <c r="F5" s="1703"/>
      <c r="G5" s="1703"/>
      <c r="H5" s="1703"/>
      <c r="I5" s="1703"/>
      <c r="J5" s="181" t="s">
        <v>0</v>
      </c>
    </row>
    <row r="6" spans="1:10" ht="18.75">
      <c r="A6" s="1758" t="str">
        <f>+'B. Summ of Reqs - S&amp;E-M&amp;A '!A6</f>
        <v>Salaries and Expenses/Management &amp; Administration</v>
      </c>
      <c r="B6" s="1701"/>
      <c r="C6" s="1701"/>
      <c r="D6" s="1701"/>
      <c r="E6" s="1701"/>
      <c r="F6" s="1701"/>
      <c r="G6" s="1701"/>
      <c r="H6" s="1701"/>
      <c r="I6" s="1701"/>
      <c r="J6" s="181" t="s">
        <v>0</v>
      </c>
    </row>
    <row r="7" spans="1:10">
      <c r="A7" s="1765"/>
      <c r="B7" s="1765"/>
      <c r="C7" s="1765"/>
      <c r="D7" s="1765"/>
      <c r="E7" s="1765"/>
      <c r="F7" s="1765"/>
      <c r="G7" s="1765"/>
      <c r="H7" s="1765"/>
      <c r="I7" s="1765"/>
      <c r="J7" s="181" t="s">
        <v>0</v>
      </c>
    </row>
    <row r="8" spans="1:10" ht="16.5" thickBot="1">
      <c r="A8" s="1778" t="s">
        <v>116</v>
      </c>
      <c r="B8" s="1778"/>
      <c r="C8" s="1778"/>
      <c r="D8" s="1778"/>
      <c r="E8" s="1778"/>
      <c r="F8" s="1778"/>
      <c r="G8" s="1778"/>
      <c r="H8" s="1778"/>
      <c r="I8" s="1778"/>
      <c r="J8" s="181" t="s">
        <v>0</v>
      </c>
    </row>
    <row r="9" spans="1:10">
      <c r="A9" s="1774" t="s">
        <v>30</v>
      </c>
      <c r="B9" s="1768" t="s">
        <v>170</v>
      </c>
      <c r="C9" s="1769"/>
      <c r="D9" s="1768" t="s">
        <v>165</v>
      </c>
      <c r="E9" s="1769"/>
      <c r="F9" s="1768" t="s">
        <v>154</v>
      </c>
      <c r="G9" s="1769"/>
      <c r="H9" s="1768" t="s">
        <v>22</v>
      </c>
      <c r="I9" s="1772"/>
      <c r="J9" s="181" t="s">
        <v>0</v>
      </c>
    </row>
    <row r="10" spans="1:10" ht="53.25" customHeight="1">
      <c r="A10" s="1756"/>
      <c r="B10" s="1770"/>
      <c r="C10" s="1771"/>
      <c r="D10" s="1770"/>
      <c r="E10" s="1771"/>
      <c r="F10" s="1770"/>
      <c r="G10" s="1771"/>
      <c r="H10" s="1770"/>
      <c r="I10" s="1773"/>
      <c r="J10" s="181" t="s">
        <v>0</v>
      </c>
    </row>
    <row r="11" spans="1:10" ht="16.5" thickBot="1">
      <c r="A11" s="1775"/>
      <c r="B11" s="118" t="s">
        <v>115</v>
      </c>
      <c r="C11" s="119" t="s">
        <v>117</v>
      </c>
      <c r="D11" s="118" t="s">
        <v>115</v>
      </c>
      <c r="E11" s="119" t="s">
        <v>117</v>
      </c>
      <c r="F11" s="118" t="s">
        <v>115</v>
      </c>
      <c r="G11" s="119" t="s">
        <v>117</v>
      </c>
      <c r="H11" s="118" t="s">
        <v>115</v>
      </c>
      <c r="I11" s="300" t="s">
        <v>117</v>
      </c>
      <c r="J11" s="181" t="s">
        <v>0</v>
      </c>
    </row>
    <row r="12" spans="1:10">
      <c r="A12" s="355" t="s">
        <v>196</v>
      </c>
      <c r="B12" s="328">
        <v>6</v>
      </c>
      <c r="C12" s="325"/>
      <c r="D12" s="328">
        <v>6</v>
      </c>
      <c r="E12" s="325"/>
      <c r="F12" s="328">
        <v>6</v>
      </c>
      <c r="G12" s="337"/>
      <c r="H12" s="329"/>
      <c r="I12" s="327"/>
      <c r="J12" s="181" t="s">
        <v>0</v>
      </c>
    </row>
    <row r="13" spans="1:10">
      <c r="A13" s="356" t="s">
        <v>84</v>
      </c>
      <c r="B13" s="328">
        <v>20</v>
      </c>
      <c r="C13" s="1512"/>
      <c r="D13" s="328">
        <v>20</v>
      </c>
      <c r="E13" s="1512"/>
      <c r="F13" s="328">
        <v>20</v>
      </c>
      <c r="G13" s="75"/>
      <c r="H13" s="74"/>
      <c r="I13" s="326"/>
      <c r="J13" s="181" t="s">
        <v>0</v>
      </c>
    </row>
    <row r="14" spans="1:10">
      <c r="A14" s="114" t="s">
        <v>83</v>
      </c>
      <c r="B14" s="328">
        <v>78</v>
      </c>
      <c r="C14" s="1512"/>
      <c r="D14" s="328">
        <v>78</v>
      </c>
      <c r="E14" s="1512"/>
      <c r="F14" s="328">
        <v>78</v>
      </c>
      <c r="G14" s="75"/>
      <c r="H14" s="74"/>
      <c r="I14" s="301"/>
      <c r="J14" s="181" t="s">
        <v>0</v>
      </c>
    </row>
    <row r="15" spans="1:10">
      <c r="A15" s="114" t="s">
        <v>82</v>
      </c>
      <c r="B15" s="328">
        <v>134</v>
      </c>
      <c r="C15" s="1512"/>
      <c r="D15" s="328">
        <v>134</v>
      </c>
      <c r="E15" s="1512"/>
      <c r="F15" s="328">
        <v>134</v>
      </c>
      <c r="G15" s="75"/>
      <c r="H15" s="74"/>
      <c r="I15" s="301"/>
      <c r="J15" s="181" t="s">
        <v>0</v>
      </c>
    </row>
    <row r="16" spans="1:10">
      <c r="A16" s="114" t="s">
        <v>81</v>
      </c>
      <c r="B16" s="328">
        <v>254</v>
      </c>
      <c r="C16" s="1512"/>
      <c r="D16" s="328">
        <v>238</v>
      </c>
      <c r="E16" s="1512"/>
      <c r="F16" s="328">
        <v>238</v>
      </c>
      <c r="G16" s="75"/>
      <c r="H16" s="74"/>
      <c r="I16" s="301"/>
      <c r="J16" s="181" t="s">
        <v>0</v>
      </c>
    </row>
    <row r="17" spans="1:12">
      <c r="A17" s="114" t="s">
        <v>80</v>
      </c>
      <c r="B17" s="328">
        <v>58</v>
      </c>
      <c r="C17" s="1512"/>
      <c r="D17" s="328">
        <v>58</v>
      </c>
      <c r="E17" s="1512"/>
      <c r="F17" s="328">
        <v>58</v>
      </c>
      <c r="G17" s="75"/>
      <c r="H17" s="74"/>
      <c r="I17" s="301"/>
      <c r="J17" s="181" t="s">
        <v>0</v>
      </c>
    </row>
    <row r="18" spans="1:12">
      <c r="A18" s="114" t="s">
        <v>79</v>
      </c>
      <c r="B18" s="328">
        <v>58</v>
      </c>
      <c r="C18" s="1512"/>
      <c r="D18" s="328">
        <v>58</v>
      </c>
      <c r="E18" s="1512"/>
      <c r="F18" s="328">
        <v>58</v>
      </c>
      <c r="G18" s="75"/>
      <c r="H18" s="74"/>
      <c r="I18" s="301"/>
      <c r="J18" s="181" t="s">
        <v>0</v>
      </c>
    </row>
    <row r="19" spans="1:12">
      <c r="A19" s="114" t="s">
        <v>78</v>
      </c>
      <c r="B19" s="328">
        <v>7</v>
      </c>
      <c r="C19" s="1512"/>
      <c r="D19" s="328">
        <v>7</v>
      </c>
      <c r="E19" s="1512"/>
      <c r="F19" s="328">
        <v>7</v>
      </c>
      <c r="G19" s="75"/>
      <c r="H19" s="74"/>
      <c r="I19" s="301"/>
      <c r="J19" s="181" t="s">
        <v>0</v>
      </c>
    </row>
    <row r="20" spans="1:12">
      <c r="A20" s="114" t="s">
        <v>77</v>
      </c>
      <c r="B20" s="328">
        <v>34</v>
      </c>
      <c r="C20" s="1512"/>
      <c r="D20" s="328">
        <v>34</v>
      </c>
      <c r="E20" s="1512"/>
      <c r="F20" s="328">
        <v>34</v>
      </c>
      <c r="G20" s="75"/>
      <c r="H20" s="74"/>
      <c r="I20" s="301"/>
      <c r="J20" s="181" t="s">
        <v>0</v>
      </c>
    </row>
    <row r="21" spans="1:12">
      <c r="A21" s="114" t="s">
        <v>76</v>
      </c>
      <c r="B21" s="328">
        <v>13</v>
      </c>
      <c r="C21" s="1512"/>
      <c r="D21" s="328">
        <v>13</v>
      </c>
      <c r="E21" s="1512"/>
      <c r="F21" s="328">
        <v>13</v>
      </c>
      <c r="G21" s="75"/>
      <c r="H21" s="74"/>
      <c r="I21" s="301"/>
      <c r="J21" s="181" t="s">
        <v>0</v>
      </c>
    </row>
    <row r="22" spans="1:12">
      <c r="A22" s="114" t="s">
        <v>75</v>
      </c>
      <c r="B22" s="328">
        <v>23</v>
      </c>
      <c r="C22" s="1512"/>
      <c r="D22" s="328">
        <v>23</v>
      </c>
      <c r="E22" s="1512"/>
      <c r="F22" s="328">
        <v>23</v>
      </c>
      <c r="G22" s="75"/>
      <c r="H22" s="74"/>
      <c r="I22" s="301"/>
      <c r="J22" s="181" t="s">
        <v>0</v>
      </c>
    </row>
    <row r="23" spans="1:12">
      <c r="A23" s="114" t="s">
        <v>74</v>
      </c>
      <c r="B23" s="328">
        <v>9</v>
      </c>
      <c r="C23" s="1512"/>
      <c r="D23" s="328">
        <v>9</v>
      </c>
      <c r="E23" s="1512"/>
      <c r="F23" s="328">
        <v>9</v>
      </c>
      <c r="G23" s="75"/>
      <c r="H23" s="74"/>
      <c r="I23" s="301"/>
      <c r="J23" s="181" t="s">
        <v>0</v>
      </c>
    </row>
    <row r="24" spans="1:12">
      <c r="A24" s="114" t="s">
        <v>73</v>
      </c>
      <c r="B24" s="328">
        <v>6</v>
      </c>
      <c r="C24" s="1512"/>
      <c r="D24" s="328">
        <v>6</v>
      </c>
      <c r="E24" s="1512"/>
      <c r="F24" s="328">
        <v>6</v>
      </c>
      <c r="G24" s="75"/>
      <c r="H24" s="74"/>
      <c r="I24" s="301"/>
      <c r="J24" s="181" t="s">
        <v>0</v>
      </c>
    </row>
    <row r="25" spans="1:12">
      <c r="A25" s="114" t="s">
        <v>72</v>
      </c>
      <c r="B25" s="328">
        <v>2</v>
      </c>
      <c r="C25" s="1512"/>
      <c r="D25" s="328">
        <v>2</v>
      </c>
      <c r="E25" s="1512"/>
      <c r="F25" s="328">
        <v>2</v>
      </c>
      <c r="G25" s="75"/>
      <c r="H25" s="74"/>
      <c r="I25" s="301"/>
      <c r="J25" s="181" t="s">
        <v>0</v>
      </c>
    </row>
    <row r="26" spans="1:12">
      <c r="A26" s="115" t="s">
        <v>161</v>
      </c>
      <c r="B26" s="1513">
        <f>SUM(B12:B25)</f>
        <v>702</v>
      </c>
      <c r="C26" s="1514">
        <v>0</v>
      </c>
      <c r="D26" s="1513">
        <v>702</v>
      </c>
      <c r="E26" s="1514">
        <v>0</v>
      </c>
      <c r="F26" s="1513">
        <v>702</v>
      </c>
      <c r="G26" s="100">
        <f>SUM(G12:G25)</f>
        <v>0</v>
      </c>
      <c r="H26" s="76">
        <f>SUM(H12:H25)</f>
        <v>0</v>
      </c>
      <c r="I26" s="302">
        <v>0</v>
      </c>
      <c r="J26" s="181" t="s">
        <v>0</v>
      </c>
      <c r="L26" s="18"/>
    </row>
    <row r="27" spans="1:12">
      <c r="A27" s="116" t="s">
        <v>10</v>
      </c>
      <c r="B27" s="77"/>
      <c r="C27" s="51">
        <v>157170</v>
      </c>
      <c r="D27" s="77"/>
      <c r="E27" s="51">
        <v>169180</v>
      </c>
      <c r="F27" s="357"/>
      <c r="G27" s="51">
        <v>169180</v>
      </c>
      <c r="H27" s="77"/>
      <c r="I27" s="303"/>
      <c r="J27" s="181" t="s">
        <v>0</v>
      </c>
    </row>
    <row r="28" spans="1:12">
      <c r="A28" s="116" t="s">
        <v>51</v>
      </c>
      <c r="B28" s="78"/>
      <c r="C28" s="51">
        <v>84855</v>
      </c>
      <c r="D28" s="77"/>
      <c r="E28" s="51">
        <v>84855</v>
      </c>
      <c r="F28" s="357"/>
      <c r="G28" s="51">
        <f>E28*1.005</f>
        <v>85279.274999999994</v>
      </c>
      <c r="H28" s="77"/>
      <c r="I28" s="301"/>
      <c r="J28" s="181" t="s">
        <v>0</v>
      </c>
    </row>
    <row r="29" spans="1:12" ht="16.5" thickBot="1">
      <c r="A29" s="117" t="s">
        <v>52</v>
      </c>
      <c r="B29" s="79"/>
      <c r="C29" s="103">
        <v>12</v>
      </c>
      <c r="D29" s="80"/>
      <c r="E29" s="103">
        <v>12</v>
      </c>
      <c r="F29" s="80"/>
      <c r="G29" s="103">
        <v>12</v>
      </c>
      <c r="H29" s="80"/>
      <c r="I29" s="304"/>
      <c r="J29" s="181" t="s">
        <v>13</v>
      </c>
    </row>
    <row r="30" spans="1:12" s="29" customFormat="1">
      <c r="A30" s="1776"/>
      <c r="B30" s="1777"/>
      <c r="C30" s="1777"/>
      <c r="D30" s="1777"/>
      <c r="E30" s="1777"/>
      <c r="F30" s="1777"/>
      <c r="G30" s="1777"/>
      <c r="H30" s="1777"/>
      <c r="I30" s="1777"/>
      <c r="J30" s="1777"/>
    </row>
    <row r="31" spans="1:12" s="29" customFormat="1">
      <c r="A31" s="1215"/>
      <c r="B31" s="1215"/>
      <c r="C31" s="1215"/>
      <c r="D31" s="1215"/>
      <c r="E31" s="1215"/>
      <c r="F31" s="1215"/>
      <c r="G31" s="1215"/>
      <c r="H31" s="1215"/>
      <c r="I31" s="1215"/>
      <c r="J31" s="1216"/>
    </row>
    <row r="32" spans="1:12" s="29" customFormat="1">
      <c r="A32" s="1217"/>
      <c r="B32" s="1218"/>
      <c r="C32" s="1218"/>
      <c r="D32" s="1218"/>
      <c r="E32" s="1218"/>
      <c r="F32" s="1218"/>
      <c r="G32" s="1218"/>
      <c r="H32" s="1218"/>
      <c r="J32" s="1219"/>
    </row>
    <row r="33" spans="1:14" s="29" customFormat="1">
      <c r="A33" s="1217"/>
      <c r="B33" s="1218"/>
      <c r="C33" s="1218"/>
      <c r="D33" s="1218"/>
      <c r="E33" s="1218"/>
      <c r="F33" s="1218"/>
      <c r="G33" s="1218"/>
      <c r="H33" s="1218"/>
      <c r="J33" s="1219"/>
    </row>
    <row r="34" spans="1:14" s="29" customFormat="1" ht="67.5" customHeight="1">
      <c r="A34" s="1766"/>
      <c r="B34" s="1766"/>
      <c r="C34" s="1766"/>
      <c r="D34" s="1766"/>
      <c r="E34" s="1766"/>
      <c r="F34" s="1766"/>
      <c r="G34" s="1766"/>
      <c r="H34" s="1766"/>
      <c r="J34" s="1219"/>
    </row>
    <row r="35" spans="1:14" s="29" customFormat="1" ht="18.95" customHeight="1">
      <c r="A35" s="1767"/>
      <c r="B35" s="1767"/>
      <c r="C35" s="1767"/>
      <c r="D35" s="1767"/>
      <c r="E35" s="1767"/>
      <c r="F35" s="1767"/>
      <c r="G35" s="1767"/>
      <c r="H35" s="1767"/>
      <c r="J35" s="1219"/>
    </row>
    <row r="36" spans="1:14" s="29" customFormat="1">
      <c r="A36" s="377"/>
      <c r="B36" s="377"/>
      <c r="C36" s="377"/>
      <c r="D36" s="377"/>
      <c r="E36" s="377"/>
      <c r="F36" s="377"/>
      <c r="G36" s="377"/>
      <c r="H36" s="377"/>
      <c r="J36" s="1219"/>
    </row>
    <row r="37" spans="1:14" s="29" customFormat="1" ht="18.95" customHeight="1">
      <c r="A37" s="1760"/>
      <c r="B37" s="1760"/>
      <c r="C37" s="1760"/>
      <c r="D37" s="1760"/>
      <c r="E37" s="1760"/>
      <c r="F37" s="1760"/>
      <c r="G37" s="1760"/>
      <c r="H37" s="1760"/>
      <c r="I37" s="1760"/>
      <c r="J37" s="1760"/>
      <c r="K37" s="1760"/>
      <c r="L37" s="1760"/>
      <c r="M37" s="1760"/>
      <c r="N37" s="1761"/>
    </row>
    <row r="38" spans="1:14" s="29" customFormat="1">
      <c r="J38" s="1219"/>
    </row>
    <row r="39" spans="1:14" s="29" customFormat="1">
      <c r="J39" s="1219"/>
    </row>
    <row r="40" spans="1:14" s="29" customFormat="1">
      <c r="J40" s="1219"/>
    </row>
    <row r="41" spans="1:14" s="29" customFormat="1">
      <c r="J41" s="1219"/>
    </row>
    <row r="42" spans="1:14" s="29" customFormat="1">
      <c r="J42" s="1219"/>
    </row>
    <row r="43" spans="1:14" s="29" customFormat="1">
      <c r="J43" s="1219"/>
    </row>
    <row r="44" spans="1:14" s="29" customFormat="1">
      <c r="J44" s="1219"/>
    </row>
    <row r="45" spans="1:14" s="29" customFormat="1">
      <c r="J45" s="1219"/>
    </row>
    <row r="46" spans="1:14" s="29" customFormat="1">
      <c r="J46" s="1219"/>
    </row>
    <row r="47" spans="1:14" s="29" customFormat="1">
      <c r="J47" s="1219"/>
    </row>
    <row r="48" spans="1:14" s="29" customFormat="1">
      <c r="J48" s="1219"/>
    </row>
    <row r="49" spans="10:10" s="29" customFormat="1">
      <c r="J49" s="1219"/>
    </row>
    <row r="50" spans="10:10" s="29" customFormat="1">
      <c r="J50" s="1219"/>
    </row>
    <row r="51" spans="10:10" s="29" customFormat="1">
      <c r="J51" s="1219"/>
    </row>
    <row r="52" spans="10:10" s="29" customFormat="1">
      <c r="J52" s="1219"/>
    </row>
  </sheetData>
  <customSheetViews>
    <customSheetView guid="{DA38F665-F06D-4DFB-B852-747D93BB00EF}" scale="75" showPageBreaks="1" showGridLines="0" outlineSymbols="0" printArea="1" view="pageBreakPreview">
      <pane xSplit="1" ySplit="11" topLeftCell="B12" activePane="bottomRight" state="frozen"/>
      <selection pane="bottomRight" activeCell="B210" sqref="B210"/>
      <pageMargins left="0.5" right="0.5" top="0.5" bottom="0.55000000000000004" header="0" footer="0"/>
      <printOptions horizontalCentered="1"/>
      <pageSetup scale="67" orientation="landscape" horizontalDpi="300" verticalDpi="300" r:id="rId1"/>
      <headerFooter alignWithMargins="0">
        <oddFooter>&amp;C&amp;"Times New Roman,Regular"Exhibit K - Summary of Requirements by Grade&amp;R&amp;"Times New Roman,Regular"Salaries and Expenses</oddFooter>
      </headerFooter>
    </customSheetView>
    <customSheetView guid="{3118AF25-8423-420A-806A-487665220C68}" scale="75" showPageBreaks="1" showGridLines="0" outlineSymbols="0" printArea="1" view="pageBreakPreview">
      <pane xSplit="1" ySplit="11" topLeftCell="B24" activePane="bottomRight" state="frozen"/>
      <selection pane="bottomRight" activeCell="F29" sqref="F29"/>
      <pageMargins left="0.5" right="0.5" top="0.5" bottom="0.55000000000000004" header="0" footer="0"/>
      <printOptions horizontalCentered="1"/>
      <pageSetup scale="67" orientation="landscape" horizontalDpi="300" verticalDpi="300" r:id="rId2"/>
      <headerFooter alignWithMargins="0">
        <oddFooter>&amp;C&amp;"Times New Roman,Regular"Exhibit K - Summary of Requirements by Grade</oddFooter>
      </headerFooter>
    </customSheetView>
    <customSheetView guid="{56C0A34E-45B4-448B-85E5-70B3A8E63333}" scale="75" showPageBreaks="1" showGridLines="0" outlineSymbols="0" printArea="1" view="pageBreakPreview">
      <pane xSplit="1" ySplit="11" topLeftCell="B12" activePane="bottomRight" state="frozen"/>
      <selection pane="bottomRight" activeCell="D9" sqref="D9:E10"/>
      <pageMargins left="0.5" right="0.5" top="0.5" bottom="0.55000000000000004" header="0" footer="0"/>
      <printOptions horizontalCentered="1"/>
      <pageSetup scale="67" orientation="landscape" horizontalDpi="300" verticalDpi="300" r:id="rId3"/>
      <headerFooter alignWithMargins="0">
        <oddFooter>&amp;C&amp;"Times New Roman,Regular"Exhibit K - Summary of Requirements by Grade</oddFooter>
      </headerFooter>
    </customSheetView>
    <customSheetView guid="{4148B88B-8ED7-4FDE-9459-DEB244AD0552}" scale="75" showPageBreaks="1" showGridLines="0" outlineSymbols="0" printArea="1" view="pageBreakPreview">
      <pane xSplit="1" ySplit="11" topLeftCell="B12" activePane="bottomRight" state="frozen"/>
      <selection pane="bottomRight" activeCell="E23" sqref="E23"/>
      <pageMargins left="0.5" right="0.5" top="0.5" bottom="0.55000000000000004" header="0" footer="0"/>
      <printOptions horizontalCentered="1"/>
      <pageSetup scale="67" orientation="landscape" horizontalDpi="300" verticalDpi="300" r:id="rId4"/>
      <headerFooter alignWithMargins="0">
        <oddFooter>&amp;C&amp;"Times New Roman,Regular"Exhibit K - Summary of Requirements by Grade</oddFooter>
      </headerFooter>
    </customSheetView>
    <customSheetView guid="{12C66D54-5067-4346-818B-6EAB1C8A9183}" scale="75" showPageBreaks="1" showGridLines="0" outlineSymbols="0" printArea="1" view="pageBreakPreview">
      <pane xSplit="1" ySplit="11" topLeftCell="B12" activePane="bottomRight" state="frozen"/>
      <selection pane="bottomRight" activeCell="H14" sqref="H14"/>
      <pageMargins left="0.5" right="0.5" top="0.5" bottom="0.55000000000000004" header="0" footer="0"/>
      <printOptions horizontalCentered="1"/>
      <pageSetup scale="67" orientation="landscape" horizontalDpi="300" verticalDpi="300" r:id="rId5"/>
      <headerFooter alignWithMargins="0">
        <oddFooter>&amp;C&amp;"Times New Roman,Regular"Exhibit K - Summary of Requirements by Grade</oddFooter>
      </headerFooter>
    </customSheetView>
    <customSheetView guid="{AB21D485-B25C-4861-87C3-6754CE948F1C}" scale="75" showPageBreaks="1" showGridLines="0" outlineSymbols="0" printArea="1" view="pageBreakPreview">
      <pane xSplit="1" ySplit="11" topLeftCell="B12" activePane="bottomRight" state="frozen"/>
      <selection pane="bottomRight" activeCell="H14" sqref="H14"/>
      <pageMargins left="0.5" right="0.5" top="0.5" bottom="0.55000000000000004" header="0" footer="0"/>
      <printOptions horizontalCentered="1"/>
      <pageSetup scale="67" orientation="landscape" horizontalDpi="300" verticalDpi="300" r:id="rId6"/>
      <headerFooter alignWithMargins="0">
        <oddFooter>&amp;C&amp;"Times New Roman,Regular"Exhibit K - Summary of Requirements by Grade</oddFooter>
      </headerFooter>
    </customSheetView>
    <customSheetView guid="{4D0F9E3D-0229-48CC-A08B-F132802E9D7B}" scale="75" showPageBreaks="1" showGridLines="0" outlineSymbols="0" printArea="1" view="pageBreakPreview">
      <pane xSplit="1" ySplit="11" topLeftCell="B12" activePane="bottomRight" state="frozen"/>
      <selection pane="bottomRight" activeCell="A34" sqref="A34:H34"/>
      <pageMargins left="0.5" right="0.5" top="0.5" bottom="0.55000000000000004" header="0" footer="0"/>
      <printOptions horizontalCentered="1"/>
      <pageSetup scale="67" orientation="landscape" horizontalDpi="300" verticalDpi="300" r:id="rId7"/>
      <headerFooter alignWithMargins="0">
        <oddFooter>&amp;C&amp;"Times New Roman,Regular"Exhibit K - Summary of Requirements by Grade&amp;R&amp;"Times New Roman,Regular"Salaries and Expenses</oddFooter>
      </headerFooter>
    </customSheetView>
    <customSheetView guid="{F6772377-6B25-4EEA-B255-4C2F62B37855}" scale="75" showPageBreaks="1" showGridLines="0" outlineSymbols="0" printArea="1" view="pageBreakPreview">
      <pane xSplit="1" ySplit="11" topLeftCell="B12" activePane="bottomRight" state="frozen"/>
      <selection pane="bottomRight" activeCell="F27" sqref="F27"/>
      <pageMargins left="0.5" right="0.5" top="0.5" bottom="0.55000000000000004" header="0" footer="0"/>
      <printOptions horizontalCentered="1"/>
      <pageSetup scale="67" orientation="landscape" horizontalDpi="300" verticalDpi="300" r:id="rId8"/>
      <headerFooter alignWithMargins="0">
        <oddFooter>&amp;C&amp;"Times New Roman,Regular"Exhibit K - Summary of Requirements by Grade&amp;R&amp;"Times New Roman,Regular"Salaries and Expenses</oddFooter>
      </headerFooter>
    </customSheetView>
    <customSheetView guid="{27B9C207-C13F-4981-9CED-E69585BBD779}" scale="75" showPageBreaks="1" showGridLines="0" outlineSymbols="0" printArea="1" view="pageBreakPreview" topLeftCell="A10">
      <selection activeCell="E23" sqref="E23"/>
      <pageMargins left="0.5" right="0.5" top="0.5" bottom="0.55000000000000004" header="0" footer="0"/>
      <printOptions horizontalCentered="1"/>
      <pageSetup scale="67" orientation="landscape" horizontalDpi="300" verticalDpi="300" r:id="rId9"/>
      <headerFooter alignWithMargins="0">
        <oddFooter>&amp;C&amp;"Times New Roman,Regular"Exhibit K - Summary of Requirements by Grade&amp;R&amp;"Times New Roman,Regular"Salaries and Expenses/Management &amp; Administration</oddFooter>
      </headerFooter>
    </customSheetView>
  </customSheetViews>
  <mergeCells count="17">
    <mergeCell ref="A8:I8"/>
    <mergeCell ref="A6:I6"/>
    <mergeCell ref="A5:I5"/>
    <mergeCell ref="A4:I4"/>
    <mergeCell ref="A37:N37"/>
    <mergeCell ref="A1:I1"/>
    <mergeCell ref="A2:I2"/>
    <mergeCell ref="A3:I3"/>
    <mergeCell ref="A34:H34"/>
    <mergeCell ref="A35:H35"/>
    <mergeCell ref="B9:C10"/>
    <mergeCell ref="D9:E10"/>
    <mergeCell ref="F9:G10"/>
    <mergeCell ref="H9:I10"/>
    <mergeCell ref="A9:A11"/>
    <mergeCell ref="A30:J30"/>
    <mergeCell ref="A7:I7"/>
  </mergeCells>
  <phoneticPr fontId="0" type="noConversion"/>
  <printOptions horizontalCentered="1"/>
  <pageMargins left="0.5" right="0.5" top="0.5" bottom="0.55000000000000004" header="0" footer="0"/>
  <pageSetup scale="67" orientation="landscape" horizontalDpi="300" verticalDpi="300" r:id="rId10"/>
  <headerFooter alignWithMargins="0">
    <oddFooter>&amp;C&amp;"Times New Roman,Regular"Exhibit K - Summary of Requirements by Grade&amp;R&amp;"Times New Roman,Regular"Salaries and Expenses/Management &amp; Administration</oddFooter>
  </headerFooter>
</worksheet>
</file>

<file path=xl/worksheets/sheet9.xml><?xml version="1.0" encoding="utf-8"?>
<worksheet xmlns="http://schemas.openxmlformats.org/spreadsheetml/2006/main" xmlns:r="http://schemas.openxmlformats.org/officeDocument/2006/relationships">
  <sheetPr codeName="Sheet17"/>
  <dimension ref="A1:V196"/>
  <sheetViews>
    <sheetView view="pageBreakPreview" zoomScale="75" zoomScaleNormal="75" zoomScaleSheetLayoutView="50" workbookViewId="0">
      <selection activeCell="A16" sqref="A16"/>
    </sheetView>
  </sheetViews>
  <sheetFormatPr defaultRowHeight="15.75"/>
  <cols>
    <col min="1" max="1" width="65.33203125" style="3" customWidth="1"/>
    <col min="2" max="2" width="8.88671875" style="3"/>
    <col min="3" max="3" width="10.109375" style="3" customWidth="1"/>
    <col min="4" max="4" width="8.88671875" style="3"/>
    <col min="5" max="5" width="10.6640625" style="3" customWidth="1"/>
    <col min="6" max="6" width="8.88671875" style="3"/>
    <col min="7" max="7" width="10.5546875" style="3" bestFit="1" customWidth="1"/>
    <col min="8" max="8" width="8.88671875" style="3"/>
    <col min="9" max="9" width="10.33203125" style="3" customWidth="1"/>
    <col min="10" max="10" width="6.33203125" style="59" customWidth="1"/>
    <col min="11" max="16384" width="8.88671875" style="3"/>
  </cols>
  <sheetData>
    <row r="1" spans="1:10" ht="19.149999999999999" customHeight="1">
      <c r="A1" s="1779" t="s">
        <v>89</v>
      </c>
      <c r="B1" s="1780"/>
      <c r="C1" s="1780"/>
      <c r="D1" s="1780"/>
      <c r="E1" s="1780"/>
      <c r="F1" s="1780"/>
      <c r="G1" s="1780"/>
      <c r="H1" s="1780"/>
      <c r="I1" s="1780"/>
      <c r="J1" s="58" t="s">
        <v>0</v>
      </c>
    </row>
    <row r="2" spans="1:10" ht="19.149999999999999" customHeight="1">
      <c r="A2" s="1781"/>
      <c r="B2" s="1782"/>
      <c r="C2" s="1782"/>
      <c r="D2" s="1782"/>
      <c r="E2" s="1782"/>
      <c r="F2" s="1782"/>
      <c r="G2" s="1782"/>
      <c r="H2" s="1782"/>
      <c r="I2" s="1782"/>
      <c r="J2" s="58" t="s">
        <v>0</v>
      </c>
    </row>
    <row r="3" spans="1:10" ht="18.75">
      <c r="A3" s="1783" t="s">
        <v>59</v>
      </c>
      <c r="B3" s="1780"/>
      <c r="C3" s="1780"/>
      <c r="D3" s="1780"/>
      <c r="E3" s="1780"/>
      <c r="F3" s="1780"/>
      <c r="G3" s="1780"/>
      <c r="H3" s="1780"/>
      <c r="I3" s="1780"/>
      <c r="J3" s="58" t="s">
        <v>0</v>
      </c>
    </row>
    <row r="4" spans="1:10" ht="16.5">
      <c r="A4" s="1784" t="str">
        <f>+'B. Summ of Reqs - S&amp;E-M&amp;A '!A5</f>
        <v>Office of Justice Programs</v>
      </c>
      <c r="B4" s="1780"/>
      <c r="C4" s="1780"/>
      <c r="D4" s="1780"/>
      <c r="E4" s="1780"/>
      <c r="F4" s="1780"/>
      <c r="G4" s="1780"/>
      <c r="H4" s="1780"/>
      <c r="I4" s="1780"/>
      <c r="J4" s="58" t="s">
        <v>0</v>
      </c>
    </row>
    <row r="5" spans="1:10" ht="16.5">
      <c r="A5" s="1784" t="str">
        <f>+'B. Summ of Reqs - S&amp;E-M&amp;A '!A6</f>
        <v>Salaries and Expenses/Management &amp; Administration</v>
      </c>
      <c r="B5" s="1780"/>
      <c r="C5" s="1780"/>
      <c r="D5" s="1780"/>
      <c r="E5" s="1780"/>
      <c r="F5" s="1780"/>
      <c r="G5" s="1780"/>
      <c r="H5" s="1780"/>
      <c r="I5" s="1780"/>
      <c r="J5" s="58" t="s">
        <v>0</v>
      </c>
    </row>
    <row r="6" spans="1:10">
      <c r="A6" s="1798" t="s">
        <v>98</v>
      </c>
      <c r="B6" s="1780"/>
      <c r="C6" s="1780"/>
      <c r="D6" s="1780"/>
      <c r="E6" s="1780"/>
      <c r="F6" s="1780"/>
      <c r="G6" s="1780"/>
      <c r="H6" s="1780"/>
      <c r="I6" s="1780"/>
      <c r="J6" s="58" t="s">
        <v>0</v>
      </c>
    </row>
    <row r="7" spans="1:10" ht="11.25" customHeight="1">
      <c r="A7" s="1795"/>
      <c r="B7" s="1795"/>
      <c r="C7" s="1795"/>
      <c r="D7" s="1795"/>
      <c r="E7" s="1795"/>
      <c r="F7" s="1795"/>
      <c r="G7" s="1795"/>
      <c r="H7" s="1795"/>
      <c r="I7" s="1795"/>
      <c r="J7" s="58" t="s">
        <v>0</v>
      </c>
    </row>
    <row r="8" spans="1:10" ht="44.25" customHeight="1">
      <c r="A8" s="1796" t="s">
        <v>53</v>
      </c>
      <c r="B8" s="1799" t="s">
        <v>162</v>
      </c>
      <c r="C8" s="1800"/>
      <c r="D8" s="1804" t="s">
        <v>616</v>
      </c>
      <c r="E8" s="1805"/>
      <c r="F8" s="1801" t="s">
        <v>154</v>
      </c>
      <c r="G8" s="1803"/>
      <c r="H8" s="1801" t="s">
        <v>143</v>
      </c>
      <c r="I8" s="1802"/>
      <c r="J8" s="58" t="s">
        <v>0</v>
      </c>
    </row>
    <row r="9" spans="1:10" ht="25.5" customHeight="1" thickBot="1">
      <c r="A9" s="1797"/>
      <c r="B9" s="352" t="s">
        <v>25</v>
      </c>
      <c r="C9" s="353" t="s">
        <v>117</v>
      </c>
      <c r="D9" s="352" t="s">
        <v>25</v>
      </c>
      <c r="E9" s="353" t="s">
        <v>117</v>
      </c>
      <c r="F9" s="352" t="s">
        <v>25</v>
      </c>
      <c r="G9" s="353" t="s">
        <v>117</v>
      </c>
      <c r="H9" s="352" t="s">
        <v>25</v>
      </c>
      <c r="I9" s="354" t="s">
        <v>117</v>
      </c>
      <c r="J9" s="58" t="s">
        <v>0</v>
      </c>
    </row>
    <row r="10" spans="1:10">
      <c r="A10" s="120" t="s">
        <v>8</v>
      </c>
      <c r="B10" s="81">
        <v>638</v>
      </c>
      <c r="C10" s="149">
        <v>64878</v>
      </c>
      <c r="D10" s="81">
        <v>644</v>
      </c>
      <c r="E10" s="149">
        <v>63922</v>
      </c>
      <c r="F10" s="81">
        <v>644</v>
      </c>
      <c r="G10" s="149">
        <v>63922</v>
      </c>
      <c r="H10" s="81">
        <f t="shared" ref="H10:I15" si="0">F10-D10</f>
        <v>0</v>
      </c>
      <c r="I10" s="150">
        <f t="shared" si="0"/>
        <v>0</v>
      </c>
      <c r="J10" s="58" t="s">
        <v>0</v>
      </c>
    </row>
    <row r="11" spans="1:10">
      <c r="A11" s="121" t="s">
        <v>50</v>
      </c>
      <c r="B11" s="81">
        <v>34</v>
      </c>
      <c r="C11" s="82">
        <v>2053</v>
      </c>
      <c r="D11" s="81">
        <v>34</v>
      </c>
      <c r="E11" s="82">
        <v>2053</v>
      </c>
      <c r="F11" s="81">
        <v>34</v>
      </c>
      <c r="G11" s="82">
        <v>2053</v>
      </c>
      <c r="H11" s="81">
        <f t="shared" si="0"/>
        <v>0</v>
      </c>
      <c r="I11" s="72">
        <f t="shared" si="0"/>
        <v>0</v>
      </c>
      <c r="J11" s="58" t="s">
        <v>0</v>
      </c>
    </row>
    <row r="12" spans="1:10">
      <c r="A12" s="121" t="s">
        <v>32</v>
      </c>
      <c r="B12" s="251">
        <v>8</v>
      </c>
      <c r="C12" s="82">
        <v>1774</v>
      </c>
      <c r="D12" s="251">
        <v>8</v>
      </c>
      <c r="E12" s="82">
        <v>1774</v>
      </c>
      <c r="F12" s="251">
        <v>8</v>
      </c>
      <c r="G12" s="82">
        <v>1774</v>
      </c>
      <c r="H12" s="81">
        <f t="shared" si="0"/>
        <v>0</v>
      </c>
      <c r="I12" s="72">
        <f t="shared" si="0"/>
        <v>0</v>
      </c>
      <c r="J12" s="58" t="s">
        <v>0</v>
      </c>
    </row>
    <row r="13" spans="1:10">
      <c r="A13" s="122" t="s">
        <v>34</v>
      </c>
      <c r="B13" s="87"/>
      <c r="C13" s="88"/>
      <c r="D13" s="87"/>
      <c r="E13" s="88"/>
      <c r="F13" s="87"/>
      <c r="G13" s="88"/>
      <c r="H13" s="87"/>
      <c r="I13" s="89"/>
      <c r="J13" s="58" t="s">
        <v>0</v>
      </c>
    </row>
    <row r="14" spans="1:10">
      <c r="A14" s="122" t="s">
        <v>33</v>
      </c>
      <c r="B14" s="87"/>
      <c r="C14" s="88"/>
      <c r="D14" s="87"/>
      <c r="E14" s="88"/>
      <c r="F14" s="87"/>
      <c r="G14" s="88"/>
      <c r="H14" s="87"/>
      <c r="I14" s="89"/>
      <c r="J14" s="58" t="s">
        <v>0</v>
      </c>
    </row>
    <row r="15" spans="1:10">
      <c r="A15" s="123" t="s">
        <v>35</v>
      </c>
      <c r="B15" s="90">
        <v>0</v>
      </c>
      <c r="C15" s="91">
        <v>2</v>
      </c>
      <c r="D15" s="90">
        <v>0</v>
      </c>
      <c r="E15" s="91">
        <v>0</v>
      </c>
      <c r="F15" s="90">
        <v>0</v>
      </c>
      <c r="G15" s="91"/>
      <c r="H15" s="81">
        <f t="shared" si="0"/>
        <v>0</v>
      </c>
      <c r="I15" s="72">
        <f t="shared" si="0"/>
        <v>0</v>
      </c>
      <c r="J15" s="58" t="s">
        <v>0</v>
      </c>
    </row>
    <row r="16" spans="1:10">
      <c r="A16" s="1522" t="s">
        <v>9</v>
      </c>
      <c r="B16" s="92">
        <f>+B10+B11+B12+B15</f>
        <v>680</v>
      </c>
      <c r="C16" s="93">
        <f t="shared" ref="C16:I16" si="1">+C10+C11+C12+C15</f>
        <v>68707</v>
      </c>
      <c r="D16" s="92">
        <f>+D10+D11+D12+D15</f>
        <v>686</v>
      </c>
      <c r="E16" s="93">
        <f t="shared" si="1"/>
        <v>67749</v>
      </c>
      <c r="F16" s="92">
        <f t="shared" si="1"/>
        <v>686</v>
      </c>
      <c r="G16" s="244">
        <f>+G10+G11+G12+G15</f>
        <v>67749</v>
      </c>
      <c r="H16" s="93">
        <f>+H10+H11+H12+H15</f>
        <v>0</v>
      </c>
      <c r="I16" s="244">
        <f t="shared" si="1"/>
        <v>0</v>
      </c>
      <c r="J16" s="58" t="s">
        <v>0</v>
      </c>
    </row>
    <row r="17" spans="1:11">
      <c r="A17" s="237" t="s">
        <v>54</v>
      </c>
      <c r="B17" s="81"/>
      <c r="C17" s="82"/>
      <c r="D17" s="81"/>
      <c r="E17" s="82"/>
      <c r="F17" s="81"/>
      <c r="G17" s="82"/>
      <c r="H17" s="81"/>
      <c r="I17" s="72"/>
      <c r="J17" s="58" t="s">
        <v>0</v>
      </c>
    </row>
    <row r="18" spans="1:11">
      <c r="A18" s="124" t="s">
        <v>37</v>
      </c>
      <c r="B18" s="81"/>
      <c r="C18" s="1342">
        <v>20601</v>
      </c>
      <c r="D18" s="1222"/>
      <c r="E18" s="1342">
        <v>20604</v>
      </c>
      <c r="F18" s="81"/>
      <c r="G18" s="1342">
        <v>20604</v>
      </c>
      <c r="H18" s="81"/>
      <c r="I18" s="72">
        <f>G18-E18</f>
        <v>0</v>
      </c>
      <c r="J18" s="58" t="s">
        <v>0</v>
      </c>
    </row>
    <row r="19" spans="1:11">
      <c r="A19" s="124" t="s">
        <v>38</v>
      </c>
      <c r="B19" s="81"/>
      <c r="C19" s="1342">
        <v>1213</v>
      </c>
      <c r="D19" s="84"/>
      <c r="E19" s="1342">
        <v>1788</v>
      </c>
      <c r="F19" s="81"/>
      <c r="G19" s="1342">
        <v>1788</v>
      </c>
      <c r="H19" s="81"/>
      <c r="I19" s="72">
        <f t="shared" ref="I19:I31" si="2">G19-E19</f>
        <v>0</v>
      </c>
      <c r="J19" s="58" t="s">
        <v>0</v>
      </c>
    </row>
    <row r="20" spans="1:11">
      <c r="A20" s="124" t="s">
        <v>39</v>
      </c>
      <c r="B20" s="81"/>
      <c r="C20" s="1342">
        <v>682</v>
      </c>
      <c r="D20" s="84"/>
      <c r="E20" s="1342">
        <v>529</v>
      </c>
      <c r="F20" s="81"/>
      <c r="G20" s="1342">
        <v>529</v>
      </c>
      <c r="H20" s="81"/>
      <c r="I20" s="72">
        <f t="shared" si="2"/>
        <v>0</v>
      </c>
      <c r="J20" s="58" t="s">
        <v>0</v>
      </c>
    </row>
    <row r="21" spans="1:11">
      <c r="A21" s="124" t="s">
        <v>87</v>
      </c>
      <c r="B21" s="81"/>
      <c r="C21" s="1342">
        <v>14094</v>
      </c>
      <c r="D21" s="84"/>
      <c r="E21" s="1342">
        <v>15535</v>
      </c>
      <c r="F21" s="81"/>
      <c r="G21" s="1342">
        <v>15535</v>
      </c>
      <c r="H21" s="81"/>
      <c r="I21" s="72">
        <f t="shared" si="2"/>
        <v>0</v>
      </c>
      <c r="J21" s="58" t="s">
        <v>0</v>
      </c>
    </row>
    <row r="22" spans="1:11">
      <c r="A22" s="124" t="s">
        <v>40</v>
      </c>
      <c r="B22" s="81"/>
      <c r="C22" s="1342">
        <v>2213</v>
      </c>
      <c r="D22" s="84"/>
      <c r="E22" s="1342">
        <v>2350</v>
      </c>
      <c r="F22" s="81"/>
      <c r="G22" s="1342">
        <v>2350</v>
      </c>
      <c r="H22" s="81"/>
      <c r="I22" s="72">
        <f t="shared" si="2"/>
        <v>0</v>
      </c>
      <c r="J22" s="58" t="s">
        <v>0</v>
      </c>
    </row>
    <row r="23" spans="1:11">
      <c r="A23" s="124" t="s">
        <v>41</v>
      </c>
      <c r="B23" s="81"/>
      <c r="C23" s="1342">
        <v>136</v>
      </c>
      <c r="D23" s="84"/>
      <c r="E23" s="1342">
        <v>132</v>
      </c>
      <c r="F23" s="81"/>
      <c r="G23" s="1342">
        <v>132</v>
      </c>
      <c r="H23" s="81"/>
      <c r="I23" s="72">
        <f t="shared" si="2"/>
        <v>0</v>
      </c>
      <c r="J23" s="58" t="s">
        <v>0</v>
      </c>
    </row>
    <row r="24" spans="1:11">
      <c r="A24" s="124" t="s">
        <v>42</v>
      </c>
      <c r="B24" s="81"/>
      <c r="C24" s="1342">
        <v>11727</v>
      </c>
      <c r="D24" s="84"/>
      <c r="E24" s="1342">
        <v>13969</v>
      </c>
      <c r="F24" s="81"/>
      <c r="G24" s="1342">
        <v>13969</v>
      </c>
      <c r="H24" s="81"/>
      <c r="I24" s="72">
        <f t="shared" si="2"/>
        <v>0</v>
      </c>
      <c r="J24" s="58" t="s">
        <v>0</v>
      </c>
    </row>
    <row r="25" spans="1:11">
      <c r="A25" s="124" t="s">
        <v>43</v>
      </c>
      <c r="B25" s="81"/>
      <c r="C25" s="1342">
        <v>8666</v>
      </c>
      <c r="D25" s="84"/>
      <c r="E25" s="1342">
        <v>14836</v>
      </c>
      <c r="F25" s="81"/>
      <c r="G25" s="1342">
        <v>14836</v>
      </c>
      <c r="H25" s="81"/>
      <c r="I25" s="72">
        <f t="shared" si="2"/>
        <v>0</v>
      </c>
      <c r="J25" s="58" t="s">
        <v>0</v>
      </c>
    </row>
    <row r="26" spans="1:11">
      <c r="A26" s="124" t="s">
        <v>163</v>
      </c>
      <c r="B26" s="81"/>
      <c r="C26" s="1342">
        <v>49879</v>
      </c>
      <c r="D26" s="84"/>
      <c r="E26" s="1342">
        <v>36545</v>
      </c>
      <c r="F26" s="81"/>
      <c r="G26" s="1342">
        <v>42118</v>
      </c>
      <c r="H26" s="81"/>
      <c r="I26" s="72">
        <f t="shared" si="2"/>
        <v>5573</v>
      </c>
      <c r="J26" s="58" t="s">
        <v>0</v>
      </c>
    </row>
    <row r="27" spans="1:11">
      <c r="A27" s="124" t="s">
        <v>88</v>
      </c>
      <c r="B27" s="81"/>
      <c r="C27" s="1342">
        <v>27</v>
      </c>
      <c r="D27" s="84"/>
      <c r="E27" s="1342">
        <v>78</v>
      </c>
      <c r="F27" s="81"/>
      <c r="G27" s="1342">
        <v>78</v>
      </c>
      <c r="H27" s="81"/>
      <c r="I27" s="72">
        <f t="shared" si="2"/>
        <v>0</v>
      </c>
      <c r="J27" s="58" t="s">
        <v>0</v>
      </c>
      <c r="K27" s="22"/>
    </row>
    <row r="28" spans="1:11">
      <c r="A28" s="124" t="s">
        <v>197</v>
      </c>
      <c r="B28" s="81"/>
      <c r="C28" s="1342">
        <v>149</v>
      </c>
      <c r="D28" s="84"/>
      <c r="E28" s="1342">
        <v>149</v>
      </c>
      <c r="F28" s="81"/>
      <c r="G28" s="1342">
        <v>149</v>
      </c>
      <c r="H28" s="81"/>
      <c r="I28" s="72">
        <f t="shared" si="2"/>
        <v>0</v>
      </c>
      <c r="J28" s="58" t="s">
        <v>0</v>
      </c>
    </row>
    <row r="29" spans="1:11">
      <c r="A29" s="124" t="s">
        <v>92</v>
      </c>
      <c r="B29" s="81"/>
      <c r="C29" s="1342">
        <v>423</v>
      </c>
      <c r="D29" s="84"/>
      <c r="E29" s="1342">
        <v>423</v>
      </c>
      <c r="F29" s="81"/>
      <c r="G29" s="1342">
        <v>423</v>
      </c>
      <c r="H29" s="81"/>
      <c r="I29" s="72">
        <f t="shared" si="2"/>
        <v>0</v>
      </c>
      <c r="J29" s="58" t="s">
        <v>0</v>
      </c>
      <c r="K29" s="22"/>
    </row>
    <row r="30" spans="1:11">
      <c r="A30" s="124" t="s">
        <v>44</v>
      </c>
      <c r="B30" s="81"/>
      <c r="C30" s="1342">
        <v>338</v>
      </c>
      <c r="D30" s="84"/>
      <c r="E30" s="1342">
        <v>522</v>
      </c>
      <c r="F30" s="81"/>
      <c r="G30" s="1342">
        <v>522</v>
      </c>
      <c r="H30" s="81"/>
      <c r="I30" s="72">
        <f t="shared" si="2"/>
        <v>0</v>
      </c>
      <c r="J30" s="58" t="s">
        <v>0</v>
      </c>
      <c r="K30" s="22"/>
    </row>
    <row r="31" spans="1:11">
      <c r="A31" s="124" t="s">
        <v>45</v>
      </c>
      <c r="B31" s="81"/>
      <c r="C31" s="1342">
        <f>2717</f>
        <v>2717</v>
      </c>
      <c r="D31" s="84"/>
      <c r="E31" s="1342">
        <v>2397</v>
      </c>
      <c r="F31" s="81"/>
      <c r="G31" s="1342">
        <f>2393</f>
        <v>2393</v>
      </c>
      <c r="H31" s="81"/>
      <c r="I31" s="72">
        <f t="shared" si="2"/>
        <v>-4</v>
      </c>
      <c r="J31" s="58" t="s">
        <v>0</v>
      </c>
    </row>
    <row r="32" spans="1:11">
      <c r="A32" s="125" t="s">
        <v>46</v>
      </c>
      <c r="B32" s="56"/>
      <c r="C32" s="1343">
        <f>SUM(C16:C31)</f>
        <v>181572</v>
      </c>
      <c r="D32" s="56"/>
      <c r="E32" s="1343">
        <f>SUM(E16:E31)</f>
        <v>177606</v>
      </c>
      <c r="F32" s="56"/>
      <c r="G32" s="1343">
        <f>SUM(G16:G31)</f>
        <v>183175</v>
      </c>
      <c r="H32" s="56"/>
      <c r="I32" s="32">
        <f>SUM(I16:I31)</f>
        <v>5569</v>
      </c>
      <c r="J32" s="58" t="s">
        <v>0</v>
      </c>
    </row>
    <row r="33" spans="1:22" ht="16.899999999999999" customHeight="1">
      <c r="A33" s="126" t="s">
        <v>47</v>
      </c>
      <c r="B33" s="84"/>
      <c r="C33" s="85">
        <v>-1824</v>
      </c>
      <c r="D33" s="84"/>
      <c r="E33" s="85">
        <v>-2550</v>
      </c>
      <c r="F33" s="84"/>
      <c r="G33" s="85"/>
      <c r="H33" s="84"/>
      <c r="I33" s="86"/>
      <c r="J33" s="58" t="s">
        <v>0</v>
      </c>
      <c r="K33" s="294"/>
    </row>
    <row r="34" spans="1:22">
      <c r="A34" s="126" t="s">
        <v>48</v>
      </c>
      <c r="B34" s="84"/>
      <c r="C34" s="85">
        <v>2550</v>
      </c>
      <c r="D34" s="84"/>
      <c r="E34" s="85"/>
      <c r="F34" s="84"/>
      <c r="G34" s="85"/>
      <c r="H34" s="84"/>
      <c r="I34" s="86"/>
      <c r="J34" s="58" t="s">
        <v>0</v>
      </c>
      <c r="K34" s="294"/>
    </row>
    <row r="35" spans="1:22">
      <c r="A35" s="126" t="s">
        <v>625</v>
      </c>
      <c r="B35" s="84"/>
      <c r="C35" s="85">
        <v>1976</v>
      </c>
      <c r="D35" s="84"/>
      <c r="E35" s="85"/>
      <c r="F35" s="84"/>
      <c r="G35" s="85"/>
      <c r="H35" s="84"/>
      <c r="I35" s="86"/>
      <c r="J35" s="58"/>
      <c r="K35" s="294"/>
    </row>
    <row r="36" spans="1:22">
      <c r="A36" s="126" t="s">
        <v>49</v>
      </c>
      <c r="B36" s="84"/>
      <c r="C36" s="85">
        <f>-'F. 2011 Crosswalk - S&amp;E-M&amp;A'!L13</f>
        <v>-4</v>
      </c>
      <c r="D36" s="84"/>
      <c r="E36" s="85"/>
      <c r="F36" s="84"/>
      <c r="G36" s="85"/>
      <c r="H36" s="84"/>
      <c r="I36" s="86"/>
      <c r="J36" s="58" t="s">
        <v>0</v>
      </c>
      <c r="K36" s="294"/>
    </row>
    <row r="37" spans="1:22" ht="16.5" customHeight="1" thickBot="1">
      <c r="A37" s="238" t="s">
        <v>1</v>
      </c>
      <c r="B37" s="239"/>
      <c r="C37" s="1333">
        <f>SUM(C32:C36)</f>
        <v>184270</v>
      </c>
      <c r="D37" s="239"/>
      <c r="E37" s="1333">
        <f>SUM(E32:E36)</f>
        <v>175056</v>
      </c>
      <c r="F37" s="239"/>
      <c r="G37" s="1333">
        <f>SUM(G32:G36)</f>
        <v>183175</v>
      </c>
      <c r="H37" s="239"/>
      <c r="I37" s="1334"/>
      <c r="J37" s="58" t="s">
        <v>0</v>
      </c>
      <c r="K37" s="1794"/>
      <c r="L37" s="1794"/>
      <c r="M37" s="1794"/>
      <c r="N37" s="1794"/>
      <c r="O37" s="1794"/>
      <c r="P37" s="1794"/>
      <c r="Q37" s="1794"/>
      <c r="R37" s="1794"/>
      <c r="S37" s="1794"/>
      <c r="T37" s="1794"/>
      <c r="U37" s="1794"/>
      <c r="V37" s="1794"/>
    </row>
    <row r="38" spans="1:22">
      <c r="A38" s="240"/>
      <c r="B38" s="241"/>
      <c r="C38" s="242"/>
      <c r="D38" s="241"/>
      <c r="E38" s="242"/>
      <c r="F38" s="241"/>
      <c r="G38" s="242"/>
      <c r="H38" s="241"/>
      <c r="I38" s="243"/>
      <c r="J38" s="58" t="s">
        <v>0</v>
      </c>
      <c r="K38" s="1794"/>
      <c r="L38" s="1794"/>
      <c r="M38" s="1794"/>
      <c r="N38" s="1794"/>
      <c r="O38" s="1794"/>
      <c r="P38" s="1794"/>
      <c r="Q38" s="1794"/>
      <c r="R38" s="1794"/>
      <c r="S38" s="1794"/>
      <c r="T38" s="1794"/>
      <c r="U38" s="1794"/>
      <c r="V38" s="1794"/>
    </row>
    <row r="39" spans="1:22">
      <c r="A39" s="237" t="s">
        <v>108</v>
      </c>
      <c r="B39" s="81"/>
      <c r="C39" s="82"/>
      <c r="D39" s="81"/>
      <c r="E39" s="82"/>
      <c r="F39" s="81"/>
      <c r="G39" s="82"/>
      <c r="H39" s="81"/>
      <c r="I39" s="72"/>
      <c r="J39" s="58" t="s">
        <v>0</v>
      </c>
      <c r="K39" s="1794"/>
      <c r="L39" s="1794"/>
      <c r="M39" s="1794"/>
      <c r="N39" s="1794"/>
      <c r="O39" s="1794"/>
      <c r="P39" s="1794"/>
      <c r="Q39" s="1794"/>
      <c r="R39" s="1794"/>
      <c r="S39" s="1794"/>
      <c r="T39" s="1794"/>
      <c r="U39" s="1794"/>
      <c r="V39" s="1794"/>
    </row>
    <row r="40" spans="1:22">
      <c r="A40" s="124" t="s">
        <v>36</v>
      </c>
      <c r="B40" s="83">
        <v>0</v>
      </c>
      <c r="C40" s="149">
        <v>0</v>
      </c>
      <c r="D40" s="83">
        <v>0</v>
      </c>
      <c r="E40" s="149">
        <v>0</v>
      </c>
      <c r="F40" s="83">
        <v>0</v>
      </c>
      <c r="G40" s="149">
        <v>0</v>
      </c>
      <c r="H40" s="84"/>
      <c r="I40" s="150"/>
      <c r="J40" s="58" t="s">
        <v>0</v>
      </c>
      <c r="K40" s="294"/>
    </row>
    <row r="41" spans="1:22">
      <c r="A41" s="121" t="s">
        <v>2</v>
      </c>
      <c r="B41" s="81"/>
      <c r="C41" s="149">
        <v>0</v>
      </c>
      <c r="D41" s="81"/>
      <c r="E41" s="149">
        <v>0</v>
      </c>
      <c r="F41" s="81"/>
      <c r="G41" s="149">
        <v>0</v>
      </c>
      <c r="H41" s="84"/>
      <c r="I41" s="150"/>
      <c r="J41" s="58" t="s">
        <v>0</v>
      </c>
    </row>
    <row r="42" spans="1:22">
      <c r="A42" s="123" t="s">
        <v>3</v>
      </c>
      <c r="B42" s="97"/>
      <c r="C42" s="269">
        <v>0</v>
      </c>
      <c r="D42" s="97"/>
      <c r="E42" s="269">
        <v>0</v>
      </c>
      <c r="F42" s="97"/>
      <c r="G42" s="269">
        <v>0</v>
      </c>
      <c r="H42" s="98"/>
      <c r="I42" s="270"/>
      <c r="J42" s="58" t="s">
        <v>0</v>
      </c>
    </row>
    <row r="43" spans="1:22">
      <c r="A43" s="50"/>
      <c r="B43" s="40"/>
      <c r="C43" s="40"/>
      <c r="D43" s="40"/>
      <c r="E43" s="40"/>
      <c r="F43" s="40"/>
      <c r="G43" s="40"/>
      <c r="H43" s="40"/>
      <c r="I43" s="40"/>
      <c r="J43" s="58" t="s">
        <v>13</v>
      </c>
    </row>
    <row r="44" spans="1:22">
      <c r="A44" s="1791"/>
      <c r="B44" s="1792"/>
      <c r="C44" s="1792"/>
      <c r="D44" s="1792"/>
      <c r="E44" s="1792"/>
      <c r="F44" s="1792"/>
      <c r="G44" s="1792"/>
      <c r="H44" s="1792"/>
      <c r="I44" s="1792"/>
      <c r="J44" s="1792"/>
    </row>
    <row r="45" spans="1:22" s="294" customFormat="1">
      <c r="H45" s="15"/>
      <c r="I45" s="15"/>
      <c r="J45" s="295"/>
    </row>
    <row r="46" spans="1:22" s="294" customFormat="1" ht="18.75">
      <c r="A46" s="1789"/>
      <c r="B46" s="1789"/>
      <c r="C46" s="1789"/>
      <c r="D46" s="1789"/>
      <c r="E46" s="1789"/>
      <c r="F46" s="1789"/>
      <c r="G46" s="1789"/>
      <c r="H46" s="1789"/>
      <c r="I46" s="1789"/>
      <c r="J46" s="295"/>
    </row>
    <row r="47" spans="1:22" s="18" customFormat="1" ht="27" customHeight="1">
      <c r="A47" s="1793"/>
      <c r="B47" s="1793"/>
      <c r="C47" s="1793"/>
      <c r="D47" s="1793"/>
      <c r="E47" s="1793"/>
      <c r="F47" s="1793"/>
      <c r="G47" s="1793"/>
      <c r="H47" s="1793"/>
      <c r="I47" s="1793"/>
      <c r="J47" s="182"/>
    </row>
    <row r="48" spans="1:22" s="18" customFormat="1" ht="27" customHeight="1">
      <c r="A48" s="1793"/>
      <c r="B48" s="1793"/>
      <c r="C48" s="1793"/>
      <c r="D48" s="1793"/>
      <c r="E48" s="1793"/>
      <c r="F48" s="1793"/>
      <c r="G48" s="1793"/>
      <c r="H48" s="1793"/>
      <c r="I48" s="1793"/>
      <c r="J48" s="182"/>
    </row>
    <row r="49" spans="1:10" s="18" customFormat="1" ht="27" customHeight="1">
      <c r="A49" s="1793"/>
      <c r="B49" s="1793"/>
      <c r="C49" s="1793"/>
      <c r="D49" s="1793"/>
      <c r="E49" s="1793"/>
      <c r="F49" s="1793"/>
      <c r="G49" s="1793"/>
      <c r="H49" s="1793"/>
      <c r="I49" s="1793"/>
      <c r="J49" s="182"/>
    </row>
    <row r="50" spans="1:10" s="18" customFormat="1" ht="35.1" customHeight="1">
      <c r="A50" s="1787"/>
      <c r="B50" s="1787"/>
      <c r="C50" s="1787"/>
      <c r="D50" s="1787"/>
      <c r="E50" s="1787"/>
      <c r="F50" s="1787"/>
      <c r="G50" s="1787"/>
      <c r="H50" s="1787"/>
      <c r="I50" s="1787"/>
      <c r="J50" s="182"/>
    </row>
    <row r="51" spans="1:10" s="18" customFormat="1" ht="39.75" customHeight="1">
      <c r="A51" s="1788"/>
      <c r="B51" s="1788"/>
      <c r="C51" s="1788"/>
      <c r="D51" s="1788"/>
      <c r="E51" s="1788"/>
      <c r="F51" s="1788"/>
      <c r="G51" s="1788"/>
      <c r="H51" s="1788"/>
      <c r="I51" s="1788"/>
      <c r="J51" s="182"/>
    </row>
    <row r="52" spans="1:10" s="18" customFormat="1" ht="27" customHeight="1">
      <c r="A52" s="1788"/>
      <c r="B52" s="1788"/>
      <c r="C52" s="1788"/>
      <c r="D52" s="1788"/>
      <c r="E52" s="1788"/>
      <c r="F52" s="1788"/>
      <c r="G52" s="1788"/>
      <c r="H52" s="1788"/>
      <c r="I52" s="1788"/>
      <c r="J52" s="182"/>
    </row>
    <row r="53" spans="1:10" s="18" customFormat="1" ht="39.75" customHeight="1">
      <c r="A53" s="1788"/>
      <c r="B53" s="1788"/>
      <c r="C53" s="1788"/>
      <c r="D53" s="1788"/>
      <c r="E53" s="1788"/>
      <c r="F53" s="1788"/>
      <c r="G53" s="1788"/>
      <c r="H53" s="1788"/>
      <c r="I53" s="1788"/>
      <c r="J53" s="182"/>
    </row>
    <row r="54" spans="1:10" s="18" customFormat="1" ht="27" customHeight="1">
      <c r="A54" s="1790"/>
      <c r="B54" s="1790"/>
      <c r="C54" s="1790"/>
      <c r="D54" s="1790"/>
      <c r="E54" s="1790"/>
      <c r="F54" s="1790"/>
      <c r="G54" s="1790"/>
      <c r="H54" s="1790"/>
      <c r="I54" s="1790"/>
      <c r="J54" s="1790"/>
    </row>
    <row r="55" spans="1:10" s="18" customFormat="1" ht="22.9" customHeight="1">
      <c r="A55" s="297"/>
      <c r="B55" s="1786"/>
      <c r="C55" s="1786"/>
      <c r="D55" s="1786"/>
      <c r="E55" s="1786"/>
      <c r="F55" s="1786"/>
      <c r="G55" s="1786"/>
      <c r="H55" s="1786"/>
      <c r="I55" s="1786"/>
      <c r="J55" s="182"/>
    </row>
    <row r="56" spans="1:10" s="18" customFormat="1">
      <c r="A56" s="297"/>
      <c r="B56" s="297"/>
      <c r="C56" s="297"/>
      <c r="D56" s="297"/>
      <c r="E56" s="297"/>
      <c r="F56" s="297"/>
      <c r="G56" s="297"/>
      <c r="H56" s="30"/>
      <c r="I56" s="31"/>
      <c r="J56" s="182"/>
    </row>
    <row r="57" spans="1:10" s="294" customFormat="1">
      <c r="A57" s="299"/>
      <c r="B57" s="299"/>
      <c r="C57" s="299"/>
      <c r="D57" s="299"/>
      <c r="E57" s="299"/>
      <c r="F57" s="299"/>
      <c r="G57" s="299"/>
      <c r="H57" s="31"/>
      <c r="I57" s="31"/>
      <c r="J57" s="295"/>
    </row>
    <row r="58" spans="1:10" s="294" customFormat="1">
      <c r="A58" s="299"/>
      <c r="B58" s="299"/>
      <c r="C58" s="299"/>
      <c r="D58" s="299"/>
      <c r="E58" s="299"/>
      <c r="F58" s="299"/>
      <c r="G58" s="299"/>
      <c r="H58" s="31"/>
      <c r="I58" s="31"/>
      <c r="J58" s="295"/>
    </row>
    <row r="59" spans="1:10" s="294" customFormat="1" ht="65.45" customHeight="1">
      <c r="A59" s="299"/>
      <c r="B59" s="1785"/>
      <c r="C59" s="1785"/>
      <c r="D59" s="1785"/>
      <c r="E59" s="1785"/>
      <c r="F59" s="1785"/>
      <c r="G59" s="1785"/>
      <c r="H59" s="1785"/>
      <c r="I59" s="1785"/>
      <c r="J59" s="295"/>
    </row>
    <row r="60" spans="1:10">
      <c r="H60" s="13"/>
      <c r="I60" s="13"/>
    </row>
    <row r="61" spans="1:10">
      <c r="H61" s="13"/>
      <c r="I61" s="54"/>
    </row>
    <row r="62" spans="1:10">
      <c r="H62" s="13"/>
      <c r="I62" s="13"/>
    </row>
    <row r="63" spans="1:10">
      <c r="H63" s="13"/>
      <c r="I63" s="13"/>
    </row>
    <row r="64" spans="1:10">
      <c r="H64" s="13"/>
      <c r="I64" s="13"/>
    </row>
    <row r="65" spans="8:9">
      <c r="H65" s="13"/>
      <c r="I65" s="13"/>
    </row>
    <row r="66" spans="8:9">
      <c r="H66" s="13"/>
      <c r="I66" s="13"/>
    </row>
    <row r="67" spans="8:9">
      <c r="H67" s="13"/>
      <c r="I67" s="13"/>
    </row>
    <row r="68" spans="8:9">
      <c r="H68" s="13"/>
      <c r="I68" s="13"/>
    </row>
    <row r="69" spans="8:9">
      <c r="H69" s="13"/>
      <c r="I69" s="13"/>
    </row>
    <row r="70" spans="8:9">
      <c r="H70" s="13"/>
      <c r="I70" s="13"/>
    </row>
    <row r="71" spans="8:9">
      <c r="H71" s="13"/>
      <c r="I71" s="13"/>
    </row>
    <row r="72" spans="8:9">
      <c r="H72" s="13"/>
      <c r="I72" s="14"/>
    </row>
    <row r="73" spans="8:9">
      <c r="H73" s="13"/>
      <c r="I73" s="14"/>
    </row>
    <row r="74" spans="8:9">
      <c r="H74" s="13"/>
      <c r="I74" s="13"/>
    </row>
    <row r="75" spans="8:9">
      <c r="H75" s="13"/>
      <c r="I75" s="13"/>
    </row>
    <row r="76" spans="8:9">
      <c r="H76" s="13"/>
      <c r="I76" s="13"/>
    </row>
    <row r="77" spans="8:9">
      <c r="H77" s="13"/>
      <c r="I77" s="13"/>
    </row>
    <row r="78" spans="8:9">
      <c r="H78" s="13"/>
      <c r="I78" s="13"/>
    </row>
    <row r="79" spans="8:9">
      <c r="H79" s="13"/>
      <c r="I79" s="13"/>
    </row>
    <row r="80" spans="8:9">
      <c r="H80" s="13"/>
      <c r="I80" s="13"/>
    </row>
    <row r="81" spans="8:9">
      <c r="H81" s="13"/>
      <c r="I81" s="13"/>
    </row>
    <row r="82" spans="8:9">
      <c r="H82" s="13"/>
      <c r="I82" s="13"/>
    </row>
    <row r="83" spans="8:9">
      <c r="H83" s="13"/>
      <c r="I83" s="13"/>
    </row>
    <row r="84" spans="8:9">
      <c r="H84" s="13"/>
      <c r="I84" s="13"/>
    </row>
    <row r="85" spans="8:9">
      <c r="H85" s="13"/>
      <c r="I85" s="13"/>
    </row>
    <row r="86" spans="8:9">
      <c r="H86" s="13"/>
      <c r="I86" s="13"/>
    </row>
    <row r="87" spans="8:9">
      <c r="H87" s="16"/>
      <c r="I87" s="13"/>
    </row>
    <row r="88" spans="8:9">
      <c r="H88" s="7"/>
      <c r="I88" s="7"/>
    </row>
    <row r="89" spans="8:9">
      <c r="H89" s="6"/>
      <c r="I89" s="6"/>
    </row>
    <row r="90" spans="8:9">
      <c r="H90" s="6"/>
      <c r="I90" s="6"/>
    </row>
    <row r="91" spans="8:9">
      <c r="H91" s="6"/>
      <c r="I91" s="6"/>
    </row>
    <row r="92" spans="8:9">
      <c r="H92" s="6"/>
      <c r="I92" s="6"/>
    </row>
    <row r="196" spans="1:1">
      <c r="A196" s="3" t="s">
        <v>85</v>
      </c>
    </row>
  </sheetData>
  <customSheetViews>
    <customSheetView guid="{DA38F665-F06D-4DFB-B852-747D93BB00EF}" scale="75" showPageBreaks="1" printArea="1" view="pageBreakPreview">
      <pane xSplit="1" ySplit="9" topLeftCell="B10" activePane="bottomRight" state="frozen"/>
      <selection pane="bottomRight" activeCell="B210" sqref="B210"/>
      <pageMargins left="0.5" right="0.5" top="0.5" bottom="0.25" header="0.5" footer="0.5"/>
      <printOptions horizontalCentered="1"/>
      <pageSetup scale="70" orientation="landscape" r:id="rId1"/>
      <headerFooter alignWithMargins="0">
        <oddFooter>&amp;C&amp;"Times New Roman,Regular"Exhibit L - Summary of Requirements by Object Class&amp;R&amp;"Times New Roman,Regular"Salaries and Expenses</oddFooter>
      </headerFooter>
    </customSheetView>
    <customSheetView guid="{3118AF25-8423-420A-806A-487665220C68}" scale="75" showPageBreaks="1" printArea="1" hiddenColumns="1" view="pageBreakPreview">
      <pane xSplit="1" ySplit="9" topLeftCell="B19" activePane="bottomRight" state="frozen"/>
      <selection pane="bottomRight" activeCell="I12" sqref="I12"/>
      <pageMargins left="0.5" right="0.5" top="0.5" bottom="0.25" header="0.5" footer="0.5"/>
      <printOptions horizontalCentered="1"/>
      <pageSetup scale="70" orientation="landscape" r:id="rId2"/>
      <headerFooter alignWithMargins="0">
        <oddFooter>&amp;C&amp;"Times New Roman,Regular"Exhibit L - Summary of Requirements by Object Class</oddFooter>
      </headerFooter>
    </customSheetView>
    <customSheetView guid="{56C0A34E-45B4-448B-85E5-70B3A8E63333}" scale="75" showPageBreaks="1" printArea="1" hiddenColumns="1" view="pageBreakPreview">
      <pane xSplit="1" ySplit="9" topLeftCell="B10" activePane="bottomRight" state="frozen"/>
      <selection pane="bottomRight" activeCell="D9" sqref="D9"/>
      <pageMargins left="0.5" right="0.5" top="0.5" bottom="0.25" header="0.5" footer="0.5"/>
      <printOptions horizontalCentered="1"/>
      <pageSetup scale="70" orientation="landscape" r:id="rId3"/>
      <headerFooter alignWithMargins="0">
        <oddFooter>&amp;C&amp;"Times New Roman,Regular"Exhibit L - Summary of Requirements by Object Class</oddFooter>
      </headerFooter>
    </customSheetView>
    <customSheetView guid="{4148B88B-8ED7-4FDE-9459-DEB244AD0552}"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4"/>
      <headerFooter alignWithMargins="0">
        <oddFooter>&amp;C&amp;"Times New Roman,Regular"Exhibit L - Summary of Requirements by Object Class</oddFooter>
      </headerFooter>
    </customSheetView>
    <customSheetView guid="{12C66D54-5067-4346-818B-6EAB1C8A9183}"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5"/>
      <headerFooter alignWithMargins="0">
        <oddFooter>&amp;C&amp;"Times New Roman,Regular"Exhibit L - Summary of Requirements by Object Class</oddFooter>
      </headerFooter>
    </customSheetView>
    <customSheetView guid="{AB21D485-B25C-4861-87C3-6754CE948F1C}"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6"/>
      <headerFooter alignWithMargins="0">
        <oddFooter>&amp;C&amp;"Times New Roman,Regular"Exhibit L - Summary of Requirements by Object Class</oddFooter>
      </headerFooter>
    </customSheetView>
    <customSheetView guid="{4D0F9E3D-0229-48CC-A08B-F132802E9D7B}" scale="75" showPageBreaks="1" printArea="1" hiddenColumns="1" view="pageBreakPreview">
      <pane xSplit="1" ySplit="9" topLeftCell="B10" activePane="bottomRight" state="frozen"/>
      <selection pane="bottomRight" activeCell="C33" sqref="C33"/>
      <pageMargins left="0.5" right="0.5" top="0.5" bottom="0.25" header="0.5" footer="0.5"/>
      <printOptions horizontalCentered="1"/>
      <pageSetup scale="70" orientation="landscape" r:id="rId7"/>
      <headerFooter alignWithMargins="0">
        <oddFooter>&amp;C&amp;"Times New Roman,Regular"Exhibit L - Summary of Requirements by Object Class&amp;R&amp;"Times New Roman,Regular"Salaries and Expenses</oddFooter>
      </headerFooter>
    </customSheetView>
    <customSheetView guid="{F6772377-6B25-4EEA-B255-4C2F62B37855}" scale="75" showPageBreaks="1" printArea="1" view="pageBreakPreview">
      <pane xSplit="1" ySplit="9" topLeftCell="B10" activePane="bottomRight" state="frozen"/>
      <selection pane="bottomRight" activeCell="G28" sqref="G28"/>
      <pageMargins left="0.5" right="0.5" top="0.5" bottom="0.25" header="0.5" footer="0.5"/>
      <printOptions horizontalCentered="1"/>
      <pageSetup scale="70" orientation="landscape" r:id="rId8"/>
      <headerFooter alignWithMargins="0">
        <oddFooter>&amp;C&amp;"Times New Roman,Regular"Exhibit L - Summary of Requirements by Object Class&amp;R&amp;"Times New Roman,Regular"Salaries and Expenses</oddFooter>
      </headerFooter>
    </customSheetView>
    <customSheetView guid="{27B9C207-C13F-4981-9CED-E69585BBD779}" scale="75" showPageBreaks="1" printArea="1" view="pageBreakPreview" topLeftCell="A25">
      <selection activeCell="D26" sqref="D26"/>
      <pageMargins left="0.5" right="0.5" top="0.5" bottom="0.25" header="0.5" footer="0.5"/>
      <printOptions horizontalCentered="1"/>
      <pageSetup scale="70" orientation="landscape" r:id="rId9"/>
      <headerFooter alignWithMargins="0">
        <oddFooter>&amp;C&amp;"Times New Roman,Regular"Exhibit L - Summary of Requirements by Object Class&amp;R&amp;"Times New Roman,Regular"Salaries and Expenses/Management &amp; Administration</oddFooter>
      </headerFooter>
    </customSheetView>
  </customSheetViews>
  <mergeCells count="25">
    <mergeCell ref="K37:V39"/>
    <mergeCell ref="A7:I7"/>
    <mergeCell ref="A5:I5"/>
    <mergeCell ref="A8:A9"/>
    <mergeCell ref="A6:I6"/>
    <mergeCell ref="B8:C8"/>
    <mergeCell ref="H8:I8"/>
    <mergeCell ref="F8:G8"/>
    <mergeCell ref="D8:E8"/>
    <mergeCell ref="A1:I1"/>
    <mergeCell ref="A2:I2"/>
    <mergeCell ref="A3:I3"/>
    <mergeCell ref="A4:I4"/>
    <mergeCell ref="B59:I59"/>
    <mergeCell ref="B55:I55"/>
    <mergeCell ref="A50:I50"/>
    <mergeCell ref="A52:I52"/>
    <mergeCell ref="A53:I53"/>
    <mergeCell ref="A46:I46"/>
    <mergeCell ref="A54:J54"/>
    <mergeCell ref="A44:J44"/>
    <mergeCell ref="A47:I47"/>
    <mergeCell ref="A48:I48"/>
    <mergeCell ref="A49:I49"/>
    <mergeCell ref="A51:I51"/>
  </mergeCells>
  <phoneticPr fontId="0" type="noConversion"/>
  <printOptions horizontalCentered="1"/>
  <pageMargins left="0.5" right="0.5" top="0.5" bottom="0.25" header="0.5" footer="0.5"/>
  <pageSetup scale="70" orientation="landscape" r:id="rId10"/>
  <headerFooter alignWithMargins="0">
    <oddFooter>&amp;C&amp;"Times New Roman,Regular"Exhibit L - Summary of Requirements by Object Class&amp;R&amp;"Times New Roman,Regular"Salaries and Expenses/Management &amp; Administration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Y91"/>
  <sheetViews>
    <sheetView showGridLines="0" showOutlineSymbols="0" view="pageBreakPreview" zoomScale="65" zoomScaleNormal="100" zoomScaleSheetLayoutView="65" workbookViewId="0">
      <selection activeCell="C92" sqref="C92"/>
    </sheetView>
  </sheetViews>
  <sheetFormatPr defaultColWidth="8.88671875" defaultRowHeight="15.75"/>
  <cols>
    <col min="1" max="2" width="2.5546875" style="271" customWidth="1"/>
    <col min="3" max="3" width="43.44140625" style="271" customWidth="1"/>
    <col min="4" max="4" width="6.88671875" style="18" customWidth="1"/>
    <col min="5" max="5" width="6.21875" style="18" customWidth="1"/>
    <col min="6" max="6" width="11.5546875" style="18" customWidth="1"/>
    <col min="7" max="7" width="8.44140625" style="18" bestFit="1" customWidth="1"/>
    <col min="8" max="8" width="6.21875" style="18" customWidth="1"/>
    <col min="9" max="9" width="9.77734375" style="18" customWidth="1"/>
    <col min="10" max="10" width="6.21875" style="18" bestFit="1" customWidth="1"/>
    <col min="11" max="11" width="5.6640625" style="18" customWidth="1"/>
    <col min="12" max="12" width="9.33203125" style="18" bestFit="1" customWidth="1"/>
    <col min="13" max="13" width="7" style="18" bestFit="1" customWidth="1"/>
    <col min="14" max="14" width="6.109375" style="18" customWidth="1"/>
    <col min="15" max="15" width="9.77734375" style="18" customWidth="1"/>
    <col min="16" max="17" width="5.6640625" style="18" customWidth="1"/>
    <col min="18" max="18" width="10.44140625" style="18" customWidth="1"/>
    <col min="19" max="19" width="6.109375" style="18" customWidth="1"/>
    <col min="20" max="20" width="5.6640625" style="18" customWidth="1"/>
    <col min="21" max="21" width="8.21875" style="18" customWidth="1"/>
    <col min="22" max="22" width="9.5546875" style="18" customWidth="1"/>
    <col min="23" max="23" width="9.77734375" style="18" bestFit="1" customWidth="1"/>
    <col min="24" max="24" width="13.21875" style="18" bestFit="1" customWidth="1"/>
    <col min="25" max="25" width="6.5546875" style="68" customWidth="1"/>
    <col min="26" max="26" width="7.6640625" style="271" customWidth="1"/>
    <col min="27" max="16384" width="8.88671875" style="271"/>
  </cols>
  <sheetData>
    <row r="1" spans="1:25" ht="20.25">
      <c r="A1" s="1592" t="s">
        <v>144</v>
      </c>
      <c r="B1" s="1593"/>
      <c r="C1" s="1593"/>
      <c r="D1" s="1593"/>
      <c r="E1" s="1593"/>
      <c r="F1" s="1593"/>
      <c r="G1" s="1593"/>
      <c r="H1" s="1593"/>
      <c r="I1" s="1593"/>
      <c r="J1" s="1593"/>
      <c r="K1" s="1593"/>
      <c r="L1" s="1593"/>
      <c r="M1" s="1593"/>
      <c r="N1" s="1593"/>
      <c r="O1" s="1593"/>
      <c r="P1" s="1593"/>
      <c r="Q1" s="1593"/>
      <c r="R1" s="1593"/>
      <c r="S1" s="1593"/>
      <c r="T1" s="1593"/>
      <c r="U1" s="1593"/>
      <c r="V1" s="1593"/>
      <c r="W1" s="1593"/>
      <c r="X1" s="1593"/>
      <c r="Y1" s="67" t="s">
        <v>0</v>
      </c>
    </row>
    <row r="2" spans="1:25">
      <c r="A2" s="1867"/>
      <c r="B2" s="1867"/>
      <c r="C2" s="1867"/>
      <c r="D2" s="1867"/>
      <c r="E2" s="1867"/>
      <c r="F2" s="1867"/>
      <c r="G2" s="1867"/>
      <c r="H2" s="1867"/>
      <c r="I2" s="1867"/>
      <c r="J2" s="1867"/>
      <c r="K2" s="1867"/>
      <c r="L2" s="1867"/>
      <c r="M2" s="1867"/>
      <c r="N2" s="1867"/>
      <c r="O2" s="1867"/>
      <c r="P2" s="1867"/>
      <c r="Q2" s="1867"/>
      <c r="R2" s="1867"/>
      <c r="S2" s="1867"/>
      <c r="T2" s="1867"/>
      <c r="U2" s="1867"/>
      <c r="V2" s="1867"/>
      <c r="W2" s="1867"/>
      <c r="X2" s="1867"/>
      <c r="Y2" s="67" t="s">
        <v>0</v>
      </c>
    </row>
    <row r="3" spans="1:25">
      <c r="A3" s="1595"/>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67" t="s">
        <v>0</v>
      </c>
    </row>
    <row r="4" spans="1:25" ht="22.5">
      <c r="A4" s="1568" t="s">
        <v>107</v>
      </c>
      <c r="B4" s="1561"/>
      <c r="C4" s="1561"/>
      <c r="D4" s="1561"/>
      <c r="E4" s="1561"/>
      <c r="F4" s="1561"/>
      <c r="G4" s="1561"/>
      <c r="H4" s="1561"/>
      <c r="I4" s="1561"/>
      <c r="J4" s="1561"/>
      <c r="K4" s="1561"/>
      <c r="L4" s="1561"/>
      <c r="M4" s="1561"/>
      <c r="N4" s="1561"/>
      <c r="O4" s="1561"/>
      <c r="P4" s="1561"/>
      <c r="Q4" s="1561"/>
      <c r="R4" s="1561"/>
      <c r="S4" s="1561"/>
      <c r="T4" s="1561"/>
      <c r="U4" s="1561"/>
      <c r="V4" s="1561"/>
      <c r="W4" s="1561"/>
      <c r="X4" s="1561"/>
      <c r="Y4" s="67" t="s">
        <v>0</v>
      </c>
    </row>
    <row r="5" spans="1:25" ht="23.25">
      <c r="A5" s="1553" t="s">
        <v>190</v>
      </c>
      <c r="B5" s="1562"/>
      <c r="C5" s="1562"/>
      <c r="D5" s="1562"/>
      <c r="E5" s="1562"/>
      <c r="F5" s="1562"/>
      <c r="G5" s="1562"/>
      <c r="H5" s="1562"/>
      <c r="I5" s="1562"/>
      <c r="J5" s="1562"/>
      <c r="K5" s="1562"/>
      <c r="L5" s="1562"/>
      <c r="M5" s="1562"/>
      <c r="N5" s="1562"/>
      <c r="O5" s="1562"/>
      <c r="P5" s="1562"/>
      <c r="Q5" s="1562"/>
      <c r="R5" s="1562"/>
      <c r="S5" s="1562"/>
      <c r="T5" s="1562"/>
      <c r="U5" s="1562"/>
      <c r="V5" s="1562"/>
      <c r="W5" s="1562"/>
      <c r="X5" s="1562"/>
      <c r="Y5" s="67" t="s">
        <v>0</v>
      </c>
    </row>
    <row r="6" spans="1:25" ht="23.25">
      <c r="A6" s="1553" t="s">
        <v>461</v>
      </c>
      <c r="B6" s="1561"/>
      <c r="C6" s="1561"/>
      <c r="D6" s="1561"/>
      <c r="E6" s="1561"/>
      <c r="F6" s="1561"/>
      <c r="G6" s="1561"/>
      <c r="H6" s="1561"/>
      <c r="I6" s="1561"/>
      <c r="J6" s="1561"/>
      <c r="K6" s="1561"/>
      <c r="L6" s="1561"/>
      <c r="M6" s="1561"/>
      <c r="N6" s="1561"/>
      <c r="O6" s="1561"/>
      <c r="P6" s="1561"/>
      <c r="Q6" s="1561"/>
      <c r="R6" s="1561"/>
      <c r="S6" s="1561"/>
      <c r="T6" s="1561"/>
      <c r="U6" s="1561"/>
      <c r="V6" s="1561"/>
      <c r="W6" s="1561"/>
      <c r="X6" s="1561"/>
      <c r="Y6" s="67" t="s">
        <v>0</v>
      </c>
    </row>
    <row r="7" spans="1:25" ht="23.25">
      <c r="A7" s="1553" t="s">
        <v>98</v>
      </c>
      <c r="B7" s="1562"/>
      <c r="C7" s="1562"/>
      <c r="D7" s="1562"/>
      <c r="E7" s="1562"/>
      <c r="F7" s="1562"/>
      <c r="G7" s="1562"/>
      <c r="H7" s="1562"/>
      <c r="I7" s="1562"/>
      <c r="J7" s="1562"/>
      <c r="K7" s="1562"/>
      <c r="L7" s="1562"/>
      <c r="M7" s="1562"/>
      <c r="N7" s="1562"/>
      <c r="O7" s="1562"/>
      <c r="P7" s="1562"/>
      <c r="Q7" s="1562"/>
      <c r="R7" s="1562"/>
      <c r="S7" s="1562"/>
      <c r="T7" s="1562"/>
      <c r="U7" s="1562"/>
      <c r="V7" s="1562"/>
      <c r="W7" s="1562"/>
      <c r="X7" s="1562"/>
      <c r="Y7" s="67" t="s">
        <v>0</v>
      </c>
    </row>
    <row r="8" spans="1:25" ht="23.25">
      <c r="A8" s="1596"/>
      <c r="B8" s="1596"/>
      <c r="C8" s="1596"/>
      <c r="D8" s="1596"/>
      <c r="E8" s="1596"/>
      <c r="F8" s="1596"/>
      <c r="G8" s="1596"/>
      <c r="H8" s="1596"/>
      <c r="I8" s="1596"/>
      <c r="J8" s="1596"/>
      <c r="K8" s="1596"/>
      <c r="L8" s="1596"/>
      <c r="M8" s="1596"/>
      <c r="N8" s="1596"/>
      <c r="O8" s="1596"/>
      <c r="P8" s="1596"/>
      <c r="Q8" s="1596"/>
      <c r="R8" s="1596"/>
      <c r="S8" s="1596"/>
      <c r="T8" s="1596"/>
      <c r="U8" s="1596"/>
      <c r="V8" s="1596"/>
      <c r="W8" s="1596"/>
      <c r="X8" s="1596"/>
      <c r="Y8" s="67" t="s">
        <v>0</v>
      </c>
    </row>
    <row r="9" spans="1:25" ht="23.25">
      <c r="A9" s="1596"/>
      <c r="B9" s="1596"/>
      <c r="C9" s="1596"/>
      <c r="D9" s="1596"/>
      <c r="E9" s="1596"/>
      <c r="F9" s="1596"/>
      <c r="G9" s="1596"/>
      <c r="H9" s="1596"/>
      <c r="I9" s="1596"/>
      <c r="J9" s="1596"/>
      <c r="K9" s="1596"/>
      <c r="L9" s="1596"/>
      <c r="M9" s="1596"/>
      <c r="N9" s="1596"/>
      <c r="O9" s="1596"/>
      <c r="P9" s="1596"/>
      <c r="Q9" s="1596"/>
      <c r="R9" s="1596"/>
      <c r="S9" s="1596"/>
      <c r="T9" s="1596"/>
      <c r="U9" s="1596"/>
      <c r="V9" s="1596"/>
      <c r="W9" s="1596"/>
      <c r="X9" s="1596"/>
      <c r="Y9" s="67" t="s">
        <v>0</v>
      </c>
    </row>
    <row r="10" spans="1:25" ht="23.25">
      <c r="A10" s="1596"/>
      <c r="B10" s="1596"/>
      <c r="C10" s="1596"/>
      <c r="D10" s="1596"/>
      <c r="E10" s="1596"/>
      <c r="F10" s="1596"/>
      <c r="G10" s="1596"/>
      <c r="H10" s="1596"/>
      <c r="I10" s="1596"/>
      <c r="J10" s="1596"/>
      <c r="K10" s="1596"/>
      <c r="L10" s="1596"/>
      <c r="M10" s="1596"/>
      <c r="N10" s="1596"/>
      <c r="O10" s="1596"/>
      <c r="P10" s="1596"/>
      <c r="Q10" s="1596"/>
      <c r="R10" s="1596"/>
      <c r="S10" s="1596"/>
      <c r="T10" s="1596"/>
      <c r="U10" s="1596"/>
      <c r="V10" s="1596"/>
      <c r="W10" s="1596"/>
      <c r="X10" s="1596"/>
      <c r="Y10" s="67" t="s">
        <v>0</v>
      </c>
    </row>
    <row r="11" spans="1:25">
      <c r="A11" s="1595"/>
      <c r="B11" s="1595"/>
      <c r="C11" s="1595"/>
      <c r="D11" s="1595"/>
      <c r="E11" s="1595"/>
      <c r="F11" s="1595"/>
      <c r="G11" s="1595"/>
      <c r="H11" s="1595"/>
      <c r="I11" s="1595"/>
      <c r="J11" s="1595"/>
      <c r="K11" s="1595"/>
      <c r="L11" s="1595"/>
      <c r="M11" s="1595"/>
      <c r="N11" s="1595"/>
      <c r="O11" s="1595"/>
      <c r="P11" s="1595"/>
      <c r="Q11" s="1595"/>
      <c r="R11" s="1595"/>
      <c r="S11" s="1595"/>
      <c r="T11" s="1595"/>
      <c r="U11" s="1603"/>
      <c r="V11" s="1600" t="s">
        <v>148</v>
      </c>
      <c r="W11" s="1601"/>
      <c r="X11" s="1602"/>
      <c r="Y11" s="67" t="s">
        <v>0</v>
      </c>
    </row>
    <row r="12" spans="1:25">
      <c r="A12" s="1595"/>
      <c r="B12" s="1595"/>
      <c r="C12" s="1595"/>
      <c r="D12" s="1595"/>
      <c r="E12" s="1595"/>
      <c r="F12" s="1595"/>
      <c r="G12" s="1595"/>
      <c r="H12" s="1595"/>
      <c r="I12" s="1595"/>
      <c r="J12" s="1595"/>
      <c r="K12" s="1595"/>
      <c r="L12" s="1595"/>
      <c r="M12" s="1595"/>
      <c r="N12" s="1595"/>
      <c r="O12" s="1595"/>
      <c r="P12" s="1595"/>
      <c r="Q12" s="1595"/>
      <c r="R12" s="1595"/>
      <c r="S12" s="1595"/>
      <c r="T12" s="1595"/>
      <c r="U12" s="1603"/>
      <c r="V12" s="1606" t="s">
        <v>11</v>
      </c>
      <c r="W12" s="1599" t="s">
        <v>25</v>
      </c>
      <c r="X12" s="1597" t="s">
        <v>117</v>
      </c>
      <c r="Y12" s="67" t="s">
        <v>0</v>
      </c>
    </row>
    <row r="13" spans="1:25" ht="16.5" thickBot="1">
      <c r="A13" s="1604"/>
      <c r="B13" s="1604"/>
      <c r="C13" s="1604"/>
      <c r="D13" s="1604"/>
      <c r="E13" s="1604"/>
      <c r="F13" s="1604"/>
      <c r="G13" s="1604"/>
      <c r="H13" s="1604"/>
      <c r="I13" s="1604"/>
      <c r="J13" s="1604"/>
      <c r="K13" s="1604"/>
      <c r="L13" s="1604"/>
      <c r="M13" s="1604"/>
      <c r="N13" s="1604"/>
      <c r="O13" s="1604"/>
      <c r="P13" s="1604"/>
      <c r="Q13" s="1604"/>
      <c r="R13" s="1604"/>
      <c r="S13" s="1604"/>
      <c r="T13" s="1604"/>
      <c r="U13" s="1605"/>
      <c r="V13" s="1607"/>
      <c r="W13" s="1598"/>
      <c r="X13" s="1598"/>
      <c r="Y13" s="67" t="s">
        <v>0</v>
      </c>
    </row>
    <row r="14" spans="1:25">
      <c r="A14" s="1864" t="s">
        <v>172</v>
      </c>
      <c r="B14" s="1865"/>
      <c r="C14" s="1865"/>
      <c r="D14" s="1865"/>
      <c r="E14" s="1865"/>
      <c r="F14" s="1865"/>
      <c r="G14" s="1865"/>
      <c r="H14" s="1865"/>
      <c r="I14" s="1865"/>
      <c r="J14" s="1865"/>
      <c r="K14" s="1865"/>
      <c r="L14" s="1865"/>
      <c r="M14" s="1865"/>
      <c r="N14" s="1865"/>
      <c r="O14" s="1865"/>
      <c r="P14" s="1865"/>
      <c r="Q14" s="1865"/>
      <c r="R14" s="1865"/>
      <c r="S14" s="1865"/>
      <c r="T14" s="1865"/>
      <c r="U14" s="1866"/>
      <c r="V14" s="105">
        <v>0</v>
      </c>
      <c r="W14" s="105">
        <v>0</v>
      </c>
      <c r="X14" s="102">
        <v>234530</v>
      </c>
      <c r="Y14" s="67" t="s">
        <v>0</v>
      </c>
    </row>
    <row r="15" spans="1:25">
      <c r="A15" s="861"/>
      <c r="B15" s="862"/>
      <c r="C15" s="870" t="s">
        <v>239</v>
      </c>
      <c r="D15" s="862"/>
      <c r="E15" s="862"/>
      <c r="F15" s="862"/>
      <c r="G15" s="862"/>
      <c r="H15" s="862"/>
      <c r="I15" s="862"/>
      <c r="J15" s="862"/>
      <c r="K15" s="862"/>
      <c r="L15" s="862"/>
      <c r="M15" s="862"/>
      <c r="N15" s="862"/>
      <c r="O15" s="862"/>
      <c r="P15" s="862"/>
      <c r="Q15" s="862"/>
      <c r="R15" s="862"/>
      <c r="S15" s="862"/>
      <c r="T15" s="862"/>
      <c r="U15" s="891"/>
      <c r="V15" s="105"/>
      <c r="W15" s="105"/>
      <c r="X15" s="880">
        <v>-6860</v>
      </c>
      <c r="Y15" s="67" t="s">
        <v>0</v>
      </c>
    </row>
    <row r="16" spans="1:25">
      <c r="A16" s="1048"/>
      <c r="B16" s="1049"/>
      <c r="C16" s="1060" t="s">
        <v>589</v>
      </c>
      <c r="D16" s="1049"/>
      <c r="E16" s="1049"/>
      <c r="F16" s="1049"/>
      <c r="G16" s="1049"/>
      <c r="H16" s="1049"/>
      <c r="I16" s="1049"/>
      <c r="J16" s="1049"/>
      <c r="K16" s="1049"/>
      <c r="L16" s="1049"/>
      <c r="M16" s="1049"/>
      <c r="N16" s="1049"/>
      <c r="O16" s="1049"/>
      <c r="P16" s="1049"/>
      <c r="Q16" s="1049"/>
      <c r="R16" s="1049"/>
      <c r="S16" s="1049"/>
      <c r="T16" s="1049"/>
      <c r="U16" s="1056"/>
      <c r="V16" s="105"/>
      <c r="W16" s="105"/>
      <c r="X16" s="880">
        <v>-7264</v>
      </c>
      <c r="Y16" s="67" t="s">
        <v>0</v>
      </c>
    </row>
    <row r="17" spans="1:25">
      <c r="A17" s="861"/>
      <c r="B17" s="862"/>
      <c r="C17" s="629" t="s">
        <v>238</v>
      </c>
      <c r="D17" s="862"/>
      <c r="E17" s="862"/>
      <c r="F17" s="862"/>
      <c r="G17" s="862"/>
      <c r="H17" s="862"/>
      <c r="I17" s="862"/>
      <c r="J17" s="862"/>
      <c r="K17" s="862"/>
      <c r="L17" s="862"/>
      <c r="M17" s="862"/>
      <c r="N17" s="862"/>
      <c r="O17" s="862"/>
      <c r="P17" s="862"/>
      <c r="Q17" s="862"/>
      <c r="R17" s="862"/>
      <c r="S17" s="862"/>
      <c r="T17" s="862"/>
      <c r="U17" s="891"/>
      <c r="V17" s="105"/>
      <c r="W17" s="105"/>
      <c r="X17" s="102">
        <f>X14+X15+X16</f>
        <v>220406</v>
      </c>
      <c r="Y17" s="67" t="s">
        <v>0</v>
      </c>
    </row>
    <row r="18" spans="1:25">
      <c r="A18" s="1579" t="s">
        <v>171</v>
      </c>
      <c r="B18" s="1852"/>
      <c r="C18" s="1852"/>
      <c r="D18" s="1852"/>
      <c r="E18" s="1852"/>
      <c r="F18" s="1852"/>
      <c r="G18" s="1852"/>
      <c r="H18" s="1852"/>
      <c r="I18" s="1852"/>
      <c r="J18" s="1852"/>
      <c r="K18" s="1852"/>
      <c r="L18" s="1852"/>
      <c r="M18" s="1852"/>
      <c r="N18" s="1852"/>
      <c r="O18" s="1852"/>
      <c r="P18" s="1852"/>
      <c r="Q18" s="1852"/>
      <c r="R18" s="1852"/>
      <c r="S18" s="1852"/>
      <c r="T18" s="1852"/>
      <c r="U18" s="1853"/>
      <c r="V18" s="430"/>
      <c r="W18" s="430"/>
      <c r="X18" s="429">
        <v>113000</v>
      </c>
      <c r="Y18" s="67" t="s">
        <v>0</v>
      </c>
    </row>
    <row r="19" spans="1:25" ht="18.75" customHeight="1">
      <c r="A19" s="1849" t="s">
        <v>456</v>
      </c>
      <c r="B19" s="1850"/>
      <c r="C19" s="1850"/>
      <c r="D19" s="1850"/>
      <c r="E19" s="1850"/>
      <c r="F19" s="1850"/>
      <c r="G19" s="1850"/>
      <c r="H19" s="1850"/>
      <c r="I19" s="1850"/>
      <c r="J19" s="1850"/>
      <c r="K19" s="1850"/>
      <c r="L19" s="1850"/>
      <c r="M19" s="1850"/>
      <c r="N19" s="1850"/>
      <c r="O19" s="1850"/>
      <c r="P19" s="1850"/>
      <c r="Q19" s="1850"/>
      <c r="R19" s="1850"/>
      <c r="S19" s="1850"/>
      <c r="T19" s="1850"/>
      <c r="U19" s="1851"/>
      <c r="V19" s="428"/>
      <c r="W19" s="428"/>
      <c r="X19" s="628">
        <v>-4000</v>
      </c>
      <c r="Y19" s="67" t="s">
        <v>0</v>
      </c>
    </row>
    <row r="20" spans="1:25">
      <c r="A20" s="1583" t="s">
        <v>237</v>
      </c>
      <c r="B20" s="1859"/>
      <c r="C20" s="1859"/>
      <c r="D20" s="1859"/>
      <c r="E20" s="1859"/>
      <c r="F20" s="1859"/>
      <c r="G20" s="1859"/>
      <c r="H20" s="1859"/>
      <c r="I20" s="1859"/>
      <c r="J20" s="1859"/>
      <c r="K20" s="1859"/>
      <c r="L20" s="1859"/>
      <c r="M20" s="1859"/>
      <c r="N20" s="1859"/>
      <c r="O20" s="1859"/>
      <c r="P20" s="1859"/>
      <c r="Q20" s="1859"/>
      <c r="R20" s="1859"/>
      <c r="S20" s="1859"/>
      <c r="T20" s="1859"/>
      <c r="U20" s="1860"/>
      <c r="V20" s="1439">
        <f>+V19+V18</f>
        <v>0</v>
      </c>
      <c r="W20" s="1439">
        <f>+W19+W18</f>
        <v>0</v>
      </c>
      <c r="X20" s="70">
        <f>+X19+X18</f>
        <v>109000</v>
      </c>
      <c r="Y20" s="67" t="s">
        <v>0</v>
      </c>
    </row>
    <row r="21" spans="1:25">
      <c r="A21" s="1818" t="s">
        <v>61</v>
      </c>
      <c r="B21" s="1819"/>
      <c r="C21" s="1819"/>
      <c r="D21" s="1819"/>
      <c r="E21" s="1819"/>
      <c r="F21" s="1819"/>
      <c r="G21" s="1819"/>
      <c r="H21" s="1819"/>
      <c r="I21" s="1819"/>
      <c r="J21" s="1819"/>
      <c r="K21" s="1819"/>
      <c r="L21" s="1819"/>
      <c r="M21" s="1819"/>
      <c r="N21" s="1819"/>
      <c r="O21" s="1819"/>
      <c r="P21" s="1819"/>
      <c r="Q21" s="1819"/>
      <c r="R21" s="1819"/>
      <c r="S21" s="1819"/>
      <c r="T21" s="1819"/>
      <c r="U21" s="1820"/>
      <c r="V21" s="425"/>
      <c r="W21" s="425"/>
      <c r="X21" s="388"/>
      <c r="Y21" s="67" t="s">
        <v>0</v>
      </c>
    </row>
    <row r="22" spans="1:25">
      <c r="A22" s="397"/>
      <c r="B22" s="872" t="s">
        <v>236</v>
      </c>
      <c r="C22" s="872"/>
      <c r="D22" s="426"/>
      <c r="E22" s="426"/>
      <c r="F22" s="426"/>
      <c r="G22" s="426"/>
      <c r="H22" s="426"/>
      <c r="I22" s="426"/>
      <c r="J22" s="426"/>
      <c r="K22" s="426"/>
      <c r="L22" s="426"/>
      <c r="M22" s="426"/>
      <c r="N22" s="426"/>
      <c r="O22" s="426"/>
      <c r="P22" s="426"/>
      <c r="Q22" s="426"/>
      <c r="R22" s="426"/>
      <c r="S22" s="426"/>
      <c r="T22" s="426"/>
      <c r="U22" s="892"/>
      <c r="V22" s="425"/>
      <c r="W22" s="425"/>
      <c r="X22" s="388">
        <v>4000</v>
      </c>
      <c r="Y22" s="67" t="s">
        <v>0</v>
      </c>
    </row>
    <row r="23" spans="1:25">
      <c r="A23" s="1861" t="s">
        <v>21</v>
      </c>
      <c r="B23" s="1862"/>
      <c r="C23" s="1862"/>
      <c r="D23" s="1862"/>
      <c r="E23" s="1862"/>
      <c r="F23" s="1862"/>
      <c r="G23" s="1862"/>
      <c r="H23" s="1862"/>
      <c r="I23" s="1862"/>
      <c r="J23" s="1862"/>
      <c r="K23" s="1862"/>
      <c r="L23" s="1862"/>
      <c r="M23" s="1862"/>
      <c r="N23" s="1862"/>
      <c r="O23" s="1862"/>
      <c r="P23" s="1862"/>
      <c r="Q23" s="1862"/>
      <c r="R23" s="1862"/>
      <c r="S23" s="1862"/>
      <c r="T23" s="1862"/>
      <c r="U23" s="1863"/>
      <c r="V23" s="637">
        <v>0</v>
      </c>
      <c r="W23" s="637">
        <v>0</v>
      </c>
      <c r="X23" s="630">
        <v>0</v>
      </c>
      <c r="Y23" s="67" t="s">
        <v>0</v>
      </c>
    </row>
    <row r="24" spans="1:25">
      <c r="A24" s="1565" t="s">
        <v>20</v>
      </c>
      <c r="B24" s="1827"/>
      <c r="C24" s="1827"/>
      <c r="D24" s="1827"/>
      <c r="E24" s="1827"/>
      <c r="F24" s="1827"/>
      <c r="G24" s="1827"/>
      <c r="H24" s="1827"/>
      <c r="I24" s="1827"/>
      <c r="J24" s="1827"/>
      <c r="K24" s="1827"/>
      <c r="L24" s="1827"/>
      <c r="M24" s="1827"/>
      <c r="N24" s="1827"/>
      <c r="O24" s="1827"/>
      <c r="P24" s="1827"/>
      <c r="Q24" s="1827"/>
      <c r="R24" s="1827"/>
      <c r="S24" s="1827"/>
      <c r="T24" s="1827"/>
      <c r="U24" s="1828"/>
      <c r="V24" s="425">
        <v>0</v>
      </c>
      <c r="W24" s="425">
        <v>0</v>
      </c>
      <c r="X24" s="881">
        <f>X22</f>
        <v>4000</v>
      </c>
      <c r="Y24" s="67" t="s">
        <v>0</v>
      </c>
    </row>
    <row r="25" spans="1:25">
      <c r="A25" s="1589" t="s">
        <v>150</v>
      </c>
      <c r="B25" s="1590"/>
      <c r="C25" s="1590"/>
      <c r="D25" s="1590"/>
      <c r="E25" s="1590"/>
      <c r="F25" s="1590"/>
      <c r="G25" s="1590"/>
      <c r="H25" s="1590"/>
      <c r="I25" s="1590"/>
      <c r="J25" s="1590"/>
      <c r="K25" s="1590"/>
      <c r="L25" s="1590"/>
      <c r="M25" s="1590"/>
      <c r="N25" s="1590"/>
      <c r="O25" s="1590"/>
      <c r="P25" s="1590"/>
      <c r="Q25" s="1590"/>
      <c r="R25" s="1590"/>
      <c r="S25" s="1590"/>
      <c r="T25" s="1590"/>
      <c r="U25" s="1591"/>
      <c r="V25" s="1440">
        <f>+V24+V20</f>
        <v>0</v>
      </c>
      <c r="W25" s="1440">
        <f>+W24+W20</f>
        <v>0</v>
      </c>
      <c r="X25" s="99">
        <f>+X24+X20</f>
        <v>113000</v>
      </c>
      <c r="Y25" s="67" t="s">
        <v>0</v>
      </c>
    </row>
    <row r="26" spans="1:25">
      <c r="A26" s="1549" t="s">
        <v>62</v>
      </c>
      <c r="B26" s="1857"/>
      <c r="C26" s="1857"/>
      <c r="D26" s="1857"/>
      <c r="E26" s="1857"/>
      <c r="F26" s="1857"/>
      <c r="G26" s="1857"/>
      <c r="H26" s="1857"/>
      <c r="I26" s="1857"/>
      <c r="J26" s="1857"/>
      <c r="K26" s="1857"/>
      <c r="L26" s="1857"/>
      <c r="M26" s="1857"/>
      <c r="N26" s="1857"/>
      <c r="O26" s="1857"/>
      <c r="P26" s="1857"/>
      <c r="Q26" s="1857"/>
      <c r="R26" s="1857"/>
      <c r="S26" s="1857"/>
      <c r="T26" s="1857"/>
      <c r="U26" s="1858"/>
      <c r="V26" s="425"/>
      <c r="W26" s="425"/>
      <c r="X26" s="388"/>
      <c r="Y26" s="67" t="s">
        <v>0</v>
      </c>
    </row>
    <row r="27" spans="1:25">
      <c r="A27" s="1565" t="s">
        <v>118</v>
      </c>
      <c r="B27" s="1827"/>
      <c r="C27" s="1827"/>
      <c r="D27" s="1827"/>
      <c r="E27" s="1827"/>
      <c r="F27" s="1827"/>
      <c r="G27" s="1827"/>
      <c r="H27" s="1827"/>
      <c r="I27" s="1827"/>
      <c r="J27" s="1827"/>
      <c r="K27" s="1827"/>
      <c r="L27" s="1827"/>
      <c r="M27" s="1827"/>
      <c r="N27" s="1827"/>
      <c r="O27" s="1827"/>
      <c r="P27" s="1827"/>
      <c r="Q27" s="1827"/>
      <c r="R27" s="1827"/>
      <c r="S27" s="1827"/>
      <c r="T27" s="1827"/>
      <c r="U27" s="1828"/>
      <c r="V27" s="425" t="s">
        <v>116</v>
      </c>
      <c r="W27" s="425"/>
      <c r="X27" s="388"/>
      <c r="Y27" s="67" t="s">
        <v>0</v>
      </c>
    </row>
    <row r="28" spans="1:25">
      <c r="A28" s="1821" t="s">
        <v>231</v>
      </c>
      <c r="B28" s="1822"/>
      <c r="C28" s="1822"/>
      <c r="D28" s="1822"/>
      <c r="E28" s="1822"/>
      <c r="F28" s="1822"/>
      <c r="G28" s="1822"/>
      <c r="H28" s="1822"/>
      <c r="I28" s="1822"/>
      <c r="J28" s="1822"/>
      <c r="K28" s="1822"/>
      <c r="L28" s="1822"/>
      <c r="M28" s="1822"/>
      <c r="N28" s="1822"/>
      <c r="O28" s="1822"/>
      <c r="P28" s="1822"/>
      <c r="Q28" s="1822"/>
      <c r="R28" s="1822"/>
      <c r="S28" s="1822"/>
      <c r="T28" s="1822"/>
      <c r="U28" s="1823"/>
      <c r="V28" s="425"/>
      <c r="W28" s="425"/>
      <c r="X28" s="388">
        <v>15000</v>
      </c>
      <c r="Y28" s="67" t="s">
        <v>0</v>
      </c>
    </row>
    <row r="29" spans="1:25">
      <c r="A29" s="1821" t="s">
        <v>229</v>
      </c>
      <c r="B29" s="1822"/>
      <c r="C29" s="1822"/>
      <c r="D29" s="1822"/>
      <c r="E29" s="1822"/>
      <c r="F29" s="1822"/>
      <c r="G29" s="1822"/>
      <c r="H29" s="1822"/>
      <c r="I29" s="1822"/>
      <c r="J29" s="1822"/>
      <c r="K29" s="1822"/>
      <c r="L29" s="1822"/>
      <c r="M29" s="1822"/>
      <c r="N29" s="1822"/>
      <c r="O29" s="1822"/>
      <c r="P29" s="1822"/>
      <c r="Q29" s="1822"/>
      <c r="R29" s="1822"/>
      <c r="S29" s="1822"/>
      <c r="T29" s="1822"/>
      <c r="U29" s="1823"/>
      <c r="V29" s="425"/>
      <c r="W29" s="388"/>
      <c r="X29" s="388">
        <v>8000</v>
      </c>
      <c r="Y29" s="67" t="s">
        <v>0</v>
      </c>
    </row>
    <row r="30" spans="1:25">
      <c r="A30" s="1824" t="s">
        <v>217</v>
      </c>
      <c r="B30" s="1825"/>
      <c r="C30" s="1825"/>
      <c r="D30" s="1825"/>
      <c r="E30" s="1825"/>
      <c r="F30" s="1825"/>
      <c r="G30" s="1825"/>
      <c r="H30" s="1825"/>
      <c r="I30" s="1825"/>
      <c r="J30" s="1825"/>
      <c r="K30" s="1825"/>
      <c r="L30" s="1825"/>
      <c r="M30" s="1825"/>
      <c r="N30" s="1825"/>
      <c r="O30" s="1825"/>
      <c r="P30" s="1825"/>
      <c r="Q30" s="1825"/>
      <c r="R30" s="1825"/>
      <c r="S30" s="1825"/>
      <c r="T30" s="1825"/>
      <c r="U30" s="1826"/>
      <c r="V30" s="425"/>
      <c r="W30" s="388"/>
      <c r="X30" s="388">
        <v>250000</v>
      </c>
      <c r="Y30" s="67" t="s">
        <v>0</v>
      </c>
    </row>
    <row r="31" spans="1:25">
      <c r="A31" s="1854" t="s">
        <v>235</v>
      </c>
      <c r="B31" s="1855"/>
      <c r="C31" s="1855"/>
      <c r="D31" s="1855"/>
      <c r="E31" s="1855"/>
      <c r="F31" s="1855"/>
      <c r="G31" s="1855"/>
      <c r="H31" s="1855"/>
      <c r="I31" s="1855"/>
      <c r="J31" s="1855"/>
      <c r="K31" s="1855"/>
      <c r="L31" s="1855"/>
      <c r="M31" s="1855"/>
      <c r="N31" s="1855"/>
      <c r="O31" s="1855"/>
      <c r="P31" s="1855"/>
      <c r="Q31" s="1855"/>
      <c r="R31" s="1855"/>
      <c r="S31" s="1855"/>
      <c r="T31" s="1855"/>
      <c r="U31" s="1856"/>
      <c r="V31" s="424">
        <f>SUM(V28:V28)</f>
        <v>0</v>
      </c>
      <c r="W31" s="388">
        <f>SUM(W28:W28)</f>
        <v>0</v>
      </c>
      <c r="X31" s="388">
        <f>SUM(X28:X30)</f>
        <v>273000</v>
      </c>
      <c r="Y31" s="67" t="s">
        <v>0</v>
      </c>
    </row>
    <row r="32" spans="1:25" ht="18" customHeight="1">
      <c r="A32" s="1565" t="s">
        <v>63</v>
      </c>
      <c r="B32" s="1827"/>
      <c r="C32" s="1827"/>
      <c r="D32" s="1827"/>
      <c r="E32" s="1827"/>
      <c r="F32" s="1827"/>
      <c r="G32" s="1827"/>
      <c r="H32" s="1827"/>
      <c r="I32" s="1827"/>
      <c r="J32" s="1827"/>
      <c r="K32" s="1827"/>
      <c r="L32" s="1827"/>
      <c r="M32" s="1827"/>
      <c r="N32" s="1827"/>
      <c r="O32" s="1827"/>
      <c r="P32" s="1827"/>
      <c r="Q32" s="1827"/>
      <c r="R32" s="1827"/>
      <c r="S32" s="1827"/>
      <c r="T32" s="1827"/>
      <c r="U32" s="1828"/>
      <c r="V32" s="423">
        <f>SUM(V31)</f>
        <v>0</v>
      </c>
      <c r="W32" s="423">
        <f>SUM(W31)</f>
        <v>0</v>
      </c>
      <c r="X32" s="423">
        <f>SUM(X31)</f>
        <v>273000</v>
      </c>
      <c r="Y32" s="67" t="s">
        <v>0</v>
      </c>
    </row>
    <row r="33" spans="1:25" ht="18" customHeight="1">
      <c r="A33" s="1815" t="s">
        <v>234</v>
      </c>
      <c r="B33" s="1829"/>
      <c r="C33" s="1829"/>
      <c r="D33" s="1829"/>
      <c r="E33" s="1829"/>
      <c r="F33" s="1829"/>
      <c r="G33" s="1829"/>
      <c r="H33" s="1829"/>
      <c r="I33" s="1829"/>
      <c r="J33" s="1829"/>
      <c r="K33" s="1829"/>
      <c r="L33" s="1829"/>
      <c r="M33" s="1829"/>
      <c r="N33" s="1829"/>
      <c r="O33" s="1829"/>
      <c r="P33" s="1829"/>
      <c r="Q33" s="1829"/>
      <c r="R33" s="1829"/>
      <c r="S33" s="1829"/>
      <c r="T33" s="1829"/>
      <c r="U33" s="1830"/>
      <c r="V33" s="422">
        <v>0</v>
      </c>
      <c r="W33" s="422">
        <v>0</v>
      </c>
      <c r="X33" s="422">
        <f>X20+X24+X32</f>
        <v>386000</v>
      </c>
      <c r="Y33" s="67" t="s">
        <v>0</v>
      </c>
    </row>
    <row r="34" spans="1:25" ht="18" customHeight="1">
      <c r="A34" s="1815" t="s">
        <v>233</v>
      </c>
      <c r="B34" s="1816"/>
      <c r="C34" s="1816"/>
      <c r="D34" s="1816"/>
      <c r="E34" s="1816"/>
      <c r="F34" s="1816"/>
      <c r="G34" s="1816"/>
      <c r="H34" s="1816"/>
      <c r="I34" s="1816"/>
      <c r="J34" s="1816"/>
      <c r="K34" s="1816"/>
      <c r="L34" s="1816"/>
      <c r="M34" s="1816"/>
      <c r="N34" s="1816"/>
      <c r="O34" s="1816"/>
      <c r="P34" s="1816"/>
      <c r="Q34" s="1816"/>
      <c r="R34" s="1816"/>
      <c r="S34" s="1816"/>
      <c r="T34" s="1816"/>
      <c r="U34" s="1817"/>
      <c r="V34" s="422">
        <v>0</v>
      </c>
      <c r="W34" s="422">
        <v>0</v>
      </c>
      <c r="X34" s="422">
        <v>-4000</v>
      </c>
      <c r="Y34" s="67" t="s">
        <v>0</v>
      </c>
    </row>
    <row r="35" spans="1:25" ht="18" customHeight="1">
      <c r="A35" s="1815" t="s">
        <v>232</v>
      </c>
      <c r="B35" s="1816"/>
      <c r="C35" s="1816"/>
      <c r="D35" s="1816"/>
      <c r="E35" s="1816"/>
      <c r="F35" s="1816"/>
      <c r="G35" s="1816"/>
      <c r="H35" s="1816"/>
      <c r="I35" s="1816"/>
      <c r="J35" s="1816"/>
      <c r="K35" s="1816"/>
      <c r="L35" s="1816"/>
      <c r="M35" s="1816"/>
      <c r="N35" s="1816"/>
      <c r="O35" s="1816"/>
      <c r="P35" s="1816"/>
      <c r="Q35" s="1816"/>
      <c r="R35" s="1816"/>
      <c r="S35" s="1816"/>
      <c r="T35" s="1816"/>
      <c r="U35" s="1817"/>
      <c r="V35" s="277">
        <f>V25+V32</f>
        <v>0</v>
      </c>
      <c r="W35" s="277">
        <f>W25+W32</f>
        <v>0</v>
      </c>
      <c r="X35" s="277">
        <f>X33+X34</f>
        <v>382000</v>
      </c>
      <c r="Y35" s="67" t="s">
        <v>0</v>
      </c>
    </row>
    <row r="36" spans="1:25" ht="18" customHeight="1">
      <c r="A36" s="1551" t="s">
        <v>590</v>
      </c>
      <c r="B36" s="1816"/>
      <c r="C36" s="1816"/>
      <c r="D36" s="1816"/>
      <c r="E36" s="1816"/>
      <c r="F36" s="1816"/>
      <c r="G36" s="1816"/>
      <c r="H36" s="1816"/>
      <c r="I36" s="1816"/>
      <c r="J36" s="1816"/>
      <c r="K36" s="1816"/>
      <c r="L36" s="1816"/>
      <c r="M36" s="1816"/>
      <c r="N36" s="1816"/>
      <c r="O36" s="1816"/>
      <c r="P36" s="1816"/>
      <c r="Q36" s="1816"/>
      <c r="R36" s="1816"/>
      <c r="S36" s="1816"/>
      <c r="T36" s="1816"/>
      <c r="U36" s="1817"/>
      <c r="V36" s="421">
        <f>+V35-V14</f>
        <v>0</v>
      </c>
      <c r="W36" s="421">
        <f>+W35-W14</f>
        <v>0</v>
      </c>
      <c r="X36" s="421">
        <f>+X35-X20</f>
        <v>273000</v>
      </c>
      <c r="Y36" s="67" t="s">
        <v>13</v>
      </c>
    </row>
    <row r="37" spans="1:25" s="1387" customFormat="1" ht="18" customHeight="1">
      <c r="A37" s="1389"/>
      <c r="B37" s="1391"/>
      <c r="C37" s="1391"/>
      <c r="D37" s="1391"/>
      <c r="E37" s="1391"/>
      <c r="F37" s="1391"/>
      <c r="G37" s="1391"/>
      <c r="H37" s="1391"/>
      <c r="I37" s="1391"/>
      <c r="J37" s="1391"/>
      <c r="K37" s="1391"/>
      <c r="L37" s="1391"/>
      <c r="M37" s="1391"/>
      <c r="N37" s="1391"/>
      <c r="O37" s="1391"/>
      <c r="P37" s="1391"/>
      <c r="Q37" s="1391"/>
      <c r="R37" s="1391"/>
      <c r="S37" s="1391"/>
      <c r="T37" s="1391"/>
      <c r="U37" s="1391"/>
      <c r="V37" s="399"/>
      <c r="W37" s="399"/>
      <c r="X37" s="399"/>
      <c r="Y37" s="67"/>
    </row>
    <row r="38" spans="1:25" ht="33.75" customHeight="1">
      <c r="A38" s="1577" t="s">
        <v>660</v>
      </c>
      <c r="B38" s="1687"/>
      <c r="C38" s="1687"/>
      <c r="D38" s="1687"/>
      <c r="E38" s="1687"/>
      <c r="F38" s="1687"/>
      <c r="G38" s="1687"/>
      <c r="H38" s="1687"/>
      <c r="I38" s="1687"/>
      <c r="J38" s="1687"/>
      <c r="K38" s="1687"/>
      <c r="L38" s="1687"/>
      <c r="M38" s="1687"/>
      <c r="N38" s="1687"/>
      <c r="O38" s="1687"/>
      <c r="P38" s="1687"/>
      <c r="Q38" s="1687"/>
      <c r="R38" s="1687"/>
      <c r="S38" s="1687"/>
      <c r="T38" s="1687"/>
      <c r="U38" s="1687"/>
      <c r="V38" s="1687"/>
      <c r="W38" s="1687"/>
      <c r="X38" s="1687"/>
      <c r="Y38" s="67" t="s">
        <v>0</v>
      </c>
    </row>
    <row r="39" spans="1:25" ht="18" customHeight="1">
      <c r="A39" s="1361"/>
      <c r="Y39" s="67" t="s">
        <v>0</v>
      </c>
    </row>
    <row r="40" spans="1:25" ht="18" customHeight="1">
      <c r="Y40" s="67" t="s">
        <v>0</v>
      </c>
    </row>
    <row r="41" spans="1:25" ht="18" customHeight="1">
      <c r="Y41" s="67" t="s">
        <v>0</v>
      </c>
    </row>
    <row r="42" spans="1:25" ht="18" customHeight="1">
      <c r="Y42" s="67" t="s">
        <v>0</v>
      </c>
    </row>
    <row r="43" spans="1:25" ht="18" customHeight="1">
      <c r="Y43" s="67" t="s">
        <v>0</v>
      </c>
    </row>
    <row r="44" spans="1:25" ht="18" customHeight="1">
      <c r="Y44" s="67" t="s">
        <v>0</v>
      </c>
    </row>
    <row r="45" spans="1:25" ht="18" customHeight="1">
      <c r="Y45" s="67" t="s">
        <v>0</v>
      </c>
    </row>
    <row r="46" spans="1:25" ht="22.5">
      <c r="A46" s="1568" t="s">
        <v>107</v>
      </c>
      <c r="B46" s="1561"/>
      <c r="C46" s="1561"/>
      <c r="D46" s="1561"/>
      <c r="E46" s="1561"/>
      <c r="F46" s="1561"/>
      <c r="G46" s="1561"/>
      <c r="H46" s="1561"/>
      <c r="I46" s="1561"/>
      <c r="J46" s="1561"/>
      <c r="K46" s="1561"/>
      <c r="L46" s="1561"/>
      <c r="M46" s="1561"/>
      <c r="N46" s="1561"/>
      <c r="O46" s="1561"/>
      <c r="P46" s="1561"/>
      <c r="Q46" s="1561"/>
      <c r="R46" s="1561"/>
      <c r="S46" s="1561"/>
      <c r="T46" s="1561"/>
      <c r="U46" s="1561"/>
      <c r="V46" s="1561"/>
      <c r="W46" s="1561"/>
      <c r="X46" s="1561"/>
      <c r="Y46" s="67" t="s">
        <v>0</v>
      </c>
    </row>
    <row r="47" spans="1:25" ht="23.25">
      <c r="A47" s="1553" t="str">
        <f>A5</f>
        <v>Office of Justice Programs</v>
      </c>
      <c r="B47" s="1554"/>
      <c r="C47" s="1554"/>
      <c r="D47" s="1554"/>
      <c r="E47" s="1554"/>
      <c r="F47" s="1554"/>
      <c r="G47" s="1554"/>
      <c r="H47" s="1554"/>
      <c r="I47" s="1554"/>
      <c r="J47" s="1554"/>
      <c r="K47" s="1554"/>
      <c r="L47" s="1554"/>
      <c r="M47" s="1554"/>
      <c r="N47" s="1554"/>
      <c r="O47" s="1554"/>
      <c r="P47" s="1554"/>
      <c r="Q47" s="1554"/>
      <c r="R47" s="1554"/>
      <c r="S47" s="1554"/>
      <c r="T47" s="1554"/>
      <c r="U47" s="1554"/>
      <c r="V47" s="1554"/>
      <c r="W47" s="1554"/>
      <c r="X47" s="1554"/>
      <c r="Y47" s="67" t="s">
        <v>0</v>
      </c>
    </row>
    <row r="48" spans="1:25" ht="23.25">
      <c r="A48" s="1553" t="s">
        <v>461</v>
      </c>
      <c r="B48" s="1561"/>
      <c r="C48" s="1561"/>
      <c r="D48" s="1561"/>
      <c r="E48" s="1561"/>
      <c r="F48" s="1561"/>
      <c r="G48" s="1561"/>
      <c r="H48" s="1561"/>
      <c r="I48" s="1561"/>
      <c r="J48" s="1561"/>
      <c r="K48" s="1561"/>
      <c r="L48" s="1561"/>
      <c r="M48" s="1561"/>
      <c r="N48" s="1561"/>
      <c r="O48" s="1561"/>
      <c r="P48" s="1561"/>
      <c r="Q48" s="1561"/>
      <c r="R48" s="1561"/>
      <c r="S48" s="1561"/>
      <c r="T48" s="1561"/>
      <c r="U48" s="1561"/>
      <c r="V48" s="1561"/>
      <c r="W48" s="1561"/>
      <c r="X48" s="1561"/>
      <c r="Y48" s="67" t="s">
        <v>0</v>
      </c>
    </row>
    <row r="49" spans="1:25" ht="23.25">
      <c r="A49" s="1553" t="s">
        <v>98</v>
      </c>
      <c r="B49" s="1562"/>
      <c r="C49" s="1562"/>
      <c r="D49" s="1562"/>
      <c r="E49" s="1562"/>
      <c r="F49" s="1562"/>
      <c r="G49" s="1562"/>
      <c r="H49" s="1562"/>
      <c r="I49" s="1562"/>
      <c r="J49" s="1562"/>
      <c r="K49" s="1562"/>
      <c r="L49" s="1562"/>
      <c r="M49" s="1562"/>
      <c r="N49" s="1562"/>
      <c r="O49" s="1562"/>
      <c r="P49" s="1562"/>
      <c r="Q49" s="1562"/>
      <c r="R49" s="1562"/>
      <c r="S49" s="1562"/>
      <c r="T49" s="1562"/>
      <c r="U49" s="1562"/>
      <c r="V49" s="1562"/>
      <c r="W49" s="1562"/>
      <c r="X49" s="1562"/>
      <c r="Y49" s="67" t="s">
        <v>0</v>
      </c>
    </row>
    <row r="50" spans="1:25" ht="18" customHeight="1">
      <c r="Y50" s="67" t="s">
        <v>0</v>
      </c>
    </row>
    <row r="51" spans="1:25" ht="18" customHeight="1">
      <c r="Y51" s="67" t="s">
        <v>0</v>
      </c>
    </row>
    <row r="52" spans="1:25" ht="18" customHeight="1">
      <c r="Y52" s="67" t="s">
        <v>0</v>
      </c>
    </row>
    <row r="53" spans="1:25" ht="18" customHeight="1">
      <c r="Y53" s="67" t="s">
        <v>0</v>
      </c>
    </row>
    <row r="54" spans="1:25" ht="18" customHeight="1">
      <c r="A54" s="37"/>
      <c r="B54" s="37"/>
      <c r="C54" s="37"/>
      <c r="D54" s="38"/>
      <c r="E54" s="38"/>
      <c r="F54" s="38"/>
      <c r="G54" s="38"/>
      <c r="H54" s="38"/>
      <c r="I54" s="38"/>
      <c r="J54" s="38"/>
      <c r="K54" s="38"/>
      <c r="L54" s="38"/>
      <c r="M54" s="38"/>
      <c r="N54" s="38"/>
      <c r="O54" s="38"/>
      <c r="P54" s="38"/>
      <c r="Q54" s="38"/>
      <c r="R54" s="38"/>
      <c r="S54" s="38"/>
      <c r="T54" s="38"/>
      <c r="U54" s="38"/>
      <c r="V54" s="38"/>
      <c r="W54" s="38"/>
      <c r="X54" s="38"/>
      <c r="Y54" s="67" t="s">
        <v>0</v>
      </c>
    </row>
    <row r="55" spans="1:25" ht="22.5" customHeight="1">
      <c r="A55" s="1569" t="s">
        <v>114</v>
      </c>
      <c r="B55" s="1831"/>
      <c r="C55" s="1831"/>
      <c r="D55" s="1540" t="s">
        <v>169</v>
      </c>
      <c r="E55" s="1841"/>
      <c r="F55" s="1842"/>
      <c r="G55" s="1540" t="s">
        <v>591</v>
      </c>
      <c r="H55" s="1836"/>
      <c r="I55" s="1837"/>
      <c r="J55" s="1540" t="s">
        <v>151</v>
      </c>
      <c r="K55" s="1841"/>
      <c r="L55" s="1842"/>
      <c r="M55" s="1540" t="s">
        <v>150</v>
      </c>
      <c r="N55" s="1841"/>
      <c r="O55" s="1842"/>
      <c r="P55" s="1540" t="s">
        <v>152</v>
      </c>
      <c r="Q55" s="1846"/>
      <c r="R55" s="1846"/>
      <c r="S55" s="1540" t="s">
        <v>153</v>
      </c>
      <c r="T55" s="1841"/>
      <c r="U55" s="1841"/>
      <c r="V55" s="1540" t="s">
        <v>154</v>
      </c>
      <c r="W55" s="1841"/>
      <c r="X55" s="1842"/>
      <c r="Y55" s="67" t="s">
        <v>0</v>
      </c>
    </row>
    <row r="56" spans="1:25" ht="27.75" customHeight="1">
      <c r="A56" s="1832"/>
      <c r="B56" s="1833"/>
      <c r="C56" s="1833"/>
      <c r="D56" s="1843"/>
      <c r="E56" s="1844"/>
      <c r="F56" s="1845"/>
      <c r="G56" s="1838"/>
      <c r="H56" s="1839"/>
      <c r="I56" s="1840"/>
      <c r="J56" s="1843"/>
      <c r="K56" s="1844"/>
      <c r="L56" s="1845"/>
      <c r="M56" s="1843"/>
      <c r="N56" s="1844"/>
      <c r="O56" s="1845"/>
      <c r="P56" s="1847"/>
      <c r="Q56" s="1848"/>
      <c r="R56" s="1848"/>
      <c r="S56" s="1843"/>
      <c r="T56" s="1844"/>
      <c r="U56" s="1844"/>
      <c r="V56" s="1843"/>
      <c r="W56" s="1844"/>
      <c r="X56" s="1845"/>
      <c r="Y56" s="67" t="s">
        <v>0</v>
      </c>
    </row>
    <row r="57" spans="1:25" ht="16.5" thickBot="1">
      <c r="A57" s="1834"/>
      <c r="B57" s="1835"/>
      <c r="C57" s="1835"/>
      <c r="D57" s="420" t="s">
        <v>115</v>
      </c>
      <c r="E57" s="417" t="s">
        <v>25</v>
      </c>
      <c r="F57" s="419" t="s">
        <v>117</v>
      </c>
      <c r="G57" s="420" t="s">
        <v>115</v>
      </c>
      <c r="H57" s="417" t="s">
        <v>25</v>
      </c>
      <c r="I57" s="419" t="s">
        <v>117</v>
      </c>
      <c r="J57" s="420" t="s">
        <v>115</v>
      </c>
      <c r="K57" s="417" t="s">
        <v>25</v>
      </c>
      <c r="L57" s="419" t="s">
        <v>117</v>
      </c>
      <c r="M57" s="420" t="s">
        <v>115</v>
      </c>
      <c r="N57" s="417" t="s">
        <v>25</v>
      </c>
      <c r="O57" s="419" t="s">
        <v>117</v>
      </c>
      <c r="P57" s="420" t="s">
        <v>115</v>
      </c>
      <c r="Q57" s="417" t="s">
        <v>25</v>
      </c>
      <c r="R57" s="419" t="s">
        <v>117</v>
      </c>
      <c r="S57" s="420" t="s">
        <v>115</v>
      </c>
      <c r="T57" s="417" t="s">
        <v>25</v>
      </c>
      <c r="U57" s="419" t="s">
        <v>117</v>
      </c>
      <c r="V57" s="418" t="s">
        <v>115</v>
      </c>
      <c r="W57" s="417" t="s">
        <v>25</v>
      </c>
      <c r="X57" s="416" t="s">
        <v>117</v>
      </c>
      <c r="Y57" s="67" t="s">
        <v>0</v>
      </c>
    </row>
    <row r="58" spans="1:25">
      <c r="A58" s="648" t="s">
        <v>231</v>
      </c>
      <c r="B58" s="673"/>
      <c r="C58" s="893"/>
      <c r="D58" s="394"/>
      <c r="E58" s="392"/>
      <c r="F58" s="391">
        <v>59880</v>
      </c>
      <c r="G58" s="394"/>
      <c r="H58" s="392"/>
      <c r="I58" s="391">
        <v>45000</v>
      </c>
      <c r="J58" s="394"/>
      <c r="K58" s="392"/>
      <c r="L58" s="391"/>
      <c r="M58" s="394"/>
      <c r="N58" s="392"/>
      <c r="O58" s="391">
        <v>45000</v>
      </c>
      <c r="P58" s="394"/>
      <c r="Q58" s="392"/>
      <c r="R58" s="391">
        <v>15000</v>
      </c>
      <c r="S58" s="394"/>
      <c r="T58" s="392"/>
      <c r="U58" s="391"/>
      <c r="V58" s="394"/>
      <c r="W58" s="392"/>
      <c r="X58" s="410">
        <f t="shared" ref="X58:X68" si="0">R58+O58+U58</f>
        <v>60000</v>
      </c>
      <c r="Y58" s="67" t="s">
        <v>0</v>
      </c>
    </row>
    <row r="59" spans="1:25">
      <c r="A59" s="415" t="s">
        <v>230</v>
      </c>
      <c r="B59" s="414"/>
      <c r="C59" s="413"/>
      <c r="D59" s="394"/>
      <c r="E59" s="392"/>
      <c r="F59" s="882" t="s">
        <v>458</v>
      </c>
      <c r="G59" s="394"/>
      <c r="H59" s="392"/>
      <c r="I59" s="412"/>
      <c r="J59" s="394"/>
      <c r="K59" s="392"/>
      <c r="L59" s="393"/>
      <c r="M59" s="394"/>
      <c r="N59" s="392"/>
      <c r="O59" s="393"/>
      <c r="P59" s="394"/>
      <c r="Q59" s="392"/>
      <c r="R59" s="393"/>
      <c r="S59" s="394"/>
      <c r="T59" s="392"/>
      <c r="U59" s="393"/>
      <c r="V59" s="394"/>
      <c r="W59" s="392"/>
      <c r="X59" s="410">
        <f t="shared" si="0"/>
        <v>0</v>
      </c>
      <c r="Y59" s="67" t="s">
        <v>0</v>
      </c>
    </row>
    <row r="60" spans="1:25">
      <c r="A60" s="866" t="s">
        <v>229</v>
      </c>
      <c r="B60" s="867"/>
      <c r="C60" s="894"/>
      <c r="D60" s="394"/>
      <c r="E60" s="392"/>
      <c r="F60" s="393">
        <v>47904</v>
      </c>
      <c r="G60" s="394"/>
      <c r="H60" s="392"/>
      <c r="I60" s="393">
        <v>40000</v>
      </c>
      <c r="J60" s="394"/>
      <c r="K60" s="392"/>
      <c r="L60" s="393"/>
      <c r="M60" s="394"/>
      <c r="N60" s="392"/>
      <c r="O60" s="393">
        <v>40000</v>
      </c>
      <c r="P60" s="394"/>
      <c r="Q60" s="392"/>
      <c r="R60" s="393">
        <v>8000</v>
      </c>
      <c r="S60" s="394"/>
      <c r="T60" s="392"/>
      <c r="U60" s="393"/>
      <c r="V60" s="394"/>
      <c r="W60" s="392"/>
      <c r="X60" s="410">
        <f t="shared" si="0"/>
        <v>48000</v>
      </c>
      <c r="Y60" s="67" t="s">
        <v>0</v>
      </c>
    </row>
    <row r="61" spans="1:25">
      <c r="A61" s="397"/>
      <c r="B61" s="867" t="s">
        <v>228</v>
      </c>
      <c r="C61" s="894"/>
      <c r="D61" s="394"/>
      <c r="E61" s="392"/>
      <c r="F61" s="412" t="s">
        <v>459</v>
      </c>
      <c r="G61" s="394"/>
      <c r="H61" s="392"/>
      <c r="I61" s="393"/>
      <c r="J61" s="394"/>
      <c r="K61" s="392"/>
      <c r="L61" s="393"/>
      <c r="M61" s="394"/>
      <c r="N61" s="392"/>
      <c r="O61" s="393"/>
      <c r="P61" s="394"/>
      <c r="Q61" s="392"/>
      <c r="R61" s="393"/>
      <c r="S61" s="394"/>
      <c r="T61" s="392"/>
      <c r="U61" s="393"/>
      <c r="V61" s="394"/>
      <c r="W61" s="392"/>
      <c r="X61" s="410">
        <f t="shared" si="0"/>
        <v>0</v>
      </c>
      <c r="Y61" s="67" t="s">
        <v>0</v>
      </c>
    </row>
    <row r="62" spans="1:25">
      <c r="A62" s="397"/>
      <c r="B62" s="867" t="s">
        <v>227</v>
      </c>
      <c r="C62" s="894"/>
      <c r="D62" s="394"/>
      <c r="E62" s="392"/>
      <c r="F62" s="393"/>
      <c r="G62" s="394"/>
      <c r="H62" s="392"/>
      <c r="I62" s="393">
        <v>1000</v>
      </c>
      <c r="J62" s="394"/>
      <c r="K62" s="392"/>
      <c r="L62" s="393"/>
      <c r="M62" s="394"/>
      <c r="N62" s="392"/>
      <c r="O62" s="393">
        <v>1000</v>
      </c>
      <c r="P62" s="394"/>
      <c r="Q62" s="392"/>
      <c r="R62" s="393">
        <v>0</v>
      </c>
      <c r="S62" s="394"/>
      <c r="T62" s="392"/>
      <c r="U62" s="393"/>
      <c r="V62" s="394"/>
      <c r="W62" s="392"/>
      <c r="X62" s="410">
        <f t="shared" si="0"/>
        <v>1000</v>
      </c>
      <c r="Y62" s="67" t="s">
        <v>0</v>
      </c>
    </row>
    <row r="63" spans="1:25">
      <c r="A63" s="397"/>
      <c r="B63" s="867" t="s">
        <v>226</v>
      </c>
      <c r="C63" s="894"/>
      <c r="D63" s="394"/>
      <c r="E63" s="392"/>
      <c r="F63" s="412" t="s">
        <v>460</v>
      </c>
      <c r="G63" s="394"/>
      <c r="H63" s="392"/>
      <c r="I63" s="393"/>
      <c r="J63" s="394"/>
      <c r="K63" s="392"/>
      <c r="L63" s="393"/>
      <c r="M63" s="394"/>
      <c r="N63" s="392"/>
      <c r="O63" s="393"/>
      <c r="P63" s="394"/>
      <c r="Q63" s="392"/>
      <c r="R63" s="393"/>
      <c r="S63" s="394"/>
      <c r="T63" s="392"/>
      <c r="U63" s="393"/>
      <c r="V63" s="394"/>
      <c r="W63" s="392"/>
      <c r="X63" s="410">
        <f t="shared" si="0"/>
        <v>0</v>
      </c>
      <c r="Y63" s="67" t="s">
        <v>0</v>
      </c>
    </row>
    <row r="64" spans="1:25">
      <c r="A64" s="397" t="s">
        <v>225</v>
      </c>
      <c r="B64" s="867"/>
      <c r="C64" s="894"/>
      <c r="D64" s="394"/>
      <c r="E64" s="392"/>
      <c r="F64" s="393">
        <v>11976</v>
      </c>
      <c r="G64" s="394"/>
      <c r="H64" s="392"/>
      <c r="I64" s="393"/>
      <c r="J64" s="394"/>
      <c r="K64" s="392"/>
      <c r="L64" s="393"/>
      <c r="M64" s="394"/>
      <c r="N64" s="392"/>
      <c r="O64" s="393"/>
      <c r="P64" s="394"/>
      <c r="Q64" s="392"/>
      <c r="R64" s="393"/>
      <c r="S64" s="394"/>
      <c r="T64" s="392"/>
      <c r="U64" s="393"/>
      <c r="V64" s="394"/>
      <c r="W64" s="392"/>
      <c r="X64" s="410">
        <f t="shared" si="0"/>
        <v>0</v>
      </c>
      <c r="Y64" s="67" t="s">
        <v>0</v>
      </c>
    </row>
    <row r="65" spans="1:25">
      <c r="A65" s="397" t="s">
        <v>224</v>
      </c>
      <c r="B65" s="867"/>
      <c r="C65" s="894"/>
      <c r="D65" s="394"/>
      <c r="E65" s="392"/>
      <c r="F65" s="393">
        <v>44910</v>
      </c>
      <c r="G65" s="394"/>
      <c r="H65" s="392"/>
      <c r="I65" s="393">
        <v>27000</v>
      </c>
      <c r="J65" s="394"/>
      <c r="K65" s="392"/>
      <c r="L65" s="393"/>
      <c r="M65" s="394"/>
      <c r="N65" s="392"/>
      <c r="O65" s="393">
        <v>27000</v>
      </c>
      <c r="P65" s="394"/>
      <c r="Q65" s="392"/>
      <c r="R65" s="393">
        <v>0</v>
      </c>
      <c r="S65" s="394"/>
      <c r="T65" s="392"/>
      <c r="U65" s="393"/>
      <c r="V65" s="394"/>
      <c r="W65" s="392"/>
      <c r="X65" s="410">
        <f t="shared" si="0"/>
        <v>27000</v>
      </c>
      <c r="Y65" s="67" t="s">
        <v>0</v>
      </c>
    </row>
    <row r="66" spans="1:25">
      <c r="A66" s="397" t="s">
        <v>223</v>
      </c>
      <c r="B66" s="867"/>
      <c r="C66" s="894"/>
      <c r="D66" s="394"/>
      <c r="E66" s="392"/>
      <c r="F66" s="393">
        <v>69860</v>
      </c>
      <c r="G66" s="394"/>
      <c r="H66" s="392"/>
      <c r="I66" s="393"/>
      <c r="J66" s="394"/>
      <c r="K66" s="392"/>
      <c r="L66" s="393"/>
      <c r="M66" s="394"/>
      <c r="N66" s="392"/>
      <c r="O66" s="393"/>
      <c r="P66" s="394"/>
      <c r="Q66" s="392"/>
      <c r="R66" s="393"/>
      <c r="S66" s="394"/>
      <c r="T66" s="392"/>
      <c r="U66" s="393"/>
      <c r="V66" s="394"/>
      <c r="W66" s="392"/>
      <c r="X66" s="410">
        <f t="shared" si="0"/>
        <v>0</v>
      </c>
      <c r="Y66" s="67" t="s">
        <v>0</v>
      </c>
    </row>
    <row r="67" spans="1:25">
      <c r="A67" s="397"/>
      <c r="B67" s="867" t="s">
        <v>222</v>
      </c>
      <c r="C67" s="894"/>
      <c r="D67" s="394"/>
      <c r="E67" s="392"/>
      <c r="F67" s="393"/>
      <c r="G67" s="394"/>
      <c r="H67" s="392"/>
      <c r="I67" s="393"/>
      <c r="J67" s="394"/>
      <c r="K67" s="392"/>
      <c r="L67" s="393"/>
      <c r="M67" s="394"/>
      <c r="N67" s="392"/>
      <c r="O67" s="393"/>
      <c r="P67" s="394"/>
      <c r="Q67" s="392"/>
      <c r="R67" s="393"/>
      <c r="S67" s="394"/>
      <c r="T67" s="392"/>
      <c r="U67" s="393"/>
      <c r="V67" s="394"/>
      <c r="W67" s="392"/>
      <c r="X67" s="410">
        <f t="shared" si="0"/>
        <v>0</v>
      </c>
      <c r="Y67" s="67" t="s">
        <v>0</v>
      </c>
    </row>
    <row r="68" spans="1:25">
      <c r="A68" s="397" t="s">
        <v>217</v>
      </c>
      <c r="B68" s="867"/>
      <c r="C68" s="894"/>
      <c r="D68" s="394"/>
      <c r="E68" s="392"/>
      <c r="F68" s="393"/>
      <c r="G68" s="394"/>
      <c r="H68" s="392"/>
      <c r="I68" s="393"/>
      <c r="J68" s="394"/>
      <c r="K68" s="392"/>
      <c r="L68" s="393"/>
      <c r="M68" s="394"/>
      <c r="N68" s="392"/>
      <c r="O68" s="393"/>
      <c r="P68" s="394"/>
      <c r="Q68" s="392"/>
      <c r="R68" s="393">
        <v>250000</v>
      </c>
      <c r="S68" s="394"/>
      <c r="T68" s="392"/>
      <c r="U68" s="393"/>
      <c r="V68" s="394"/>
      <c r="W68" s="392"/>
      <c r="X68" s="410">
        <f t="shared" si="0"/>
        <v>250000</v>
      </c>
      <c r="Y68" s="67" t="s">
        <v>0</v>
      </c>
    </row>
    <row r="69" spans="1:25">
      <c r="A69" s="406" t="s">
        <v>206</v>
      </c>
      <c r="B69" s="130"/>
      <c r="C69" s="847"/>
      <c r="D69" s="140">
        <f t="shared" ref="D69:W69" si="1">SUM(D58:D68)</f>
        <v>0</v>
      </c>
      <c r="E69" s="141">
        <f t="shared" si="1"/>
        <v>0</v>
      </c>
      <c r="F69" s="111">
        <f t="shared" si="1"/>
        <v>234530</v>
      </c>
      <c r="G69" s="140">
        <f t="shared" si="1"/>
        <v>0</v>
      </c>
      <c r="H69" s="141">
        <f t="shared" si="1"/>
        <v>0</v>
      </c>
      <c r="I69" s="111">
        <f t="shared" si="1"/>
        <v>113000</v>
      </c>
      <c r="J69" s="140">
        <f t="shared" si="1"/>
        <v>0</v>
      </c>
      <c r="K69" s="141">
        <f t="shared" si="1"/>
        <v>0</v>
      </c>
      <c r="L69" s="111">
        <v>4000</v>
      </c>
      <c r="M69" s="140">
        <f t="shared" si="1"/>
        <v>0</v>
      </c>
      <c r="N69" s="141">
        <f t="shared" si="1"/>
        <v>0</v>
      </c>
      <c r="O69" s="111">
        <f t="shared" si="1"/>
        <v>113000</v>
      </c>
      <c r="P69" s="140">
        <f t="shared" si="1"/>
        <v>0</v>
      </c>
      <c r="Q69" s="141">
        <f t="shared" si="1"/>
        <v>0</v>
      </c>
      <c r="R69" s="111">
        <f>SUM(R58:R68)</f>
        <v>273000</v>
      </c>
      <c r="S69" s="140">
        <f t="shared" si="1"/>
        <v>0</v>
      </c>
      <c r="T69" s="141">
        <f t="shared" si="1"/>
        <v>0</v>
      </c>
      <c r="U69" s="111">
        <f t="shared" si="1"/>
        <v>0</v>
      </c>
      <c r="V69" s="140">
        <f t="shared" si="1"/>
        <v>0</v>
      </c>
      <c r="W69" s="141">
        <f t="shared" si="1"/>
        <v>0</v>
      </c>
      <c r="X69" s="112">
        <f>SUM(X58:X68)</f>
        <v>386000</v>
      </c>
      <c r="Y69" s="67" t="s">
        <v>0</v>
      </c>
    </row>
    <row r="70" spans="1:25">
      <c r="A70" s="864"/>
      <c r="B70" s="869" t="s">
        <v>109</v>
      </c>
      <c r="C70" s="409"/>
      <c r="D70" s="339"/>
      <c r="E70" s="340"/>
      <c r="F70" s="408">
        <v>-7264</v>
      </c>
      <c r="G70" s="405"/>
      <c r="H70" s="404"/>
      <c r="I70" s="1093">
        <v>-4000</v>
      </c>
      <c r="J70" s="405"/>
      <c r="K70" s="404"/>
      <c r="L70" s="341">
        <v>0</v>
      </c>
      <c r="M70" s="405"/>
      <c r="N70" s="404"/>
      <c r="O70" s="341"/>
      <c r="P70" s="405"/>
      <c r="Q70" s="404"/>
      <c r="R70" s="341"/>
      <c r="S70" s="405"/>
      <c r="T70" s="404"/>
      <c r="U70" s="1093">
        <v>-4000</v>
      </c>
      <c r="V70" s="405"/>
      <c r="W70" s="404"/>
      <c r="X70" s="1094">
        <v>-4000</v>
      </c>
      <c r="Y70" s="67" t="s">
        <v>0</v>
      </c>
    </row>
    <row r="71" spans="1:25">
      <c r="A71" s="864"/>
      <c r="B71" s="869" t="s">
        <v>214</v>
      </c>
      <c r="C71" s="409"/>
      <c r="D71" s="339"/>
      <c r="E71" s="340"/>
      <c r="F71" s="408">
        <v>-6860</v>
      </c>
      <c r="G71" s="405"/>
      <c r="H71" s="404"/>
      <c r="I71" s="341"/>
      <c r="J71" s="405"/>
      <c r="K71" s="404"/>
      <c r="L71" s="341"/>
      <c r="M71" s="405"/>
      <c r="N71" s="404"/>
      <c r="O71" s="341"/>
      <c r="P71" s="405"/>
      <c r="Q71" s="404"/>
      <c r="R71" s="341"/>
      <c r="S71" s="405"/>
      <c r="T71" s="404"/>
      <c r="U71" s="1093"/>
      <c r="V71" s="405"/>
      <c r="W71" s="404"/>
      <c r="X71" s="1095"/>
      <c r="Y71" s="67" t="s">
        <v>0</v>
      </c>
    </row>
    <row r="72" spans="1:25" ht="17.25" customHeight="1">
      <c r="A72" s="406" t="s">
        <v>26</v>
      </c>
      <c r="B72" s="130"/>
      <c r="C72" s="847"/>
      <c r="D72" s="140">
        <v>0</v>
      </c>
      <c r="E72" s="141">
        <v>0</v>
      </c>
      <c r="F72" s="111">
        <f>F69+F70+F71</f>
        <v>220406</v>
      </c>
      <c r="G72" s="140">
        <f>G69+G70+G71</f>
        <v>0</v>
      </c>
      <c r="H72" s="141">
        <f>H69+H70+H71</f>
        <v>0</v>
      </c>
      <c r="I72" s="111">
        <f>I69+I71+I70</f>
        <v>109000</v>
      </c>
      <c r="J72" s="140">
        <f>J69+J71</f>
        <v>0</v>
      </c>
      <c r="K72" s="141">
        <f>K69+K71</f>
        <v>0</v>
      </c>
      <c r="L72" s="111">
        <f>L69+L71+L70</f>
        <v>4000</v>
      </c>
      <c r="M72" s="140">
        <f t="shared" ref="M72:W72" si="2">M69+M71</f>
        <v>0</v>
      </c>
      <c r="N72" s="141">
        <f t="shared" si="2"/>
        <v>0</v>
      </c>
      <c r="O72" s="111">
        <f t="shared" si="2"/>
        <v>113000</v>
      </c>
      <c r="P72" s="140">
        <f t="shared" si="2"/>
        <v>0</v>
      </c>
      <c r="Q72" s="141">
        <f t="shared" si="2"/>
        <v>0</v>
      </c>
      <c r="R72" s="111">
        <f t="shared" si="2"/>
        <v>273000</v>
      </c>
      <c r="S72" s="140">
        <f t="shared" si="2"/>
        <v>0</v>
      </c>
      <c r="T72" s="141">
        <f t="shared" si="2"/>
        <v>0</v>
      </c>
      <c r="U72" s="111">
        <f>U69+U70+U71</f>
        <v>-4000</v>
      </c>
      <c r="V72" s="140">
        <f t="shared" si="2"/>
        <v>0</v>
      </c>
      <c r="W72" s="141">
        <f t="shared" si="2"/>
        <v>0</v>
      </c>
      <c r="X72" s="112">
        <f>X69+X71+X70</f>
        <v>382000</v>
      </c>
      <c r="Y72" s="67" t="s">
        <v>0</v>
      </c>
    </row>
    <row r="73" spans="1:25">
      <c r="A73" s="385"/>
      <c r="B73" s="1811" t="s">
        <v>103</v>
      </c>
      <c r="C73" s="1812"/>
      <c r="D73" s="384"/>
      <c r="E73" s="380"/>
      <c r="F73" s="383"/>
      <c r="G73" s="381"/>
      <c r="H73" s="382"/>
      <c r="I73" s="382"/>
      <c r="J73" s="381"/>
      <c r="K73" s="382"/>
      <c r="L73" s="382"/>
      <c r="M73" s="381"/>
      <c r="N73" s="382"/>
      <c r="O73" s="382"/>
      <c r="P73" s="381"/>
      <c r="Q73" s="382"/>
      <c r="R73" s="382"/>
      <c r="S73" s="381"/>
      <c r="T73" s="382"/>
      <c r="U73" s="382"/>
      <c r="V73" s="381"/>
      <c r="W73" s="380"/>
      <c r="X73" s="379"/>
      <c r="Y73" s="67" t="s">
        <v>0</v>
      </c>
    </row>
    <row r="74" spans="1:25">
      <c r="A74" s="397"/>
      <c r="B74" s="1809" t="s">
        <v>102</v>
      </c>
      <c r="C74" s="1810"/>
      <c r="D74" s="394"/>
      <c r="E74" s="392">
        <f>+E69+E73</f>
        <v>0</v>
      </c>
      <c r="F74" s="393"/>
      <c r="G74" s="390"/>
      <c r="H74" s="392">
        <f>+H69+H73</f>
        <v>0</v>
      </c>
      <c r="I74" s="391"/>
      <c r="J74" s="390"/>
      <c r="K74" s="392">
        <f>+K69+K73</f>
        <v>0</v>
      </c>
      <c r="L74" s="391"/>
      <c r="M74" s="390"/>
      <c r="N74" s="392">
        <f>+N69+N73</f>
        <v>0</v>
      </c>
      <c r="O74" s="391"/>
      <c r="P74" s="390"/>
      <c r="Q74" s="392">
        <f>+Q69+Q73</f>
        <v>0</v>
      </c>
      <c r="R74" s="391"/>
      <c r="S74" s="390"/>
      <c r="T74" s="392">
        <f>+T69+T73</f>
        <v>0</v>
      </c>
      <c r="U74" s="391"/>
      <c r="V74" s="390"/>
      <c r="W74" s="392">
        <f>+W69+W73</f>
        <v>0</v>
      </c>
      <c r="X74" s="388"/>
      <c r="Y74" s="67" t="s">
        <v>0</v>
      </c>
    </row>
    <row r="75" spans="1:25">
      <c r="A75" s="335"/>
      <c r="B75" s="1813"/>
      <c r="C75" s="1814"/>
      <c r="D75" s="403"/>
      <c r="E75" s="402"/>
      <c r="F75" s="271"/>
      <c r="G75" s="400"/>
      <c r="H75" s="401"/>
      <c r="I75" s="401"/>
      <c r="J75" s="400"/>
      <c r="K75" s="401"/>
      <c r="L75" s="401"/>
      <c r="M75" s="400"/>
      <c r="N75" s="401"/>
      <c r="O75" s="401"/>
      <c r="P75" s="400"/>
      <c r="Q75" s="401"/>
      <c r="R75" s="401"/>
      <c r="S75" s="400"/>
      <c r="T75" s="401"/>
      <c r="U75" s="401"/>
      <c r="V75" s="400"/>
      <c r="W75" s="399"/>
      <c r="X75" s="398"/>
      <c r="Y75" s="67" t="s">
        <v>0</v>
      </c>
    </row>
    <row r="76" spans="1:25">
      <c r="A76" s="397"/>
      <c r="B76" s="1809" t="s">
        <v>100</v>
      </c>
      <c r="C76" s="1810"/>
      <c r="D76" s="394"/>
      <c r="E76" s="392"/>
      <c r="F76" s="393"/>
      <c r="G76" s="390"/>
      <c r="H76" s="391"/>
      <c r="I76" s="391"/>
      <c r="J76" s="390"/>
      <c r="K76" s="391"/>
      <c r="L76" s="391"/>
      <c r="M76" s="390"/>
      <c r="N76" s="391"/>
      <c r="O76" s="391"/>
      <c r="P76" s="390"/>
      <c r="Q76" s="391"/>
      <c r="R76" s="391"/>
      <c r="S76" s="390"/>
      <c r="T76" s="391"/>
      <c r="U76" s="391"/>
      <c r="V76" s="390"/>
      <c r="W76" s="391"/>
      <c r="X76" s="388"/>
      <c r="Y76" s="67" t="s">
        <v>0</v>
      </c>
    </row>
    <row r="77" spans="1:25">
      <c r="A77" s="397"/>
      <c r="B77" s="396"/>
      <c r="C77" s="846" t="s">
        <v>31</v>
      </c>
      <c r="D77" s="394"/>
      <c r="E77" s="392"/>
      <c r="F77" s="393"/>
      <c r="G77" s="390"/>
      <c r="H77" s="391"/>
      <c r="I77" s="391"/>
      <c r="J77" s="390"/>
      <c r="K77" s="392"/>
      <c r="L77" s="391"/>
      <c r="M77" s="390"/>
      <c r="N77" s="392"/>
      <c r="O77" s="391"/>
      <c r="P77" s="390"/>
      <c r="Q77" s="392"/>
      <c r="R77" s="391"/>
      <c r="S77" s="390"/>
      <c r="T77" s="392"/>
      <c r="U77" s="391"/>
      <c r="V77" s="390"/>
      <c r="W77" s="389"/>
      <c r="X77" s="388"/>
      <c r="Y77" s="67" t="s">
        <v>0</v>
      </c>
    </row>
    <row r="78" spans="1:25">
      <c r="A78" s="385"/>
      <c r="B78" s="387"/>
      <c r="C78" s="848" t="s">
        <v>60</v>
      </c>
      <c r="D78" s="384"/>
      <c r="E78" s="380"/>
      <c r="F78" s="383"/>
      <c r="G78" s="381"/>
      <c r="H78" s="382"/>
      <c r="I78" s="382"/>
      <c r="J78" s="381"/>
      <c r="K78" s="380"/>
      <c r="L78" s="382"/>
      <c r="M78" s="381"/>
      <c r="N78" s="380"/>
      <c r="O78" s="382"/>
      <c r="P78" s="381"/>
      <c r="Q78" s="380"/>
      <c r="R78" s="382"/>
      <c r="S78" s="381"/>
      <c r="T78" s="380"/>
      <c r="U78" s="382"/>
      <c r="V78" s="381"/>
      <c r="W78" s="380"/>
      <c r="X78" s="379"/>
      <c r="Y78" s="67" t="s">
        <v>0</v>
      </c>
    </row>
    <row r="79" spans="1:25">
      <c r="A79" s="385"/>
      <c r="B79" s="1807" t="s">
        <v>101</v>
      </c>
      <c r="C79" s="1808"/>
      <c r="D79" s="384"/>
      <c r="E79" s="380">
        <f>E78+E77+E74</f>
        <v>0</v>
      </c>
      <c r="F79" s="383"/>
      <c r="G79" s="381"/>
      <c r="H79" s="380">
        <f>H78+H77+H74</f>
        <v>0</v>
      </c>
      <c r="I79" s="382"/>
      <c r="J79" s="381"/>
      <c r="K79" s="380">
        <f>K78+K77+K74</f>
        <v>0</v>
      </c>
      <c r="L79" s="382"/>
      <c r="M79" s="381"/>
      <c r="N79" s="380">
        <f>N78+N77+N74</f>
        <v>0</v>
      </c>
      <c r="O79" s="382"/>
      <c r="P79" s="381"/>
      <c r="Q79" s="380">
        <f>Q78+Q77+Q74</f>
        <v>0</v>
      </c>
      <c r="R79" s="382"/>
      <c r="S79" s="381"/>
      <c r="T79" s="380">
        <f>T78+T77+T74</f>
        <v>0</v>
      </c>
      <c r="U79" s="382"/>
      <c r="V79" s="381"/>
      <c r="W79" s="380">
        <f>W78+W77+W74</f>
        <v>0</v>
      </c>
      <c r="X79" s="379"/>
      <c r="Y79" s="67" t="s">
        <v>0</v>
      </c>
    </row>
    <row r="80" spans="1:25" ht="18" customHeight="1">
      <c r="C80" s="378"/>
      <c r="Y80" s="67" t="s">
        <v>0</v>
      </c>
    </row>
    <row r="81" spans="1:25" ht="15" customHeight="1">
      <c r="A81" s="1577" t="s">
        <v>629</v>
      </c>
      <c r="B81" s="1687"/>
      <c r="C81" s="1687"/>
      <c r="D81" s="1687"/>
      <c r="E81" s="1687"/>
      <c r="F81" s="1687"/>
      <c r="G81" s="1687"/>
      <c r="H81" s="1687"/>
      <c r="I81" s="1687"/>
      <c r="J81" s="1687"/>
      <c r="K81" s="1687"/>
      <c r="L81" s="1687"/>
      <c r="M81" s="1687"/>
      <c r="N81" s="1687"/>
      <c r="O81" s="1687"/>
      <c r="P81" s="1687"/>
      <c r="Q81" s="1687"/>
      <c r="R81" s="1687"/>
      <c r="S81" s="1687"/>
      <c r="T81" s="1687"/>
      <c r="U81" s="1687"/>
      <c r="V81" s="1687"/>
      <c r="W81" s="1687"/>
      <c r="X81" s="1687"/>
      <c r="Y81" s="67" t="s">
        <v>0</v>
      </c>
    </row>
    <row r="82" spans="1:25" s="253" customFormat="1" ht="15" customHeight="1">
      <c r="D82" s="254"/>
      <c r="E82" s="254"/>
      <c r="F82" s="254"/>
      <c r="G82" s="254"/>
      <c r="H82" s="254"/>
      <c r="I82" s="254"/>
      <c r="J82" s="254"/>
      <c r="K82" s="254"/>
      <c r="L82" s="254"/>
      <c r="M82" s="254"/>
      <c r="N82" s="254"/>
      <c r="O82" s="254"/>
      <c r="P82" s="254"/>
      <c r="Q82" s="254"/>
      <c r="R82" s="254"/>
      <c r="S82" s="254"/>
      <c r="T82" s="254"/>
      <c r="U82" s="254"/>
      <c r="V82" s="254"/>
      <c r="W82" s="254"/>
      <c r="X82" s="254"/>
      <c r="Y82" s="67" t="s">
        <v>13</v>
      </c>
    </row>
    <row r="83" spans="1:25" s="253" customFormat="1" ht="15" customHeight="1">
      <c r="D83" s="254"/>
      <c r="E83" s="254"/>
      <c r="F83" s="254"/>
      <c r="G83" s="254"/>
      <c r="H83" s="254"/>
      <c r="I83" s="254"/>
      <c r="J83" s="254"/>
      <c r="K83" s="254"/>
      <c r="L83" s="254"/>
      <c r="M83" s="254"/>
      <c r="N83" s="254"/>
      <c r="O83" s="254"/>
      <c r="P83" s="254"/>
      <c r="Q83" s="254"/>
      <c r="R83" s="254"/>
      <c r="S83" s="254"/>
      <c r="T83" s="254"/>
      <c r="U83" s="254"/>
      <c r="V83" s="254"/>
      <c r="W83" s="254"/>
      <c r="X83" s="254"/>
      <c r="Y83" s="255"/>
    </row>
    <row r="84" spans="1:25" s="253" customFormat="1" ht="15" customHeight="1">
      <c r="D84" s="254"/>
      <c r="E84" s="254"/>
      <c r="F84" s="254"/>
      <c r="G84" s="254"/>
      <c r="H84" s="254"/>
      <c r="I84" s="254"/>
      <c r="J84" s="254"/>
      <c r="K84" s="254"/>
      <c r="L84" s="254"/>
      <c r="M84" s="254"/>
      <c r="N84" s="254"/>
      <c r="O84" s="254"/>
      <c r="P84" s="254"/>
      <c r="Q84" s="254"/>
      <c r="R84" s="254"/>
      <c r="S84" s="254"/>
      <c r="T84" s="254"/>
      <c r="U84" s="254"/>
      <c r="V84" s="254"/>
      <c r="W84" s="254"/>
      <c r="X84" s="254"/>
      <c r="Y84" s="255"/>
    </row>
    <row r="85" spans="1:25" s="253" customFormat="1" ht="15" customHeight="1">
      <c r="D85" s="254"/>
      <c r="E85" s="254"/>
      <c r="F85" s="254"/>
      <c r="G85" s="254"/>
      <c r="H85" s="254"/>
      <c r="I85" s="254"/>
      <c r="J85" s="254"/>
      <c r="K85" s="254"/>
      <c r="L85" s="254"/>
      <c r="M85" s="254"/>
      <c r="N85" s="254"/>
      <c r="O85" s="254"/>
      <c r="P85" s="254"/>
      <c r="Q85" s="254"/>
      <c r="R85" s="254"/>
      <c r="S85" s="254"/>
      <c r="T85" s="254"/>
      <c r="U85" s="254"/>
      <c r="V85" s="254"/>
      <c r="W85" s="254"/>
      <c r="X85" s="254"/>
      <c r="Y85" s="255"/>
    </row>
    <row r="86" spans="1:25" s="253" customFormat="1" ht="15" customHeight="1">
      <c r="D86" s="254"/>
      <c r="E86" s="254"/>
      <c r="F86" s="254"/>
      <c r="G86" s="254"/>
      <c r="H86" s="254"/>
      <c r="I86" s="254"/>
      <c r="J86" s="254"/>
      <c r="K86" s="254"/>
      <c r="L86" s="254"/>
      <c r="M86" s="254"/>
      <c r="N86" s="254"/>
      <c r="O86" s="254"/>
      <c r="P86" s="254"/>
      <c r="Q86" s="254"/>
      <c r="R86" s="254"/>
      <c r="S86" s="254"/>
      <c r="T86" s="254"/>
      <c r="U86" s="254"/>
      <c r="V86" s="254"/>
      <c r="W86" s="254"/>
      <c r="X86" s="254"/>
      <c r="Y86" s="255"/>
    </row>
    <row r="87" spans="1:25" s="253" customFormat="1" ht="15" customHeight="1">
      <c r="A87" s="256"/>
      <c r="B87" s="256"/>
      <c r="C87" s="256"/>
      <c r="D87" s="41"/>
      <c r="E87" s="41"/>
      <c r="F87" s="41"/>
      <c r="G87" s="41"/>
      <c r="H87" s="41"/>
      <c r="I87" s="41"/>
      <c r="J87" s="41"/>
      <c r="K87" s="41"/>
      <c r="L87" s="41"/>
      <c r="M87" s="41"/>
      <c r="N87" s="41"/>
      <c r="O87" s="41"/>
      <c r="P87" s="41"/>
      <c r="Q87" s="41"/>
      <c r="R87" s="41"/>
      <c r="S87" s="41"/>
      <c r="T87" s="41"/>
      <c r="U87" s="41"/>
      <c r="V87" s="41"/>
      <c r="W87" s="257"/>
      <c r="X87" s="257"/>
      <c r="Y87" s="255"/>
    </row>
    <row r="88" spans="1:25" s="253" customFormat="1" ht="15" customHeight="1">
      <c r="A88" s="256"/>
      <c r="B88" s="256"/>
      <c r="C88" s="272"/>
      <c r="D88" s="273"/>
      <c r="E88" s="273"/>
      <c r="F88" s="273"/>
      <c r="G88" s="273"/>
      <c r="H88" s="273"/>
      <c r="I88" s="273"/>
      <c r="J88" s="273"/>
      <c r="K88" s="273"/>
      <c r="L88" s="273"/>
      <c r="M88" s="273"/>
      <c r="N88" s="273"/>
      <c r="O88" s="273"/>
      <c r="P88" s="273"/>
      <c r="Q88" s="273"/>
      <c r="R88" s="273"/>
      <c r="S88" s="273"/>
      <c r="T88" s="273"/>
      <c r="U88" s="273"/>
      <c r="V88" s="273"/>
      <c r="W88" s="273"/>
      <c r="X88" s="273"/>
      <c r="Y88" s="255"/>
    </row>
    <row r="89" spans="1:25" s="253" customFormat="1" ht="15" customHeight="1">
      <c r="A89" s="1806"/>
      <c r="B89" s="1806"/>
      <c r="C89" s="1806"/>
      <c r="D89" s="1806"/>
      <c r="E89" s="1806"/>
      <c r="F89" s="1806"/>
      <c r="G89" s="1806"/>
      <c r="H89" s="1806"/>
      <c r="I89" s="1806"/>
      <c r="J89" s="1806"/>
      <c r="K89" s="1806"/>
      <c r="L89" s="1806"/>
      <c r="M89" s="1806"/>
      <c r="N89" s="1806"/>
      <c r="O89" s="1806"/>
      <c r="P89" s="1806"/>
      <c r="Q89" s="1806"/>
      <c r="R89" s="1806"/>
      <c r="S89" s="1806"/>
      <c r="T89" s="1806"/>
      <c r="U89" s="1806"/>
      <c r="V89" s="1806"/>
      <c r="W89" s="49"/>
      <c r="X89" s="49"/>
      <c r="Y89" s="255"/>
    </row>
    <row r="90" spans="1:25">
      <c r="W90" s="377"/>
      <c r="X90" s="377"/>
    </row>
    <row r="91" spans="1:25">
      <c r="K91" s="53"/>
    </row>
  </sheetData>
  <customSheetViews>
    <customSheetView guid="{DA38F665-F06D-4DFB-B852-747D93BB00EF}" scale="65" showPageBreaks="1" showGridLines="0" outlineSymbols="0" fitToPage="1" printArea="1" view="pageBreakPreview" topLeftCell="A7">
      <selection activeCell="B210" sqref="B210"/>
      <rowBreaks count="1" manualBreakCount="1">
        <brk id="35" max="23" man="1"/>
      </rowBreaks>
      <pageMargins left="0.5" right="0.4" top="0.5" bottom="0.25" header="0" footer="0"/>
      <printOptions horizontalCentered="1"/>
      <pageSetup scale="49" firstPageNumber="8" fitToHeight="0" orientation="landscape" useFirstPageNumber="1" r:id="rId1"/>
      <headerFooter alignWithMargins="0">
        <oddFooter>&amp;C&amp;"Times New Roman,Regular"Exhibit B - Summary of Requirements&amp;R&amp;"Times New Roman,Regular"Research, Evaluation, and Statistics</oddFooter>
      </headerFooter>
    </customSheetView>
    <customSheetView guid="{4D0F9E3D-0229-48CC-A08B-F132802E9D7B}" scale="65" showPageBreaks="1" showGridLines="0" outlineSymbols="0" fitToPage="1" printArea="1" view="pageBreakPreview" topLeftCell="D55">
      <selection activeCell="R70" sqref="R70"/>
      <rowBreaks count="1" manualBreakCount="1">
        <brk id="37" max="23" man="1"/>
      </rowBreaks>
      <pageMargins left="0.5" right="0.4" top="0.5" bottom="0.25" header="0" footer="0"/>
      <printOptions horizontalCentered="1"/>
      <pageSetup scale="50" firstPageNumber="8" fitToHeight="0" orientation="landscape" useFirstPageNumber="1" r:id="rId2"/>
      <headerFooter alignWithMargins="0">
        <oddFooter>&amp;C&amp;"Times New Roman,Regular"Exhibit B - Summary of Requirements&amp;R&amp;"Times New Roman,Regular"Research, Evaluation, and Statistics</oddFooter>
      </headerFooter>
    </customSheetView>
    <customSheetView guid="{F6772377-6B25-4EEA-B255-4C2F62B37855}" scale="65" showPageBreaks="1" showGridLines="0" outlineSymbols="0" fitToPage="1" printArea="1" view="pageBreakPreview" topLeftCell="C33">
      <selection activeCell="Z75" sqref="Y75:Z75"/>
      <rowBreaks count="1" manualBreakCount="1">
        <brk id="38" max="23" man="1"/>
      </rowBreaks>
      <pageMargins left="0.5" right="0.4" top="0.5" bottom="0.25" header="0" footer="0"/>
      <printOptions horizontalCentered="1"/>
      <pageSetup scale="49" firstPageNumber="8" fitToHeight="0" orientation="landscape" useFirstPageNumber="1" r:id="rId3"/>
      <headerFooter alignWithMargins="0">
        <oddFooter>&amp;C&amp;"Times New Roman,Regular"Exhibit B - Summary of Requirements&amp;R&amp;"Times New Roman,Regular"Research, Evaluation, and Statistics</oddFooter>
      </headerFooter>
    </customSheetView>
    <customSheetView guid="{27B9C207-C13F-4981-9CED-E69585BBD779}" scale="65" showPageBreaks="1" showGridLines="0" outlineSymbols="0" fitToPage="1" printArea="1" view="pageBreakPreview" topLeftCell="E49">
      <selection activeCell="A71" sqref="A71"/>
      <rowBreaks count="1" manualBreakCount="1">
        <brk id="39" max="23" man="1"/>
      </rowBreaks>
      <pageMargins left="0.5" right="0.4" top="0.5" bottom="0.25" header="0" footer="0"/>
      <printOptions horizontalCentered="1"/>
      <pageSetup scale="49" firstPageNumber="8" fitToHeight="0" orientation="landscape" useFirstPageNumber="1" r:id="rId4"/>
      <headerFooter alignWithMargins="0">
        <oddFooter>&amp;C&amp;"Times New Roman,Regular"Exhibit B - Summary of Requirements&amp;R&amp;"Times New Roman,Regular"Research, Evaluation, and Statistics</oddFooter>
      </headerFooter>
    </customSheetView>
  </customSheetViews>
  <mergeCells count="54">
    <mergeCell ref="A1:X1"/>
    <mergeCell ref="A14:U14"/>
    <mergeCell ref="A2:X2"/>
    <mergeCell ref="A3:X3"/>
    <mergeCell ref="A8:X8"/>
    <mergeCell ref="A9:X9"/>
    <mergeCell ref="X12:X13"/>
    <mergeCell ref="W12:W13"/>
    <mergeCell ref="A4:X4"/>
    <mergeCell ref="A5:X5"/>
    <mergeCell ref="A6:X6"/>
    <mergeCell ref="A7:X7"/>
    <mergeCell ref="V11:X11"/>
    <mergeCell ref="A10:X10"/>
    <mergeCell ref="A11:U13"/>
    <mergeCell ref="A19:U19"/>
    <mergeCell ref="V12:V13"/>
    <mergeCell ref="A18:U18"/>
    <mergeCell ref="A31:U31"/>
    <mergeCell ref="A27:U27"/>
    <mergeCell ref="A24:U24"/>
    <mergeCell ref="A25:U25"/>
    <mergeCell ref="A26:U26"/>
    <mergeCell ref="A20:U20"/>
    <mergeCell ref="A23:U23"/>
    <mergeCell ref="A55:C57"/>
    <mergeCell ref="A36:U36"/>
    <mergeCell ref="G55:I56"/>
    <mergeCell ref="J55:L56"/>
    <mergeCell ref="M55:O56"/>
    <mergeCell ref="P55:R56"/>
    <mergeCell ref="S55:U56"/>
    <mergeCell ref="A46:X46"/>
    <mergeCell ref="A47:X47"/>
    <mergeCell ref="A48:X48"/>
    <mergeCell ref="A49:X49"/>
    <mergeCell ref="V55:X56"/>
    <mergeCell ref="D55:F56"/>
    <mergeCell ref="A38:X38"/>
    <mergeCell ref="A35:U35"/>
    <mergeCell ref="A21:U21"/>
    <mergeCell ref="A28:U28"/>
    <mergeCell ref="A30:U30"/>
    <mergeCell ref="A29:U29"/>
    <mergeCell ref="A34:U34"/>
    <mergeCell ref="A32:U32"/>
    <mergeCell ref="A33:U33"/>
    <mergeCell ref="A89:V89"/>
    <mergeCell ref="A81:X81"/>
    <mergeCell ref="B79:C79"/>
    <mergeCell ref="B76:C76"/>
    <mergeCell ref="B73:C73"/>
    <mergeCell ref="B75:C75"/>
    <mergeCell ref="B74:C74"/>
  </mergeCells>
  <printOptions horizontalCentered="1"/>
  <pageMargins left="0.5" right="0.4" top="0.5" bottom="0.25" header="0" footer="0"/>
  <pageSetup scale="49" firstPageNumber="8" fitToHeight="0" orientation="landscape" useFirstPageNumber="1" r:id="rId5"/>
  <headerFooter alignWithMargins="0">
    <oddFooter>&amp;C&amp;"Times New Roman,Regular"Exhibit B - Summary of Requirements&amp;R&amp;"Times New Roman,Regular"Research, Evaluation, and Statistics</oddFooter>
  </headerFooter>
  <rowBreaks count="1" manualBreakCount="1">
    <brk id="39" max="23" man="1"/>
  </rowBreaks>
</worksheet>
</file>

<file path=xl/worksheets/sheet11.xml><?xml version="1.0" encoding="utf-8"?>
<worksheet xmlns="http://schemas.openxmlformats.org/spreadsheetml/2006/main" xmlns:r="http://schemas.openxmlformats.org/officeDocument/2006/relationships">
  <sheetPr>
    <pageSetUpPr fitToPage="1"/>
  </sheetPr>
  <dimension ref="A1:H36"/>
  <sheetViews>
    <sheetView zoomScaleNormal="100" zoomScaleSheetLayoutView="75" workbookViewId="0">
      <selection activeCell="B25" sqref="B25"/>
    </sheetView>
  </sheetViews>
  <sheetFormatPr defaultColWidth="7.21875" defaultRowHeight="12.75"/>
  <cols>
    <col min="1" max="1" width="31.88671875" style="433" customWidth="1"/>
    <col min="2" max="2" width="48.77734375" style="433" customWidth="1"/>
    <col min="3" max="3" width="4.6640625" style="433" customWidth="1"/>
    <col min="4" max="4" width="8.33203125" style="433" customWidth="1"/>
    <col min="5" max="5" width="4.6640625" style="433" customWidth="1"/>
    <col min="6" max="6" width="13.5546875" style="433" customWidth="1"/>
    <col min="7" max="7" width="11.33203125" style="433" customWidth="1"/>
    <col min="8" max="8" width="8.88671875" style="471" customWidth="1"/>
    <col min="9" max="16384" width="7.21875" style="433"/>
  </cols>
  <sheetData>
    <row r="1" spans="1:8" ht="20.25">
      <c r="A1" s="1692" t="s">
        <v>240</v>
      </c>
      <c r="B1" s="1693"/>
      <c r="C1" s="1693"/>
      <c r="D1" s="1693"/>
      <c r="E1" s="1693"/>
      <c r="F1" s="1693"/>
      <c r="G1" s="1693"/>
      <c r="H1" s="432" t="s">
        <v>0</v>
      </c>
    </row>
    <row r="2" spans="1:8" ht="20.25">
      <c r="A2" s="1733"/>
      <c r="B2" s="1733"/>
      <c r="C2" s="1733"/>
      <c r="D2" s="1733"/>
      <c r="E2" s="1733"/>
      <c r="F2" s="1733"/>
      <c r="G2" s="1733"/>
      <c r="H2" s="432" t="s">
        <v>0</v>
      </c>
    </row>
    <row r="3" spans="1:8">
      <c r="A3" s="1886"/>
      <c r="B3" s="1886"/>
      <c r="C3" s="1886"/>
      <c r="D3" s="1886"/>
      <c r="E3" s="1886"/>
      <c r="F3" s="1886"/>
      <c r="G3" s="1886"/>
      <c r="H3" s="432" t="s">
        <v>0</v>
      </c>
    </row>
    <row r="4" spans="1:8" ht="23.25">
      <c r="A4" s="1887" t="s">
        <v>241</v>
      </c>
      <c r="B4" s="1875"/>
      <c r="C4" s="1875"/>
      <c r="D4" s="1875"/>
      <c r="E4" s="1875"/>
      <c r="F4" s="1875"/>
      <c r="G4" s="1875"/>
      <c r="H4" s="432" t="s">
        <v>0</v>
      </c>
    </row>
    <row r="5" spans="1:8" ht="23.25">
      <c r="A5" s="1885" t="str">
        <f>'[3]B. Summ of Reqs - RES '!A47</f>
        <v>Office of Justice Programs</v>
      </c>
      <c r="B5" s="1888"/>
      <c r="C5" s="1888"/>
      <c r="D5" s="1888"/>
      <c r="E5" s="1888"/>
      <c r="F5" s="1888"/>
      <c r="G5" s="1888"/>
      <c r="H5" s="432" t="s">
        <v>0</v>
      </c>
    </row>
    <row r="6" spans="1:8" ht="23.25">
      <c r="A6" s="1885" t="str">
        <f>'B. Summ of Reqs - RES '!A6:X6</f>
        <v>Research, Evaluation, and Statistics (formerly Justice Assistance)</v>
      </c>
      <c r="B6" s="1885"/>
      <c r="C6" s="1885"/>
      <c r="D6" s="1885"/>
      <c r="E6" s="1885"/>
      <c r="F6" s="1885"/>
      <c r="G6" s="1885"/>
      <c r="H6" s="432" t="s">
        <v>0</v>
      </c>
    </row>
    <row r="7" spans="1:8" ht="23.25">
      <c r="A7" s="1874" t="s">
        <v>98</v>
      </c>
      <c r="B7" s="1875"/>
      <c r="C7" s="1875"/>
      <c r="D7" s="1875"/>
      <c r="E7" s="1875"/>
      <c r="F7" s="1875"/>
      <c r="G7" s="1875"/>
      <c r="H7" s="432" t="s">
        <v>0</v>
      </c>
    </row>
    <row r="8" spans="1:8">
      <c r="A8" s="1876"/>
      <c r="B8" s="1876"/>
      <c r="C8" s="1876"/>
      <c r="D8" s="1876"/>
      <c r="E8" s="1876"/>
      <c r="F8" s="1876"/>
      <c r="G8" s="1876"/>
      <c r="H8" s="432" t="s">
        <v>0</v>
      </c>
    </row>
    <row r="9" spans="1:8">
      <c r="A9" s="1877"/>
      <c r="B9" s="1877"/>
      <c r="C9" s="1877"/>
      <c r="D9" s="1877"/>
      <c r="E9" s="1877"/>
      <c r="F9" s="1877"/>
      <c r="G9" s="1877"/>
      <c r="H9" s="432" t="s">
        <v>0</v>
      </c>
    </row>
    <row r="10" spans="1:8" ht="27.75" customHeight="1">
      <c r="A10" s="1878" t="s">
        <v>91</v>
      </c>
      <c r="B10" s="1880" t="s">
        <v>242</v>
      </c>
      <c r="C10" s="1882" t="s">
        <v>243</v>
      </c>
      <c r="D10" s="1883"/>
      <c r="E10" s="1883"/>
      <c r="F10" s="1884"/>
      <c r="G10" s="1880" t="s">
        <v>244</v>
      </c>
      <c r="H10" s="432" t="s">
        <v>0</v>
      </c>
    </row>
    <row r="11" spans="1:8">
      <c r="A11" s="1879"/>
      <c r="B11" s="1881"/>
      <c r="C11" s="434" t="s">
        <v>115</v>
      </c>
      <c r="D11" s="434" t="s">
        <v>4</v>
      </c>
      <c r="E11" s="434" t="s">
        <v>25</v>
      </c>
      <c r="F11" s="435" t="s">
        <v>117</v>
      </c>
      <c r="G11" s="1881"/>
      <c r="H11" s="432" t="s">
        <v>0</v>
      </c>
    </row>
    <row r="12" spans="1:8" ht="15.75">
      <c r="A12" s="436"/>
      <c r="B12" s="437"/>
      <c r="C12" s="438"/>
      <c r="D12" s="439"/>
      <c r="E12" s="439"/>
      <c r="F12" s="440"/>
      <c r="G12" s="440"/>
      <c r="H12" s="432" t="s">
        <v>0</v>
      </c>
    </row>
    <row r="13" spans="1:8" ht="18.75" customHeight="1">
      <c r="A13" s="436" t="s">
        <v>231</v>
      </c>
      <c r="B13" s="437" t="s">
        <v>461</v>
      </c>
      <c r="C13" s="441"/>
      <c r="D13" s="439"/>
      <c r="E13" s="439"/>
      <c r="F13" s="440">
        <v>15000</v>
      </c>
      <c r="G13" s="440">
        <f>+F13</f>
        <v>15000</v>
      </c>
      <c r="H13" s="432" t="s">
        <v>0</v>
      </c>
    </row>
    <row r="14" spans="1:8" ht="18.75" customHeight="1">
      <c r="A14" s="436" t="s">
        <v>245</v>
      </c>
      <c r="B14" s="437" t="s">
        <v>461</v>
      </c>
      <c r="C14" s="441"/>
      <c r="D14" s="439"/>
      <c r="E14" s="439"/>
      <c r="F14" s="440">
        <v>8000</v>
      </c>
      <c r="G14" s="440">
        <f>+F14</f>
        <v>8000</v>
      </c>
      <c r="H14" s="432" t="s">
        <v>0</v>
      </c>
    </row>
    <row r="15" spans="1:8" ht="18.75" customHeight="1">
      <c r="A15" s="1096" t="s">
        <v>217</v>
      </c>
      <c r="B15" s="1097" t="s">
        <v>461</v>
      </c>
      <c r="C15" s="1098"/>
      <c r="D15" s="442"/>
      <c r="E15" s="442"/>
      <c r="F15" s="442">
        <v>250000</v>
      </c>
      <c r="G15" s="1099">
        <f>+F15</f>
        <v>250000</v>
      </c>
      <c r="H15" s="432" t="s">
        <v>0</v>
      </c>
    </row>
    <row r="16" spans="1:8" ht="18.75" customHeight="1">
      <c r="A16" s="716" t="s">
        <v>246</v>
      </c>
      <c r="B16" s="717"/>
      <c r="C16" s="464">
        <f>SUM(C12:C14)</f>
        <v>0</v>
      </c>
      <c r="D16" s="465">
        <f>SUM(D12:D14)</f>
        <v>0</v>
      </c>
      <c r="E16" s="465">
        <f>SUM(E12:E14)</f>
        <v>0</v>
      </c>
      <c r="F16" s="466">
        <f>F13+F14+F15</f>
        <v>273000</v>
      </c>
      <c r="G16" s="467">
        <f>G13+G14+G15</f>
        <v>273000</v>
      </c>
      <c r="H16" s="432" t="s">
        <v>13</v>
      </c>
    </row>
    <row r="17" spans="1:8" ht="15" customHeight="1">
      <c r="A17" s="468"/>
      <c r="B17" s="469"/>
      <c r="C17" s="452"/>
      <c r="D17" s="452"/>
      <c r="E17" s="452"/>
      <c r="F17" s="453"/>
      <c r="G17" s="453"/>
      <c r="H17" s="432"/>
    </row>
    <row r="18" spans="1:8" ht="15" customHeight="1">
      <c r="A18" s="1381"/>
      <c r="B18" s="1381"/>
      <c r="C18" s="1868"/>
      <c r="D18" s="1869"/>
      <c r="E18" s="1869"/>
      <c r="F18" s="1869"/>
      <c r="G18" s="470"/>
      <c r="H18" s="432"/>
    </row>
    <row r="19" spans="1:8" ht="15" customHeight="1">
      <c r="A19" s="1870"/>
      <c r="B19" s="1871"/>
      <c r="C19" s="1871"/>
      <c r="D19" s="1871"/>
      <c r="E19" s="1871"/>
      <c r="F19" s="1871"/>
    </row>
    <row r="20" spans="1:8" ht="15" customHeight="1">
      <c r="A20" s="1382"/>
      <c r="B20" s="1382"/>
      <c r="C20" s="1382"/>
      <c r="D20" s="1382"/>
      <c r="E20" s="1382"/>
      <c r="F20" s="1382"/>
    </row>
    <row r="21" spans="1:8" ht="15" customHeight="1">
      <c r="A21" s="1766"/>
      <c r="B21" s="1872"/>
      <c r="C21" s="1872"/>
      <c r="D21" s="1872"/>
      <c r="E21" s="1872"/>
      <c r="F21" s="1872"/>
    </row>
    <row r="22" spans="1:8" ht="15" customHeight="1">
      <c r="A22" s="1873"/>
      <c r="B22" s="1873"/>
      <c r="C22" s="1873"/>
      <c r="D22" s="1873"/>
      <c r="E22" s="1873"/>
      <c r="F22" s="1873"/>
    </row>
    <row r="23" spans="1:8" ht="15" customHeight="1">
      <c r="A23" s="473"/>
      <c r="B23" s="474"/>
      <c r="C23" s="474"/>
      <c r="D23" s="474"/>
      <c r="E23" s="474"/>
      <c r="F23" s="474"/>
      <c r="G23" s="475"/>
    </row>
    <row r="24" spans="1:8" ht="15" customHeight="1">
      <c r="A24" s="474"/>
      <c r="B24" s="474"/>
      <c r="C24" s="474"/>
      <c r="D24" s="474"/>
      <c r="E24" s="474"/>
      <c r="F24" s="474"/>
    </row>
    <row r="25" spans="1:8" ht="15" customHeight="1"/>
    <row r="26" spans="1:8" ht="15" customHeight="1"/>
    <row r="27" spans="1:8" ht="15" customHeight="1"/>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sheetData>
  <customSheetViews>
    <customSheetView guid="{DA38F665-F06D-4DFB-B852-747D93BB00EF}" scale="75" showPageBreaks="1" fitToPage="1" printArea="1" view="pageBreakPreview">
      <selection activeCell="B210" sqref="B210"/>
      <pageMargins left="0.75" right="0.75" top="1" bottom="1" header="0.5" footer="0.5"/>
      <printOptions horizontalCentered="1"/>
      <pageSetup scale="82" orientation="landscape" r:id="rId1"/>
      <headerFooter alignWithMargins="0">
        <oddFooter>&amp;C&amp;"Times New Roman,Regular"Exhibit C - Program Increases/Offsets By Decision Unit&amp;R&amp;"Times New Roman,Regular"Research, Evaluation, and Statistics</oddFooter>
      </headerFooter>
    </customSheetView>
    <customSheetView guid="{4D0F9E3D-0229-48CC-A08B-F132802E9D7B}" scale="75" showPageBreaks="1" fitToPage="1" printArea="1" view="pageBreakPreview" topLeftCell="L1">
      <selection activeCell="A6" sqref="A6:S6"/>
      <pageMargins left="0.75" right="0.75" top="1" bottom="1" header="0.5" footer="0.5"/>
      <printOptions horizontalCentered="1"/>
      <pageSetup scale="51" orientation="landscape" r:id="rId2"/>
      <headerFooter alignWithMargins="0">
        <oddFooter>&amp;C&amp;"Times New Roman,Regular"Exhibit C - Program Increases/Offsets By Decision Unit&amp;R&amp;"Times New Roman,Regular"Research, Evaluation, and Statistics</oddFooter>
      </headerFooter>
    </customSheetView>
    <customSheetView guid="{F6772377-6B25-4EEA-B255-4C2F62B37855}" scale="75" showPageBreaks="1" fitToPage="1" printArea="1" view="pageBreakPreview">
      <selection activeCell="C18" sqref="C18:F18"/>
      <pageMargins left="0.75" right="0.75" top="1" bottom="1" header="0.5" footer="0.5"/>
      <printOptions horizontalCentered="1"/>
      <pageSetup scale="82" orientation="landscape" r:id="rId3"/>
      <headerFooter alignWithMargins="0">
        <oddFooter>&amp;C&amp;"Times New Roman,Regular"Exhibit C - Program Increases/Offsets By Decision Unit&amp;R&amp;"Times New Roman,Regular"Research, Evaluation, and Statistics</oddFooter>
      </headerFooter>
    </customSheetView>
    <customSheetView guid="{27B9C207-C13F-4981-9CED-E69585BBD779}" fitToPage="1" topLeftCell="B4">
      <selection activeCell="A22" sqref="A22"/>
      <pageMargins left="0.75" right="0.75" top="1" bottom="1" header="0.5" footer="0.5"/>
      <printOptions horizontalCentered="1"/>
      <pageSetup scale="82" orientation="landscape" r:id="rId4"/>
      <headerFooter alignWithMargins="0">
        <oddFooter>&amp;C&amp;"Times New Roman,Regular"Exhibit C - Program Increases/Offsets By Decision Unit&amp;R&amp;"Times New Roman,Regular"Research, Evaluation, and Statistics</oddFooter>
      </headerFooter>
    </customSheetView>
  </customSheetViews>
  <mergeCells count="17">
    <mergeCell ref="A6:G6"/>
    <mergeCell ref="A1:G1"/>
    <mergeCell ref="A2:G2"/>
    <mergeCell ref="A3:G3"/>
    <mergeCell ref="A4:G4"/>
    <mergeCell ref="A5:G5"/>
    <mergeCell ref="C18:F18"/>
    <mergeCell ref="A19:F19"/>
    <mergeCell ref="A21:F21"/>
    <mergeCell ref="A22:F22"/>
    <mergeCell ref="A7:G7"/>
    <mergeCell ref="A8:G8"/>
    <mergeCell ref="A9:G9"/>
    <mergeCell ref="A10:A11"/>
    <mergeCell ref="B10:B11"/>
    <mergeCell ref="C10:F10"/>
    <mergeCell ref="G10:G11"/>
  </mergeCells>
  <printOptions horizontalCentered="1"/>
  <pageMargins left="0.75" right="0.75" top="1" bottom="1" header="0.5" footer="0.5"/>
  <pageSetup scale="82" orientation="landscape" r:id="rId5"/>
  <headerFooter alignWithMargins="0">
    <oddFooter>&amp;C&amp;"Times New Roman,Regular"Exhibit C - Program Increases/Offsets By Decision Unit&amp;R&amp;"Times New Roman,Regular"Research, Evaluation, and Statistics</oddFooter>
  </headerFooter>
</worksheet>
</file>

<file path=xl/worksheets/sheet12.xml><?xml version="1.0" encoding="utf-8"?>
<worksheet xmlns="http://schemas.openxmlformats.org/spreadsheetml/2006/main" xmlns:r="http://schemas.openxmlformats.org/officeDocument/2006/relationships">
  <dimension ref="A1:T50"/>
  <sheetViews>
    <sheetView view="pageBreakPreview" zoomScale="60" zoomScaleNormal="75" workbookViewId="0">
      <selection activeCell="A26" sqref="A26"/>
    </sheetView>
  </sheetViews>
  <sheetFormatPr defaultColWidth="8.88671875" defaultRowHeight="12.75"/>
  <cols>
    <col min="1" max="1" width="53.88671875" style="477" customWidth="1"/>
    <col min="2" max="2" width="1.21875" style="477" customWidth="1"/>
    <col min="3" max="3" width="10.77734375" style="477" customWidth="1"/>
    <col min="4" max="4" width="11" style="477" customWidth="1"/>
    <col min="5" max="5" width="1.21875" style="477" customWidth="1"/>
    <col min="6" max="7" width="11.21875" style="477" customWidth="1"/>
    <col min="8" max="8" width="1.21875" style="477" customWidth="1"/>
    <col min="9" max="16" width="10.77734375" style="477" customWidth="1"/>
    <col min="17" max="17" width="8.77734375" style="477" customWidth="1"/>
    <col min="18" max="16384" width="8.88671875" style="477"/>
  </cols>
  <sheetData>
    <row r="1" spans="1:20" ht="20.25">
      <c r="A1" s="1897" t="s">
        <v>145</v>
      </c>
      <c r="B1" s="1609"/>
      <c r="C1" s="1609"/>
      <c r="D1" s="1609"/>
      <c r="E1" s="1609"/>
      <c r="F1" s="1609"/>
      <c r="G1" s="1609"/>
      <c r="H1" s="1609"/>
      <c r="I1" s="1609"/>
      <c r="J1" s="1609"/>
      <c r="K1" s="1609"/>
      <c r="L1" s="1609"/>
      <c r="M1" s="1609"/>
      <c r="N1" s="1609"/>
      <c r="O1" s="1609"/>
      <c r="P1" s="1609"/>
      <c r="Q1" s="476" t="s">
        <v>0</v>
      </c>
      <c r="R1" s="189"/>
      <c r="S1" s="189"/>
    </row>
    <row r="2" spans="1:20" ht="19.149999999999999" customHeight="1">
      <c r="A2" s="478"/>
      <c r="Q2" s="476" t="s">
        <v>0</v>
      </c>
      <c r="T2" s="476"/>
    </row>
    <row r="3" spans="1:20" ht="15.75">
      <c r="A3" s="1898" t="s">
        <v>126</v>
      </c>
      <c r="B3" s="1611"/>
      <c r="C3" s="1611"/>
      <c r="D3" s="1611"/>
      <c r="E3" s="1611"/>
      <c r="F3" s="1611"/>
      <c r="G3" s="1611"/>
      <c r="H3" s="1611"/>
      <c r="I3" s="1611"/>
      <c r="J3" s="1611"/>
      <c r="K3" s="1611"/>
      <c r="L3" s="1611"/>
      <c r="M3" s="1611"/>
      <c r="N3" s="1611"/>
      <c r="O3" s="1611"/>
      <c r="P3" s="1611"/>
      <c r="Q3" s="476" t="s">
        <v>0</v>
      </c>
      <c r="R3" s="321"/>
      <c r="S3" s="321"/>
      <c r="T3" s="476"/>
    </row>
    <row r="4" spans="1:20" ht="15.75">
      <c r="A4" s="1899" t="str">
        <f>'[3]B. Summ of Reqs - RES '!A5:X5</f>
        <v>Office of Justice Programs</v>
      </c>
      <c r="B4" s="1611"/>
      <c r="C4" s="1611"/>
      <c r="D4" s="1611"/>
      <c r="E4" s="1611"/>
      <c r="F4" s="1611"/>
      <c r="G4" s="1611"/>
      <c r="H4" s="1611"/>
      <c r="I4" s="1611"/>
      <c r="J4" s="1611"/>
      <c r="K4" s="1611"/>
      <c r="L4" s="1611"/>
      <c r="M4" s="1611"/>
      <c r="N4" s="1611"/>
      <c r="O4" s="1611"/>
      <c r="P4" s="1611"/>
      <c r="Q4" s="476" t="s">
        <v>0</v>
      </c>
      <c r="R4" s="365"/>
      <c r="S4" s="365"/>
    </row>
    <row r="5" spans="1:20" ht="15.75">
      <c r="A5" s="1899" t="str">
        <f>'B. Summ of Reqs - RES '!A6:X6</f>
        <v>Research, Evaluation, and Statistics (formerly Justice Assistance)</v>
      </c>
      <c r="B5" s="1611"/>
      <c r="C5" s="1611"/>
      <c r="D5" s="1611"/>
      <c r="E5" s="1611"/>
      <c r="F5" s="1611"/>
      <c r="G5" s="1611"/>
      <c r="H5" s="1611"/>
      <c r="I5" s="1611"/>
      <c r="J5" s="1611"/>
      <c r="K5" s="1611"/>
      <c r="L5" s="1611"/>
      <c r="M5" s="1611"/>
      <c r="N5" s="1611"/>
      <c r="O5" s="1611"/>
      <c r="P5" s="1611"/>
      <c r="Q5" s="476" t="s">
        <v>0</v>
      </c>
      <c r="R5" s="365"/>
      <c r="S5" s="365"/>
    </row>
    <row r="6" spans="1:20" ht="15">
      <c r="A6" s="1900" t="s">
        <v>98</v>
      </c>
      <c r="B6" s="1611"/>
      <c r="C6" s="1611"/>
      <c r="D6" s="1611"/>
      <c r="E6" s="1611"/>
      <c r="F6" s="1611"/>
      <c r="G6" s="1611"/>
      <c r="H6" s="1611"/>
      <c r="I6" s="1611"/>
      <c r="J6" s="1611"/>
      <c r="K6" s="1611"/>
      <c r="L6" s="1611"/>
      <c r="M6" s="1611"/>
      <c r="N6" s="1611"/>
      <c r="O6" s="1611"/>
      <c r="P6" s="1611"/>
      <c r="Q6" s="476" t="s">
        <v>0</v>
      </c>
      <c r="R6" s="321"/>
      <c r="S6" s="321"/>
      <c r="T6" s="476"/>
    </row>
    <row r="7" spans="1:20">
      <c r="Q7" s="476" t="s">
        <v>0</v>
      </c>
      <c r="T7" s="476"/>
    </row>
    <row r="8" spans="1:20" ht="13.5" thickBot="1">
      <c r="Q8" s="476" t="s">
        <v>0</v>
      </c>
      <c r="T8" s="476"/>
    </row>
    <row r="9" spans="1:20" ht="37.5" customHeight="1">
      <c r="A9" s="479"/>
      <c r="B9" s="480"/>
      <c r="C9" s="1894" t="s">
        <v>173</v>
      </c>
      <c r="D9" s="1615"/>
      <c r="E9" s="481"/>
      <c r="F9" s="1894" t="s">
        <v>166</v>
      </c>
      <c r="G9" s="1615"/>
      <c r="H9" s="481"/>
      <c r="I9" s="1895" t="s">
        <v>150</v>
      </c>
      <c r="J9" s="1615"/>
      <c r="K9" s="1896">
        <v>2013</v>
      </c>
      <c r="L9" s="1629"/>
      <c r="M9" s="1629"/>
      <c r="N9" s="1630"/>
      <c r="O9" s="1895" t="s">
        <v>154</v>
      </c>
      <c r="P9" s="1615"/>
      <c r="Q9" s="476" t="s">
        <v>0</v>
      </c>
      <c r="S9" s="482"/>
      <c r="T9" s="476"/>
    </row>
    <row r="10" spans="1:20" ht="14.25" customHeight="1">
      <c r="A10" s="480"/>
      <c r="B10" s="480"/>
      <c r="C10" s="1616"/>
      <c r="D10" s="1617"/>
      <c r="E10" s="481"/>
      <c r="F10" s="1625"/>
      <c r="G10" s="1626"/>
      <c r="H10" s="481"/>
      <c r="I10" s="1625"/>
      <c r="J10" s="1626"/>
      <c r="K10" s="1889" t="s">
        <v>118</v>
      </c>
      <c r="L10" s="1890"/>
      <c r="M10" s="1891" t="s">
        <v>127</v>
      </c>
      <c r="N10" s="1622"/>
      <c r="O10" s="1625"/>
      <c r="P10" s="1626"/>
      <c r="Q10" s="476" t="s">
        <v>0</v>
      </c>
      <c r="S10" s="482"/>
      <c r="T10" s="476"/>
    </row>
    <row r="11" spans="1:20" hidden="1">
      <c r="A11" s="1892" t="s">
        <v>128</v>
      </c>
      <c r="B11" s="480"/>
      <c r="C11" s="483"/>
      <c r="D11" s="484"/>
      <c r="E11" s="485"/>
      <c r="F11" s="483"/>
      <c r="G11" s="484"/>
      <c r="H11" s="485"/>
      <c r="I11" s="483"/>
      <c r="J11" s="484"/>
      <c r="K11" s="483"/>
      <c r="L11" s="484"/>
      <c r="M11" s="486"/>
      <c r="N11" s="484"/>
      <c r="O11" s="483"/>
      <c r="P11" s="484"/>
      <c r="Q11" s="476" t="s">
        <v>0</v>
      </c>
      <c r="S11" s="486"/>
      <c r="T11" s="476"/>
    </row>
    <row r="12" spans="1:20" ht="25.5">
      <c r="A12" s="1893"/>
      <c r="B12" s="480"/>
      <c r="C12" s="487" t="s">
        <v>129</v>
      </c>
      <c r="D12" s="488" t="s">
        <v>130</v>
      </c>
      <c r="E12" s="485"/>
      <c r="F12" s="487" t="s">
        <v>129</v>
      </c>
      <c r="G12" s="488" t="s">
        <v>130</v>
      </c>
      <c r="H12" s="485"/>
      <c r="I12" s="487" t="s">
        <v>129</v>
      </c>
      <c r="J12" s="488" t="s">
        <v>130</v>
      </c>
      <c r="K12" s="487" t="s">
        <v>129</v>
      </c>
      <c r="L12" s="488" t="s">
        <v>130</v>
      </c>
      <c r="M12" s="487" t="s">
        <v>129</v>
      </c>
      <c r="N12" s="488" t="s">
        <v>130</v>
      </c>
      <c r="O12" s="487" t="s">
        <v>129</v>
      </c>
      <c r="P12" s="488" t="s">
        <v>130</v>
      </c>
      <c r="Q12" s="476" t="s">
        <v>0</v>
      </c>
      <c r="S12" s="489"/>
      <c r="T12" s="476"/>
    </row>
    <row r="13" spans="1:20">
      <c r="A13" s="490"/>
      <c r="B13" s="480"/>
      <c r="C13" s="491"/>
      <c r="D13" s="492"/>
      <c r="E13" s="493"/>
      <c r="F13" s="491"/>
      <c r="G13" s="492"/>
      <c r="H13" s="493"/>
      <c r="I13" s="491"/>
      <c r="J13" s="492"/>
      <c r="K13" s="491"/>
      <c r="L13" s="494"/>
      <c r="M13" s="495"/>
      <c r="N13" s="492"/>
      <c r="O13" s="491"/>
      <c r="P13" s="492"/>
      <c r="Q13" s="476" t="s">
        <v>0</v>
      </c>
      <c r="S13" s="496"/>
      <c r="T13" s="476"/>
    </row>
    <row r="14" spans="1:20" ht="25.5">
      <c r="A14" s="497" t="s">
        <v>187</v>
      </c>
      <c r="B14" s="480"/>
      <c r="C14" s="491"/>
      <c r="D14" s="498"/>
      <c r="E14" s="493"/>
      <c r="F14" s="491"/>
      <c r="G14" s="498"/>
      <c r="H14" s="493"/>
      <c r="I14" s="491"/>
      <c r="J14" s="498"/>
      <c r="K14" s="491"/>
      <c r="L14" s="494"/>
      <c r="M14" s="491"/>
      <c r="N14" s="498"/>
      <c r="O14" s="491"/>
      <c r="P14" s="498"/>
      <c r="Q14" s="476" t="s">
        <v>0</v>
      </c>
      <c r="S14" s="499"/>
      <c r="T14" s="476"/>
    </row>
    <row r="15" spans="1:20">
      <c r="A15" s="307" t="s">
        <v>131</v>
      </c>
      <c r="B15" s="480"/>
      <c r="C15" s="491"/>
      <c r="D15" s="498"/>
      <c r="E15" s="493"/>
      <c r="F15" s="491"/>
      <c r="G15" s="498"/>
      <c r="H15" s="493"/>
      <c r="I15" s="491"/>
      <c r="J15" s="492"/>
      <c r="K15" s="491"/>
      <c r="L15" s="494"/>
      <c r="M15" s="491"/>
      <c r="N15" s="498"/>
      <c r="O15" s="491"/>
      <c r="P15" s="492"/>
      <c r="Q15" s="476" t="s">
        <v>0</v>
      </c>
      <c r="S15" s="499"/>
      <c r="T15" s="476"/>
    </row>
    <row r="16" spans="1:20">
      <c r="A16" s="306" t="s">
        <v>175</v>
      </c>
      <c r="B16" s="480"/>
      <c r="C16" s="491"/>
      <c r="D16" s="498"/>
      <c r="E16" s="493"/>
      <c r="F16" s="491"/>
      <c r="G16" s="498"/>
      <c r="H16" s="493"/>
      <c r="I16" s="491"/>
      <c r="J16" s="492"/>
      <c r="K16" s="491"/>
      <c r="L16" s="494"/>
      <c r="M16" s="491"/>
      <c r="N16" s="498"/>
      <c r="O16" s="491"/>
      <c r="P16" s="492"/>
      <c r="Q16" s="476" t="s">
        <v>0</v>
      </c>
      <c r="S16" s="499"/>
      <c r="T16" s="476"/>
    </row>
    <row r="17" spans="1:20" ht="13.5" customHeight="1">
      <c r="A17" s="307" t="s">
        <v>176</v>
      </c>
      <c r="B17" s="500"/>
      <c r="C17" s="501"/>
      <c r="D17" s="502"/>
      <c r="E17" s="503"/>
      <c r="F17" s="501"/>
      <c r="G17" s="502"/>
      <c r="H17" s="504"/>
      <c r="I17" s="491"/>
      <c r="J17" s="492"/>
      <c r="K17" s="501"/>
      <c r="L17" s="505"/>
      <c r="M17" s="501"/>
      <c r="N17" s="502"/>
      <c r="O17" s="501"/>
      <c r="P17" s="502"/>
      <c r="Q17" s="476" t="s">
        <v>0</v>
      </c>
      <c r="S17" s="506"/>
      <c r="T17" s="476"/>
    </row>
    <row r="18" spans="1:20" s="514" customFormat="1">
      <c r="A18" s="507" t="s">
        <v>132</v>
      </c>
      <c r="B18" s="508"/>
      <c r="C18" s="509">
        <f>SUM(C15:C17)</f>
        <v>0</v>
      </c>
      <c r="D18" s="510">
        <f>SUM(D15:D17)</f>
        <v>0</v>
      </c>
      <c r="E18" s="511"/>
      <c r="F18" s="509">
        <f>SUM(F15:F17)</f>
        <v>0</v>
      </c>
      <c r="G18" s="510">
        <f>SUM(G15:G17)</f>
        <v>0</v>
      </c>
      <c r="H18" s="512"/>
      <c r="I18" s="509">
        <f t="shared" ref="I18:P18" si="0">SUM(I15:I17)</f>
        <v>0</v>
      </c>
      <c r="J18" s="510">
        <f t="shared" si="0"/>
        <v>0</v>
      </c>
      <c r="K18" s="509">
        <f t="shared" si="0"/>
        <v>0</v>
      </c>
      <c r="L18" s="510">
        <f t="shared" si="0"/>
        <v>0</v>
      </c>
      <c r="M18" s="509">
        <f t="shared" si="0"/>
        <v>0</v>
      </c>
      <c r="N18" s="510">
        <f t="shared" si="0"/>
        <v>0</v>
      </c>
      <c r="O18" s="509">
        <f t="shared" si="0"/>
        <v>0</v>
      </c>
      <c r="P18" s="510">
        <f t="shared" si="0"/>
        <v>0</v>
      </c>
      <c r="Q18" s="476" t="s">
        <v>0</v>
      </c>
      <c r="R18" s="477"/>
      <c r="S18" s="513"/>
      <c r="T18" s="476"/>
    </row>
    <row r="19" spans="1:20">
      <c r="A19" s="515"/>
      <c r="B19" s="480"/>
      <c r="C19" s="491"/>
      <c r="D19" s="492"/>
      <c r="E19" s="516"/>
      <c r="F19" s="491"/>
      <c r="G19" s="492"/>
      <c r="H19" s="516"/>
      <c r="I19" s="491"/>
      <c r="J19" s="492"/>
      <c r="K19" s="491"/>
      <c r="L19" s="494"/>
      <c r="M19" s="491"/>
      <c r="N19" s="492"/>
      <c r="O19" s="491"/>
      <c r="P19" s="492"/>
      <c r="Q19" s="476" t="s">
        <v>0</v>
      </c>
      <c r="S19" s="496"/>
      <c r="T19" s="476"/>
    </row>
    <row r="20" spans="1:20" ht="25.5">
      <c r="A20" s="497" t="s">
        <v>188</v>
      </c>
      <c r="B20" s="480"/>
      <c r="C20" s="491"/>
      <c r="D20" s="492"/>
      <c r="E20" s="517"/>
      <c r="F20" s="491"/>
      <c r="G20" s="492"/>
      <c r="H20" s="517"/>
      <c r="I20" s="491"/>
      <c r="J20" s="492"/>
      <c r="K20" s="491"/>
      <c r="L20" s="494"/>
      <c r="M20" s="491"/>
      <c r="N20" s="492"/>
      <c r="O20" s="518"/>
      <c r="P20" s="519"/>
      <c r="Q20" s="476" t="s">
        <v>0</v>
      </c>
      <c r="S20" s="496"/>
      <c r="T20" s="476"/>
    </row>
    <row r="21" spans="1:20">
      <c r="A21" s="307" t="s">
        <v>177</v>
      </c>
      <c r="B21" s="480"/>
      <c r="C21" s="491"/>
      <c r="D21" s="492"/>
      <c r="E21" s="517"/>
      <c r="F21" s="491"/>
      <c r="G21" s="492"/>
      <c r="H21" s="517"/>
      <c r="I21" s="491"/>
      <c r="J21" s="492"/>
      <c r="K21" s="491"/>
      <c r="L21" s="494"/>
      <c r="M21" s="491"/>
      <c r="N21" s="492"/>
      <c r="O21" s="491"/>
      <c r="P21" s="492"/>
      <c r="Q21" s="476" t="s">
        <v>0</v>
      </c>
      <c r="S21" s="496"/>
      <c r="T21" s="476"/>
    </row>
    <row r="22" spans="1:20" ht="31.5" customHeight="1">
      <c r="A22" s="306" t="s">
        <v>182</v>
      </c>
      <c r="B22" s="480"/>
      <c r="C22" s="491"/>
      <c r="D22" s="492"/>
      <c r="E22" s="517"/>
      <c r="F22" s="491"/>
      <c r="G22" s="492"/>
      <c r="H22" s="517"/>
      <c r="I22" s="491"/>
      <c r="J22" s="492"/>
      <c r="K22" s="491"/>
      <c r="L22" s="494"/>
      <c r="M22" s="491"/>
      <c r="N22" s="492"/>
      <c r="O22" s="491"/>
      <c r="P22" s="492"/>
      <c r="Q22" s="476" t="s">
        <v>0</v>
      </c>
      <c r="S22" s="496"/>
      <c r="T22" s="476"/>
    </row>
    <row r="23" spans="1:20" ht="25.5">
      <c r="A23" s="306" t="s">
        <v>181</v>
      </c>
      <c r="B23" s="480"/>
      <c r="C23" s="491"/>
      <c r="D23" s="492"/>
      <c r="E23" s="517"/>
      <c r="F23" s="491"/>
      <c r="G23" s="492"/>
      <c r="H23" s="517"/>
      <c r="I23" s="491"/>
      <c r="J23" s="492"/>
      <c r="K23" s="491"/>
      <c r="L23" s="494"/>
      <c r="M23" s="491"/>
      <c r="N23" s="492"/>
      <c r="O23" s="491"/>
      <c r="P23" s="492"/>
      <c r="Q23" s="476" t="s">
        <v>0</v>
      </c>
      <c r="S23" s="496"/>
      <c r="T23" s="476"/>
    </row>
    <row r="24" spans="1:20">
      <c r="A24" s="306" t="s">
        <v>178</v>
      </c>
      <c r="B24" s="480"/>
      <c r="C24" s="491"/>
      <c r="D24" s="492"/>
      <c r="E24" s="517"/>
      <c r="F24" s="491"/>
      <c r="G24" s="492"/>
      <c r="H24" s="517"/>
      <c r="I24" s="491"/>
      <c r="J24" s="492"/>
      <c r="K24" s="491"/>
      <c r="L24" s="494"/>
      <c r="M24" s="491"/>
      <c r="N24" s="492"/>
      <c r="O24" s="491"/>
      <c r="P24" s="492"/>
      <c r="Q24" s="476" t="s">
        <v>0</v>
      </c>
      <c r="S24" s="496"/>
      <c r="T24" s="476"/>
    </row>
    <row r="25" spans="1:20">
      <c r="A25" s="307" t="s">
        <v>179</v>
      </c>
      <c r="B25" s="480"/>
      <c r="C25" s="491"/>
      <c r="D25" s="492"/>
      <c r="E25" s="517"/>
      <c r="F25" s="491"/>
      <c r="G25" s="492"/>
      <c r="H25" s="517"/>
      <c r="I25" s="491"/>
      <c r="J25" s="492"/>
      <c r="K25" s="491"/>
      <c r="L25" s="494"/>
      <c r="M25" s="491"/>
      <c r="N25" s="492"/>
      <c r="O25" s="491"/>
      <c r="P25" s="492"/>
      <c r="Q25" s="476" t="s">
        <v>0</v>
      </c>
      <c r="S25" s="496"/>
      <c r="T25" s="476"/>
    </row>
    <row r="26" spans="1:20">
      <c r="A26" s="306" t="s">
        <v>180</v>
      </c>
      <c r="B26" s="480"/>
      <c r="C26" s="491"/>
      <c r="D26" s="492"/>
      <c r="E26" s="517"/>
      <c r="F26" s="491"/>
      <c r="G26" s="492"/>
      <c r="H26" s="517"/>
      <c r="I26" s="491"/>
      <c r="J26" s="492"/>
      <c r="K26" s="491"/>
      <c r="L26" s="494"/>
      <c r="M26" s="491"/>
      <c r="N26" s="492"/>
      <c r="O26" s="491"/>
      <c r="P26" s="492"/>
      <c r="Q26" s="476" t="s">
        <v>0</v>
      </c>
      <c r="R26" s="496"/>
      <c r="S26" s="496"/>
      <c r="T26" s="476"/>
    </row>
    <row r="27" spans="1:20">
      <c r="A27" s="507" t="s">
        <v>133</v>
      </c>
      <c r="B27" s="508"/>
      <c r="C27" s="509">
        <f>SUM(C21:C26)</f>
        <v>0</v>
      </c>
      <c r="D27" s="510">
        <f>SUM(D21:D26)</f>
        <v>0</v>
      </c>
      <c r="E27" s="520"/>
      <c r="F27" s="509">
        <f>SUM(F21:F26)</f>
        <v>0</v>
      </c>
      <c r="G27" s="510">
        <f>SUM(G21:G26)</f>
        <v>0</v>
      </c>
      <c r="H27" s="521"/>
      <c r="I27" s="509">
        <f t="shared" ref="I27:P27" si="1">SUM(I21:I26)</f>
        <v>0</v>
      </c>
      <c r="J27" s="510">
        <f t="shared" si="1"/>
        <v>0</v>
      </c>
      <c r="K27" s="509">
        <f t="shared" si="1"/>
        <v>0</v>
      </c>
      <c r="L27" s="522">
        <f t="shared" si="1"/>
        <v>0</v>
      </c>
      <c r="M27" s="509">
        <f t="shared" si="1"/>
        <v>0</v>
      </c>
      <c r="N27" s="510">
        <f t="shared" si="1"/>
        <v>0</v>
      </c>
      <c r="O27" s="509">
        <f t="shared" si="1"/>
        <v>0</v>
      </c>
      <c r="P27" s="510">
        <f t="shared" si="1"/>
        <v>0</v>
      </c>
      <c r="Q27" s="476" t="s">
        <v>0</v>
      </c>
      <c r="R27" s="513"/>
      <c r="S27" s="513"/>
      <c r="T27" s="476"/>
    </row>
    <row r="28" spans="1:20">
      <c r="A28" s="515"/>
      <c r="B28" s="480"/>
      <c r="C28" s="491"/>
      <c r="D28" s="492"/>
      <c r="E28" s="480"/>
      <c r="F28" s="491"/>
      <c r="G28" s="492"/>
      <c r="H28" s="480"/>
      <c r="I28" s="491"/>
      <c r="J28" s="492"/>
      <c r="K28" s="491"/>
      <c r="L28" s="494"/>
      <c r="M28" s="491"/>
      <c r="N28" s="492"/>
      <c r="O28" s="491"/>
      <c r="P28" s="492"/>
      <c r="Q28" s="476" t="s">
        <v>0</v>
      </c>
      <c r="R28" s="496"/>
      <c r="S28" s="496"/>
      <c r="T28" s="476"/>
    </row>
    <row r="29" spans="1:20" ht="39" customHeight="1">
      <c r="A29" s="497" t="s">
        <v>189</v>
      </c>
      <c r="B29" s="480"/>
      <c r="C29" s="491"/>
      <c r="D29" s="492"/>
      <c r="E29" s="493"/>
      <c r="F29" s="491"/>
      <c r="G29" s="492"/>
      <c r="H29" s="493"/>
      <c r="I29" s="491"/>
      <c r="J29" s="492"/>
      <c r="K29" s="491"/>
      <c r="L29" s="494"/>
      <c r="M29" s="491"/>
      <c r="N29" s="492"/>
      <c r="O29" s="491"/>
      <c r="P29" s="492"/>
      <c r="Q29" s="476" t="s">
        <v>0</v>
      </c>
      <c r="R29" s="496"/>
      <c r="S29" s="496"/>
      <c r="T29" s="476"/>
    </row>
    <row r="30" spans="1:20" ht="30" customHeight="1">
      <c r="A30" s="306" t="s">
        <v>479</v>
      </c>
      <c r="B30" s="480"/>
      <c r="C30" s="491"/>
      <c r="D30" s="492">
        <v>234530</v>
      </c>
      <c r="E30" s="493"/>
      <c r="F30" s="491"/>
      <c r="G30" s="492">
        <v>113000</v>
      </c>
      <c r="H30" s="493"/>
      <c r="I30" s="491"/>
      <c r="J30" s="492">
        <v>113000</v>
      </c>
      <c r="K30" s="491"/>
      <c r="L30" s="494">
        <f>23000+250000</f>
        <v>273000</v>
      </c>
      <c r="M30" s="491"/>
      <c r="N30" s="492">
        <v>0</v>
      </c>
      <c r="O30" s="491"/>
      <c r="P30" s="492">
        <f>G30+L30+N30</f>
        <v>386000</v>
      </c>
      <c r="Q30" s="476" t="s">
        <v>0</v>
      </c>
      <c r="R30" s="496"/>
      <c r="S30" s="496"/>
      <c r="T30" s="476"/>
    </row>
    <row r="31" spans="1:20" ht="38.25">
      <c r="A31" s="306" t="s">
        <v>184</v>
      </c>
      <c r="B31" s="480"/>
      <c r="C31" s="491"/>
      <c r="D31" s="492"/>
      <c r="E31" s="493"/>
      <c r="F31" s="491"/>
      <c r="G31" s="492"/>
      <c r="H31" s="493"/>
      <c r="I31" s="491"/>
      <c r="J31" s="492"/>
      <c r="K31" s="491"/>
      <c r="L31" s="494"/>
      <c r="M31" s="491"/>
      <c r="N31" s="492"/>
      <c r="O31" s="491"/>
      <c r="P31" s="492"/>
      <c r="Q31" s="476" t="s">
        <v>0</v>
      </c>
      <c r="R31" s="496"/>
      <c r="S31" s="496"/>
      <c r="T31" s="476"/>
    </row>
    <row r="32" spans="1:20" ht="42" customHeight="1">
      <c r="A32" s="306" t="s">
        <v>185</v>
      </c>
      <c r="B32" s="480"/>
      <c r="C32" s="491"/>
      <c r="D32" s="492"/>
      <c r="E32" s="493"/>
      <c r="F32" s="491"/>
      <c r="G32" s="492"/>
      <c r="H32" s="493"/>
      <c r="I32" s="491"/>
      <c r="J32" s="492"/>
      <c r="K32" s="491"/>
      <c r="L32" s="494"/>
      <c r="M32" s="491"/>
      <c r="N32" s="492"/>
      <c r="O32" s="491"/>
      <c r="P32" s="492"/>
      <c r="Q32" s="476" t="s">
        <v>0</v>
      </c>
      <c r="R32" s="496"/>
      <c r="S32" s="496"/>
      <c r="T32" s="476"/>
    </row>
    <row r="33" spans="1:20" ht="25.5">
      <c r="A33" s="306" t="s">
        <v>480</v>
      </c>
      <c r="B33" s="480"/>
      <c r="C33" s="491"/>
      <c r="D33" s="492"/>
      <c r="E33" s="493"/>
      <c r="F33" s="491"/>
      <c r="G33" s="492"/>
      <c r="H33" s="493"/>
      <c r="I33" s="523"/>
      <c r="J33" s="524"/>
      <c r="K33" s="491"/>
      <c r="L33" s="494"/>
      <c r="M33" s="491"/>
      <c r="N33" s="492"/>
      <c r="O33" s="491"/>
      <c r="P33" s="492"/>
      <c r="Q33" s="476" t="s">
        <v>0</v>
      </c>
      <c r="R33" s="496"/>
      <c r="S33" s="496"/>
      <c r="T33" s="476"/>
    </row>
    <row r="34" spans="1:20">
      <c r="A34" s="507" t="s">
        <v>134</v>
      </c>
      <c r="B34" s="508"/>
      <c r="C34" s="525">
        <f>SUM(C30:C33)</f>
        <v>0</v>
      </c>
      <c r="D34" s="526">
        <f>SUM(D30:D33)</f>
        <v>234530</v>
      </c>
      <c r="E34" s="527"/>
      <c r="F34" s="525">
        <f>SUM(F30:F33)</f>
        <v>0</v>
      </c>
      <c r="G34" s="526">
        <f>SUM(G30:G33)</f>
        <v>113000</v>
      </c>
      <c r="H34" s="528"/>
      <c r="I34" s="525">
        <f t="shared" ref="I34:P34" si="2">SUM(I30:I33)</f>
        <v>0</v>
      </c>
      <c r="J34" s="526">
        <f t="shared" si="2"/>
        <v>113000</v>
      </c>
      <c r="K34" s="525">
        <f t="shared" si="2"/>
        <v>0</v>
      </c>
      <c r="L34" s="529">
        <f t="shared" si="2"/>
        <v>273000</v>
      </c>
      <c r="M34" s="525">
        <f t="shared" si="2"/>
        <v>0</v>
      </c>
      <c r="N34" s="526">
        <f t="shared" si="2"/>
        <v>0</v>
      </c>
      <c r="O34" s="525">
        <f t="shared" si="2"/>
        <v>0</v>
      </c>
      <c r="P34" s="526">
        <f t="shared" si="2"/>
        <v>386000</v>
      </c>
      <c r="Q34" s="476" t="s">
        <v>0</v>
      </c>
      <c r="R34" s="513"/>
      <c r="S34" s="513"/>
      <c r="T34" s="476"/>
    </row>
    <row r="35" spans="1:20">
      <c r="A35" s="530" t="s">
        <v>249</v>
      </c>
      <c r="B35" s="531"/>
      <c r="C35" s="907">
        <v>0</v>
      </c>
      <c r="D35" s="908">
        <f>SUM(D34,D27,D18)</f>
        <v>234530</v>
      </c>
      <c r="E35" s="909"/>
      <c r="F35" s="907">
        <v>0</v>
      </c>
      <c r="G35" s="908">
        <f>SUM(G34,G27,G18)</f>
        <v>113000</v>
      </c>
      <c r="H35" s="909"/>
      <c r="I35" s="907">
        <v>0</v>
      </c>
      <c r="J35" s="908">
        <f>SUM(J34,J27,J18)</f>
        <v>113000</v>
      </c>
      <c r="K35" s="907">
        <v>0</v>
      </c>
      <c r="L35" s="908">
        <f>SUM(L34,L27,L18)</f>
        <v>273000</v>
      </c>
      <c r="M35" s="907">
        <v>0</v>
      </c>
      <c r="N35" s="908">
        <f>SUM(N34,N27,N18)</f>
        <v>0</v>
      </c>
      <c r="O35" s="907">
        <v>0</v>
      </c>
      <c r="P35" s="908">
        <f>SUM(P34,P27,P18)</f>
        <v>386000</v>
      </c>
      <c r="Q35" s="476" t="s">
        <v>0</v>
      </c>
      <c r="R35" s="513"/>
      <c r="S35" s="513"/>
      <c r="T35" s="476"/>
    </row>
    <row r="36" spans="1:20">
      <c r="A36" s="530" t="s">
        <v>250</v>
      </c>
      <c r="B36" s="531"/>
      <c r="C36" s="907"/>
      <c r="D36" s="908">
        <v>-7264</v>
      </c>
      <c r="E36" s="909"/>
      <c r="F36" s="907"/>
      <c r="G36" s="908">
        <v>-4000</v>
      </c>
      <c r="H36" s="909"/>
      <c r="I36" s="907"/>
      <c r="J36" s="908"/>
      <c r="K36" s="907"/>
      <c r="L36" s="908"/>
      <c r="M36" s="907"/>
      <c r="N36" s="908">
        <v>-4000</v>
      </c>
      <c r="O36" s="907"/>
      <c r="P36" s="908">
        <v>-4000</v>
      </c>
      <c r="Q36" s="476" t="s">
        <v>0</v>
      </c>
      <c r="R36" s="513"/>
      <c r="S36" s="513"/>
      <c r="T36" s="476"/>
    </row>
    <row r="37" spans="1:20">
      <c r="A37" s="530" t="s">
        <v>205</v>
      </c>
      <c r="B37" s="531"/>
      <c r="C37" s="907"/>
      <c r="D37" s="908">
        <v>-6860</v>
      </c>
      <c r="E37" s="909"/>
      <c r="F37" s="907"/>
      <c r="G37" s="908"/>
      <c r="H37" s="909"/>
      <c r="I37" s="907"/>
      <c r="J37" s="908"/>
      <c r="K37" s="907"/>
      <c r="L37" s="908"/>
      <c r="M37" s="907"/>
      <c r="N37" s="908"/>
      <c r="O37" s="907"/>
      <c r="P37" s="908"/>
      <c r="Q37" s="476" t="s">
        <v>0</v>
      </c>
      <c r="R37" s="513"/>
      <c r="S37" s="513"/>
      <c r="T37" s="476"/>
    </row>
    <row r="38" spans="1:20" ht="13.5" thickBot="1">
      <c r="A38" s="480"/>
      <c r="B38" s="480"/>
      <c r="C38" s="532"/>
      <c r="D38" s="532"/>
      <c r="E38" s="532"/>
      <c r="F38" s="532"/>
      <c r="G38" s="532"/>
      <c r="H38" s="532"/>
      <c r="I38" s="532"/>
      <c r="J38" s="532"/>
      <c r="K38" s="533"/>
      <c r="L38" s="533"/>
      <c r="M38" s="534"/>
      <c r="N38" s="532"/>
      <c r="O38" s="532"/>
      <c r="P38" s="1042"/>
      <c r="Q38" s="476" t="s">
        <v>0</v>
      </c>
      <c r="R38" s="496"/>
      <c r="S38" s="496"/>
      <c r="T38" s="476"/>
    </row>
    <row r="39" spans="1:20" s="542" customFormat="1" ht="18.75" customHeight="1" thickBot="1">
      <c r="A39" s="535" t="s">
        <v>135</v>
      </c>
      <c r="B39" s="536"/>
      <c r="C39" s="537">
        <f>C18+C27+C34</f>
        <v>0</v>
      </c>
      <c r="D39" s="538">
        <f>SUM(D35:D37)</f>
        <v>220406</v>
      </c>
      <c r="E39" s="539"/>
      <c r="F39" s="537">
        <f>F18+F27+F34</f>
        <v>0</v>
      </c>
      <c r="G39" s="538">
        <f>SUM(G35:G37)</f>
        <v>109000</v>
      </c>
      <c r="H39" s="539"/>
      <c r="I39" s="537">
        <f t="shared" ref="I39:O39" si="3">I18+I27+I34</f>
        <v>0</v>
      </c>
      <c r="J39" s="538">
        <f>SUM(J35:J37)</f>
        <v>113000</v>
      </c>
      <c r="K39" s="537">
        <f t="shared" si="3"/>
        <v>0</v>
      </c>
      <c r="L39" s="538">
        <f>SUM(L35:L37)</f>
        <v>273000</v>
      </c>
      <c r="M39" s="537">
        <f t="shared" si="3"/>
        <v>0</v>
      </c>
      <c r="N39" s="538">
        <f>SUM(N35:N37)</f>
        <v>-4000</v>
      </c>
      <c r="O39" s="537">
        <f t="shared" si="3"/>
        <v>0</v>
      </c>
      <c r="P39" s="1043">
        <f>SUM(P35:P37)</f>
        <v>382000</v>
      </c>
      <c r="Q39" s="476" t="s">
        <v>13</v>
      </c>
      <c r="R39" s="540"/>
      <c r="S39" s="541"/>
      <c r="T39" s="476"/>
    </row>
    <row r="40" spans="1:20">
      <c r="A40" s="543"/>
      <c r="B40" s="543"/>
      <c r="C40" s="540"/>
      <c r="D40" s="541"/>
      <c r="E40" s="543"/>
      <c r="F40" s="540"/>
      <c r="G40" s="541"/>
      <c r="H40" s="543"/>
      <c r="I40" s="540"/>
      <c r="J40" s="541"/>
      <c r="K40" s="542"/>
      <c r="L40" s="542"/>
      <c r="M40" s="542"/>
      <c r="N40" s="542"/>
      <c r="O40" s="542"/>
      <c r="P40" s="542"/>
      <c r="Q40" s="542"/>
      <c r="R40" s="544"/>
      <c r="S40" s="544"/>
      <c r="T40" s="476"/>
    </row>
    <row r="41" spans="1:20">
      <c r="A41" s="543"/>
      <c r="B41" s="543"/>
      <c r="C41" s="540"/>
      <c r="D41" s="541"/>
      <c r="E41" s="543"/>
      <c r="F41" s="540"/>
      <c r="G41" s="541"/>
      <c r="H41" s="543"/>
      <c r="I41" s="540"/>
      <c r="J41" s="541"/>
      <c r="K41" s="542"/>
      <c r="L41" s="542"/>
      <c r="M41" s="542"/>
      <c r="N41" s="542"/>
      <c r="O41" s="542"/>
      <c r="P41" s="1341"/>
      <c r="Q41" s="542"/>
      <c r="R41" s="544"/>
      <c r="S41" s="544"/>
      <c r="T41" s="476"/>
    </row>
    <row r="42" spans="1:20">
      <c r="A42" s="543"/>
      <c r="B42" s="543"/>
      <c r="C42" s="540"/>
      <c r="D42" s="541"/>
      <c r="E42" s="543"/>
      <c r="F42" s="540"/>
      <c r="G42" s="541"/>
      <c r="H42" s="543"/>
      <c r="I42" s="540"/>
      <c r="J42" s="541"/>
      <c r="K42" s="542"/>
      <c r="L42" s="542"/>
      <c r="M42" s="542"/>
      <c r="N42" s="542"/>
      <c r="O42" s="542"/>
      <c r="P42" s="542"/>
      <c r="Q42" s="542"/>
      <c r="R42" s="544"/>
      <c r="S42" s="544"/>
    </row>
    <row r="43" spans="1:20" ht="204.75" customHeight="1">
      <c r="A43" s="545"/>
      <c r="C43" s="545"/>
      <c r="D43" s="546"/>
    </row>
    <row r="44" spans="1:20" ht="15">
      <c r="A44" s="1633"/>
      <c r="B44" s="1634"/>
      <c r="C44" s="1634"/>
      <c r="D44" s="1634"/>
      <c r="E44" s="1634"/>
      <c r="F44" s="1634"/>
      <c r="G44" s="1634"/>
      <c r="H44" s="234"/>
      <c r="I44" s="45"/>
      <c r="J44" s="45"/>
      <c r="K44" s="45"/>
      <c r="L44" s="45"/>
      <c r="M44" s="45"/>
      <c r="N44" s="45"/>
      <c r="O44" s="45"/>
      <c r="P44" s="45"/>
      <c r="Q44" s="45"/>
      <c r="R44" s="45"/>
      <c r="S44" s="45"/>
    </row>
    <row r="45" spans="1:20">
      <c r="A45" s="547"/>
      <c r="B45" s="547"/>
      <c r="C45" s="547"/>
      <c r="D45" s="547"/>
      <c r="E45" s="547"/>
      <c r="F45" s="547"/>
      <c r="G45" s="547"/>
      <c r="H45" s="547"/>
      <c r="I45" s="548"/>
      <c r="J45" s="548"/>
      <c r="K45" s="548"/>
      <c r="L45" s="548"/>
      <c r="M45" s="548"/>
      <c r="N45" s="548"/>
      <c r="O45" s="548"/>
      <c r="P45" s="548"/>
      <c r="Q45" s="548"/>
      <c r="R45" s="548"/>
      <c r="S45" s="548"/>
    </row>
    <row r="46" spans="1:20" ht="57" customHeight="1">
      <c r="A46" s="1635"/>
      <c r="B46" s="1636"/>
      <c r="C46" s="1636"/>
      <c r="D46" s="1636"/>
      <c r="E46" s="1636"/>
      <c r="F46" s="1636"/>
      <c r="G46" s="1636"/>
      <c r="H46" s="233"/>
      <c r="I46" s="44"/>
      <c r="J46" s="232"/>
      <c r="K46" s="232"/>
      <c r="L46" s="232"/>
      <c r="M46" s="232"/>
      <c r="N46" s="232"/>
      <c r="O46" s="232"/>
      <c r="P46" s="232"/>
      <c r="Q46" s="232"/>
      <c r="R46" s="232"/>
      <c r="S46" s="232"/>
    </row>
    <row r="47" spans="1:20" ht="33.75" customHeight="1">
      <c r="A47" s="1635"/>
      <c r="B47" s="1636"/>
      <c r="C47" s="1636"/>
      <c r="D47" s="1636"/>
      <c r="E47" s="1636"/>
      <c r="F47" s="1636"/>
      <c r="G47" s="1636"/>
      <c r="H47" s="233"/>
      <c r="I47" s="44"/>
      <c r="J47" s="232"/>
      <c r="K47" s="232"/>
      <c r="L47" s="232"/>
      <c r="M47" s="232"/>
      <c r="N47" s="232"/>
      <c r="O47" s="232"/>
      <c r="P47" s="232"/>
      <c r="Q47" s="232"/>
      <c r="R47" s="232"/>
      <c r="S47" s="232"/>
    </row>
    <row r="48" spans="1:20" ht="15">
      <c r="A48" s="1618"/>
      <c r="B48" s="1619"/>
      <c r="C48" s="1619"/>
      <c r="D48" s="1619"/>
      <c r="E48" s="1619"/>
      <c r="F48" s="1619"/>
      <c r="G48" s="1619"/>
      <c r="H48" s="1619"/>
      <c r="I48" s="1619"/>
      <c r="J48" s="1620"/>
      <c r="K48" s="1620"/>
      <c r="L48" s="1620"/>
      <c r="M48" s="1620"/>
      <c r="N48" s="1620"/>
      <c r="O48" s="1620"/>
      <c r="P48" s="1620"/>
      <c r="Q48" s="1620"/>
      <c r="R48" s="1620"/>
      <c r="S48" s="1620"/>
    </row>
    <row r="49" spans="1:19" ht="15">
      <c r="A49" s="1618"/>
      <c r="B49" s="1619"/>
      <c r="C49" s="1619"/>
      <c r="D49" s="1619"/>
      <c r="E49" s="1619"/>
      <c r="F49" s="1619"/>
      <c r="G49" s="1619"/>
      <c r="H49" s="1619"/>
      <c r="I49" s="1619"/>
      <c r="J49" s="1620"/>
      <c r="K49" s="1620"/>
      <c r="L49" s="1620"/>
      <c r="M49" s="1620"/>
      <c r="N49" s="1620"/>
      <c r="O49" s="1620"/>
      <c r="P49" s="1620"/>
      <c r="Q49" s="1620"/>
      <c r="R49" s="1620"/>
      <c r="S49" s="1620"/>
    </row>
    <row r="50" spans="1:19">
      <c r="S50" s="476"/>
    </row>
  </sheetData>
  <customSheetViews>
    <customSheetView guid="{DA38F665-F06D-4DFB-B852-747D93BB00EF}" scale="60" showPageBreaks="1" printArea="1" hiddenRows="1" view="pageBreakPreview">
      <selection activeCell="B210" sqref="B210"/>
      <pageMargins left="0.75" right="0.75" top="1" bottom="0.79" header="0.5" footer="0.5"/>
      <printOptions horizontalCentered="1"/>
      <pageSetup scale="54" orientation="landscape" r:id="rId1"/>
      <headerFooter alignWithMargins="0">
        <oddFooter>&amp;C&amp;"Times New Roman,Regular"Exhibit D - Resources by DOJ Strategic Goals &amp; Strategic Objectives&amp;R&amp;"Times New Roman,Regular"Research, Evaluation, and Statistics</oddFooter>
      </headerFooter>
    </customSheetView>
    <customSheetView guid="{4D0F9E3D-0229-48CC-A08B-F132802E9D7B}" scale="60" showPageBreaks="1" printArea="1" hiddenRows="1" view="pageBreakPreview" topLeftCell="A19">
      <selection activeCell="A35" sqref="A35"/>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Objectives&amp;R&amp;"Times New Roman,Regular"Research, Evaluation, and Statistics</oddFooter>
      </headerFooter>
    </customSheetView>
    <customSheetView guid="{F6772377-6B25-4EEA-B255-4C2F62B37855}" scale="60" showPageBreaks="1" printArea="1" hiddenRows="1" view="pageBreakPreview">
      <selection activeCell="P38" sqref="P38"/>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Objectives&amp;R&amp;"Times New Roman,Regular"Research, Evaluation, and Statistics</oddFooter>
      </headerFooter>
    </customSheetView>
    <customSheetView guid="{27B9C207-C13F-4981-9CED-E69585BBD779}" scale="60" showPageBreaks="1" printArea="1" hiddenRows="1" view="pageBreakPreview" topLeftCell="B22">
      <selection activeCell="F43" sqref="F43"/>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Objectives&amp;R&amp;"Times New Roman,Regular"Research, Evaluation, and Statistics</oddFooter>
      </headerFooter>
    </customSheetView>
  </customSheetViews>
  <mergeCells count="18">
    <mergeCell ref="A1:P1"/>
    <mergeCell ref="A3:P3"/>
    <mergeCell ref="A4:P4"/>
    <mergeCell ref="A5:P5"/>
    <mergeCell ref="A6:P6"/>
    <mergeCell ref="A48:S48"/>
    <mergeCell ref="A49:S49"/>
    <mergeCell ref="K10:L10"/>
    <mergeCell ref="M10:N10"/>
    <mergeCell ref="A11:A12"/>
    <mergeCell ref="A44:G44"/>
    <mergeCell ref="A46:G46"/>
    <mergeCell ref="A47:G47"/>
    <mergeCell ref="C9:D10"/>
    <mergeCell ref="F9:G10"/>
    <mergeCell ref="I9:J10"/>
    <mergeCell ref="K9:N9"/>
    <mergeCell ref="O9:P10"/>
  </mergeCells>
  <printOptions horizontalCentered="1"/>
  <pageMargins left="0.75" right="0.75" top="1" bottom="0.79" header="0.5" footer="0.5"/>
  <pageSetup scale="54" orientation="landscape" r:id="rId5"/>
  <headerFooter alignWithMargins="0">
    <oddFooter>&amp;C&amp;"Times New Roman,Regular"Exhibit D - Resources by DOJ Strategic Goals &amp; Strategic Objectives&amp;R&amp;"Times New Roman,Regular"Research, Evaluation, and Statistics</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AC54"/>
  <sheetViews>
    <sheetView showGridLines="0" showOutlineSymbols="0" view="pageBreakPreview" topLeftCell="A13" zoomScale="75" zoomScaleNormal="100" zoomScaleSheetLayoutView="75" workbookViewId="0">
      <selection activeCell="A36" sqref="A36"/>
    </sheetView>
  </sheetViews>
  <sheetFormatPr defaultColWidth="8.88671875" defaultRowHeight="15.75"/>
  <cols>
    <col min="1" max="1" width="43.88671875" style="18" customWidth="1"/>
    <col min="2" max="2" width="7.5546875" style="18" bestFit="1" customWidth="1"/>
    <col min="3" max="3" width="6.77734375" style="18" customWidth="1"/>
    <col min="4" max="4" width="10.88671875" style="18" bestFit="1" customWidth="1"/>
    <col min="5" max="5" width="5.77734375" style="18" customWidth="1"/>
    <col min="6" max="6" width="5.6640625" style="18" customWidth="1"/>
    <col min="7" max="7" width="7.77734375" style="18" customWidth="1"/>
    <col min="8" max="8" width="5.5546875" style="18" customWidth="1"/>
    <col min="9" max="9" width="5.6640625" style="18" customWidth="1"/>
    <col min="10" max="10" width="7.77734375" style="18" customWidth="1"/>
    <col min="11" max="11" width="8.77734375" style="18" customWidth="1"/>
    <col min="12" max="12" width="10" style="18" customWidth="1"/>
    <col min="13" max="13" width="7.5546875" style="18" bestFit="1" customWidth="1"/>
    <col min="14" max="14" width="6.77734375" style="18" customWidth="1"/>
    <col min="15" max="15" width="10.88671875" style="18" bestFit="1" customWidth="1"/>
    <col min="16" max="16" width="7.33203125" style="182" customWidth="1"/>
    <col min="17" max="16384" width="8.88671875" style="18"/>
  </cols>
  <sheetData>
    <row r="1" spans="1:16" ht="20.25">
      <c r="A1" s="1692" t="s">
        <v>156</v>
      </c>
      <c r="B1" s="1693"/>
      <c r="C1" s="1693"/>
      <c r="D1" s="1693"/>
      <c r="E1" s="1693"/>
      <c r="F1" s="1693"/>
      <c r="G1" s="1693"/>
      <c r="H1" s="1693"/>
      <c r="I1" s="1693"/>
      <c r="J1" s="1693"/>
      <c r="K1" s="1693"/>
      <c r="L1" s="1693"/>
      <c r="M1" s="1693"/>
      <c r="N1" s="1693"/>
      <c r="O1" s="1693"/>
      <c r="P1" s="181" t="s">
        <v>0</v>
      </c>
    </row>
    <row r="2" spans="1:16" ht="16.5" customHeight="1">
      <c r="A2" s="1901"/>
      <c r="B2" s="1901"/>
      <c r="C2" s="1901"/>
      <c r="D2" s="1901"/>
      <c r="E2" s="1901"/>
      <c r="F2" s="1901"/>
      <c r="G2" s="1901"/>
      <c r="H2" s="1901"/>
      <c r="I2" s="1901"/>
      <c r="J2" s="1901"/>
      <c r="K2" s="1901"/>
      <c r="L2" s="1901"/>
      <c r="M2" s="1901"/>
      <c r="N2" s="1901"/>
      <c r="O2" s="1901"/>
      <c r="P2" s="181" t="s">
        <v>0</v>
      </c>
    </row>
    <row r="3" spans="1:16" ht="16.5" customHeight="1">
      <c r="A3" s="1694" t="s">
        <v>136</v>
      </c>
      <c r="B3" s="1914"/>
      <c r="C3" s="1914"/>
      <c r="D3" s="1914"/>
      <c r="E3" s="1914"/>
      <c r="F3" s="1914"/>
      <c r="G3" s="1914"/>
      <c r="H3" s="1914"/>
      <c r="I3" s="1914"/>
      <c r="J3" s="1914"/>
      <c r="K3" s="1914"/>
      <c r="L3" s="1914"/>
      <c r="M3" s="1914"/>
      <c r="N3" s="1914"/>
      <c r="O3" s="1914"/>
      <c r="P3" s="181" t="s">
        <v>0</v>
      </c>
    </row>
    <row r="4" spans="1:16" ht="16.5" customHeight="1">
      <c r="A4" s="1696" t="str">
        <f>+'[3]B. Summ of Reqs - RES '!A5</f>
        <v>Office of Justice Programs</v>
      </c>
      <c r="B4" s="1913"/>
      <c r="C4" s="1913"/>
      <c r="D4" s="1913"/>
      <c r="E4" s="1913"/>
      <c r="F4" s="1913"/>
      <c r="G4" s="1913"/>
      <c r="H4" s="1913"/>
      <c r="I4" s="1913"/>
      <c r="J4" s="1913"/>
      <c r="K4" s="1913"/>
      <c r="L4" s="1913"/>
      <c r="M4" s="1913"/>
      <c r="N4" s="1913"/>
      <c r="O4" s="1913"/>
      <c r="P4" s="181" t="s">
        <v>0</v>
      </c>
    </row>
    <row r="5" spans="1:16" ht="16.5" customHeight="1">
      <c r="A5" s="1696" t="str">
        <f>'B. Summ of Reqs - RES '!A6:X6</f>
        <v>Research, Evaluation, and Statistics (formerly Justice Assistance)</v>
      </c>
      <c r="B5" s="1914"/>
      <c r="C5" s="1914"/>
      <c r="D5" s="1914"/>
      <c r="E5" s="1914"/>
      <c r="F5" s="1914"/>
      <c r="G5" s="1914"/>
      <c r="H5" s="1914"/>
      <c r="I5" s="1914"/>
      <c r="J5" s="1914"/>
      <c r="K5" s="1914"/>
      <c r="L5" s="1914"/>
      <c r="M5" s="1914"/>
      <c r="N5" s="1914"/>
      <c r="O5" s="1914"/>
      <c r="P5" s="181" t="s">
        <v>0</v>
      </c>
    </row>
    <row r="6" spans="1:16" ht="16.5" customHeight="1">
      <c r="A6" s="1690" t="s">
        <v>98</v>
      </c>
      <c r="B6" s="1913"/>
      <c r="C6" s="1913"/>
      <c r="D6" s="1913"/>
      <c r="E6" s="1913"/>
      <c r="F6" s="1913"/>
      <c r="G6" s="1913"/>
      <c r="H6" s="1913"/>
      <c r="I6" s="1913"/>
      <c r="J6" s="1913"/>
      <c r="K6" s="1913"/>
      <c r="L6" s="1913"/>
      <c r="M6" s="1913"/>
      <c r="N6" s="1913"/>
      <c r="O6" s="1913"/>
      <c r="P6" s="181" t="s">
        <v>0</v>
      </c>
    </row>
    <row r="7" spans="1:16" ht="16.5" customHeight="1">
      <c r="A7" s="1901"/>
      <c r="B7" s="1901"/>
      <c r="C7" s="1901"/>
      <c r="D7" s="1901"/>
      <c r="E7" s="1901"/>
      <c r="F7" s="1901"/>
      <c r="G7" s="1901"/>
      <c r="H7" s="1901"/>
      <c r="I7" s="1901"/>
      <c r="J7" s="1901"/>
      <c r="K7" s="1901"/>
      <c r="L7" s="1901"/>
      <c r="M7" s="1901"/>
      <c r="N7" s="1901"/>
      <c r="O7" s="1901"/>
      <c r="P7" s="181" t="s">
        <v>0</v>
      </c>
    </row>
    <row r="8" spans="1:16" ht="16.5" customHeight="1">
      <c r="A8" s="1902"/>
      <c r="B8" s="1902"/>
      <c r="C8" s="1902"/>
      <c r="D8" s="1902"/>
      <c r="E8" s="1902"/>
      <c r="F8" s="1902"/>
      <c r="G8" s="1902"/>
      <c r="H8" s="1902"/>
      <c r="I8" s="1902"/>
      <c r="J8" s="1902"/>
      <c r="K8" s="1902"/>
      <c r="L8" s="1902"/>
      <c r="M8" s="1902"/>
      <c r="N8" s="1902"/>
      <c r="O8" s="1902"/>
      <c r="P8" s="181" t="s">
        <v>0</v>
      </c>
    </row>
    <row r="9" spans="1:16" ht="16.5" customHeight="1">
      <c r="A9" s="1682" t="s">
        <v>23</v>
      </c>
      <c r="B9" s="1664" t="s">
        <v>595</v>
      </c>
      <c r="C9" s="1903"/>
      <c r="D9" s="1904"/>
      <c r="E9" s="1676" t="s">
        <v>109</v>
      </c>
      <c r="F9" s="1908"/>
      <c r="G9" s="1909"/>
      <c r="H9" s="1664" t="s">
        <v>12</v>
      </c>
      <c r="I9" s="1903"/>
      <c r="J9" s="1903"/>
      <c r="K9" s="1674" t="s">
        <v>141</v>
      </c>
      <c r="L9" s="1674" t="s">
        <v>142</v>
      </c>
      <c r="M9" s="1664" t="s">
        <v>137</v>
      </c>
      <c r="N9" s="1903"/>
      <c r="O9" s="1904"/>
      <c r="P9" s="181" t="s">
        <v>0</v>
      </c>
    </row>
    <row r="10" spans="1:16" ht="16.5" customHeight="1">
      <c r="A10" s="1683"/>
      <c r="B10" s="1905"/>
      <c r="C10" s="1906"/>
      <c r="D10" s="1907"/>
      <c r="E10" s="1910"/>
      <c r="F10" s="1911"/>
      <c r="G10" s="1912"/>
      <c r="H10" s="1905"/>
      <c r="I10" s="1906"/>
      <c r="J10" s="1906"/>
      <c r="K10" s="1675"/>
      <c r="L10" s="1675"/>
      <c r="M10" s="1905"/>
      <c r="N10" s="1906"/>
      <c r="O10" s="1907"/>
      <c r="P10" s="181" t="s">
        <v>0</v>
      </c>
    </row>
    <row r="11" spans="1:16" ht="16.5" customHeight="1" thickBot="1">
      <c r="A11" s="1684"/>
      <c r="B11" s="156" t="s">
        <v>115</v>
      </c>
      <c r="C11" s="157" t="s">
        <v>25</v>
      </c>
      <c r="D11" s="157" t="s">
        <v>117</v>
      </c>
      <c r="E11" s="156" t="s">
        <v>115</v>
      </c>
      <c r="F11" s="157" t="s">
        <v>25</v>
      </c>
      <c r="G11" s="157" t="s">
        <v>117</v>
      </c>
      <c r="H11" s="156" t="s">
        <v>115</v>
      </c>
      <c r="I11" s="157" t="s">
        <v>25</v>
      </c>
      <c r="J11" s="157" t="s">
        <v>117</v>
      </c>
      <c r="K11" s="265" t="s">
        <v>117</v>
      </c>
      <c r="L11" s="266" t="s">
        <v>117</v>
      </c>
      <c r="M11" s="156" t="s">
        <v>115</v>
      </c>
      <c r="N11" s="157" t="s">
        <v>25</v>
      </c>
      <c r="O11" s="158" t="s">
        <v>117</v>
      </c>
      <c r="P11" s="181" t="s">
        <v>0</v>
      </c>
    </row>
    <row r="12" spans="1:16" ht="16.5" customHeight="1">
      <c r="A12" s="373" t="s">
        <v>251</v>
      </c>
      <c r="B12" s="390"/>
      <c r="C12" s="391"/>
      <c r="D12" s="391">
        <v>59880</v>
      </c>
      <c r="E12" s="390"/>
      <c r="F12" s="391"/>
      <c r="G12" s="391">
        <v>-163</v>
      </c>
      <c r="H12" s="390"/>
      <c r="I12" s="391"/>
      <c r="J12" s="1344">
        <f>-417-300-1201</f>
        <v>-1918</v>
      </c>
      <c r="K12" s="425">
        <v>4175</v>
      </c>
      <c r="L12" s="1344">
        <f>116+380+115</f>
        <v>611</v>
      </c>
      <c r="M12" s="390"/>
      <c r="N12" s="391"/>
      <c r="O12" s="388">
        <f>D12+G12+J12+K12+L12</f>
        <v>62585</v>
      </c>
      <c r="P12" s="181" t="s">
        <v>0</v>
      </c>
    </row>
    <row r="13" spans="1:16" ht="16.5" customHeight="1">
      <c r="A13" s="549" t="s">
        <v>230</v>
      </c>
      <c r="B13" s="390"/>
      <c r="C13" s="391"/>
      <c r="D13" s="550">
        <v>40918</v>
      </c>
      <c r="E13" s="390"/>
      <c r="F13" s="391"/>
      <c r="G13" s="391"/>
      <c r="H13" s="390"/>
      <c r="I13" s="391"/>
      <c r="J13" s="1344"/>
      <c r="K13" s="425"/>
      <c r="L13" s="1344"/>
      <c r="M13" s="551"/>
      <c r="N13" s="550"/>
      <c r="O13" s="552">
        <f t="shared" ref="O13:O19" si="0">D13+G13+J13+K13+L13</f>
        <v>40918</v>
      </c>
      <c r="P13" s="181" t="s">
        <v>0</v>
      </c>
    </row>
    <row r="14" spans="1:16" ht="16.5" customHeight="1">
      <c r="A14" s="553" t="s">
        <v>252</v>
      </c>
      <c r="B14" s="390"/>
      <c r="C14" s="391"/>
      <c r="D14" s="391">
        <v>47904</v>
      </c>
      <c r="E14" s="390"/>
      <c r="F14" s="391"/>
      <c r="G14" s="391">
        <f>-4628</f>
        <v>-4628</v>
      </c>
      <c r="H14" s="390"/>
      <c r="I14" s="391"/>
      <c r="J14" s="1344">
        <f>-943-165</f>
        <v>-1108</v>
      </c>
      <c r="K14" s="425">
        <v>-726</v>
      </c>
      <c r="L14" s="1344">
        <f>2683+380+115</f>
        <v>3178</v>
      </c>
      <c r="M14" s="390"/>
      <c r="N14" s="391"/>
      <c r="O14" s="388">
        <f t="shared" si="0"/>
        <v>44620</v>
      </c>
      <c r="P14" s="181" t="s">
        <v>0</v>
      </c>
    </row>
    <row r="15" spans="1:16" ht="16.5" customHeight="1">
      <c r="A15" s="549" t="s">
        <v>228</v>
      </c>
      <c r="B15" s="390"/>
      <c r="C15" s="391"/>
      <c r="D15" s="550">
        <v>3000</v>
      </c>
      <c r="E15" s="390"/>
      <c r="F15" s="391"/>
      <c r="G15" s="391"/>
      <c r="H15" s="390"/>
      <c r="I15" s="391"/>
      <c r="J15" s="1344"/>
      <c r="K15" s="425"/>
      <c r="L15" s="1344"/>
      <c r="M15" s="390"/>
      <c r="N15" s="391"/>
      <c r="O15" s="552">
        <f t="shared" si="0"/>
        <v>3000</v>
      </c>
      <c r="P15" s="181" t="s">
        <v>0</v>
      </c>
    </row>
    <row r="16" spans="1:16" ht="16.5" customHeight="1">
      <c r="A16" s="549" t="s">
        <v>226</v>
      </c>
      <c r="B16" s="390"/>
      <c r="C16" s="391"/>
      <c r="D16" s="550">
        <v>1000</v>
      </c>
      <c r="E16" s="390"/>
      <c r="F16" s="391"/>
      <c r="G16" s="391"/>
      <c r="H16" s="390"/>
      <c r="I16" s="391"/>
      <c r="J16" s="1344"/>
      <c r="K16" s="425"/>
      <c r="L16" s="1344"/>
      <c r="M16" s="390"/>
      <c r="N16" s="391"/>
      <c r="O16" s="552">
        <f t="shared" si="0"/>
        <v>1000</v>
      </c>
      <c r="P16" s="181" t="s">
        <v>0</v>
      </c>
    </row>
    <row r="17" spans="1:29" ht="16.5" customHeight="1">
      <c r="A17" s="553" t="s">
        <v>225</v>
      </c>
      <c r="B17" s="390"/>
      <c r="C17" s="391"/>
      <c r="D17" s="391">
        <v>11976</v>
      </c>
      <c r="E17" s="390"/>
      <c r="F17" s="391"/>
      <c r="G17" s="391">
        <v>-568</v>
      </c>
      <c r="H17" s="390"/>
      <c r="I17" s="391"/>
      <c r="J17" s="1344">
        <f>-263-8</f>
        <v>-271</v>
      </c>
      <c r="K17" s="425">
        <v>4348</v>
      </c>
      <c r="L17" s="1344">
        <f>409+380+115</f>
        <v>904</v>
      </c>
      <c r="M17" s="390"/>
      <c r="N17" s="391"/>
      <c r="O17" s="388">
        <f t="shared" si="0"/>
        <v>16389</v>
      </c>
      <c r="P17" s="181" t="s">
        <v>0</v>
      </c>
    </row>
    <row r="18" spans="1:29" ht="16.5" customHeight="1">
      <c r="A18" s="553" t="s">
        <v>224</v>
      </c>
      <c r="B18" s="390"/>
      <c r="C18" s="391"/>
      <c r="D18" s="391">
        <v>44910</v>
      </c>
      <c r="E18" s="390"/>
      <c r="F18" s="391"/>
      <c r="G18" s="391"/>
      <c r="H18" s="390"/>
      <c r="I18" s="391"/>
      <c r="J18" s="1344">
        <f>-987-30</f>
        <v>-1017</v>
      </c>
      <c r="K18" s="425">
        <v>175</v>
      </c>
      <c r="L18" s="1344">
        <f>85+380+115</f>
        <v>580</v>
      </c>
      <c r="M18" s="390"/>
      <c r="N18" s="391"/>
      <c r="O18" s="388">
        <f t="shared" si="0"/>
        <v>44648</v>
      </c>
      <c r="P18" s="181" t="s">
        <v>0</v>
      </c>
    </row>
    <row r="19" spans="1:29" ht="16.5" customHeight="1">
      <c r="A19" s="553" t="s">
        <v>223</v>
      </c>
      <c r="B19" s="390"/>
      <c r="C19" s="391"/>
      <c r="D19" s="391">
        <v>69860</v>
      </c>
      <c r="E19" s="390"/>
      <c r="F19" s="391"/>
      <c r="G19" s="391">
        <v>-317</v>
      </c>
      <c r="H19" s="390"/>
      <c r="I19" s="391"/>
      <c r="J19" s="1344">
        <v>-1536</v>
      </c>
      <c r="K19" s="425">
        <v>835</v>
      </c>
      <c r="L19" s="1344">
        <f>317+380+115</f>
        <v>812</v>
      </c>
      <c r="M19" s="390"/>
      <c r="N19" s="391"/>
      <c r="O19" s="388">
        <f t="shared" si="0"/>
        <v>69654</v>
      </c>
      <c r="P19" s="181" t="s">
        <v>0</v>
      </c>
    </row>
    <row r="20" spans="1:29" ht="16.5" customHeight="1">
      <c r="A20" s="370" t="s">
        <v>221</v>
      </c>
      <c r="B20" s="390"/>
      <c r="C20" s="391"/>
      <c r="D20" s="391" t="s">
        <v>218</v>
      </c>
      <c r="E20" s="390"/>
      <c r="F20" s="391"/>
      <c r="G20" s="391"/>
      <c r="H20" s="390"/>
      <c r="I20" s="391"/>
      <c r="J20" s="1344"/>
      <c r="K20" s="425"/>
      <c r="L20" s="1344">
        <f>920+380+115</f>
        <v>1415</v>
      </c>
      <c r="M20" s="390"/>
      <c r="N20" s="391"/>
      <c r="O20" s="388">
        <f>G20+J20+K20+L20</f>
        <v>1415</v>
      </c>
      <c r="P20" s="181" t="s">
        <v>0</v>
      </c>
    </row>
    <row r="21" spans="1:29" ht="16.5" customHeight="1">
      <c r="A21" s="555" t="s">
        <v>254</v>
      </c>
      <c r="B21" s="556"/>
      <c r="C21" s="557"/>
      <c r="D21" s="557"/>
      <c r="E21" s="556"/>
      <c r="F21" s="557"/>
      <c r="G21" s="557"/>
      <c r="H21" s="556"/>
      <c r="I21" s="557"/>
      <c r="J21" s="1345"/>
      <c r="K21" s="424">
        <v>5049</v>
      </c>
      <c r="L21" s="1348">
        <f>850+380+114</f>
        <v>1344</v>
      </c>
      <c r="M21" s="556"/>
      <c r="N21" s="557"/>
      <c r="O21" s="388">
        <f t="shared" ref="O21:O26" si="1">G21+J21+K21+L21</f>
        <v>6393</v>
      </c>
      <c r="P21" s="181" t="s">
        <v>0</v>
      </c>
      <c r="Q21" s="181"/>
    </row>
    <row r="22" spans="1:29" ht="16.5" customHeight="1">
      <c r="A22" s="555" t="s">
        <v>255</v>
      </c>
      <c r="B22" s="556"/>
      <c r="C22" s="557"/>
      <c r="D22" s="557"/>
      <c r="E22" s="556"/>
      <c r="F22" s="557"/>
      <c r="G22" s="557">
        <v>-1138</v>
      </c>
      <c r="H22" s="556"/>
      <c r="I22" s="557"/>
      <c r="J22" s="1345"/>
      <c r="K22" s="424">
        <v>-2220</v>
      </c>
      <c r="L22" s="1345">
        <f>541+380+115</f>
        <v>1036</v>
      </c>
      <c r="M22" s="556"/>
      <c r="N22" s="557"/>
      <c r="O22" s="388">
        <f t="shared" si="1"/>
        <v>-2322</v>
      </c>
      <c r="P22" s="181" t="s">
        <v>0</v>
      </c>
      <c r="Q22" s="181"/>
    </row>
    <row r="23" spans="1:29" ht="16.5" customHeight="1">
      <c r="A23" s="555" t="s">
        <v>256</v>
      </c>
      <c r="B23" s="556"/>
      <c r="C23" s="557"/>
      <c r="D23" s="557"/>
      <c r="E23" s="556"/>
      <c r="F23" s="557"/>
      <c r="G23" s="557">
        <v>-138</v>
      </c>
      <c r="H23" s="556"/>
      <c r="I23" s="557"/>
      <c r="J23" s="1345"/>
      <c r="K23" s="424">
        <v>122</v>
      </c>
      <c r="L23" s="1345"/>
      <c r="M23" s="556"/>
      <c r="N23" s="557"/>
      <c r="O23" s="388">
        <f t="shared" si="1"/>
        <v>-16</v>
      </c>
      <c r="P23" s="181" t="s">
        <v>0</v>
      </c>
      <c r="Q23" s="181"/>
    </row>
    <row r="24" spans="1:29" ht="16.5" customHeight="1">
      <c r="A24" s="555" t="s">
        <v>257</v>
      </c>
      <c r="B24" s="556"/>
      <c r="C24" s="557"/>
      <c r="D24" s="557"/>
      <c r="E24" s="556"/>
      <c r="F24" s="557"/>
      <c r="G24" s="557">
        <v>-139</v>
      </c>
      <c r="H24" s="556"/>
      <c r="I24" s="557"/>
      <c r="J24" s="1345"/>
      <c r="K24" s="424">
        <v>139</v>
      </c>
      <c r="L24" s="1345"/>
      <c r="M24" s="556"/>
      <c r="N24" s="557"/>
      <c r="O24" s="388">
        <f t="shared" si="1"/>
        <v>0</v>
      </c>
      <c r="P24" s="181" t="s">
        <v>0</v>
      </c>
      <c r="Q24" s="181"/>
    </row>
    <row r="25" spans="1:29" ht="16.5" customHeight="1">
      <c r="A25" s="555" t="s">
        <v>258</v>
      </c>
      <c r="B25" s="556"/>
      <c r="C25" s="557"/>
      <c r="D25" s="557"/>
      <c r="E25" s="556"/>
      <c r="F25" s="557"/>
      <c r="G25" s="557">
        <v>-152</v>
      </c>
      <c r="H25" s="556"/>
      <c r="I25" s="557"/>
      <c r="J25" s="1345"/>
      <c r="K25" s="424">
        <v>-1566</v>
      </c>
      <c r="L25" s="1345"/>
      <c r="M25" s="556"/>
      <c r="N25" s="557"/>
      <c r="O25" s="388">
        <f t="shared" si="1"/>
        <v>-1718</v>
      </c>
      <c r="P25" s="181" t="s">
        <v>0</v>
      </c>
      <c r="Q25" s="181"/>
    </row>
    <row r="26" spans="1:29" ht="16.5" customHeight="1">
      <c r="A26" s="555" t="s">
        <v>673</v>
      </c>
      <c r="B26" s="1039"/>
      <c r="C26" s="1040"/>
      <c r="D26" s="1040"/>
      <c r="E26" s="1039"/>
      <c r="F26" s="1040"/>
      <c r="G26" s="1040">
        <v>-21</v>
      </c>
      <c r="H26" s="1039"/>
      <c r="I26" s="1040"/>
      <c r="J26" s="1346">
        <v>-1010</v>
      </c>
      <c r="K26" s="1041">
        <v>-655</v>
      </c>
      <c r="L26" s="1346"/>
      <c r="M26" s="1039"/>
      <c r="N26" s="1040"/>
      <c r="O26" s="1100">
        <f t="shared" si="1"/>
        <v>-1686</v>
      </c>
      <c r="P26" s="181" t="s">
        <v>0</v>
      </c>
      <c r="Q26" s="181"/>
    </row>
    <row r="27" spans="1:29" ht="16.5" customHeight="1">
      <c r="A27" s="162" t="s">
        <v>124</v>
      </c>
      <c r="B27" s="267">
        <f>SUM(B12:B26)</f>
        <v>0</v>
      </c>
      <c r="C27" s="268">
        <f>SUM(C12:C26)</f>
        <v>0</v>
      </c>
      <c r="D27" s="166">
        <f>SUM(D12+D14+D17+D18+D19)</f>
        <v>234530</v>
      </c>
      <c r="E27" s="267">
        <f t="shared" ref="E27:N27" si="2">SUM(E12:E26)</f>
        <v>0</v>
      </c>
      <c r="F27" s="268">
        <f t="shared" si="2"/>
        <v>0</v>
      </c>
      <c r="G27" s="166">
        <f t="shared" si="2"/>
        <v>-7264</v>
      </c>
      <c r="H27" s="267">
        <f t="shared" si="2"/>
        <v>0</v>
      </c>
      <c r="I27" s="268">
        <f t="shared" si="2"/>
        <v>0</v>
      </c>
      <c r="J27" s="1347">
        <f t="shared" si="2"/>
        <v>-6860</v>
      </c>
      <c r="K27" s="754">
        <f t="shared" si="2"/>
        <v>9676</v>
      </c>
      <c r="L27" s="1347">
        <f t="shared" si="2"/>
        <v>9880</v>
      </c>
      <c r="M27" s="267">
        <f t="shared" si="2"/>
        <v>0</v>
      </c>
      <c r="N27" s="268">
        <f t="shared" si="2"/>
        <v>0</v>
      </c>
      <c r="O27" s="1350">
        <f>SUM(O12+O14+O17+O18+O19+O20+O21+O22+O23+O25+O26)</f>
        <v>239962</v>
      </c>
      <c r="P27" s="181" t="s">
        <v>0</v>
      </c>
      <c r="Q27" s="181"/>
    </row>
    <row r="28" spans="1:29" ht="16.5" customHeight="1">
      <c r="A28" s="359" t="s">
        <v>103</v>
      </c>
      <c r="B28" s="381" t="s">
        <v>116</v>
      </c>
      <c r="C28" s="382"/>
      <c r="D28" s="382"/>
      <c r="E28" s="381"/>
      <c r="F28" s="382"/>
      <c r="G28" s="382"/>
      <c r="H28" s="381"/>
      <c r="I28" s="382"/>
      <c r="J28" s="382"/>
      <c r="K28" s="421"/>
      <c r="L28" s="382"/>
      <c r="M28" s="381"/>
      <c r="N28" s="382"/>
      <c r="O28" s="379"/>
      <c r="P28" s="181" t="s">
        <v>0</v>
      </c>
      <c r="Q28" s="181"/>
      <c r="R28" s="559"/>
      <c r="S28" s="559"/>
      <c r="T28" s="559"/>
      <c r="U28" s="559"/>
      <c r="V28" s="559"/>
      <c r="W28" s="559"/>
      <c r="X28" s="559"/>
      <c r="Y28" s="559"/>
      <c r="Z28" s="559"/>
      <c r="AA28" s="559"/>
      <c r="AB28" s="559"/>
      <c r="AC28" s="559"/>
    </row>
    <row r="29" spans="1:29" ht="16.5" customHeight="1">
      <c r="A29" s="359" t="s">
        <v>102</v>
      </c>
      <c r="B29" s="560"/>
      <c r="C29" s="407">
        <f>SUM(C27:C28)</f>
        <v>0</v>
      </c>
      <c r="D29" s="407"/>
      <c r="E29" s="560"/>
      <c r="F29" s="407">
        <f>+F27+F28</f>
        <v>0</v>
      </c>
      <c r="G29" s="407"/>
      <c r="H29" s="560"/>
      <c r="I29" s="407">
        <f>+I27+I28</f>
        <v>0</v>
      </c>
      <c r="J29" s="407"/>
      <c r="K29" s="561"/>
      <c r="L29" s="407"/>
      <c r="M29" s="560"/>
      <c r="N29" s="407">
        <f>SUM(N27:N28)</f>
        <v>0</v>
      </c>
      <c r="O29" s="408"/>
      <c r="P29" s="181" t="s">
        <v>0</v>
      </c>
      <c r="Q29" s="181"/>
    </row>
    <row r="30" spans="1:29" ht="16.5" customHeight="1">
      <c r="A30" s="562" t="s">
        <v>104</v>
      </c>
      <c r="B30" s="390"/>
      <c r="C30" s="391"/>
      <c r="D30" s="391"/>
      <c r="E30" s="390"/>
      <c r="F30" s="391"/>
      <c r="G30" s="391"/>
      <c r="H30" s="390"/>
      <c r="I30" s="391"/>
      <c r="J30" s="391"/>
      <c r="K30" s="425"/>
      <c r="L30" s="391"/>
      <c r="M30" s="390"/>
      <c r="N30" s="391"/>
      <c r="O30" s="388"/>
      <c r="P30" s="181" t="s">
        <v>0</v>
      </c>
      <c r="Q30" s="181"/>
    </row>
    <row r="31" spans="1:29" ht="16.5" customHeight="1">
      <c r="A31" s="563" t="s">
        <v>31</v>
      </c>
      <c r="B31" s="390"/>
      <c r="C31" s="391"/>
      <c r="D31" s="391"/>
      <c r="E31" s="390"/>
      <c r="F31" s="391"/>
      <c r="G31" s="391"/>
      <c r="H31" s="390"/>
      <c r="I31" s="391"/>
      <c r="J31" s="391"/>
      <c r="K31" s="425"/>
      <c r="L31" s="391"/>
      <c r="M31" s="390"/>
      <c r="N31" s="391"/>
      <c r="O31" s="388"/>
      <c r="P31" s="181" t="s">
        <v>0</v>
      </c>
      <c r="Q31" s="181"/>
    </row>
    <row r="32" spans="1:29" ht="16.5" customHeight="1">
      <c r="A32" s="564" t="s">
        <v>60</v>
      </c>
      <c r="B32" s="381"/>
      <c r="C32" s="382"/>
      <c r="D32" s="382"/>
      <c r="E32" s="381"/>
      <c r="F32" s="382"/>
      <c r="G32" s="382"/>
      <c r="H32" s="381"/>
      <c r="I32" s="382"/>
      <c r="J32" s="382"/>
      <c r="K32" s="421"/>
      <c r="L32" s="382"/>
      <c r="M32" s="381"/>
      <c r="N32" s="382"/>
      <c r="O32" s="379"/>
      <c r="P32" s="181" t="s">
        <v>0</v>
      </c>
      <c r="Q32" s="181"/>
    </row>
    <row r="33" spans="1:17" ht="16.5" customHeight="1">
      <c r="A33" s="359" t="s">
        <v>105</v>
      </c>
      <c r="B33" s="381"/>
      <c r="C33" s="382">
        <f>C32+C31+C29</f>
        <v>0</v>
      </c>
      <c r="D33" s="565"/>
      <c r="E33" s="381"/>
      <c r="F33" s="382">
        <f>F32+F31+F29</f>
        <v>0</v>
      </c>
      <c r="G33" s="565"/>
      <c r="H33" s="381"/>
      <c r="I33" s="382">
        <f>I32+I31+I29</f>
        <v>0</v>
      </c>
      <c r="J33" s="565"/>
      <c r="K33" s="566"/>
      <c r="L33" s="565"/>
      <c r="M33" s="381"/>
      <c r="N33" s="382">
        <f>N32+N31+N29</f>
        <v>0</v>
      </c>
      <c r="O33" s="567"/>
      <c r="P33" s="181" t="s">
        <v>0</v>
      </c>
      <c r="Q33" s="181"/>
    </row>
    <row r="34" spans="1:17" ht="16.5" customHeight="1">
      <c r="A34" s="1389"/>
      <c r="B34" s="399"/>
      <c r="C34" s="399"/>
      <c r="D34" s="805"/>
      <c r="E34" s="399"/>
      <c r="F34" s="399"/>
      <c r="G34" s="805"/>
      <c r="H34" s="399"/>
      <c r="I34" s="399"/>
      <c r="J34" s="805"/>
      <c r="K34" s="805"/>
      <c r="L34" s="805"/>
      <c r="M34" s="399"/>
      <c r="N34" s="399"/>
      <c r="O34" s="805"/>
      <c r="P34" s="181"/>
      <c r="Q34" s="181"/>
    </row>
    <row r="35" spans="1:17" ht="16.5" customHeight="1">
      <c r="A35" s="18" t="s">
        <v>648</v>
      </c>
      <c r="B35" s="1"/>
      <c r="C35" s="1"/>
      <c r="D35" s="1"/>
      <c r="E35" s="1"/>
      <c r="F35" s="1"/>
      <c r="G35" s="1"/>
      <c r="H35" s="1"/>
      <c r="I35" s="1"/>
      <c r="J35" s="1"/>
      <c r="K35" s="1"/>
      <c r="L35" s="1"/>
      <c r="M35" s="1"/>
      <c r="N35" s="1"/>
      <c r="O35" s="1"/>
      <c r="P35" s="181" t="s">
        <v>0</v>
      </c>
      <c r="Q35" s="181"/>
    </row>
    <row r="36" spans="1:17" ht="16.5" customHeight="1">
      <c r="A36" s="1" t="s">
        <v>674</v>
      </c>
      <c r="C36" s="1"/>
      <c r="D36" s="1"/>
      <c r="E36" s="1"/>
      <c r="F36" s="1"/>
      <c r="G36" s="1"/>
      <c r="H36" s="1"/>
      <c r="I36" s="1"/>
      <c r="J36" s="1"/>
      <c r="K36" s="1"/>
      <c r="L36" s="1"/>
      <c r="M36" s="1"/>
      <c r="N36" s="1"/>
      <c r="O36" s="1"/>
      <c r="P36" s="181" t="s">
        <v>0</v>
      </c>
      <c r="Q36" s="181"/>
    </row>
    <row r="37" spans="1:17" ht="16.5" customHeight="1">
      <c r="A37" s="1" t="s">
        <v>646</v>
      </c>
      <c r="C37" s="1"/>
      <c r="D37" s="1"/>
      <c r="E37" s="1"/>
      <c r="F37" s="1"/>
      <c r="G37" s="1"/>
      <c r="H37" s="1"/>
      <c r="I37" s="1"/>
      <c r="J37" s="1"/>
      <c r="K37" s="1"/>
      <c r="L37" s="1"/>
      <c r="M37" s="1"/>
      <c r="N37" s="1"/>
      <c r="O37" s="1"/>
      <c r="P37" s="181" t="s">
        <v>13</v>
      </c>
      <c r="Q37" s="181"/>
    </row>
    <row r="38" spans="1:17" ht="16.5" customHeight="1">
      <c r="A38" s="1"/>
      <c r="C38" s="1"/>
      <c r="D38" s="1"/>
      <c r="E38" s="1"/>
      <c r="F38" s="1"/>
      <c r="G38" s="1"/>
      <c r="H38" s="1"/>
      <c r="I38" s="1"/>
      <c r="J38" s="1"/>
      <c r="K38" s="1"/>
      <c r="L38" s="1"/>
      <c r="M38" s="1"/>
      <c r="N38" s="1"/>
      <c r="O38" s="1"/>
      <c r="P38" s="181"/>
      <c r="Q38" s="181"/>
    </row>
    <row r="39" spans="1:17" ht="16.5" customHeight="1">
      <c r="A39" s="1"/>
      <c r="C39" s="1"/>
      <c r="D39" s="1"/>
      <c r="E39" s="1"/>
      <c r="F39" s="1"/>
      <c r="G39" s="1"/>
      <c r="H39" s="1"/>
      <c r="I39" s="1"/>
      <c r="J39" s="1"/>
      <c r="K39" s="1"/>
      <c r="L39" s="1"/>
      <c r="M39" s="1"/>
      <c r="N39" s="1"/>
      <c r="O39" s="1"/>
      <c r="P39" s="181"/>
      <c r="Q39" s="181"/>
    </row>
    <row r="40" spans="1:17" ht="16.5" customHeight="1">
      <c r="A40" s="1"/>
      <c r="B40" s="367"/>
      <c r="C40" s="367"/>
      <c r="D40" s="367"/>
      <c r="E40" s="367"/>
      <c r="F40" s="367"/>
      <c r="G40" s="367"/>
      <c r="H40" s="367"/>
      <c r="I40" s="367"/>
      <c r="J40" s="367"/>
      <c r="K40" s="367"/>
      <c r="L40" s="367"/>
      <c r="M40" s="1"/>
      <c r="N40" s="1"/>
      <c r="O40" s="1"/>
      <c r="P40" s="181"/>
      <c r="Q40" s="181"/>
    </row>
    <row r="41" spans="1:17" ht="16.5" customHeight="1">
      <c r="A41" s="151"/>
      <c r="B41" s="1"/>
      <c r="C41" s="1"/>
      <c r="D41" s="1"/>
      <c r="E41" s="1"/>
      <c r="F41" s="1"/>
      <c r="G41" s="1"/>
      <c r="H41" s="1"/>
      <c r="I41" s="1"/>
      <c r="J41" s="1"/>
      <c r="K41" s="1"/>
      <c r="L41" s="1"/>
      <c r="M41" s="1"/>
      <c r="N41" s="1"/>
      <c r="O41" s="1"/>
      <c r="P41" s="181"/>
      <c r="Q41" s="181"/>
    </row>
    <row r="42" spans="1:17" ht="16.5" customHeight="1">
      <c r="A42" s="26"/>
      <c r="B42" s="26"/>
      <c r="C42" s="26"/>
      <c r="D42" s="26"/>
      <c r="E42" s="26"/>
      <c r="F42" s="26"/>
      <c r="G42" s="26"/>
      <c r="H42" s="1"/>
      <c r="I42" s="1"/>
      <c r="J42" s="1"/>
      <c r="K42" s="1"/>
      <c r="L42" s="1"/>
      <c r="M42" s="1"/>
      <c r="N42" s="1"/>
      <c r="O42" s="1"/>
      <c r="P42" s="568"/>
    </row>
    <row r="43" spans="1:17" ht="16.5" customHeight="1">
      <c r="A43" s="1672"/>
      <c r="B43" s="1663"/>
      <c r="C43" s="1663"/>
      <c r="D43" s="1663"/>
      <c r="E43" s="1663"/>
      <c r="F43" s="1663"/>
      <c r="G43" s="1663"/>
      <c r="H43" s="1663"/>
      <c r="I43" s="1663"/>
      <c r="J43" s="1663"/>
      <c r="K43" s="1663"/>
      <c r="L43" s="1663"/>
      <c r="M43" s="1663"/>
      <c r="N43" s="1663"/>
      <c r="O43" s="1663"/>
      <c r="P43" s="18"/>
    </row>
    <row r="44" spans="1:17" ht="16.5" customHeight="1">
      <c r="A44" s="1685"/>
      <c r="B44" s="1685"/>
      <c r="C44" s="1685"/>
      <c r="D44" s="1685"/>
      <c r="E44" s="1685"/>
      <c r="F44" s="1685"/>
      <c r="G44" s="1685"/>
      <c r="H44" s="1685"/>
      <c r="I44" s="1685"/>
      <c r="J44" s="1685"/>
      <c r="K44" s="1685"/>
      <c r="L44" s="1685"/>
      <c r="M44" s="1685"/>
      <c r="N44" s="1685"/>
      <c r="O44" s="1685"/>
      <c r="P44" s="18"/>
    </row>
    <row r="45" spans="1:17" ht="16.5" customHeight="1">
      <c r="A45" s="1670"/>
      <c r="B45" s="1671"/>
      <c r="C45" s="1671"/>
      <c r="D45" s="1671"/>
      <c r="E45" s="1671"/>
      <c r="F45" s="1671"/>
      <c r="G45" s="1671"/>
      <c r="H45" s="1671"/>
      <c r="I45" s="1671"/>
      <c r="J45" s="1671"/>
      <c r="K45" s="1671"/>
      <c r="L45" s="1671"/>
      <c r="M45" s="1671"/>
      <c r="N45" s="1671"/>
      <c r="O45" s="1671"/>
      <c r="P45" s="18"/>
    </row>
    <row r="46" spans="1:17" ht="16.5" customHeight="1">
      <c r="A46" s="259"/>
      <c r="B46" s="368"/>
      <c r="C46" s="368"/>
      <c r="D46" s="368"/>
      <c r="E46" s="368"/>
      <c r="F46" s="368"/>
      <c r="G46" s="368"/>
      <c r="H46" s="368"/>
      <c r="I46" s="368"/>
      <c r="J46" s="368"/>
      <c r="K46" s="368"/>
      <c r="L46" s="368"/>
      <c r="M46" s="368"/>
      <c r="N46" s="368"/>
      <c r="O46" s="368"/>
      <c r="P46" s="18"/>
    </row>
    <row r="47" spans="1:17" ht="35.25" customHeight="1">
      <c r="A47" s="1673"/>
      <c r="B47" s="1670"/>
      <c r="C47" s="1670"/>
      <c r="D47" s="1670"/>
      <c r="E47" s="1670"/>
      <c r="F47" s="1670"/>
      <c r="G47" s="1670"/>
      <c r="H47" s="1670"/>
      <c r="I47" s="1670"/>
      <c r="J47" s="1670"/>
      <c r="K47" s="1670"/>
      <c r="L47" s="1670"/>
      <c r="M47" s="1670"/>
      <c r="N47" s="1670"/>
      <c r="O47" s="1670"/>
      <c r="P47" s="18"/>
    </row>
    <row r="48" spans="1:17" ht="35.25" customHeight="1">
      <c r="A48" s="1670"/>
      <c r="B48" s="1670"/>
      <c r="C48" s="1670"/>
      <c r="D48" s="1670"/>
      <c r="E48" s="1670"/>
      <c r="F48" s="1670"/>
      <c r="G48" s="1670"/>
      <c r="H48" s="1670"/>
      <c r="I48" s="1670"/>
      <c r="J48" s="1670"/>
      <c r="K48" s="1670"/>
      <c r="L48" s="1670"/>
      <c r="M48" s="1670"/>
      <c r="N48" s="1670"/>
      <c r="O48" s="1670"/>
      <c r="P48" s="18"/>
    </row>
    <row r="49" spans="1:16" ht="16.5" customHeight="1">
      <c r="A49" s="1670"/>
      <c r="B49" s="1671"/>
      <c r="C49" s="1671"/>
      <c r="D49" s="1671"/>
      <c r="E49" s="1671"/>
      <c r="F49" s="1671"/>
      <c r="G49" s="1671"/>
      <c r="H49" s="1671"/>
      <c r="I49" s="1671"/>
      <c r="J49" s="1671"/>
      <c r="K49" s="1671"/>
      <c r="L49" s="1671"/>
      <c r="M49" s="1671"/>
      <c r="N49" s="1671"/>
      <c r="O49" s="1671"/>
      <c r="P49" s="18"/>
    </row>
    <row r="50" spans="1:16" ht="16.5" customHeight="1">
      <c r="A50" s="1662"/>
      <c r="B50" s="1663"/>
      <c r="C50" s="1663"/>
      <c r="D50" s="1663"/>
      <c r="E50" s="1663"/>
      <c r="F50" s="1663"/>
      <c r="G50" s="1663"/>
      <c r="H50" s="1663"/>
      <c r="I50" s="1663"/>
      <c r="J50" s="1663"/>
      <c r="K50" s="1663"/>
      <c r="L50" s="1663"/>
      <c r="M50" s="1663"/>
      <c r="N50" s="1663"/>
      <c r="O50" s="1663"/>
      <c r="P50" s="1663"/>
    </row>
    <row r="51" spans="1:16" ht="16.5" customHeight="1"/>
    <row r="52" spans="1:16" ht="16.5" customHeight="1"/>
    <row r="53" spans="1:16" ht="16.5" customHeight="1"/>
    <row r="54" spans="1:16" ht="16.5" customHeight="1"/>
  </sheetData>
  <customSheetViews>
    <customSheetView guid="{DA38F665-F06D-4DFB-B852-747D93BB00EF}" scale="75" showPageBreaks="1" showGridLines="0" outlineSymbols="0" fitToPage="1" printArea="1" view="pageBreakPreview">
      <selection activeCell="B210" sqref="B210"/>
      <pageMargins left="0.5" right="0.5" top="0.5" bottom="0.55000000000000004" header="0" footer="0"/>
      <printOptions horizontalCentered="1"/>
      <pageSetup scale="70" firstPageNumber="2" orientation="landscape" useFirstPageNumber="1" horizontalDpi="300" verticalDpi="300" r:id="rId1"/>
      <headerFooter alignWithMargins="0">
        <oddFooter>&amp;C&amp;"Times New Roman,Regular"Exhibit F - Crosswalk of 2011 Availability&amp;R&amp;"Times New Roman,Regular"Research, Evaluation, and Statistics</oddFooter>
      </headerFooter>
    </customSheetView>
    <customSheetView guid="{4D0F9E3D-0229-48CC-A08B-F132802E9D7B}" scale="75" showPageBreaks="1" showGridLines="0" outlineSymbols="0" fitToPage="1" printArea="1" view="pageBreakPreview">
      <selection activeCell="R11" sqref="R11"/>
      <pageMargins left="0.5" right="0.5" top="0.5" bottom="0.55000000000000004" header="0" footer="0"/>
      <printOptions horizontalCentered="1"/>
      <pageSetup scale="68" firstPageNumber="2" orientation="landscape" useFirstPageNumber="1" horizontalDpi="300" verticalDpi="300" r:id="rId2"/>
      <headerFooter alignWithMargins="0">
        <oddFooter>&amp;C&amp;"Times New Roman,Regular"Exhibit F - Crosswalk of 2011 Availability&amp;R&amp;"Times New Roman,Regular"Research, Evaluation, and Statistics</oddFooter>
      </headerFooter>
    </customSheetView>
    <customSheetView guid="{F6772377-6B25-4EEA-B255-4C2F62B37855}" scale="75" showPageBreaks="1" showGridLines="0" outlineSymbols="0" fitToPage="1" printArea="1" view="pageBreakPreview">
      <selection activeCell="A37" sqref="A37"/>
      <pageMargins left="0.5" right="0.5" top="0.5" bottom="0.55000000000000004" header="0" footer="0"/>
      <printOptions horizontalCentered="1"/>
      <pageSetup scale="70" firstPageNumber="2" orientation="landscape" useFirstPageNumber="1" horizontalDpi="300" verticalDpi="300" r:id="rId3"/>
      <headerFooter alignWithMargins="0">
        <oddFooter>&amp;C&amp;"Times New Roman,Regular"Exhibit F - Crosswalk of 2011 Availability&amp;R&amp;"Times New Roman,Regular"Research, Evaluation, and Statistics</oddFooter>
      </headerFooter>
    </customSheetView>
    <customSheetView guid="{27B9C207-C13F-4981-9CED-E69585BBD779}" scale="75" showPageBreaks="1" showGridLines="0" outlineSymbols="0" fitToPage="1" printArea="1" view="pageBreakPreview" topLeftCell="B22">
      <selection activeCell="O27" sqref="O27"/>
      <pageMargins left="0.5" right="0.5" top="0.5" bottom="0.55000000000000004" header="0" footer="0"/>
      <printOptions horizontalCentered="1"/>
      <pageSetup scale="70" firstPageNumber="2" orientation="landscape" useFirstPageNumber="1" horizontalDpi="300" verticalDpi="300" r:id="rId4"/>
      <headerFooter alignWithMargins="0">
        <oddFooter>&amp;C&amp;"Times New Roman,Regular"Exhibit F - Crosswalk of 2011 Availability&amp;R&amp;"Times New Roman,Regular"Research, Evaluation, and Statistics</oddFooter>
      </headerFooter>
    </customSheetView>
  </customSheetViews>
  <mergeCells count="22">
    <mergeCell ref="A6:O6"/>
    <mergeCell ref="A1:O1"/>
    <mergeCell ref="A2:O2"/>
    <mergeCell ref="A3:O3"/>
    <mergeCell ref="A4:O4"/>
    <mergeCell ref="A5:O5"/>
    <mergeCell ref="A7:O7"/>
    <mergeCell ref="A8:O8"/>
    <mergeCell ref="A9:A11"/>
    <mergeCell ref="B9:D10"/>
    <mergeCell ref="E9:G10"/>
    <mergeCell ref="H9:J10"/>
    <mergeCell ref="K9:K10"/>
    <mergeCell ref="L9:L10"/>
    <mergeCell ref="M9:O10"/>
    <mergeCell ref="A50:P50"/>
    <mergeCell ref="A43:O43"/>
    <mergeCell ref="A44:O44"/>
    <mergeCell ref="A45:O45"/>
    <mergeCell ref="A47:O47"/>
    <mergeCell ref="A48:O48"/>
    <mergeCell ref="A49:O49"/>
  </mergeCells>
  <printOptions horizontalCentered="1"/>
  <pageMargins left="0.5" right="0.5" top="0.5" bottom="0.55000000000000004" header="0" footer="0"/>
  <pageSetup scale="70" firstPageNumber="2" orientation="landscape" useFirstPageNumber="1" horizontalDpi="300" verticalDpi="300" r:id="rId5"/>
  <headerFooter alignWithMargins="0">
    <oddFooter>&amp;C&amp;"Times New Roman,Regular"Exhibit F - Crosswalk of 2011 Availability&amp;R&amp;"Times New Roman,Regular"Research, Evaluation, and Statistics</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T42"/>
  <sheetViews>
    <sheetView view="pageBreakPreview" topLeftCell="A19" zoomScale="75" zoomScaleNormal="100" zoomScaleSheetLayoutView="75" workbookViewId="0">
      <selection activeCell="A33" sqref="A33"/>
    </sheetView>
  </sheetViews>
  <sheetFormatPr defaultRowHeight="15.75"/>
  <cols>
    <col min="1" max="1" width="58.33203125" style="363" customWidth="1"/>
    <col min="2" max="7" width="8.88671875" style="363"/>
    <col min="8" max="8" width="8.88671875" style="363" hidden="1" customWidth="1"/>
    <col min="9" max="9" width="8.88671875" style="236" hidden="1" customWidth="1"/>
    <col min="10" max="10" width="8.88671875" style="363" hidden="1" customWidth="1"/>
    <col min="11" max="13" width="8.88671875" style="363"/>
    <col min="14" max="14" width="9.44140625" style="18" customWidth="1"/>
    <col min="15" max="15" width="10" style="18" customWidth="1"/>
    <col min="16" max="16384" width="8.88671875" style="363"/>
  </cols>
  <sheetData>
    <row r="1" spans="1:20" ht="20.25">
      <c r="A1" s="1692" t="s">
        <v>203</v>
      </c>
      <c r="B1" s="1693"/>
      <c r="C1" s="1693"/>
      <c r="D1" s="1693"/>
      <c r="E1" s="1693"/>
      <c r="F1" s="1693"/>
      <c r="G1" s="1693"/>
      <c r="H1" s="1693"/>
      <c r="I1" s="1693"/>
      <c r="J1" s="1693"/>
      <c r="K1" s="1693"/>
      <c r="L1" s="1693"/>
      <c r="M1" s="1693"/>
      <c r="N1" s="1693"/>
      <c r="O1" s="1693"/>
      <c r="P1" s="1693"/>
      <c r="Q1" s="1693"/>
      <c r="R1" s="1693"/>
      <c r="S1" s="181" t="s">
        <v>0</v>
      </c>
      <c r="T1" s="18"/>
    </row>
    <row r="2" spans="1:20">
      <c r="A2" s="1901"/>
      <c r="B2" s="1901"/>
      <c r="C2" s="1901"/>
      <c r="D2" s="1901"/>
      <c r="E2" s="1901"/>
      <c r="F2" s="1901"/>
      <c r="G2" s="1901"/>
      <c r="H2" s="1901"/>
      <c r="I2" s="1901"/>
      <c r="J2" s="1901"/>
      <c r="K2" s="1901"/>
      <c r="L2" s="1901"/>
      <c r="M2" s="1901"/>
      <c r="N2" s="1901"/>
      <c r="O2" s="1901"/>
      <c r="P2" s="1901"/>
      <c r="Q2" s="1901"/>
      <c r="R2" s="1901"/>
      <c r="S2" s="181" t="s">
        <v>0</v>
      </c>
      <c r="T2" s="18"/>
    </row>
    <row r="3" spans="1:20" ht="18.75">
      <c r="A3" s="1694" t="s">
        <v>158</v>
      </c>
      <c r="B3" s="1914"/>
      <c r="C3" s="1914"/>
      <c r="D3" s="1914"/>
      <c r="E3" s="1914"/>
      <c r="F3" s="1914"/>
      <c r="G3" s="1914"/>
      <c r="H3" s="1914"/>
      <c r="I3" s="1914"/>
      <c r="J3" s="1914"/>
      <c r="K3" s="1914"/>
      <c r="L3" s="1914"/>
      <c r="M3" s="1914"/>
      <c r="N3" s="1914"/>
      <c r="O3" s="1914"/>
      <c r="P3" s="1914"/>
      <c r="Q3" s="1914"/>
      <c r="R3" s="1914"/>
      <c r="S3" s="181" t="s">
        <v>0</v>
      </c>
      <c r="T3" s="18"/>
    </row>
    <row r="4" spans="1:20" ht="16.5">
      <c r="A4" s="1696" t="str">
        <f>+'[3]B. Summ of Reqs - RES '!A5</f>
        <v>Office of Justice Programs</v>
      </c>
      <c r="B4" s="1913"/>
      <c r="C4" s="1913"/>
      <c r="D4" s="1913"/>
      <c r="E4" s="1913"/>
      <c r="F4" s="1913"/>
      <c r="G4" s="1913"/>
      <c r="H4" s="1913"/>
      <c r="I4" s="1913"/>
      <c r="J4" s="1913"/>
      <c r="K4" s="1913"/>
      <c r="L4" s="1913"/>
      <c r="M4" s="1913"/>
      <c r="N4" s="1913"/>
      <c r="O4" s="1913"/>
      <c r="P4" s="1913"/>
      <c r="Q4" s="1913"/>
      <c r="R4" s="1913"/>
      <c r="S4" s="181" t="s">
        <v>0</v>
      </c>
      <c r="T4" s="18"/>
    </row>
    <row r="5" spans="1:20" ht="16.5">
      <c r="A5" s="1696" t="str">
        <f>'B. Summ of Reqs - RES '!A6:X6</f>
        <v>Research, Evaluation, and Statistics (formerly Justice Assistance)</v>
      </c>
      <c r="B5" s="1914"/>
      <c r="C5" s="1914"/>
      <c r="D5" s="1914"/>
      <c r="E5" s="1914"/>
      <c r="F5" s="1914"/>
      <c r="G5" s="1914"/>
      <c r="H5" s="1914"/>
      <c r="I5" s="1914"/>
      <c r="J5" s="1914"/>
      <c r="K5" s="1914"/>
      <c r="L5" s="1914"/>
      <c r="M5" s="1914"/>
      <c r="N5" s="1914"/>
      <c r="O5" s="1914"/>
      <c r="P5" s="1914"/>
      <c r="Q5" s="1914"/>
      <c r="R5" s="1914"/>
      <c r="S5" s="181" t="s">
        <v>0</v>
      </c>
      <c r="T5" s="18"/>
    </row>
    <row r="6" spans="1:20">
      <c r="A6" s="1690" t="s">
        <v>98</v>
      </c>
      <c r="B6" s="1913"/>
      <c r="C6" s="1913"/>
      <c r="D6" s="1913"/>
      <c r="E6" s="1913"/>
      <c r="F6" s="1913"/>
      <c r="G6" s="1913"/>
      <c r="H6" s="1913"/>
      <c r="I6" s="1913"/>
      <c r="J6" s="1913"/>
      <c r="K6" s="1913"/>
      <c r="L6" s="1913"/>
      <c r="M6" s="1913"/>
      <c r="N6" s="1913"/>
      <c r="O6" s="1913"/>
      <c r="P6" s="1913"/>
      <c r="Q6" s="1913"/>
      <c r="R6" s="1913"/>
      <c r="S6" s="181" t="s">
        <v>0</v>
      </c>
      <c r="T6" s="18"/>
    </row>
    <row r="7" spans="1:20">
      <c r="A7" s="1901"/>
      <c r="B7" s="1901"/>
      <c r="C7" s="1901"/>
      <c r="D7" s="1901"/>
      <c r="E7" s="1901"/>
      <c r="F7" s="1901"/>
      <c r="G7" s="1901"/>
      <c r="H7" s="1901"/>
      <c r="I7" s="1901"/>
      <c r="J7" s="1901"/>
      <c r="K7" s="1901"/>
      <c r="L7" s="1901"/>
      <c r="M7" s="1901"/>
      <c r="N7" s="1901"/>
      <c r="O7" s="1901"/>
      <c r="P7" s="1901"/>
      <c r="Q7" s="1901"/>
      <c r="R7" s="1901"/>
      <c r="S7" s="181" t="s">
        <v>0</v>
      </c>
      <c r="T7" s="18"/>
    </row>
    <row r="8" spans="1:20">
      <c r="A8" s="1902"/>
      <c r="B8" s="1902"/>
      <c r="C8" s="1902"/>
      <c r="D8" s="1902"/>
      <c r="E8" s="1902"/>
      <c r="F8" s="1902"/>
      <c r="G8" s="1902"/>
      <c r="H8" s="1902"/>
      <c r="I8" s="1902"/>
      <c r="J8" s="1902"/>
      <c r="K8" s="1902"/>
      <c r="L8" s="1902"/>
      <c r="M8" s="1902"/>
      <c r="N8" s="1902"/>
      <c r="O8" s="1902"/>
      <c r="P8" s="1902"/>
      <c r="Q8" s="1902"/>
      <c r="R8" s="1902"/>
      <c r="S8" s="181" t="s">
        <v>0</v>
      </c>
      <c r="T8" s="18"/>
    </row>
    <row r="9" spans="1:20" ht="15.75" customHeight="1">
      <c r="A9" s="1682" t="s">
        <v>23</v>
      </c>
      <c r="B9" s="1664" t="s">
        <v>594</v>
      </c>
      <c r="C9" s="1903"/>
      <c r="D9" s="1904"/>
      <c r="E9" s="1676" t="s">
        <v>109</v>
      </c>
      <c r="F9" s="1908"/>
      <c r="G9" s="1909"/>
      <c r="H9" s="1676" t="s">
        <v>110</v>
      </c>
      <c r="I9" s="1908"/>
      <c r="J9" s="1909"/>
      <c r="K9" s="1664" t="s">
        <v>12</v>
      </c>
      <c r="L9" s="1903"/>
      <c r="M9" s="1904"/>
      <c r="N9" s="1674" t="s">
        <v>141</v>
      </c>
      <c r="O9" s="1697" t="s">
        <v>142</v>
      </c>
      <c r="P9" s="1664" t="s">
        <v>157</v>
      </c>
      <c r="Q9" s="1903"/>
      <c r="R9" s="1904"/>
      <c r="S9" s="181" t="s">
        <v>0</v>
      </c>
      <c r="T9" s="18"/>
    </row>
    <row r="10" spans="1:20">
      <c r="A10" s="1683"/>
      <c r="B10" s="1905"/>
      <c r="C10" s="1906"/>
      <c r="D10" s="1907"/>
      <c r="E10" s="1910"/>
      <c r="F10" s="1911"/>
      <c r="G10" s="1912"/>
      <c r="H10" s="1910"/>
      <c r="I10" s="1911"/>
      <c r="J10" s="1912"/>
      <c r="K10" s="1905"/>
      <c r="L10" s="1906"/>
      <c r="M10" s="1907"/>
      <c r="N10" s="1675"/>
      <c r="O10" s="1698"/>
      <c r="P10" s="1905"/>
      <c r="Q10" s="1906"/>
      <c r="R10" s="1907"/>
      <c r="S10" s="181" t="s">
        <v>0</v>
      </c>
      <c r="T10" s="18"/>
    </row>
    <row r="11" spans="1:20" ht="16.5" thickBot="1">
      <c r="A11" s="1684"/>
      <c r="B11" s="369" t="s">
        <v>115</v>
      </c>
      <c r="C11" s="266" t="s">
        <v>25</v>
      </c>
      <c r="D11" s="266" t="s">
        <v>117</v>
      </c>
      <c r="E11" s="369" t="s">
        <v>115</v>
      </c>
      <c r="F11" s="266" t="s">
        <v>25</v>
      </c>
      <c r="G11" s="266" t="s">
        <v>117</v>
      </c>
      <c r="H11" s="369" t="s">
        <v>115</v>
      </c>
      <c r="I11" s="266" t="s">
        <v>25</v>
      </c>
      <c r="J11" s="266" t="s">
        <v>117</v>
      </c>
      <c r="K11" s="369" t="s">
        <v>115</v>
      </c>
      <c r="L11" s="266" t="s">
        <v>25</v>
      </c>
      <c r="M11" s="266" t="s">
        <v>117</v>
      </c>
      <c r="N11" s="265" t="s">
        <v>117</v>
      </c>
      <c r="O11" s="266" t="s">
        <v>117</v>
      </c>
      <c r="P11" s="369" t="s">
        <v>115</v>
      </c>
      <c r="Q11" s="266" t="s">
        <v>25</v>
      </c>
      <c r="R11" s="569" t="s">
        <v>117</v>
      </c>
      <c r="S11" s="181" t="s">
        <v>0</v>
      </c>
      <c r="T11" s="18"/>
    </row>
    <row r="12" spans="1:20">
      <c r="A12" s="373" t="s">
        <v>251</v>
      </c>
      <c r="B12" s="390"/>
      <c r="C12" s="391"/>
      <c r="D12" s="391">
        <v>45000</v>
      </c>
      <c r="E12" s="390"/>
      <c r="F12" s="391"/>
      <c r="G12" s="391"/>
      <c r="H12" s="390"/>
      <c r="I12" s="391"/>
      <c r="J12" s="391"/>
      <c r="K12" s="390"/>
      <c r="L12" s="391"/>
      <c r="M12" s="391"/>
      <c r="N12" s="425"/>
      <c r="O12" s="391">
        <f>775+258</f>
        <v>1033</v>
      </c>
      <c r="P12" s="390">
        <f>B12+E12+H12+K12</f>
        <v>0</v>
      </c>
      <c r="Q12" s="391">
        <f>C12+F12+I12+L12</f>
        <v>0</v>
      </c>
      <c r="R12" s="677">
        <f>D12+G12+J12+M12+N12+O12</f>
        <v>46033</v>
      </c>
      <c r="S12" s="181" t="s">
        <v>0</v>
      </c>
      <c r="T12" s="18"/>
    </row>
    <row r="13" spans="1:20">
      <c r="A13" s="570" t="s">
        <v>230</v>
      </c>
      <c r="B13" s="390"/>
      <c r="C13" s="391"/>
      <c r="D13" s="550">
        <v>26000</v>
      </c>
      <c r="E13" s="390"/>
      <c r="F13" s="391"/>
      <c r="G13" s="391"/>
      <c r="H13" s="390"/>
      <c r="I13" s="391"/>
      <c r="J13" s="391"/>
      <c r="K13" s="390"/>
      <c r="L13" s="391"/>
      <c r="M13" s="391"/>
      <c r="N13" s="425"/>
      <c r="O13" s="391"/>
      <c r="P13" s="390"/>
      <c r="Q13" s="391"/>
      <c r="R13" s="552">
        <f t="shared" ref="R13:R22" si="0">D13+G13+J13+M13+N13+O13</f>
        <v>26000</v>
      </c>
      <c r="S13" s="181" t="s">
        <v>0</v>
      </c>
      <c r="T13" s="18"/>
    </row>
    <row r="14" spans="1:20">
      <c r="A14" s="570" t="s">
        <v>259</v>
      </c>
      <c r="B14" s="390"/>
      <c r="C14" s="391"/>
      <c r="D14" s="550">
        <v>10000</v>
      </c>
      <c r="E14" s="390"/>
      <c r="F14" s="391"/>
      <c r="G14" s="391"/>
      <c r="H14" s="390"/>
      <c r="I14" s="391"/>
      <c r="J14" s="391"/>
      <c r="K14" s="390"/>
      <c r="L14" s="391"/>
      <c r="M14" s="391"/>
      <c r="N14" s="425"/>
      <c r="O14" s="391"/>
      <c r="P14" s="390"/>
      <c r="Q14" s="391"/>
      <c r="R14" s="552">
        <f t="shared" si="0"/>
        <v>10000</v>
      </c>
      <c r="S14" s="181" t="s">
        <v>0</v>
      </c>
      <c r="T14" s="18"/>
    </row>
    <row r="15" spans="1:20">
      <c r="A15" s="883" t="s">
        <v>260</v>
      </c>
      <c r="B15" s="390"/>
      <c r="C15" s="391"/>
      <c r="D15" s="550">
        <v>500</v>
      </c>
      <c r="E15" s="390"/>
      <c r="F15" s="391"/>
      <c r="G15" s="391"/>
      <c r="H15" s="390"/>
      <c r="I15" s="391"/>
      <c r="J15" s="391"/>
      <c r="K15" s="390"/>
      <c r="L15" s="391"/>
      <c r="M15" s="391"/>
      <c r="N15" s="425"/>
      <c r="O15" s="391"/>
      <c r="P15" s="390"/>
      <c r="Q15" s="391"/>
      <c r="R15" s="552">
        <f t="shared" si="0"/>
        <v>500</v>
      </c>
      <c r="S15" s="181" t="s">
        <v>0</v>
      </c>
      <c r="T15" s="18"/>
    </row>
    <row r="16" spans="1:20">
      <c r="A16" s="553" t="s">
        <v>252</v>
      </c>
      <c r="B16" s="390"/>
      <c r="C16" s="391"/>
      <c r="D16" s="391">
        <v>40000</v>
      </c>
      <c r="E16" s="390"/>
      <c r="F16" s="391"/>
      <c r="G16" s="391"/>
      <c r="H16" s="390"/>
      <c r="I16" s="391"/>
      <c r="J16" s="391"/>
      <c r="K16" s="390"/>
      <c r="L16" s="391"/>
      <c r="M16" s="391"/>
      <c r="N16" s="425">
        <v>264</v>
      </c>
      <c r="O16" s="391">
        <f>405+258</f>
        <v>663</v>
      </c>
      <c r="P16" s="390"/>
      <c r="Q16" s="391"/>
      <c r="R16" s="388">
        <f t="shared" si="0"/>
        <v>40927</v>
      </c>
      <c r="S16" s="181" t="s">
        <v>0</v>
      </c>
      <c r="T16" s="18"/>
    </row>
    <row r="17" spans="1:20">
      <c r="A17" s="570" t="s">
        <v>226</v>
      </c>
      <c r="B17" s="390"/>
      <c r="C17" s="391"/>
      <c r="D17" s="550">
        <v>5000</v>
      </c>
      <c r="E17" s="390"/>
      <c r="F17" s="391"/>
      <c r="G17" s="391"/>
      <c r="H17" s="390"/>
      <c r="I17" s="391"/>
      <c r="J17" s="391"/>
      <c r="K17" s="390"/>
      <c r="L17" s="391"/>
      <c r="M17" s="391"/>
      <c r="N17" s="425"/>
      <c r="O17" s="391"/>
      <c r="P17" s="390"/>
      <c r="Q17" s="391"/>
      <c r="R17" s="552">
        <f t="shared" si="0"/>
        <v>5000</v>
      </c>
      <c r="S17" s="181" t="s">
        <v>0</v>
      </c>
      <c r="T17" s="18"/>
    </row>
    <row r="18" spans="1:20">
      <c r="A18" s="553" t="s">
        <v>225</v>
      </c>
      <c r="B18" s="390"/>
      <c r="C18" s="391"/>
      <c r="D18" s="391"/>
      <c r="E18" s="390"/>
      <c r="F18" s="391"/>
      <c r="G18" s="391"/>
      <c r="H18" s="390"/>
      <c r="I18" s="391"/>
      <c r="J18" s="391"/>
      <c r="K18" s="390"/>
      <c r="L18" s="391"/>
      <c r="M18" s="391"/>
      <c r="N18" s="425"/>
      <c r="O18" s="391">
        <f>149+258</f>
        <v>407</v>
      </c>
      <c r="P18" s="390"/>
      <c r="Q18" s="391"/>
      <c r="R18" s="388">
        <f t="shared" si="0"/>
        <v>407</v>
      </c>
      <c r="S18" s="181" t="s">
        <v>0</v>
      </c>
      <c r="T18" s="18"/>
    </row>
    <row r="19" spans="1:20">
      <c r="A19" s="553" t="s">
        <v>224</v>
      </c>
      <c r="B19" s="390"/>
      <c r="C19" s="391"/>
      <c r="D19" s="391">
        <v>27000</v>
      </c>
      <c r="E19" s="390"/>
      <c r="F19" s="391"/>
      <c r="G19" s="391"/>
      <c r="H19" s="390"/>
      <c r="I19" s="391"/>
      <c r="J19" s="391"/>
      <c r="K19" s="390"/>
      <c r="L19" s="391"/>
      <c r="M19" s="391"/>
      <c r="N19" s="425"/>
      <c r="O19" s="391"/>
      <c r="P19" s="390"/>
      <c r="Q19" s="391"/>
      <c r="R19" s="388">
        <f t="shared" si="0"/>
        <v>27000</v>
      </c>
      <c r="S19" s="181" t="s">
        <v>0</v>
      </c>
      <c r="T19" s="18"/>
    </row>
    <row r="20" spans="1:20">
      <c r="A20" s="553" t="s">
        <v>227</v>
      </c>
      <c r="B20" s="390"/>
      <c r="C20" s="391"/>
      <c r="D20" s="391">
        <v>1000</v>
      </c>
      <c r="E20" s="390"/>
      <c r="F20" s="391"/>
      <c r="G20" s="391"/>
      <c r="H20" s="390"/>
      <c r="I20" s="391"/>
      <c r="J20" s="391"/>
      <c r="K20" s="390"/>
      <c r="L20" s="391"/>
      <c r="M20" s="391"/>
      <c r="N20" s="425"/>
      <c r="O20" s="391"/>
      <c r="P20" s="390"/>
      <c r="Q20" s="391"/>
      <c r="R20" s="388">
        <f t="shared" si="0"/>
        <v>1000</v>
      </c>
      <c r="S20" s="181" t="s">
        <v>0</v>
      </c>
      <c r="T20" s="18"/>
    </row>
    <row r="21" spans="1:20">
      <c r="A21" s="555" t="s">
        <v>254</v>
      </c>
      <c r="B21" s="390"/>
      <c r="C21" s="391"/>
      <c r="D21" s="391"/>
      <c r="E21" s="390"/>
      <c r="F21" s="391"/>
      <c r="G21" s="391"/>
      <c r="H21" s="390"/>
      <c r="I21" s="391"/>
      <c r="J21" s="391"/>
      <c r="K21" s="390"/>
      <c r="L21" s="391"/>
      <c r="M21" s="391"/>
      <c r="N21" s="425"/>
      <c r="O21" s="391">
        <f>738+258</f>
        <v>996</v>
      </c>
      <c r="P21" s="390"/>
      <c r="Q21" s="391"/>
      <c r="R21" s="388">
        <f t="shared" si="0"/>
        <v>996</v>
      </c>
      <c r="S21" s="181" t="s">
        <v>0</v>
      </c>
      <c r="T21" s="18"/>
    </row>
    <row r="22" spans="1:20">
      <c r="A22" s="1390" t="s">
        <v>261</v>
      </c>
      <c r="B22" s="390"/>
      <c r="C22" s="391"/>
      <c r="D22" s="391"/>
      <c r="E22" s="390"/>
      <c r="F22" s="391"/>
      <c r="G22" s="391"/>
      <c r="H22" s="390"/>
      <c r="I22" s="391"/>
      <c r="J22" s="391"/>
      <c r="K22" s="390"/>
      <c r="L22" s="391"/>
      <c r="M22" s="391"/>
      <c r="N22" s="425"/>
      <c r="O22" s="391">
        <f>642+259</f>
        <v>901</v>
      </c>
      <c r="P22" s="390"/>
      <c r="Q22" s="391"/>
      <c r="R22" s="388">
        <f t="shared" si="0"/>
        <v>901</v>
      </c>
      <c r="S22" s="181" t="s">
        <v>0</v>
      </c>
      <c r="T22" s="18"/>
    </row>
    <row r="23" spans="1:20">
      <c r="A23" s="1390" t="s">
        <v>262</v>
      </c>
      <c r="B23" s="1039"/>
      <c r="C23" s="1040"/>
      <c r="D23" s="1040"/>
      <c r="E23" s="1039"/>
      <c r="F23" s="1040"/>
      <c r="G23" s="1040">
        <v>-4000</v>
      </c>
      <c r="H23" s="1039"/>
      <c r="I23" s="1040"/>
      <c r="J23" s="1040"/>
      <c r="K23" s="1039"/>
      <c r="L23" s="1040"/>
      <c r="M23" s="1040"/>
      <c r="N23" s="1041"/>
      <c r="O23" s="1040"/>
      <c r="P23" s="1039"/>
      <c r="Q23" s="1040"/>
      <c r="R23" s="398">
        <f>D23+G23+J23+M23+N23</f>
        <v>-4000</v>
      </c>
      <c r="S23" s="181" t="s">
        <v>0</v>
      </c>
      <c r="T23" s="18"/>
    </row>
    <row r="24" spans="1:20">
      <c r="A24" s="162" t="s">
        <v>124</v>
      </c>
      <c r="B24" s="267">
        <f>SUM(B12:B21)</f>
        <v>0</v>
      </c>
      <c r="C24" s="268">
        <f>SUM(C12:C21)</f>
        <v>0</v>
      </c>
      <c r="D24" s="166">
        <f>+D12+D16+D19+D20</f>
        <v>113000</v>
      </c>
      <c r="E24" s="267">
        <f>SUM(E12:E21)</f>
        <v>0</v>
      </c>
      <c r="F24" s="268">
        <f>SUM(F12:F21)</f>
        <v>0</v>
      </c>
      <c r="G24" s="166">
        <f>+G12+G16+G19+G20+G23</f>
        <v>-4000</v>
      </c>
      <c r="H24" s="267">
        <f t="shared" ref="H24:M24" si="1">SUM(H12:H21)</f>
        <v>0</v>
      </c>
      <c r="I24" s="268">
        <f t="shared" si="1"/>
        <v>0</v>
      </c>
      <c r="J24" s="166">
        <f t="shared" si="1"/>
        <v>0</v>
      </c>
      <c r="K24" s="267">
        <f t="shared" si="1"/>
        <v>0</v>
      </c>
      <c r="L24" s="268">
        <f t="shared" si="1"/>
        <v>0</v>
      </c>
      <c r="M24" s="166">
        <f t="shared" si="1"/>
        <v>0</v>
      </c>
      <c r="N24" s="754">
        <f>+N12+N16+N19+N20+N23</f>
        <v>264</v>
      </c>
      <c r="O24" s="1347">
        <f>SUM(O12:O22)</f>
        <v>4000</v>
      </c>
      <c r="P24" s="267">
        <f>SUM(P12:P21)</f>
        <v>0</v>
      </c>
      <c r="Q24" s="268">
        <f>SUM(Q12:Q21)</f>
        <v>0</v>
      </c>
      <c r="R24" s="755">
        <f>+R12+R16+R19+R20+R22+R18+R21+R23</f>
        <v>113264</v>
      </c>
      <c r="S24" s="181" t="s">
        <v>0</v>
      </c>
      <c r="T24" s="18"/>
    </row>
    <row r="25" spans="1:20">
      <c r="A25" s="359" t="s">
        <v>103</v>
      </c>
      <c r="B25" s="381" t="s">
        <v>116</v>
      </c>
      <c r="C25" s="382"/>
      <c r="D25" s="382"/>
      <c r="E25" s="381"/>
      <c r="F25" s="382"/>
      <c r="G25" s="382"/>
      <c r="H25" s="381"/>
      <c r="I25" s="382"/>
      <c r="J25" s="382"/>
      <c r="K25" s="381"/>
      <c r="L25" s="382"/>
      <c r="M25" s="382"/>
      <c r="N25" s="421"/>
      <c r="O25" s="382"/>
      <c r="P25" s="381"/>
      <c r="Q25" s="382"/>
      <c r="R25" s="379"/>
      <c r="S25" s="181" t="s">
        <v>0</v>
      </c>
      <c r="T25" s="559"/>
    </row>
    <row r="26" spans="1:20">
      <c r="A26" s="359" t="s">
        <v>102</v>
      </c>
      <c r="B26" s="560"/>
      <c r="C26" s="407">
        <f>SUM(C24:C25)</f>
        <v>0</v>
      </c>
      <c r="D26" s="407"/>
      <c r="E26" s="560"/>
      <c r="F26" s="407">
        <f>+F24+F25</f>
        <v>0</v>
      </c>
      <c r="G26" s="407"/>
      <c r="H26" s="560"/>
      <c r="I26" s="407">
        <f>+I24+I25</f>
        <v>0</v>
      </c>
      <c r="J26" s="407"/>
      <c r="K26" s="560"/>
      <c r="L26" s="407">
        <f>+L24+L25</f>
        <v>0</v>
      </c>
      <c r="M26" s="407"/>
      <c r="N26" s="561"/>
      <c r="O26" s="407"/>
      <c r="P26" s="560"/>
      <c r="Q26" s="407">
        <f>SUM(Q24:Q25)</f>
        <v>0</v>
      </c>
      <c r="R26" s="408"/>
      <c r="S26" s="181" t="s">
        <v>0</v>
      </c>
      <c r="T26" s="18"/>
    </row>
    <row r="27" spans="1:20">
      <c r="A27" s="562" t="s">
        <v>104</v>
      </c>
      <c r="B27" s="390"/>
      <c r="C27" s="391"/>
      <c r="D27" s="391"/>
      <c r="E27" s="390"/>
      <c r="F27" s="391"/>
      <c r="G27" s="391"/>
      <c r="H27" s="390"/>
      <c r="I27" s="391"/>
      <c r="J27" s="391"/>
      <c r="K27" s="390"/>
      <c r="L27" s="391"/>
      <c r="M27" s="391"/>
      <c r="N27" s="425"/>
      <c r="O27" s="391"/>
      <c r="P27" s="390"/>
      <c r="Q27" s="391"/>
      <c r="R27" s="388"/>
      <c r="S27" s="181" t="s">
        <v>0</v>
      </c>
      <c r="T27" s="18"/>
    </row>
    <row r="28" spans="1:20">
      <c r="A28" s="563" t="s">
        <v>31</v>
      </c>
      <c r="B28" s="390"/>
      <c r="C28" s="391"/>
      <c r="D28" s="391"/>
      <c r="E28" s="390"/>
      <c r="F28" s="391"/>
      <c r="G28" s="391"/>
      <c r="H28" s="390"/>
      <c r="I28" s="391"/>
      <c r="J28" s="391"/>
      <c r="K28" s="390"/>
      <c r="L28" s="391"/>
      <c r="M28" s="391"/>
      <c r="N28" s="425"/>
      <c r="O28" s="391"/>
      <c r="P28" s="390"/>
      <c r="Q28" s="391"/>
      <c r="R28" s="388"/>
      <c r="S28" s="181" t="s">
        <v>0</v>
      </c>
      <c r="T28" s="18"/>
    </row>
    <row r="29" spans="1:20">
      <c r="A29" s="564" t="s">
        <v>60</v>
      </c>
      <c r="B29" s="381"/>
      <c r="C29" s="382"/>
      <c r="D29" s="382"/>
      <c r="E29" s="381"/>
      <c r="F29" s="382"/>
      <c r="G29" s="382"/>
      <c r="H29" s="381"/>
      <c r="I29" s="382"/>
      <c r="J29" s="382"/>
      <c r="K29" s="381"/>
      <c r="L29" s="382"/>
      <c r="M29" s="382"/>
      <c r="N29" s="421"/>
      <c r="O29" s="382"/>
      <c r="P29" s="381"/>
      <c r="Q29" s="382"/>
      <c r="R29" s="379"/>
      <c r="S29" s="181" t="s">
        <v>0</v>
      </c>
      <c r="T29" s="18"/>
    </row>
    <row r="30" spans="1:20">
      <c r="A30" s="359" t="s">
        <v>105</v>
      </c>
      <c r="B30" s="381"/>
      <c r="C30" s="382">
        <f>C29+C28+C26</f>
        <v>0</v>
      </c>
      <c r="D30" s="565"/>
      <c r="E30" s="381"/>
      <c r="F30" s="382">
        <f>F29+F28+F26</f>
        <v>0</v>
      </c>
      <c r="G30" s="565"/>
      <c r="H30" s="381"/>
      <c r="I30" s="382">
        <f>I29+I28+I26</f>
        <v>0</v>
      </c>
      <c r="J30" s="565"/>
      <c r="K30" s="381"/>
      <c r="L30" s="382">
        <f>L29+L28+L26</f>
        <v>0</v>
      </c>
      <c r="M30" s="565"/>
      <c r="N30" s="566"/>
      <c r="O30" s="565"/>
      <c r="P30" s="381"/>
      <c r="Q30" s="382">
        <f>Q29+Q28+Q26</f>
        <v>0</v>
      </c>
      <c r="R30" s="567"/>
      <c r="S30" s="181" t="s">
        <v>0</v>
      </c>
      <c r="T30" s="18"/>
    </row>
    <row r="31" spans="1:20" s="1051" customFormat="1">
      <c r="A31" s="1061"/>
      <c r="B31" s="399"/>
      <c r="C31" s="399"/>
      <c r="D31" s="805"/>
      <c r="E31" s="399"/>
      <c r="F31" s="399"/>
      <c r="G31" s="805"/>
      <c r="H31" s="399"/>
      <c r="I31" s="399"/>
      <c r="J31" s="805"/>
      <c r="K31" s="399"/>
      <c r="L31" s="399"/>
      <c r="M31" s="805"/>
      <c r="N31" s="805"/>
      <c r="O31" s="805"/>
      <c r="P31" s="399"/>
      <c r="Q31" s="399"/>
      <c r="R31" s="805"/>
      <c r="S31" s="181"/>
      <c r="T31" s="18"/>
    </row>
    <row r="32" spans="1:20" s="884" customFormat="1">
      <c r="A32" s="887" t="s">
        <v>478</v>
      </c>
      <c r="B32" s="399"/>
      <c r="C32" s="399"/>
      <c r="D32" s="805"/>
      <c r="E32" s="399"/>
      <c r="F32" s="399"/>
      <c r="G32" s="805"/>
      <c r="H32" s="399"/>
      <c r="I32" s="399"/>
      <c r="J32" s="805"/>
      <c r="K32" s="399"/>
      <c r="L32" s="399"/>
      <c r="M32" s="805"/>
      <c r="N32" s="805"/>
      <c r="O32" s="805"/>
      <c r="P32" s="399"/>
      <c r="Q32" s="399"/>
      <c r="R32" s="805"/>
      <c r="S32" s="181" t="s">
        <v>0</v>
      </c>
      <c r="T32" s="18"/>
    </row>
    <row r="33" spans="1:20">
      <c r="A33" s="1485" t="s">
        <v>675</v>
      </c>
      <c r="B33" s="1"/>
      <c r="C33" s="1"/>
      <c r="D33" s="1"/>
      <c r="E33" s="1"/>
      <c r="F33" s="1"/>
      <c r="G33" s="1"/>
      <c r="H33" s="1"/>
      <c r="I33" s="1"/>
      <c r="J33" s="1"/>
      <c r="K33" s="1"/>
      <c r="L33" s="1"/>
      <c r="M33" s="1"/>
      <c r="N33" s="1"/>
      <c r="O33" s="1"/>
      <c r="P33" s="1"/>
      <c r="Q33" s="1"/>
      <c r="R33" s="1"/>
      <c r="S33" s="568" t="s">
        <v>13</v>
      </c>
      <c r="T33" s="18"/>
    </row>
    <row r="34" spans="1:20">
      <c r="A34" s="1"/>
      <c r="B34" s="18"/>
      <c r="C34" s="1"/>
      <c r="D34" s="1"/>
      <c r="E34" s="1"/>
      <c r="F34" s="1"/>
      <c r="G34" s="1"/>
      <c r="H34" s="1"/>
      <c r="I34" s="1"/>
      <c r="J34" s="2"/>
      <c r="K34" s="1"/>
      <c r="L34" s="1"/>
      <c r="M34" s="1"/>
      <c r="N34" s="1"/>
      <c r="O34" s="1"/>
      <c r="P34" s="1"/>
      <c r="Q34" s="1"/>
      <c r="R34" s="1"/>
      <c r="S34" s="181"/>
      <c r="T34" s="18"/>
    </row>
    <row r="35" spans="1:20" s="18" customFormat="1" ht="16.5" customHeight="1">
      <c r="A35" s="1685"/>
      <c r="B35" s="1685"/>
      <c r="C35" s="1685"/>
      <c r="D35" s="1685"/>
      <c r="E35" s="1685"/>
      <c r="F35" s="1685"/>
      <c r="G35" s="1685"/>
      <c r="H35" s="1685"/>
      <c r="I35" s="1685"/>
      <c r="J35" s="1685"/>
      <c r="K35" s="1685"/>
      <c r="L35" s="1685"/>
      <c r="M35" s="1685"/>
      <c r="N35" s="1685"/>
      <c r="O35" s="1685"/>
      <c r="P35" s="1685"/>
      <c r="Q35" s="1685"/>
      <c r="R35" s="1685"/>
    </row>
    <row r="36" spans="1:20" s="18" customFormat="1" ht="16.5" customHeight="1">
      <c r="A36" s="1670"/>
      <c r="B36" s="1671"/>
      <c r="C36" s="1671"/>
      <c r="D36" s="1671"/>
      <c r="E36" s="1671"/>
      <c r="F36" s="1671"/>
      <c r="G36" s="1671"/>
      <c r="H36" s="1671"/>
      <c r="I36" s="1671"/>
      <c r="J36" s="1671"/>
      <c r="K36" s="1671"/>
      <c r="L36" s="1671"/>
      <c r="M36" s="1671"/>
      <c r="N36" s="1671"/>
      <c r="O36" s="1671"/>
      <c r="P36" s="1671"/>
      <c r="Q36" s="1671"/>
      <c r="R36" s="1671"/>
    </row>
    <row r="37" spans="1:20" s="18" customFormat="1" ht="16.5" customHeight="1">
      <c r="A37" s="259"/>
      <c r="B37" s="368"/>
      <c r="C37" s="368"/>
      <c r="D37" s="368"/>
      <c r="E37" s="368"/>
      <c r="F37" s="368"/>
      <c r="G37" s="368"/>
      <c r="H37" s="368"/>
      <c r="I37" s="368"/>
      <c r="J37" s="368"/>
      <c r="K37" s="368"/>
      <c r="L37" s="368"/>
      <c r="M37" s="368"/>
      <c r="N37" s="368"/>
      <c r="O37" s="368"/>
      <c r="P37" s="368"/>
      <c r="Q37" s="368"/>
      <c r="R37" s="368"/>
    </row>
    <row r="38" spans="1:20" s="18" customFormat="1" ht="16.5" customHeight="1">
      <c r="A38" s="1673"/>
      <c r="B38" s="1670"/>
      <c r="C38" s="1670"/>
      <c r="D38" s="1670"/>
      <c r="E38" s="1670"/>
      <c r="F38" s="1670"/>
      <c r="G38" s="1670"/>
      <c r="H38" s="1670"/>
      <c r="I38" s="1670"/>
      <c r="J38" s="1670"/>
      <c r="K38" s="1670"/>
      <c r="L38" s="1670"/>
      <c r="M38" s="1670"/>
      <c r="N38" s="1670"/>
      <c r="O38" s="1670"/>
      <c r="P38" s="1670"/>
      <c r="Q38" s="1670"/>
      <c r="R38" s="1670"/>
    </row>
    <row r="39" spans="1:20" s="18" customFormat="1" ht="16.5" customHeight="1">
      <c r="A39" s="1670"/>
      <c r="B39" s="1670"/>
      <c r="C39" s="1670"/>
      <c r="D39" s="1670"/>
      <c r="E39" s="1670"/>
      <c r="F39" s="1670"/>
      <c r="G39" s="1670"/>
      <c r="H39" s="1670"/>
      <c r="I39" s="1670"/>
      <c r="J39" s="1670"/>
      <c r="K39" s="1670"/>
      <c r="L39" s="1670"/>
      <c r="M39" s="1670"/>
      <c r="N39" s="1670"/>
      <c r="O39" s="1670"/>
      <c r="P39" s="1670"/>
      <c r="Q39" s="1670"/>
      <c r="R39" s="1670"/>
    </row>
    <row r="40" spans="1:20" s="18" customFormat="1" ht="16.5" customHeight="1">
      <c r="A40" s="1670"/>
      <c r="B40" s="1671"/>
      <c r="C40" s="1671"/>
      <c r="D40" s="1671"/>
      <c r="E40" s="1671"/>
      <c r="F40" s="1671"/>
      <c r="G40" s="1671"/>
      <c r="H40" s="1671"/>
      <c r="I40" s="1671"/>
      <c r="J40" s="1671"/>
      <c r="K40" s="1671"/>
      <c r="L40" s="1671"/>
      <c r="M40" s="1671"/>
      <c r="N40" s="1671"/>
      <c r="O40" s="1671"/>
      <c r="P40" s="1671"/>
      <c r="Q40" s="1671"/>
      <c r="R40" s="1671"/>
    </row>
    <row r="41" spans="1:20" s="18" customFormat="1" ht="16.5" customHeight="1">
      <c r="A41" s="1662"/>
      <c r="B41" s="1663"/>
      <c r="C41" s="1663"/>
      <c r="D41" s="1663"/>
      <c r="E41" s="1663"/>
      <c r="F41" s="1663"/>
      <c r="G41" s="1663"/>
      <c r="H41" s="1663"/>
      <c r="I41" s="1663"/>
      <c r="J41" s="1663"/>
      <c r="K41" s="1663"/>
      <c r="L41" s="1663"/>
      <c r="M41" s="1663"/>
      <c r="N41" s="1663"/>
      <c r="O41" s="1663"/>
      <c r="P41" s="1663"/>
      <c r="Q41" s="1663"/>
      <c r="R41" s="1663"/>
      <c r="S41" s="1663"/>
    </row>
    <row r="42" spans="1:20" ht="18">
      <c r="A42" s="571"/>
      <c r="B42" s="18"/>
      <c r="C42" s="18"/>
      <c r="D42" s="18"/>
      <c r="E42" s="18"/>
      <c r="F42" s="18"/>
      <c r="G42" s="18"/>
      <c r="H42" s="18"/>
      <c r="I42" s="18"/>
      <c r="J42" s="18"/>
      <c r="K42" s="18"/>
      <c r="L42" s="18"/>
      <c r="M42" s="18"/>
      <c r="P42" s="18"/>
      <c r="Q42" s="18"/>
      <c r="R42" s="18"/>
      <c r="S42" s="18"/>
      <c r="T42" s="182"/>
    </row>
  </sheetData>
  <customSheetViews>
    <customSheetView guid="{DA38F665-F06D-4DFB-B852-747D93BB00EF}" scale="75" showPageBreaks="1" fitToPage="1" printArea="1" hiddenColumns="1" view="pageBreakPreview">
      <selection activeCell="B210" sqref="B210"/>
      <pageMargins left="0.75" right="0.75" top="1" bottom="1" header="0.5" footer="0.5"/>
      <pageSetup scale="55" orientation="landscape" r:id="rId1"/>
      <headerFooter alignWithMargins="0">
        <oddFooter>&amp;C&amp;"Times New Roman,Regular"Exhibit G:  Crosswalk of 2012 Availability&amp;R&amp;"Times New Roman,Regular"Research, Evaluation, and Statistics</oddFooter>
      </headerFooter>
    </customSheetView>
    <customSheetView guid="{4D0F9E3D-0229-48CC-A08B-F132802E9D7B}" scale="75" showPageBreaks="1" fitToPage="1" printArea="1" hiddenColumns="1" view="pageBreakPreview">
      <selection activeCell="A33" sqref="A33"/>
      <pageMargins left="0.75" right="0.75" top="1" bottom="1" header="0.5" footer="0.5"/>
      <pageSetup scale="55" orientation="landscape" r:id="rId2"/>
      <headerFooter alignWithMargins="0">
        <oddFooter>&amp;C&amp;"Times New Roman,Regular"Exhibit G:  Crosswalk of 2012 Availability&amp;R&amp;"Times New Roman,Regular"Research, Evaluation, and Statistics</oddFooter>
      </headerFooter>
    </customSheetView>
    <customSheetView guid="{F6772377-6B25-4EEA-B255-4C2F62B37855}" scale="75" showPageBreaks="1" fitToPage="1" printArea="1" hiddenColumns="1" view="pageBreakPreview" topLeftCell="B1">
      <selection activeCell="M37" sqref="M37"/>
      <pageMargins left="0.75" right="0.75" top="1" bottom="1" header="0.5" footer="0.5"/>
      <pageSetup scale="55" orientation="landscape" r:id="rId3"/>
      <headerFooter alignWithMargins="0">
        <oddFooter>&amp;C&amp;"Times New Roman,Regular"Exhibit G:  Crosswalk of 2012 Availability&amp;R&amp;"Times New Roman,Regular"Research, Evaluation, and Statistics</oddFooter>
      </headerFooter>
    </customSheetView>
    <customSheetView guid="{27B9C207-C13F-4981-9CED-E69585BBD779}" scale="75" showPageBreaks="1" fitToPage="1" printArea="1" hiddenColumns="1" view="pageBreakPreview" topLeftCell="C13">
      <selection activeCell="B23" sqref="B23"/>
      <pageMargins left="0.75" right="0.75" top="1" bottom="1" header="0.5" footer="0.5"/>
      <pageSetup scale="55" orientation="landscape" r:id="rId4"/>
      <headerFooter alignWithMargins="0">
        <oddFooter>&amp;C&amp;"Times New Roman,Regular"Exhibit G:  Crosswalk of 2012 Availability&amp;R&amp;"Times New Roman,Regular"Research, Evaluation, and Statistics</oddFooter>
      </headerFooter>
    </customSheetView>
  </customSheetViews>
  <mergeCells count="22">
    <mergeCell ref="A6:R6"/>
    <mergeCell ref="A1:R1"/>
    <mergeCell ref="A2:R2"/>
    <mergeCell ref="A3:R3"/>
    <mergeCell ref="A4:R4"/>
    <mergeCell ref="A5:R5"/>
    <mergeCell ref="A41:S41"/>
    <mergeCell ref="A7:R7"/>
    <mergeCell ref="A8:R8"/>
    <mergeCell ref="A9:A11"/>
    <mergeCell ref="B9:D10"/>
    <mergeCell ref="E9:G10"/>
    <mergeCell ref="H9:J10"/>
    <mergeCell ref="K9:M10"/>
    <mergeCell ref="N9:N10"/>
    <mergeCell ref="O9:O10"/>
    <mergeCell ref="P9:R10"/>
    <mergeCell ref="A35:R35"/>
    <mergeCell ref="A36:R36"/>
    <mergeCell ref="A38:R38"/>
    <mergeCell ref="A39:R39"/>
    <mergeCell ref="A40:R40"/>
  </mergeCells>
  <pageMargins left="0.75" right="0.75" top="1" bottom="1" header="0.5" footer="0.5"/>
  <pageSetup scale="55" orientation="landscape" r:id="rId5"/>
  <headerFooter alignWithMargins="0">
    <oddFooter>&amp;C&amp;"Times New Roman,Regular"Exhibit G:  Crosswalk of 2012 Availability&amp;R&amp;"Times New Roman,Regular"Research, Evaluation, and Statistics</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AF28"/>
  <sheetViews>
    <sheetView showGridLines="0" showOutlineSymbols="0" view="pageBreakPreview" topLeftCell="C1" zoomScale="80" zoomScaleNormal="75" zoomScaleSheetLayoutView="80" workbookViewId="0">
      <selection activeCell="A21" sqref="A21:N21"/>
    </sheetView>
  </sheetViews>
  <sheetFormatPr defaultColWidth="9.6640625" defaultRowHeight="15.75"/>
  <cols>
    <col min="1" max="1" width="4.44140625" style="18" customWidth="1"/>
    <col min="2" max="2" width="45.6640625" style="18" customWidth="1"/>
    <col min="3" max="3" width="6.5546875" style="18" customWidth="1"/>
    <col min="4" max="4" width="5.6640625" style="18" customWidth="1"/>
    <col min="5" max="5" width="10.44140625" style="18" bestFit="1" customWidth="1"/>
    <col min="6" max="7" width="5.6640625" style="18" customWidth="1"/>
    <col min="8" max="8" width="11.77734375" style="18" customWidth="1"/>
    <col min="9" max="10" width="5.6640625" style="18" customWidth="1"/>
    <col min="11" max="11" width="10.44140625" style="18" bestFit="1" customWidth="1"/>
    <col min="12" max="13" width="5.6640625" style="18" customWidth="1"/>
    <col min="14" max="14" width="7.6640625" style="18" customWidth="1"/>
    <col min="15" max="15" width="7.33203125" style="61" customWidth="1"/>
    <col min="16" max="16" width="27.5546875" style="18" customWidth="1"/>
    <col min="17" max="20" width="7.6640625" style="18" customWidth="1"/>
    <col min="21" max="21" width="3.6640625" style="18" customWidth="1"/>
    <col min="22" max="24" width="7.6640625" style="18" customWidth="1"/>
    <col min="25" max="25" width="3.6640625" style="18" customWidth="1"/>
    <col min="26" max="28" width="7.6640625" style="18" customWidth="1"/>
    <col min="29" max="29" width="3.6640625" style="18" customWidth="1"/>
    <col min="30" max="32" width="7.6640625" style="18" customWidth="1"/>
    <col min="33" max="16384" width="9.6640625" style="18"/>
  </cols>
  <sheetData>
    <row r="1" spans="1:32" ht="20.25">
      <c r="A1" s="1592" t="s">
        <v>147</v>
      </c>
      <c r="B1" s="1699"/>
      <c r="C1" s="1699"/>
      <c r="D1" s="1699"/>
      <c r="E1" s="1699"/>
      <c r="F1" s="1699"/>
      <c r="G1" s="1699"/>
      <c r="H1" s="1699"/>
      <c r="I1" s="1699"/>
      <c r="J1" s="1699"/>
      <c r="K1" s="1699"/>
      <c r="L1" s="1699"/>
      <c r="M1" s="1699"/>
      <c r="N1" s="1699"/>
      <c r="O1" s="60" t="s">
        <v>0</v>
      </c>
      <c r="P1" s="1"/>
      <c r="Q1" s="1"/>
      <c r="R1" s="1"/>
      <c r="S1" s="1"/>
      <c r="T1" s="1"/>
      <c r="U1" s="1"/>
    </row>
    <row r="2" spans="1:32" ht="13.9" customHeight="1">
      <c r="A2" s="364"/>
      <c r="O2" s="60" t="s">
        <v>0</v>
      </c>
      <c r="P2" s="1"/>
      <c r="Q2" s="1"/>
      <c r="R2" s="1"/>
      <c r="S2" s="1"/>
      <c r="T2" s="1"/>
      <c r="U2" s="1"/>
    </row>
    <row r="3" spans="1:32" ht="18.75">
      <c r="A3" s="1700" t="s">
        <v>55</v>
      </c>
      <c r="B3" s="1916"/>
      <c r="C3" s="1916"/>
      <c r="D3" s="1916"/>
      <c r="E3" s="1916"/>
      <c r="F3" s="1916"/>
      <c r="G3" s="1916"/>
      <c r="H3" s="1916"/>
      <c r="I3" s="1916"/>
      <c r="J3" s="1916"/>
      <c r="K3" s="1916"/>
      <c r="L3" s="1916"/>
      <c r="M3" s="1916"/>
      <c r="N3" s="1916"/>
      <c r="O3" s="60" t="s">
        <v>0</v>
      </c>
      <c r="P3" s="1"/>
      <c r="Q3" s="1"/>
      <c r="R3" s="1"/>
      <c r="S3" s="1"/>
      <c r="T3" s="1"/>
      <c r="U3" s="1"/>
    </row>
    <row r="4" spans="1:32" ht="16.5">
      <c r="A4" s="1702" t="str">
        <f>+'[3]B. Summ of Reqs - RES '!A5</f>
        <v>Office of Justice Programs</v>
      </c>
      <c r="B4" s="1917"/>
      <c r="C4" s="1917"/>
      <c r="D4" s="1917"/>
      <c r="E4" s="1917"/>
      <c r="F4" s="1917"/>
      <c r="G4" s="1917"/>
      <c r="H4" s="1917"/>
      <c r="I4" s="1917"/>
      <c r="J4" s="1917"/>
      <c r="K4" s="1917"/>
      <c r="L4" s="1917"/>
      <c r="M4" s="1917"/>
      <c r="N4" s="1917"/>
      <c r="O4" s="60" t="s">
        <v>0</v>
      </c>
      <c r="P4" s="1"/>
      <c r="Q4" s="1"/>
      <c r="R4" s="1"/>
      <c r="S4" s="1"/>
      <c r="T4" s="1"/>
      <c r="U4" s="1"/>
    </row>
    <row r="5" spans="1:32" ht="16.5">
      <c r="A5" s="1702" t="str">
        <f>'B. Summ of Reqs - RES '!A6:X6</f>
        <v>Research, Evaluation, and Statistics (formerly Justice Assistance)</v>
      </c>
      <c r="B5" s="1916"/>
      <c r="C5" s="1916"/>
      <c r="D5" s="1916"/>
      <c r="E5" s="1916"/>
      <c r="F5" s="1916"/>
      <c r="G5" s="1916"/>
      <c r="H5" s="1916"/>
      <c r="I5" s="1916"/>
      <c r="J5" s="1916"/>
      <c r="K5" s="1916"/>
      <c r="L5" s="1916"/>
      <c r="M5" s="1916"/>
      <c r="N5" s="1916"/>
      <c r="O5" s="60" t="s">
        <v>0</v>
      </c>
      <c r="P5" s="1"/>
      <c r="Q5" s="1"/>
      <c r="R5" s="1"/>
      <c r="S5" s="1"/>
      <c r="T5" s="1"/>
      <c r="U5" s="1"/>
    </row>
    <row r="6" spans="1:32">
      <c r="A6" s="1704" t="s">
        <v>98</v>
      </c>
      <c r="B6" s="1917"/>
      <c r="C6" s="1917"/>
      <c r="D6" s="1917"/>
      <c r="E6" s="1917"/>
      <c r="F6" s="1917"/>
      <c r="G6" s="1917"/>
      <c r="H6" s="1917"/>
      <c r="I6" s="1917"/>
      <c r="J6" s="1917"/>
      <c r="K6" s="1917"/>
      <c r="L6" s="1917"/>
      <c r="M6" s="1917"/>
      <c r="N6" s="1917"/>
      <c r="O6" s="60" t="s">
        <v>0</v>
      </c>
      <c r="P6" s="1"/>
      <c r="Q6" s="1"/>
      <c r="R6" s="1"/>
      <c r="S6" s="1"/>
      <c r="T6" s="1"/>
      <c r="U6" s="1"/>
    </row>
    <row r="7" spans="1:32">
      <c r="F7" s="572"/>
      <c r="G7" s="572"/>
      <c r="H7" s="572"/>
      <c r="O7" s="60" t="s">
        <v>0</v>
      </c>
      <c r="P7" s="1"/>
      <c r="Q7" s="1"/>
      <c r="R7" s="1"/>
      <c r="S7" s="1"/>
      <c r="T7" s="1"/>
      <c r="U7" s="1"/>
    </row>
    <row r="8" spans="1:32">
      <c r="A8" s="1569" t="s">
        <v>112</v>
      </c>
      <c r="B8" s="1918"/>
      <c r="C8" s="1708" t="s">
        <v>167</v>
      </c>
      <c r="D8" s="1921"/>
      <c r="E8" s="1922"/>
      <c r="F8" s="1708" t="s">
        <v>159</v>
      </c>
      <c r="G8" s="1921"/>
      <c r="H8" s="1922"/>
      <c r="I8" s="1708" t="s">
        <v>154</v>
      </c>
      <c r="J8" s="1921"/>
      <c r="K8" s="1922"/>
      <c r="L8" s="1708" t="s">
        <v>22</v>
      </c>
      <c r="M8" s="1921"/>
      <c r="N8" s="1922"/>
      <c r="O8" s="60" t="s">
        <v>0</v>
      </c>
      <c r="P8" s="1"/>
      <c r="Q8" s="1"/>
      <c r="R8" s="1"/>
      <c r="S8" s="1"/>
      <c r="T8" s="1"/>
      <c r="U8" s="1"/>
    </row>
    <row r="9" spans="1:32" ht="16.5" thickBot="1">
      <c r="A9" s="1919"/>
      <c r="B9" s="1920"/>
      <c r="C9" s="156" t="s">
        <v>115</v>
      </c>
      <c r="D9" s="157" t="s">
        <v>25</v>
      </c>
      <c r="E9" s="158" t="s">
        <v>117</v>
      </c>
      <c r="F9" s="156" t="s">
        <v>115</v>
      </c>
      <c r="G9" s="157" t="s">
        <v>25</v>
      </c>
      <c r="H9" s="157" t="s">
        <v>117</v>
      </c>
      <c r="I9" s="156" t="s">
        <v>115</v>
      </c>
      <c r="J9" s="157" t="s">
        <v>25</v>
      </c>
      <c r="K9" s="157" t="s">
        <v>117</v>
      </c>
      <c r="L9" s="156" t="s">
        <v>115</v>
      </c>
      <c r="M9" s="157" t="s">
        <v>25</v>
      </c>
      <c r="N9" s="158" t="s">
        <v>117</v>
      </c>
      <c r="O9" s="60" t="s">
        <v>0</v>
      </c>
      <c r="P9" s="1"/>
      <c r="Q9" s="1"/>
      <c r="R9" s="1"/>
      <c r="S9" s="1"/>
      <c r="T9" s="1"/>
      <c r="U9" s="1"/>
    </row>
    <row r="10" spans="1:32">
      <c r="A10" s="1720" t="s">
        <v>195</v>
      </c>
      <c r="B10" s="1923"/>
      <c r="C10" s="390"/>
      <c r="D10" s="391"/>
      <c r="E10" s="388">
        <v>399</v>
      </c>
      <c r="F10" s="390"/>
      <c r="G10" s="391"/>
      <c r="H10" s="391">
        <v>9000</v>
      </c>
      <c r="I10" s="390"/>
      <c r="J10" s="391"/>
      <c r="K10" s="391">
        <v>9000</v>
      </c>
      <c r="L10" s="390"/>
      <c r="M10" s="391"/>
      <c r="N10" s="388">
        <f t="shared" ref="N10:N11" si="0">K10-H10</f>
        <v>0</v>
      </c>
      <c r="O10" s="60" t="s">
        <v>0</v>
      </c>
      <c r="P10" s="1"/>
      <c r="Q10" s="1"/>
      <c r="R10" s="1"/>
      <c r="S10" s="1"/>
      <c r="T10" s="1"/>
      <c r="U10" s="1"/>
    </row>
    <row r="11" spans="1:32">
      <c r="A11" s="1713" t="s">
        <v>199</v>
      </c>
      <c r="B11" s="1924"/>
      <c r="C11" s="747"/>
      <c r="D11" s="671"/>
      <c r="E11" s="672">
        <v>220</v>
      </c>
      <c r="F11" s="747"/>
      <c r="G11" s="671"/>
      <c r="H11" s="671">
        <v>220</v>
      </c>
      <c r="I11" s="747"/>
      <c r="J11" s="671"/>
      <c r="K11" s="671">
        <v>220</v>
      </c>
      <c r="L11" s="747"/>
      <c r="M11" s="671"/>
      <c r="N11" s="672">
        <f t="shared" si="0"/>
        <v>0</v>
      </c>
      <c r="O11" s="60" t="s">
        <v>0</v>
      </c>
      <c r="P11" s="1"/>
      <c r="Q11" s="1"/>
      <c r="R11" s="1"/>
      <c r="S11" s="1"/>
      <c r="T11" s="1"/>
      <c r="U11" s="1"/>
    </row>
    <row r="12" spans="1:32">
      <c r="A12" s="1925"/>
      <c r="B12" s="1926"/>
      <c r="C12" s="184"/>
      <c r="D12" s="185"/>
      <c r="E12" s="186"/>
      <c r="F12" s="184"/>
      <c r="G12" s="187"/>
      <c r="H12" s="187"/>
      <c r="I12" s="184"/>
      <c r="J12" s="187"/>
      <c r="K12" s="187"/>
      <c r="L12" s="184"/>
      <c r="M12" s="187"/>
      <c r="N12" s="186"/>
      <c r="O12" s="60" t="s">
        <v>0</v>
      </c>
      <c r="P12" s="1"/>
      <c r="Q12" s="1"/>
      <c r="R12" s="1"/>
      <c r="S12" s="1"/>
      <c r="T12" s="1"/>
      <c r="U12" s="1"/>
    </row>
    <row r="13" spans="1:32">
      <c r="A13" s="1718" t="s">
        <v>113</v>
      </c>
      <c r="B13" s="1719"/>
      <c r="C13" s="163">
        <f t="shared" ref="C13:N13" si="1">SUM(C10:C12)</f>
        <v>0</v>
      </c>
      <c r="D13" s="164">
        <f t="shared" si="1"/>
        <v>0</v>
      </c>
      <c r="E13" s="167">
        <f t="shared" si="1"/>
        <v>619</v>
      </c>
      <c r="F13" s="163">
        <f t="shared" si="1"/>
        <v>0</v>
      </c>
      <c r="G13" s="164">
        <f t="shared" si="1"/>
        <v>0</v>
      </c>
      <c r="H13" s="165">
        <f t="shared" si="1"/>
        <v>9220</v>
      </c>
      <c r="I13" s="163">
        <f t="shared" si="1"/>
        <v>0</v>
      </c>
      <c r="J13" s="164">
        <f t="shared" si="1"/>
        <v>0</v>
      </c>
      <c r="K13" s="165">
        <f t="shared" si="1"/>
        <v>9220</v>
      </c>
      <c r="L13" s="163">
        <f t="shared" si="1"/>
        <v>0</v>
      </c>
      <c r="M13" s="164">
        <f t="shared" si="1"/>
        <v>0</v>
      </c>
      <c r="N13" s="167">
        <f t="shared" si="1"/>
        <v>0</v>
      </c>
      <c r="O13" s="60" t="s">
        <v>0</v>
      </c>
      <c r="P13" s="60" t="s">
        <v>0</v>
      </c>
      <c r="Q13" s="1"/>
      <c r="R13" s="1"/>
      <c r="S13" s="1"/>
      <c r="T13" s="1"/>
      <c r="U13" s="1"/>
    </row>
    <row r="14" spans="1:32">
      <c r="A14" s="178"/>
      <c r="B14" s="178"/>
      <c r="C14" s="179"/>
      <c r="D14" s="179"/>
      <c r="E14" s="180"/>
      <c r="F14" s="179"/>
      <c r="G14" s="179"/>
      <c r="H14" s="180"/>
      <c r="I14" s="179"/>
      <c r="J14" s="179"/>
      <c r="K14" s="180"/>
      <c r="L14" s="179"/>
      <c r="M14" s="179"/>
      <c r="N14" s="180"/>
      <c r="O14" s="60" t="s">
        <v>0</v>
      </c>
      <c r="P14" s="60" t="s">
        <v>0</v>
      </c>
      <c r="Q14" s="1"/>
      <c r="R14" s="1"/>
      <c r="S14" s="1"/>
      <c r="T14" s="1"/>
      <c r="U14" s="1"/>
    </row>
    <row r="15" spans="1:32">
      <c r="A15" s="1"/>
      <c r="B15" s="1"/>
      <c r="C15" s="2"/>
      <c r="D15" s="2"/>
      <c r="E15" s="2"/>
      <c r="F15" s="2"/>
      <c r="G15" s="2"/>
      <c r="H15" s="2"/>
      <c r="I15" s="2"/>
      <c r="J15" s="2"/>
      <c r="K15" s="2"/>
      <c r="L15" s="2"/>
      <c r="M15" s="2"/>
      <c r="N15" s="2"/>
      <c r="O15" s="60" t="s">
        <v>13</v>
      </c>
      <c r="P15" s="19"/>
      <c r="Q15" s="19"/>
      <c r="R15" s="19"/>
      <c r="S15" s="19"/>
      <c r="T15" s="19"/>
      <c r="U15" s="19"/>
      <c r="V15" s="19"/>
      <c r="W15" s="19"/>
      <c r="X15" s="19"/>
      <c r="Y15" s="19"/>
      <c r="Z15" s="19"/>
      <c r="AA15" s="19"/>
      <c r="AB15" s="19"/>
      <c r="AC15" s="19"/>
      <c r="AD15" s="19"/>
      <c r="AE15" s="19"/>
      <c r="AF15" s="19"/>
    </row>
    <row r="16" spans="1:32">
      <c r="A16" s="23"/>
      <c r="B16" s="23"/>
      <c r="C16" s="55"/>
      <c r="D16" s="55"/>
      <c r="E16" s="55"/>
      <c r="F16" s="55"/>
      <c r="G16" s="55"/>
      <c r="H16" s="55"/>
      <c r="I16" s="55"/>
      <c r="J16" s="55"/>
      <c r="K16" s="55"/>
      <c r="L16" s="55"/>
      <c r="M16" s="55"/>
      <c r="N16" s="55"/>
      <c r="P16" s="19"/>
      <c r="Q16" s="19"/>
      <c r="R16" s="19"/>
      <c r="S16" s="19"/>
      <c r="T16" s="19"/>
      <c r="U16" s="19"/>
      <c r="V16" s="19"/>
      <c r="W16" s="19"/>
      <c r="X16" s="19"/>
      <c r="Y16" s="19"/>
      <c r="Z16" s="19"/>
      <c r="AA16" s="19"/>
      <c r="AB16" s="19"/>
      <c r="AC16" s="19"/>
      <c r="AD16" s="19"/>
      <c r="AE16" s="19"/>
      <c r="AF16" s="19"/>
    </row>
    <row r="17" spans="1:32">
      <c r="A17" s="26"/>
      <c r="B17" s="26"/>
      <c r="C17" s="26"/>
      <c r="D17" s="26"/>
      <c r="E17" s="26"/>
      <c r="F17" s="26"/>
      <c r="G17" s="26"/>
      <c r="H17" s="26"/>
      <c r="I17" s="26"/>
      <c r="J17" s="26"/>
      <c r="K17" s="26"/>
      <c r="L17" s="26"/>
      <c r="M17" s="26"/>
      <c r="N17" s="26"/>
      <c r="P17" s="19"/>
      <c r="Q17" s="19"/>
      <c r="R17" s="19"/>
      <c r="S17" s="19"/>
      <c r="T17" s="19"/>
      <c r="U17" s="19"/>
      <c r="V17" s="19"/>
      <c r="W17" s="19"/>
      <c r="X17" s="19"/>
      <c r="Y17" s="19"/>
      <c r="Z17" s="19"/>
      <c r="AA17" s="19"/>
      <c r="AB17" s="19"/>
      <c r="AC17" s="19"/>
      <c r="AD17" s="19"/>
      <c r="AE17" s="19"/>
      <c r="AF17" s="19"/>
    </row>
    <row r="18" spans="1:32" ht="18">
      <c r="A18" s="42"/>
      <c r="B18" s="46"/>
      <c r="C18" s="46"/>
      <c r="D18" s="46"/>
      <c r="E18" s="46"/>
      <c r="F18" s="46"/>
      <c r="G18" s="46"/>
      <c r="H18" s="46"/>
      <c r="I18" s="46"/>
      <c r="J18" s="46"/>
      <c r="K18" s="46"/>
      <c r="L18" s="46"/>
      <c r="M18" s="46"/>
      <c r="N18" s="46"/>
      <c r="P18" s="20"/>
      <c r="Q18" s="21"/>
      <c r="R18" s="21"/>
      <c r="S18" s="21"/>
      <c r="T18" s="21"/>
      <c r="U18" s="21"/>
      <c r="V18" s="21"/>
      <c r="W18" s="21"/>
      <c r="X18" s="21"/>
      <c r="Y18" s="21"/>
      <c r="Z18" s="21"/>
      <c r="AA18" s="21"/>
      <c r="AB18" s="21"/>
      <c r="AC18" s="21"/>
      <c r="AD18" s="21"/>
      <c r="AE18" s="21"/>
      <c r="AF18" s="21"/>
    </row>
    <row r="19" spans="1:32" ht="42.75" customHeight="1">
      <c r="A19" s="1722"/>
      <c r="B19" s="1722"/>
      <c r="C19" s="1722"/>
      <c r="D19" s="1722"/>
      <c r="E19" s="1722"/>
      <c r="F19" s="1722"/>
      <c r="G19" s="1722"/>
      <c r="H19" s="1722"/>
      <c r="I19" s="1722"/>
      <c r="J19" s="1722"/>
      <c r="K19" s="1722"/>
      <c r="L19" s="1722"/>
      <c r="M19" s="1722"/>
      <c r="N19" s="1915"/>
      <c r="P19" s="20"/>
      <c r="Q19" s="21"/>
      <c r="R19" s="21"/>
      <c r="S19" s="21"/>
      <c r="T19" s="21"/>
      <c r="U19" s="21"/>
      <c r="V19" s="21"/>
      <c r="W19" s="21"/>
      <c r="X19" s="21"/>
      <c r="Y19" s="21"/>
      <c r="Z19" s="21"/>
      <c r="AA19" s="21"/>
      <c r="AB19" s="21"/>
      <c r="AC19" s="21"/>
      <c r="AD19" s="21"/>
      <c r="AE19" s="21"/>
      <c r="AF19" s="21"/>
    </row>
    <row r="20" spans="1:32">
      <c r="A20" s="41"/>
      <c r="B20" s="41"/>
      <c r="C20" s="41"/>
      <c r="D20" s="41"/>
      <c r="E20" s="41"/>
      <c r="F20" s="41"/>
      <c r="G20" s="41"/>
      <c r="H20" s="41"/>
      <c r="I20" s="41"/>
      <c r="J20" s="41"/>
      <c r="K20" s="41"/>
      <c r="L20" s="41"/>
      <c r="M20" s="41"/>
      <c r="N20" s="41"/>
      <c r="P20" s="19"/>
      <c r="Q20" s="19"/>
      <c r="R20" s="19"/>
      <c r="S20" s="19"/>
      <c r="T20" s="19"/>
      <c r="U20" s="19"/>
      <c r="V20" s="19"/>
      <c r="W20" s="19"/>
      <c r="X20" s="19"/>
      <c r="Y20" s="19"/>
      <c r="Z20" s="19"/>
      <c r="AA20" s="19"/>
      <c r="AB20" s="19"/>
      <c r="AC20" s="19"/>
      <c r="AD20" s="19"/>
      <c r="AE20" s="19"/>
      <c r="AF20" s="19"/>
    </row>
    <row r="21" spans="1:32" ht="96.75" customHeight="1">
      <c r="A21" s="1727"/>
      <c r="B21" s="1727"/>
      <c r="C21" s="1727"/>
      <c r="D21" s="1727"/>
      <c r="E21" s="1727"/>
      <c r="F21" s="1727"/>
      <c r="G21" s="1727"/>
      <c r="H21" s="1727"/>
      <c r="I21" s="1727"/>
      <c r="J21" s="1727"/>
      <c r="K21" s="1727"/>
      <c r="L21" s="1727"/>
      <c r="M21" s="1727"/>
      <c r="N21" s="1727"/>
      <c r="P21" s="19"/>
      <c r="Q21" s="19"/>
      <c r="R21" s="19"/>
      <c r="S21" s="19"/>
      <c r="T21" s="19"/>
      <c r="U21" s="19"/>
      <c r="V21" s="19"/>
      <c r="W21" s="19"/>
      <c r="X21" s="19"/>
      <c r="Y21" s="19"/>
      <c r="Z21" s="19"/>
      <c r="AA21" s="19"/>
      <c r="AB21" s="19"/>
      <c r="AC21" s="19"/>
      <c r="AD21" s="19"/>
      <c r="AE21" s="19"/>
      <c r="AF21" s="19"/>
    </row>
    <row r="22" spans="1:32" ht="18.75" customHeight="1">
      <c r="A22" s="372"/>
      <c r="B22" s="372"/>
      <c r="C22" s="372"/>
      <c r="D22" s="372"/>
      <c r="E22" s="372"/>
      <c r="F22" s="372"/>
      <c r="G22" s="372"/>
      <c r="H22" s="372"/>
      <c r="I22" s="372"/>
      <c r="J22" s="372"/>
      <c r="K22" s="372"/>
      <c r="L22" s="372"/>
      <c r="M22" s="372"/>
      <c r="N22" s="372"/>
      <c r="P22" s="19"/>
      <c r="Q22" s="19"/>
      <c r="R22" s="19"/>
      <c r="S22" s="19"/>
      <c r="T22" s="19"/>
      <c r="U22" s="19"/>
      <c r="V22" s="19"/>
      <c r="W22" s="19"/>
      <c r="X22" s="19"/>
      <c r="Y22" s="19"/>
      <c r="Z22" s="19"/>
      <c r="AA22" s="19"/>
      <c r="AB22" s="19"/>
      <c r="AC22" s="19"/>
      <c r="AD22" s="19"/>
      <c r="AE22" s="19"/>
      <c r="AF22" s="19"/>
    </row>
    <row r="23" spans="1:32" ht="15.75" customHeight="1">
      <c r="A23" s="1725"/>
      <c r="B23" s="1725"/>
      <c r="C23" s="1725"/>
      <c r="D23" s="1725"/>
      <c r="E23" s="1725"/>
      <c r="F23" s="1725"/>
      <c r="G23" s="1725"/>
      <c r="H23" s="1725"/>
      <c r="I23" s="1725"/>
      <c r="J23" s="1725"/>
      <c r="K23" s="1725"/>
      <c r="L23" s="1725"/>
      <c r="M23" s="1725"/>
      <c r="N23" s="1725"/>
      <c r="P23" s="19"/>
      <c r="Q23" s="19"/>
      <c r="R23" s="19"/>
      <c r="S23" s="19"/>
      <c r="T23" s="19"/>
      <c r="U23" s="19"/>
      <c r="V23" s="19"/>
      <c r="W23" s="19"/>
      <c r="X23" s="19"/>
      <c r="Y23" s="19"/>
      <c r="Z23" s="19"/>
      <c r="AA23" s="19"/>
      <c r="AB23" s="19"/>
      <c r="AC23" s="19"/>
      <c r="AD23" s="19"/>
      <c r="AE23" s="19"/>
      <c r="AF23" s="19"/>
    </row>
    <row r="24" spans="1:32" ht="24" customHeight="1">
      <c r="A24" s="1725"/>
      <c r="B24" s="1725"/>
      <c r="C24" s="1725"/>
      <c r="D24" s="1725"/>
      <c r="E24" s="1725"/>
      <c r="F24" s="1725"/>
      <c r="G24" s="1725"/>
      <c r="H24" s="1725"/>
      <c r="I24" s="1725"/>
      <c r="J24" s="1725"/>
      <c r="K24" s="1725"/>
      <c r="L24" s="1725"/>
      <c r="M24" s="1725"/>
      <c r="N24" s="1725"/>
      <c r="P24" s="19"/>
      <c r="Q24" s="19"/>
      <c r="R24" s="19"/>
      <c r="S24" s="19"/>
      <c r="T24" s="19"/>
      <c r="U24" s="19"/>
      <c r="V24" s="19"/>
      <c r="W24" s="19"/>
      <c r="X24" s="19"/>
      <c r="Y24" s="19"/>
      <c r="Z24" s="19"/>
      <c r="AA24" s="19"/>
      <c r="AB24" s="19"/>
      <c r="AC24" s="19"/>
      <c r="AD24" s="19"/>
      <c r="AE24" s="19"/>
      <c r="AF24" s="19"/>
    </row>
    <row r="25" spans="1:32" ht="15.75" customHeight="1">
      <c r="A25" s="41"/>
      <c r="B25" s="41"/>
      <c r="C25" s="41"/>
      <c r="D25" s="41"/>
      <c r="E25" s="41"/>
      <c r="F25" s="41"/>
      <c r="G25" s="41"/>
      <c r="H25" s="41"/>
      <c r="I25" s="41"/>
      <c r="J25" s="41"/>
      <c r="K25" s="41"/>
      <c r="L25" s="41"/>
      <c r="M25" s="41"/>
      <c r="N25" s="41"/>
      <c r="P25" s="19"/>
      <c r="Q25" s="19"/>
      <c r="R25" s="19"/>
      <c r="S25" s="19"/>
      <c r="T25" s="19"/>
      <c r="U25" s="19"/>
      <c r="V25" s="19"/>
      <c r="W25" s="19"/>
      <c r="X25" s="19"/>
      <c r="Y25" s="19"/>
      <c r="Z25" s="19"/>
      <c r="AA25" s="19"/>
      <c r="AB25" s="19"/>
      <c r="AC25" s="19"/>
      <c r="AD25" s="19"/>
      <c r="AE25" s="19"/>
      <c r="AF25" s="19"/>
    </row>
    <row r="26" spans="1:32" ht="18" customHeight="1">
      <c r="A26" s="1722"/>
      <c r="B26" s="1722"/>
      <c r="C26" s="1722"/>
      <c r="D26" s="1722"/>
      <c r="E26" s="1722"/>
      <c r="F26" s="1722"/>
      <c r="G26" s="1722"/>
      <c r="H26" s="1722"/>
      <c r="I26" s="1722"/>
      <c r="J26" s="1722"/>
      <c r="K26" s="1722"/>
      <c r="L26" s="1722"/>
      <c r="M26" s="1722"/>
      <c r="N26" s="1915"/>
      <c r="P26" s="19"/>
      <c r="Q26" s="19"/>
      <c r="R26" s="19"/>
      <c r="S26" s="19"/>
      <c r="T26" s="19"/>
      <c r="U26" s="19"/>
      <c r="V26" s="19"/>
      <c r="W26" s="19"/>
      <c r="X26" s="19"/>
      <c r="Y26" s="19"/>
      <c r="Z26" s="19"/>
      <c r="AA26" s="19"/>
      <c r="AB26" s="19"/>
      <c r="AC26" s="19"/>
      <c r="AD26" s="19"/>
      <c r="AE26" s="19"/>
      <c r="AF26" s="19"/>
    </row>
    <row r="27" spans="1:32">
      <c r="A27" s="1"/>
      <c r="B27" s="1"/>
      <c r="C27" s="1"/>
      <c r="D27" s="1"/>
      <c r="E27" s="1"/>
      <c r="F27" s="1"/>
      <c r="G27" s="1"/>
      <c r="H27" s="1"/>
      <c r="I27" s="1"/>
      <c r="J27" s="1"/>
      <c r="K27" s="1"/>
      <c r="L27" s="1"/>
      <c r="M27" s="1"/>
      <c r="N27" s="1"/>
      <c r="P27" s="19"/>
      <c r="Q27" s="19"/>
      <c r="R27" s="19"/>
      <c r="S27" s="19"/>
      <c r="T27" s="19"/>
      <c r="U27" s="19"/>
      <c r="V27" s="19"/>
      <c r="W27" s="19"/>
      <c r="X27" s="19"/>
      <c r="Y27" s="19"/>
      <c r="Z27" s="19"/>
      <c r="AA27" s="19"/>
      <c r="AB27" s="19"/>
      <c r="AC27" s="19"/>
      <c r="AD27" s="19"/>
      <c r="AE27" s="19"/>
      <c r="AF27" s="19"/>
    </row>
    <row r="28" spans="1:32" ht="18">
      <c r="A28" s="1722"/>
      <c r="B28" s="1722"/>
      <c r="C28" s="1722"/>
      <c r="D28" s="1722"/>
      <c r="E28" s="1722"/>
      <c r="F28" s="1722"/>
      <c r="G28" s="1722"/>
      <c r="H28" s="1722"/>
      <c r="I28" s="1722"/>
      <c r="J28" s="1722"/>
      <c r="K28" s="1722"/>
      <c r="L28" s="1722"/>
      <c r="M28" s="1722"/>
      <c r="N28" s="1915"/>
      <c r="P28" s="19"/>
      <c r="Q28" s="19"/>
      <c r="R28" s="19"/>
      <c r="S28" s="19"/>
      <c r="T28" s="19"/>
      <c r="U28" s="19"/>
      <c r="V28" s="19"/>
      <c r="W28" s="19"/>
      <c r="X28" s="19"/>
      <c r="Y28" s="19"/>
      <c r="Z28" s="19"/>
      <c r="AA28" s="19"/>
      <c r="AB28" s="19"/>
      <c r="AC28" s="19"/>
      <c r="AD28" s="19"/>
      <c r="AE28" s="19"/>
      <c r="AF28" s="19"/>
    </row>
  </sheetData>
  <customSheetViews>
    <customSheetView guid="{DA38F665-F06D-4DFB-B852-747D93BB00EF}" scale="80" showPageBreaks="1" showGridLines="0" outlineSymbols="0" fitToPage="1" printArea="1" view="pageBreakPreview">
      <selection activeCell="B210" sqref="B210"/>
      <pageMargins left="1" right="1" top="0.5" bottom="0.55000000000000004" header="0" footer="0"/>
      <printOptions horizontalCentered="1"/>
      <pageSetup scale="70" orientation="landscape" horizontalDpi="300" verticalDpi="300" r:id="rId1"/>
      <headerFooter alignWithMargins="0">
        <oddFooter>&amp;C&amp;"Times New Roman,Regular"Exhibit H - Summary of Reimbursable Resources&amp;R&amp;"Times New Roman,Regular"Research, Evaluation, and Statistics</oddFooter>
      </headerFooter>
    </customSheetView>
    <customSheetView guid="{4D0F9E3D-0229-48CC-A08B-F132802E9D7B}" scale="80" showPageBreaks="1" showGridLines="0" outlineSymbols="0" fitToPage="1" printArea="1" view="pageBreakPreview">
      <selection activeCell="A23" sqref="A23:N23"/>
      <pageMargins left="1" right="1" top="0.5" bottom="0.55000000000000004" header="0" footer="0"/>
      <printOptions horizontalCentered="1"/>
      <pageSetup scale="70" orientation="landscape" horizontalDpi="300" verticalDpi="300" r:id="rId2"/>
      <headerFooter alignWithMargins="0">
        <oddFooter>&amp;C&amp;"Times New Roman,Regular"Exhibit H - Summary of Reimbursable Resources&amp;R&amp;"Times New Roman,Regular"Research, Evaluation, and Statistics</oddFooter>
      </headerFooter>
    </customSheetView>
    <customSheetView guid="{F6772377-6B25-4EEA-B255-4C2F62B37855}" scale="80" showPageBreaks="1" showGridLines="0" outlineSymbols="0" fitToPage="1" printArea="1" view="pageBreakPreview">
      <selection activeCell="A23" sqref="A23:N23"/>
      <pageMargins left="1" right="1" top="0.5" bottom="0.55000000000000004" header="0" footer="0"/>
      <printOptions horizontalCentered="1"/>
      <pageSetup scale="70" orientation="landscape" horizontalDpi="300" verticalDpi="300" r:id="rId3"/>
      <headerFooter alignWithMargins="0">
        <oddFooter>&amp;C&amp;"Times New Roman,Regular"Exhibit H - Summary of Reimbursable Resources&amp;R&amp;"Times New Roman,Regular"Research, Evaluation, and Statistics</oddFooter>
      </headerFooter>
    </customSheetView>
    <customSheetView guid="{27B9C207-C13F-4981-9CED-E69585BBD779}" scale="80" showPageBreaks="1" showGridLines="0" outlineSymbols="0" fitToPage="1" printArea="1" view="pageBreakPreview" topLeftCell="C4">
      <selection activeCell="L10" sqref="L10:M11"/>
      <pageMargins left="1" right="1" top="0.5" bottom="0.55000000000000004" header="0" footer="0"/>
      <printOptions horizontalCentered="1"/>
      <pageSetup scale="70" orientation="landscape" horizontalDpi="300" verticalDpi="300" r:id="rId4"/>
      <headerFooter alignWithMargins="0">
        <oddFooter>&amp;C&amp;"Times New Roman,Regular"Exhibit H - Summary of Reimbursable Resources&amp;R&amp;"Times New Roman,Regular"Research, Evaluation, and Statistics</oddFooter>
      </headerFooter>
    </customSheetView>
  </customSheetViews>
  <mergeCells count="19">
    <mergeCell ref="A13:B13"/>
    <mergeCell ref="A1:N1"/>
    <mergeCell ref="A3:N3"/>
    <mergeCell ref="A4:N4"/>
    <mergeCell ref="A5:N5"/>
    <mergeCell ref="A6:N6"/>
    <mergeCell ref="A8:B9"/>
    <mergeCell ref="C8:E8"/>
    <mergeCell ref="F8:H8"/>
    <mergeCell ref="I8:K8"/>
    <mergeCell ref="L8:N8"/>
    <mergeCell ref="A10:B10"/>
    <mergeCell ref="A11:B11"/>
    <mergeCell ref="A12:B12"/>
    <mergeCell ref="A28:N28"/>
    <mergeCell ref="A19:N19"/>
    <mergeCell ref="A21:N21"/>
    <mergeCell ref="A23:N24"/>
    <mergeCell ref="A26:N26"/>
  </mergeCells>
  <printOptions horizontalCentered="1"/>
  <pageMargins left="1" right="1" top="0.5" bottom="0.55000000000000004" header="0" footer="0"/>
  <pageSetup scale="70" orientation="landscape" horizontalDpi="300" verticalDpi="300" r:id="rId5"/>
  <headerFooter alignWithMargins="0">
    <oddFooter>&amp;C&amp;"Times New Roman,Regular"Exhibit H - Summary of Reimbursable Resources&amp;R&amp;"Times New Roman,Regular"Research, Evaluation, and Statistics</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X26"/>
  <sheetViews>
    <sheetView view="pageBreakPreview" zoomScale="55" zoomScaleNormal="75" zoomScaleSheetLayoutView="55" workbookViewId="0">
      <selection activeCell="I23" sqref="I23"/>
    </sheetView>
  </sheetViews>
  <sheetFormatPr defaultRowHeight="15"/>
  <cols>
    <col min="1" max="1" width="57.44140625" style="363" customWidth="1"/>
    <col min="2" max="2" width="6.21875" style="363" customWidth="1"/>
    <col min="3" max="3" width="13" style="321" customWidth="1"/>
    <col min="4" max="4" width="6.21875" style="363" customWidth="1"/>
    <col min="5" max="5" width="14.44140625" style="321" customWidth="1"/>
    <col min="6" max="6" width="6.21875" style="1062" customWidth="1"/>
    <col min="7" max="7" width="14.44140625" style="1062" customWidth="1"/>
    <col min="8" max="8" width="10.5546875" style="363" bestFit="1" customWidth="1"/>
    <col min="9" max="9" width="11.5546875" style="321" customWidth="1"/>
    <col min="10" max="10" width="8.33203125" style="62" customWidth="1"/>
    <col min="11" max="16384" width="8.88671875" style="363"/>
  </cols>
  <sheetData>
    <row r="1" spans="1:10" ht="20.25">
      <c r="A1" s="374" t="s">
        <v>263</v>
      </c>
      <c r="B1" s="573"/>
      <c r="C1" s="574"/>
      <c r="D1" s="573"/>
      <c r="E1" s="574"/>
      <c r="F1" s="1057"/>
      <c r="G1" s="1057"/>
      <c r="H1" s="573"/>
      <c r="I1" s="575"/>
      <c r="J1" s="576" t="s">
        <v>0</v>
      </c>
    </row>
    <row r="2" spans="1:10" ht="13.15" customHeight="1">
      <c r="A2" s="1946"/>
      <c r="B2" s="1946"/>
      <c r="C2" s="1946"/>
      <c r="D2" s="1946"/>
      <c r="E2" s="1946"/>
      <c r="F2" s="1946"/>
      <c r="G2" s="1946"/>
      <c r="H2" s="1946"/>
      <c r="I2" s="1945"/>
      <c r="J2" s="576" t="s">
        <v>0</v>
      </c>
    </row>
    <row r="3" spans="1:10" ht="18.75">
      <c r="A3" s="1947" t="s">
        <v>264</v>
      </c>
      <c r="B3" s="1947"/>
      <c r="C3" s="1947"/>
      <c r="D3" s="1947"/>
      <c r="E3" s="1947"/>
      <c r="F3" s="1947"/>
      <c r="G3" s="1947"/>
      <c r="H3" s="1947"/>
      <c r="I3" s="1947"/>
      <c r="J3" s="576" t="s">
        <v>0</v>
      </c>
    </row>
    <row r="4" spans="1:10" ht="16.5">
      <c r="A4" s="1948" t="str">
        <f>+'[3]B. Summ of Reqs - RES '!A5</f>
        <v>Office of Justice Programs</v>
      </c>
      <c r="B4" s="1948"/>
      <c r="C4" s="1948"/>
      <c r="D4" s="1948"/>
      <c r="E4" s="1948"/>
      <c r="F4" s="1948"/>
      <c r="G4" s="1948"/>
      <c r="H4" s="1948"/>
      <c r="I4" s="1948"/>
      <c r="J4" s="576" t="s">
        <v>0</v>
      </c>
    </row>
    <row r="5" spans="1:10" ht="16.5">
      <c r="A5" s="1948" t="str">
        <f>'B. Summ of Reqs - RES '!A6:X6</f>
        <v>Research, Evaluation, and Statistics (formerly Justice Assistance)</v>
      </c>
      <c r="B5" s="1948"/>
      <c r="C5" s="1948"/>
      <c r="D5" s="1948"/>
      <c r="E5" s="1948"/>
      <c r="F5" s="1948"/>
      <c r="G5" s="1948"/>
      <c r="H5" s="1948"/>
      <c r="I5" s="1948"/>
      <c r="J5" s="576" t="s">
        <v>0</v>
      </c>
    </row>
    <row r="6" spans="1:10">
      <c r="A6" s="1949" t="s">
        <v>98</v>
      </c>
      <c r="B6" s="1949"/>
      <c r="C6" s="1949"/>
      <c r="D6" s="1949"/>
      <c r="E6" s="1949"/>
      <c r="F6" s="1949"/>
      <c r="G6" s="1949"/>
      <c r="H6" s="1949"/>
      <c r="I6" s="1949"/>
      <c r="J6" s="576" t="s">
        <v>0</v>
      </c>
    </row>
    <row r="7" spans="1:10">
      <c r="A7" s="1945"/>
      <c r="B7" s="1945"/>
      <c r="C7" s="1945"/>
      <c r="D7" s="1945"/>
      <c r="E7" s="1945"/>
      <c r="F7" s="1945"/>
      <c r="G7" s="1945"/>
      <c r="H7" s="1945"/>
      <c r="I7" s="1945"/>
      <c r="J7" s="576" t="s">
        <v>0</v>
      </c>
    </row>
    <row r="8" spans="1:10" s="1051" customFormat="1" ht="15.75">
      <c r="A8" s="1934"/>
      <c r="B8" s="1943" t="s">
        <v>596</v>
      </c>
      <c r="C8" s="1943"/>
      <c r="D8" s="1943"/>
      <c r="E8" s="1943"/>
      <c r="F8" s="1943"/>
      <c r="G8" s="1944"/>
      <c r="H8" s="1937" t="s">
        <v>62</v>
      </c>
      <c r="I8" s="1938"/>
      <c r="J8" s="576"/>
    </row>
    <row r="9" spans="1:10" ht="15.75" customHeight="1">
      <c r="A9" s="1935"/>
      <c r="B9" s="1930" t="s">
        <v>265</v>
      </c>
      <c r="C9" s="1931"/>
      <c r="D9" s="1930" t="s">
        <v>265</v>
      </c>
      <c r="E9" s="1931"/>
      <c r="F9" s="1930" t="s">
        <v>265</v>
      </c>
      <c r="G9" s="1931"/>
      <c r="H9" s="1939"/>
      <c r="I9" s="1940"/>
      <c r="J9" s="576" t="s">
        <v>0</v>
      </c>
    </row>
    <row r="10" spans="1:10" ht="93" customHeight="1">
      <c r="A10" s="1935"/>
      <c r="B10" s="1930" t="s">
        <v>251</v>
      </c>
      <c r="C10" s="1931"/>
      <c r="D10" s="1930" t="s">
        <v>266</v>
      </c>
      <c r="E10" s="1932"/>
      <c r="F10" s="1933" t="s">
        <v>217</v>
      </c>
      <c r="G10" s="1933"/>
      <c r="H10" s="1941"/>
      <c r="I10" s="1942"/>
      <c r="J10" s="576" t="s">
        <v>0</v>
      </c>
    </row>
    <row r="11" spans="1:10" ht="36" customHeight="1" thickBot="1">
      <c r="A11" s="1936"/>
      <c r="B11" s="577" t="s">
        <v>115</v>
      </c>
      <c r="C11" s="119" t="s">
        <v>270</v>
      </c>
      <c r="D11" s="118" t="s">
        <v>115</v>
      </c>
      <c r="E11" s="119" t="s">
        <v>270</v>
      </c>
      <c r="F11" s="118" t="s">
        <v>115</v>
      </c>
      <c r="G11" s="119" t="s">
        <v>270</v>
      </c>
      <c r="H11" s="577" t="s">
        <v>115</v>
      </c>
      <c r="I11" s="1101" t="s">
        <v>270</v>
      </c>
      <c r="J11" s="576" t="s">
        <v>0</v>
      </c>
    </row>
    <row r="12" spans="1:10" ht="20.25">
      <c r="A12" s="1102" t="s">
        <v>273</v>
      </c>
      <c r="B12" s="765"/>
      <c r="C12" s="1181">
        <f>'C. Increases Offsets  - RES '!$F$13*('L. Summ by Ob Class  - RES '!$E$22/112960)</f>
        <v>40.10269121813031</v>
      </c>
      <c r="D12" s="767"/>
      <c r="E12" s="1110">
        <f>'C. Increases Offsets  - RES '!$F$14*('L. Summ by Ob Class  - RES '!$E$22/112960)</f>
        <v>21.38810198300283</v>
      </c>
      <c r="F12" s="767"/>
      <c r="G12" s="1110">
        <f>'C. Increases Offsets  - RES '!$F$15*('L. Summ by Ob Class  - RES '!$E$22/112960)</f>
        <v>668.37818696883846</v>
      </c>
      <c r="H12" s="767"/>
      <c r="I12" s="1110">
        <f t="shared" ref="I12:I15" si="0">SUM(E12,C12,G12)</f>
        <v>729.86898016997156</v>
      </c>
      <c r="J12" s="576" t="s">
        <v>0</v>
      </c>
    </row>
    <row r="13" spans="1:10" ht="20.25">
      <c r="A13" s="1102" t="s">
        <v>274</v>
      </c>
      <c r="B13" s="765"/>
      <c r="C13" s="1181">
        <f>'C. Increases Offsets  - RES '!$F$13*('L. Summ by Ob Class  - RES '!$E$23/112960)</f>
        <v>2293.9536118980172</v>
      </c>
      <c r="D13" s="767"/>
      <c r="E13" s="1110">
        <f>'C. Increases Offsets  - RES '!$F$14*('L. Summ by Ob Class  - RES '!$E$23/112960)</f>
        <v>1223.4419263456091</v>
      </c>
      <c r="F13" s="767"/>
      <c r="G13" s="1110">
        <f>'C. Increases Offsets  - RES '!$F$15*('L. Summ by Ob Class  - RES '!$E$23/112960)</f>
        <v>38232.560198300285</v>
      </c>
      <c r="H13" s="767"/>
      <c r="I13" s="1110">
        <f t="shared" si="0"/>
        <v>41749.95573654391</v>
      </c>
      <c r="J13" s="576" t="s">
        <v>0</v>
      </c>
    </row>
    <row r="14" spans="1:10" ht="20.25">
      <c r="A14" s="1102" t="s">
        <v>275</v>
      </c>
      <c r="B14" s="765"/>
      <c r="C14" s="1181">
        <f>'C. Increases Offsets  - RES '!$F$13*('L. Summ by Ob Class  - RES '!$E$24/112960)</f>
        <v>-49.530807365439088</v>
      </c>
      <c r="D14" s="767"/>
      <c r="E14" s="1110">
        <f>'C. Increases Offsets  - RES '!$F$14*('L. Summ by Ob Class  - RES '!$E$24/112960)</f>
        <v>-26.416430594900849</v>
      </c>
      <c r="F14" s="767"/>
      <c r="G14" s="1110">
        <f>'C. Increases Offsets  - RES '!$F$15*('L. Summ by Ob Class  - RES '!$E$24/112960)</f>
        <v>-825.51345609065152</v>
      </c>
      <c r="H14" s="767"/>
      <c r="I14" s="1110">
        <f t="shared" si="0"/>
        <v>-901.46069405099149</v>
      </c>
      <c r="J14" s="576" t="s">
        <v>0</v>
      </c>
    </row>
    <row r="15" spans="1:10" ht="20.25">
      <c r="A15" s="1102" t="s">
        <v>276</v>
      </c>
      <c r="B15" s="765"/>
      <c r="C15" s="1181">
        <f>'C. Increases Offsets  - RES '!$F$13*('L. Summ by Ob Class  - RES '!$E$25/112960)</f>
        <v>4552.8505665722378</v>
      </c>
      <c r="D15" s="767"/>
      <c r="E15" s="1110">
        <f>'C. Increases Offsets  - RES '!$F$14*('L. Summ by Ob Class  - RES '!$E$25/112960)</f>
        <v>2428.1869688385268</v>
      </c>
      <c r="F15" s="767"/>
      <c r="G15" s="1110">
        <f>'C. Increases Offsets  - RES '!$F$15*('L. Summ by Ob Class  - RES '!$E$25/112960)</f>
        <v>75880.842776203965</v>
      </c>
      <c r="H15" s="767"/>
      <c r="I15" s="1110">
        <f t="shared" si="0"/>
        <v>82861.880311614732</v>
      </c>
      <c r="J15" s="576" t="s">
        <v>0</v>
      </c>
    </row>
    <row r="16" spans="1:10" ht="20.25">
      <c r="A16" s="1102" t="s">
        <v>277</v>
      </c>
      <c r="B16" s="765"/>
      <c r="C16" s="769">
        <f>'C. Increases Offsets  - RES '!$F$13*('L. Summ by Ob Class  - RES '!$E$30/112960)</f>
        <v>8162.6239376770536</v>
      </c>
      <c r="D16" s="767"/>
      <c r="E16" s="768">
        <f>'C. Increases Offsets  - RES '!$F$14*('L. Summ by Ob Class  - RES '!$E$30/112960)</f>
        <v>4353.3994334277613</v>
      </c>
      <c r="F16" s="767"/>
      <c r="G16" s="768">
        <f>'C. Increases Offsets  - RES '!$F$15*('L. Summ by Ob Class  - RES '!$E$30/112960)</f>
        <v>136043.73229461754</v>
      </c>
      <c r="H16" s="785"/>
      <c r="I16" s="768">
        <f>SUM(E16,C16,G16)</f>
        <v>148559.75566572236</v>
      </c>
      <c r="J16" s="576" t="s">
        <v>0</v>
      </c>
    </row>
    <row r="17" spans="1:24" ht="20.25">
      <c r="A17" s="1103" t="s">
        <v>278</v>
      </c>
      <c r="B17" s="1104">
        <f t="shared" ref="B17:I17" si="1">SUM(B12:B16)</f>
        <v>0</v>
      </c>
      <c r="C17" s="1105">
        <f>SUM(C12:C16)</f>
        <v>15000</v>
      </c>
      <c r="D17" s="1106">
        <f t="shared" si="1"/>
        <v>0</v>
      </c>
      <c r="E17" s="1105">
        <f t="shared" si="1"/>
        <v>7999.9999999999991</v>
      </c>
      <c r="F17" s="1515">
        <v>0</v>
      </c>
      <c r="G17" s="1107">
        <f t="shared" si="1"/>
        <v>249999.99999999997</v>
      </c>
      <c r="H17" s="1108">
        <f t="shared" si="1"/>
        <v>0</v>
      </c>
      <c r="I17" s="1109">
        <f t="shared" si="1"/>
        <v>273000</v>
      </c>
      <c r="J17" s="576" t="s">
        <v>0</v>
      </c>
    </row>
    <row r="18" spans="1:24">
      <c r="A18" s="1927"/>
      <c r="B18" s="1792"/>
      <c r="C18" s="1792"/>
      <c r="D18" s="1792"/>
      <c r="E18" s="1792"/>
      <c r="F18" s="1792"/>
      <c r="G18" s="1792"/>
      <c r="H18" s="1792"/>
      <c r="I18" s="1792"/>
      <c r="J18" s="576" t="s">
        <v>0</v>
      </c>
      <c r="K18" s="375"/>
      <c r="L18" s="375"/>
      <c r="M18" s="375"/>
      <c r="N18" s="375"/>
      <c r="O18" s="375"/>
      <c r="P18" s="375"/>
      <c r="Q18" s="375"/>
      <c r="R18" s="375"/>
      <c r="S18" s="375"/>
      <c r="T18" s="375"/>
      <c r="U18" s="375"/>
      <c r="V18" s="375"/>
      <c r="W18" s="375"/>
      <c r="X18" s="375"/>
    </row>
    <row r="19" spans="1:24">
      <c r="A19" s="580"/>
      <c r="B19" s="580"/>
      <c r="C19" s="581"/>
      <c r="D19" s="580"/>
      <c r="E19" s="581"/>
      <c r="F19" s="581"/>
      <c r="G19" s="581"/>
      <c r="H19" s="580"/>
      <c r="I19" s="581"/>
      <c r="J19" s="576" t="s">
        <v>13</v>
      </c>
      <c r="K19" s="375"/>
      <c r="L19" s="375"/>
      <c r="M19" s="375"/>
      <c r="N19" s="375"/>
      <c r="O19" s="375"/>
      <c r="P19" s="375"/>
      <c r="Q19" s="375"/>
      <c r="R19" s="375"/>
      <c r="S19" s="375"/>
      <c r="T19" s="375"/>
      <c r="U19" s="375"/>
      <c r="V19" s="375"/>
      <c r="W19" s="375"/>
      <c r="X19" s="375"/>
    </row>
    <row r="21" spans="1:24" ht="18.75">
      <c r="A21" s="1928"/>
      <c r="B21" s="1928"/>
      <c r="C21" s="1928"/>
      <c r="D21" s="1928"/>
      <c r="E21" s="1928"/>
      <c r="F21" s="1058"/>
      <c r="G21" s="1058"/>
      <c r="H21" s="583"/>
      <c r="I21" s="584"/>
    </row>
    <row r="22" spans="1:24" ht="18.75">
      <c r="A22" s="585"/>
      <c r="B22" s="585"/>
      <c r="C22" s="585"/>
      <c r="D22" s="585"/>
      <c r="E22" s="585"/>
      <c r="F22" s="1058"/>
      <c r="G22" s="1058"/>
      <c r="H22" s="583"/>
      <c r="I22" s="584"/>
    </row>
    <row r="23" spans="1:24" ht="141.75" customHeight="1">
      <c r="A23" s="1929"/>
      <c r="B23" s="1929"/>
      <c r="C23" s="1929"/>
      <c r="D23" s="1929"/>
      <c r="E23" s="1929"/>
      <c r="F23" s="1059"/>
      <c r="G23" s="1059"/>
      <c r="H23" s="366"/>
      <c r="I23" s="586"/>
    </row>
    <row r="26" spans="1:24">
      <c r="I26" s="587"/>
    </row>
  </sheetData>
  <customSheetViews>
    <customSheetView guid="{DA38F665-F06D-4DFB-B852-747D93BB00EF}" scale="55" showPageBreaks="1" fitToPage="1" printArea="1" view="pageBreakPreview">
      <pane xSplit="1" ySplit="10" topLeftCell="B11" activePane="bottomRight" state="frozen"/>
      <selection pane="bottomRight" activeCell="B210" sqref="B210"/>
      <pageMargins left="0.25" right="0.25" top="0.5" bottom="0.5" header="0.5" footer="0.5"/>
      <printOptions horizontalCentered="1"/>
      <pageSetup scale="80" fitToHeight="0" orientation="landscape" r:id="rId1"/>
      <headerFooter alignWithMargins="0">
        <oddFooter>&amp;C&amp;"Times New Roman,Regular"&amp;14Exhibit J - Financial Analysis of Program Changes&amp;12
&amp;R&amp;"Times New Roman,Regular"Research, Evaluation, and Statistics</oddFooter>
      </headerFooter>
    </customSheetView>
    <customSheetView guid="{4D0F9E3D-0229-48CC-A08B-F132802E9D7B}" scale="55" showPageBreaks="1" fitToPage="1" printArea="1" view="pageBreakPreview">
      <pane xSplit="1" ySplit="10" topLeftCell="B11" activePane="bottomRight" state="frozen"/>
      <selection pane="bottomRight" activeCell="G18" sqref="G18"/>
      <pageMargins left="0.25" right="0.25" top="0.5" bottom="0.5" header="0.5" footer="0.5"/>
      <printOptions horizontalCentered="1"/>
      <pageSetup scale="64" fitToHeight="0" orientation="landscape" r:id="rId2"/>
      <headerFooter alignWithMargins="0">
        <oddFooter>&amp;C&amp;"Times New Roman,Regular"&amp;14Exhibit J - Financial Analysis of Program Changes&amp;12
&amp;R&amp;"Times New Roman,Regular"Research, Evaluation, and Statistics</oddFooter>
      </headerFooter>
    </customSheetView>
    <customSheetView guid="{F6772377-6B25-4EEA-B255-4C2F62B37855}" scale="55" showPageBreaks="1" fitToPage="1" printArea="1" view="pageBreakPreview">
      <pane xSplit="1" ySplit="10" topLeftCell="B11" activePane="bottomRight" state="frozen"/>
      <selection pane="bottomRight" activeCell="G15" sqref="G15"/>
      <pageMargins left="0.25" right="0.25" top="0.5" bottom="0.5" header="0.5" footer="0.5"/>
      <printOptions horizontalCentered="1"/>
      <pageSetup scale="80" fitToHeight="0" orientation="landscape" r:id="rId3"/>
      <headerFooter alignWithMargins="0">
        <oddFooter>&amp;C&amp;"Times New Roman,Regular"&amp;14Exhibit J - Financial Analysis of Program Changes&amp;12
&amp;R&amp;"Times New Roman,Regular"Research, Evaluation, and Statistics</oddFooter>
      </headerFooter>
    </customSheetView>
    <customSheetView guid="{27B9C207-C13F-4981-9CED-E69585BBD779}" scale="55" showPageBreaks="1" fitToPage="1" printArea="1" view="pageBreakPreview">
      <selection activeCell="G23" sqref="G23"/>
      <pageMargins left="0.25" right="0.25" top="0.5" bottom="0.5" header="0.5" footer="0.5"/>
      <printOptions horizontalCentered="1"/>
      <pageSetup scale="80" fitToHeight="0" orientation="landscape" r:id="rId4"/>
      <headerFooter alignWithMargins="0">
        <oddFooter>&amp;C&amp;"Times New Roman,Regular"&amp;14Exhibit J - Financial Analysis of Program Changes&amp;12
&amp;R&amp;"Times New Roman,Regular"Research, Evaluation, and Statistics</oddFooter>
      </headerFooter>
    </customSheetView>
  </customSheetViews>
  <mergeCells count="18">
    <mergeCell ref="A7:I7"/>
    <mergeCell ref="A2:I2"/>
    <mergeCell ref="A3:I3"/>
    <mergeCell ref="A4:I4"/>
    <mergeCell ref="A5:I5"/>
    <mergeCell ref="A6:I6"/>
    <mergeCell ref="A18:I18"/>
    <mergeCell ref="A21:E21"/>
    <mergeCell ref="A23:E23"/>
    <mergeCell ref="B10:C10"/>
    <mergeCell ref="D10:E10"/>
    <mergeCell ref="F10:G10"/>
    <mergeCell ref="A8:A11"/>
    <mergeCell ref="H8:I10"/>
    <mergeCell ref="B9:C9"/>
    <mergeCell ref="D9:E9"/>
    <mergeCell ref="F9:G9"/>
    <mergeCell ref="B8:G8"/>
  </mergeCells>
  <printOptions horizontalCentered="1"/>
  <pageMargins left="0.25" right="0.25" top="0.5" bottom="0.5" header="0.5" footer="0.5"/>
  <pageSetup scale="80" fitToHeight="0" orientation="landscape" r:id="rId5"/>
  <headerFooter alignWithMargins="0">
    <oddFooter>&amp;C&amp;"Times New Roman,Regular"&amp;14Exhibit J - Financial Analysis of Program Changes&amp;12
&amp;R&amp;"Times New Roman,Regular"Research, Evaluation, and Statistics</oddFooter>
  </headerFooter>
</worksheet>
</file>

<file path=xl/worksheets/sheet17.xml><?xml version="1.0" encoding="utf-8"?>
<worksheet xmlns="http://schemas.openxmlformats.org/spreadsheetml/2006/main" xmlns:r="http://schemas.openxmlformats.org/officeDocument/2006/relationships">
  <dimension ref="A1:W196"/>
  <sheetViews>
    <sheetView view="pageBreakPreview" topLeftCell="A4" zoomScale="75" zoomScaleNormal="75" zoomScaleSheetLayoutView="50" workbookViewId="0">
      <selection activeCell="A16" sqref="A16"/>
    </sheetView>
  </sheetViews>
  <sheetFormatPr defaultRowHeight="15.75"/>
  <cols>
    <col min="1" max="1" width="65.33203125" style="294" customWidth="1"/>
    <col min="2" max="2" width="8.88671875" style="294"/>
    <col min="3" max="3" width="10.109375" style="294" customWidth="1"/>
    <col min="4" max="4" width="8.88671875" style="294"/>
    <col min="5" max="5" width="10.6640625" style="294" customWidth="1"/>
    <col min="6" max="6" width="8.88671875" style="294"/>
    <col min="7" max="7" width="10.5546875" style="294" bestFit="1" customWidth="1"/>
    <col min="8" max="8" width="8.88671875" style="294"/>
    <col min="9" max="9" width="10.33203125" style="294" customWidth="1"/>
    <col min="10" max="10" width="10" style="59" customWidth="1"/>
    <col min="11" max="11" width="8.88671875" style="363"/>
    <col min="12" max="16384" width="8.88671875" style="294"/>
  </cols>
  <sheetData>
    <row r="1" spans="1:11" ht="19.149999999999999" customHeight="1">
      <c r="A1" s="1779" t="s">
        <v>89</v>
      </c>
      <c r="B1" s="1780"/>
      <c r="C1" s="1780"/>
      <c r="D1" s="1780"/>
      <c r="E1" s="1780"/>
      <c r="F1" s="1780"/>
      <c r="G1" s="1780"/>
      <c r="H1" s="1780"/>
      <c r="I1" s="1780"/>
      <c r="J1" s="58" t="s">
        <v>0</v>
      </c>
      <c r="K1" s="294"/>
    </row>
    <row r="2" spans="1:11" ht="19.149999999999999" customHeight="1">
      <c r="A2" s="1781"/>
      <c r="B2" s="1782"/>
      <c r="C2" s="1782"/>
      <c r="D2" s="1782"/>
      <c r="E2" s="1782"/>
      <c r="F2" s="1782"/>
      <c r="G2" s="1782"/>
      <c r="H2" s="1782"/>
      <c r="I2" s="1782"/>
      <c r="J2" s="58" t="s">
        <v>0</v>
      </c>
      <c r="K2" s="294"/>
    </row>
    <row r="3" spans="1:11" ht="18.75">
      <c r="A3" s="1783" t="s">
        <v>59</v>
      </c>
      <c r="B3" s="1780"/>
      <c r="C3" s="1780"/>
      <c r="D3" s="1780"/>
      <c r="E3" s="1780"/>
      <c r="F3" s="1780"/>
      <c r="G3" s="1780"/>
      <c r="H3" s="1780"/>
      <c r="I3" s="1780"/>
      <c r="J3" s="58" t="s">
        <v>0</v>
      </c>
      <c r="K3" s="294"/>
    </row>
    <row r="4" spans="1:11" ht="16.5">
      <c r="A4" s="1784" t="str">
        <f>+'[3]B. Summ of Reqs - RES '!A5</f>
        <v>Office of Justice Programs</v>
      </c>
      <c r="B4" s="1780"/>
      <c r="C4" s="1780"/>
      <c r="D4" s="1780"/>
      <c r="E4" s="1780"/>
      <c r="F4" s="1780"/>
      <c r="G4" s="1780"/>
      <c r="H4" s="1780"/>
      <c r="I4" s="1780"/>
      <c r="J4" s="58" t="s">
        <v>0</v>
      </c>
      <c r="K4" s="294"/>
    </row>
    <row r="5" spans="1:11" ht="16.5">
      <c r="A5" s="1784" t="str">
        <f>'B. Summ of Reqs - RES '!A6:X6</f>
        <v>Research, Evaluation, and Statistics (formerly Justice Assistance)</v>
      </c>
      <c r="B5" s="1780"/>
      <c r="C5" s="1780"/>
      <c r="D5" s="1780"/>
      <c r="E5" s="1780"/>
      <c r="F5" s="1780"/>
      <c r="G5" s="1780"/>
      <c r="H5" s="1780"/>
      <c r="I5" s="1780"/>
      <c r="J5" s="58" t="s">
        <v>0</v>
      </c>
      <c r="K5" s="294"/>
    </row>
    <row r="6" spans="1:11">
      <c r="A6" s="1798" t="s">
        <v>98</v>
      </c>
      <c r="B6" s="1780"/>
      <c r="C6" s="1780"/>
      <c r="D6" s="1780"/>
      <c r="E6" s="1780"/>
      <c r="F6" s="1780"/>
      <c r="G6" s="1780"/>
      <c r="H6" s="1780"/>
      <c r="I6" s="1780"/>
      <c r="J6" s="58" t="s">
        <v>0</v>
      </c>
      <c r="K6" s="294"/>
    </row>
    <row r="7" spans="1:11" ht="11.25" customHeight="1">
      <c r="A7" s="1951"/>
      <c r="B7" s="1951"/>
      <c r="C7" s="1951"/>
      <c r="D7" s="1951"/>
      <c r="E7" s="1951"/>
      <c r="F7" s="1951"/>
      <c r="G7" s="1951"/>
      <c r="H7" s="1951"/>
      <c r="I7" s="1951"/>
      <c r="J7" s="58" t="s">
        <v>0</v>
      </c>
      <c r="K7" s="294"/>
    </row>
    <row r="8" spans="1:11" ht="44.25" customHeight="1">
      <c r="A8" s="1796" t="s">
        <v>53</v>
      </c>
      <c r="B8" s="1799" t="s">
        <v>162</v>
      </c>
      <c r="C8" s="1800"/>
      <c r="D8" s="1804" t="s">
        <v>616</v>
      </c>
      <c r="E8" s="1805"/>
      <c r="F8" s="1801" t="s">
        <v>154</v>
      </c>
      <c r="G8" s="1803"/>
      <c r="H8" s="1801" t="s">
        <v>143</v>
      </c>
      <c r="I8" s="1802"/>
      <c r="J8" s="58" t="s">
        <v>0</v>
      </c>
      <c r="K8" s="294"/>
    </row>
    <row r="9" spans="1:11" ht="25.5" customHeight="1" thickBot="1">
      <c r="A9" s="1797"/>
      <c r="B9" s="352" t="s">
        <v>25</v>
      </c>
      <c r="C9" s="353" t="s">
        <v>117</v>
      </c>
      <c r="D9" s="352" t="s">
        <v>25</v>
      </c>
      <c r="E9" s="353" t="s">
        <v>117</v>
      </c>
      <c r="F9" s="352" t="s">
        <v>25</v>
      </c>
      <c r="G9" s="353" t="s">
        <v>117</v>
      </c>
      <c r="H9" s="352" t="s">
        <v>25</v>
      </c>
      <c r="I9" s="354" t="s">
        <v>117</v>
      </c>
      <c r="J9" s="58" t="s">
        <v>0</v>
      </c>
      <c r="K9" s="294"/>
    </row>
    <row r="10" spans="1:11">
      <c r="A10" s="625" t="s">
        <v>8</v>
      </c>
      <c r="B10" s="595"/>
      <c r="C10" s="596"/>
      <c r="D10" s="595"/>
      <c r="E10" s="596"/>
      <c r="F10" s="595"/>
      <c r="G10" s="596"/>
      <c r="H10" s="595"/>
      <c r="I10" s="594"/>
      <c r="J10" s="58" t="s">
        <v>0</v>
      </c>
      <c r="K10" s="294"/>
    </row>
    <row r="11" spans="1:11">
      <c r="A11" s="597" t="s">
        <v>50</v>
      </c>
      <c r="B11" s="595"/>
      <c r="C11" s="601"/>
      <c r="D11" s="595"/>
      <c r="E11" s="601"/>
      <c r="F11" s="595"/>
      <c r="G11" s="601"/>
      <c r="H11" s="595"/>
      <c r="I11" s="600"/>
      <c r="J11" s="58" t="s">
        <v>0</v>
      </c>
      <c r="K11" s="294"/>
    </row>
    <row r="12" spans="1:11">
      <c r="A12" s="597" t="s">
        <v>32</v>
      </c>
      <c r="B12" s="624"/>
      <c r="C12" s="601"/>
      <c r="D12" s="624"/>
      <c r="E12" s="601"/>
      <c r="F12" s="624"/>
      <c r="G12" s="601"/>
      <c r="H12" s="595"/>
      <c r="I12" s="600"/>
      <c r="J12" s="58" t="s">
        <v>0</v>
      </c>
      <c r="K12" s="294"/>
    </row>
    <row r="13" spans="1:11">
      <c r="A13" s="623" t="s">
        <v>34</v>
      </c>
      <c r="B13" s="621"/>
      <c r="C13" s="622"/>
      <c r="D13" s="621"/>
      <c r="E13" s="622"/>
      <c r="F13" s="621"/>
      <c r="G13" s="622"/>
      <c r="H13" s="621"/>
      <c r="I13" s="620"/>
      <c r="J13" s="58" t="s">
        <v>0</v>
      </c>
      <c r="K13" s="294"/>
    </row>
    <row r="14" spans="1:11">
      <c r="A14" s="623" t="s">
        <v>33</v>
      </c>
      <c r="B14" s="621"/>
      <c r="C14" s="622"/>
      <c r="D14" s="621"/>
      <c r="E14" s="622"/>
      <c r="F14" s="621"/>
      <c r="G14" s="622"/>
      <c r="H14" s="621"/>
      <c r="I14" s="620"/>
      <c r="J14" s="58" t="s">
        <v>0</v>
      </c>
      <c r="K14" s="294"/>
    </row>
    <row r="15" spans="1:11">
      <c r="A15" s="593" t="s">
        <v>35</v>
      </c>
      <c r="B15" s="619"/>
      <c r="C15" s="618"/>
      <c r="D15" s="619"/>
      <c r="E15" s="618"/>
      <c r="F15" s="619"/>
      <c r="G15" s="618"/>
      <c r="H15" s="595"/>
      <c r="I15" s="600"/>
      <c r="J15" s="58" t="s">
        <v>0</v>
      </c>
      <c r="K15" s="294"/>
    </row>
    <row r="16" spans="1:11">
      <c r="A16" s="859" t="s">
        <v>9</v>
      </c>
      <c r="B16" s="617">
        <f t="shared" ref="B16:I16" si="0">+B10+B11+B12+B15</f>
        <v>0</v>
      </c>
      <c r="C16" s="616">
        <f t="shared" si="0"/>
        <v>0</v>
      </c>
      <c r="D16" s="617">
        <f t="shared" si="0"/>
        <v>0</v>
      </c>
      <c r="E16" s="616">
        <f t="shared" si="0"/>
        <v>0</v>
      </c>
      <c r="F16" s="617">
        <f t="shared" si="0"/>
        <v>0</v>
      </c>
      <c r="G16" s="615">
        <f t="shared" si="0"/>
        <v>0</v>
      </c>
      <c r="H16" s="616">
        <f t="shared" si="0"/>
        <v>0</v>
      </c>
      <c r="I16" s="615">
        <f t="shared" si="0"/>
        <v>0</v>
      </c>
      <c r="J16" s="58" t="s">
        <v>0</v>
      </c>
      <c r="K16" s="294"/>
    </row>
    <row r="17" spans="1:12">
      <c r="A17" s="602" t="s">
        <v>54</v>
      </c>
      <c r="B17" s="595"/>
      <c r="C17" s="601"/>
      <c r="D17" s="595"/>
      <c r="E17" s="601"/>
      <c r="F17" s="595"/>
      <c r="G17" s="601"/>
      <c r="H17" s="595"/>
      <c r="I17" s="600"/>
      <c r="J17" s="58" t="s">
        <v>0</v>
      </c>
    </row>
    <row r="18" spans="1:12">
      <c r="A18" s="599" t="s">
        <v>37</v>
      </c>
      <c r="B18" s="595"/>
      <c r="C18" s="601"/>
      <c r="D18" s="595"/>
      <c r="E18" s="601"/>
      <c r="F18" s="595"/>
      <c r="G18" s="601"/>
      <c r="H18" s="595"/>
      <c r="I18" s="600"/>
      <c r="J18" s="58" t="s">
        <v>0</v>
      </c>
    </row>
    <row r="19" spans="1:12">
      <c r="A19" s="599" t="s">
        <v>38</v>
      </c>
      <c r="B19" s="595"/>
      <c r="C19" s="601"/>
      <c r="D19" s="595"/>
      <c r="E19" s="601">
        <v>5</v>
      </c>
      <c r="F19" s="595"/>
      <c r="G19" s="601">
        <v>5</v>
      </c>
      <c r="H19" s="595"/>
      <c r="I19" s="600">
        <f>E19-G19</f>
        <v>0</v>
      </c>
      <c r="J19" s="58" t="s">
        <v>0</v>
      </c>
    </row>
    <row r="20" spans="1:12">
      <c r="A20" s="599" t="s">
        <v>87</v>
      </c>
      <c r="B20" s="595"/>
      <c r="C20" s="601"/>
      <c r="D20" s="595"/>
      <c r="E20" s="601">
        <v>122</v>
      </c>
      <c r="F20" s="595"/>
      <c r="G20" s="601">
        <v>122</v>
      </c>
      <c r="H20" s="595"/>
      <c r="I20" s="600">
        <f>E20-G20</f>
        <v>0</v>
      </c>
      <c r="J20" s="58" t="s">
        <v>0</v>
      </c>
    </row>
    <row r="21" spans="1:12">
      <c r="A21" s="599" t="s">
        <v>40</v>
      </c>
      <c r="B21" s="595"/>
      <c r="C21" s="601"/>
      <c r="D21" s="595"/>
      <c r="E21" s="601">
        <v>2</v>
      </c>
      <c r="F21" s="595"/>
      <c r="G21" s="601">
        <v>2</v>
      </c>
      <c r="H21" s="595"/>
      <c r="I21" s="600">
        <f t="shared" ref="I21:I27" si="1">E21-G21</f>
        <v>0</v>
      </c>
      <c r="J21" s="58" t="s">
        <v>0</v>
      </c>
    </row>
    <row r="22" spans="1:12">
      <c r="A22" s="599" t="s">
        <v>41</v>
      </c>
      <c r="B22" s="595"/>
      <c r="C22" s="601">
        <v>302</v>
      </c>
      <c r="D22" s="595"/>
      <c r="E22" s="601">
        <v>302</v>
      </c>
      <c r="F22" s="595"/>
      <c r="G22" s="601">
        <v>302</v>
      </c>
      <c r="H22" s="595"/>
      <c r="I22" s="600">
        <f t="shared" si="1"/>
        <v>0</v>
      </c>
      <c r="J22" s="58" t="s">
        <v>0</v>
      </c>
    </row>
    <row r="23" spans="1:12">
      <c r="A23" s="599" t="s">
        <v>42</v>
      </c>
      <c r="B23" s="595"/>
      <c r="C23" s="601">
        <v>17275</v>
      </c>
      <c r="D23" s="595"/>
      <c r="E23" s="601">
        <v>17275</v>
      </c>
      <c r="F23" s="595"/>
      <c r="G23" s="601">
        <v>17275</v>
      </c>
      <c r="H23" s="595"/>
      <c r="I23" s="600">
        <f t="shared" si="1"/>
        <v>0</v>
      </c>
      <c r="J23" s="58" t="s">
        <v>0</v>
      </c>
    </row>
    <row r="24" spans="1:12">
      <c r="A24" s="599" t="s">
        <v>43</v>
      </c>
      <c r="B24" s="595"/>
      <c r="C24" s="601">
        <v>33913</v>
      </c>
      <c r="D24" s="595"/>
      <c r="E24" s="601">
        <v>-373</v>
      </c>
      <c r="F24" s="595"/>
      <c r="G24" s="601">
        <v>-373</v>
      </c>
      <c r="H24" s="595"/>
      <c r="I24" s="600">
        <f t="shared" si="1"/>
        <v>0</v>
      </c>
      <c r="J24" s="58" t="s">
        <v>0</v>
      </c>
    </row>
    <row r="25" spans="1:12">
      <c r="A25" s="599" t="s">
        <v>163</v>
      </c>
      <c r="B25" s="595"/>
      <c r="C25" s="601">
        <v>85</v>
      </c>
      <c r="D25" s="595"/>
      <c r="E25" s="601">
        <v>34286</v>
      </c>
      <c r="F25" s="595"/>
      <c r="G25" s="601">
        <v>34286</v>
      </c>
      <c r="H25" s="595"/>
      <c r="I25" s="600">
        <f t="shared" si="1"/>
        <v>0</v>
      </c>
      <c r="J25" s="58" t="s">
        <v>0</v>
      </c>
    </row>
    <row r="26" spans="1:12">
      <c r="A26" s="599" t="s">
        <v>88</v>
      </c>
      <c r="B26" s="595"/>
      <c r="C26" s="601"/>
      <c r="D26" s="595"/>
      <c r="E26" s="601">
        <v>85</v>
      </c>
      <c r="F26" s="595"/>
      <c r="G26" s="601">
        <v>85</v>
      </c>
      <c r="H26" s="595"/>
      <c r="I26" s="600">
        <f t="shared" si="1"/>
        <v>0</v>
      </c>
      <c r="J26" s="58" t="s">
        <v>0</v>
      </c>
      <c r="L26" s="614"/>
    </row>
    <row r="27" spans="1:12">
      <c r="A27" s="599" t="s">
        <v>197</v>
      </c>
      <c r="B27" s="595"/>
      <c r="C27" s="601"/>
      <c r="D27" s="595"/>
      <c r="E27" s="601">
        <v>2</v>
      </c>
      <c r="F27" s="595"/>
      <c r="G27" s="601">
        <v>2</v>
      </c>
      <c r="H27" s="595"/>
      <c r="I27" s="600">
        <f t="shared" si="1"/>
        <v>0</v>
      </c>
      <c r="J27" s="58" t="s">
        <v>0</v>
      </c>
    </row>
    <row r="28" spans="1:12">
      <c r="A28" s="599" t="s">
        <v>44</v>
      </c>
      <c r="B28" s="595"/>
      <c r="C28" s="601">
        <v>2</v>
      </c>
      <c r="D28" s="595"/>
      <c r="E28" s="601"/>
      <c r="F28" s="595"/>
      <c r="G28" s="601"/>
      <c r="H28" s="595"/>
      <c r="I28" s="600"/>
      <c r="J28" s="58" t="s">
        <v>0</v>
      </c>
      <c r="L28" s="614"/>
    </row>
    <row r="29" spans="1:12">
      <c r="A29" s="599" t="s">
        <v>45</v>
      </c>
      <c r="B29" s="595"/>
      <c r="C29" s="601"/>
      <c r="D29" s="595"/>
      <c r="E29" s="601">
        <v>88</v>
      </c>
      <c r="F29" s="595"/>
      <c r="G29" s="601">
        <v>88</v>
      </c>
      <c r="H29" s="595"/>
      <c r="I29" s="600">
        <f t="shared" ref="I29:I30" si="2">E29-G29</f>
        <v>0</v>
      </c>
      <c r="J29" s="58" t="s">
        <v>0</v>
      </c>
    </row>
    <row r="30" spans="1:12">
      <c r="A30" s="599" t="s">
        <v>279</v>
      </c>
      <c r="B30" s="595"/>
      <c r="C30" s="85">
        <f>182953+5168</f>
        <v>188121</v>
      </c>
      <c r="D30" s="595"/>
      <c r="E30" s="601">
        <f>56420+5050</f>
        <v>61470</v>
      </c>
      <c r="F30" s="595"/>
      <c r="G30" s="596">
        <f>56420+27786+250000</f>
        <v>334206</v>
      </c>
      <c r="H30" s="595"/>
      <c r="I30" s="600">
        <f t="shared" si="2"/>
        <v>-272736</v>
      </c>
      <c r="J30" s="58" t="s">
        <v>0</v>
      </c>
    </row>
    <row r="31" spans="1:12">
      <c r="A31" s="613" t="s">
        <v>46</v>
      </c>
      <c r="B31" s="611"/>
      <c r="C31" s="1343">
        <f>SUM(C16:C30)</f>
        <v>239698</v>
      </c>
      <c r="D31" s="611"/>
      <c r="E31" s="612">
        <f>SUM(E16:E30)</f>
        <v>113264</v>
      </c>
      <c r="F31" s="611"/>
      <c r="G31" s="612">
        <f>SUM(G16:G30)</f>
        <v>386000</v>
      </c>
      <c r="H31" s="611"/>
      <c r="I31" s="610">
        <f>SUM(I16:I30)</f>
        <v>-272736</v>
      </c>
      <c r="J31" s="58" t="s">
        <v>0</v>
      </c>
    </row>
    <row r="32" spans="1:12" ht="16.899999999999999" customHeight="1">
      <c r="A32" s="599" t="s">
        <v>47</v>
      </c>
      <c r="B32" s="595"/>
      <c r="C32" s="601">
        <v>-9676</v>
      </c>
      <c r="D32" s="595"/>
      <c r="E32" s="601">
        <v>-264</v>
      </c>
      <c r="F32" s="595"/>
      <c r="G32" s="601"/>
      <c r="H32" s="595"/>
      <c r="I32" s="600"/>
      <c r="J32" s="58" t="s">
        <v>0</v>
      </c>
    </row>
    <row r="33" spans="1:23">
      <c r="A33" s="599" t="s">
        <v>48</v>
      </c>
      <c r="B33" s="595"/>
      <c r="C33" s="601">
        <v>264</v>
      </c>
      <c r="D33" s="595"/>
      <c r="E33" s="601"/>
      <c r="F33" s="595"/>
      <c r="G33" s="601"/>
      <c r="H33" s="595"/>
      <c r="I33" s="600"/>
      <c r="J33" s="58" t="s">
        <v>0</v>
      </c>
    </row>
    <row r="34" spans="1:23">
      <c r="A34" s="599" t="s">
        <v>205</v>
      </c>
      <c r="B34" s="595"/>
      <c r="C34" s="601">
        <v>6860</v>
      </c>
      <c r="D34" s="595"/>
      <c r="E34" s="601"/>
      <c r="F34" s="595"/>
      <c r="G34" s="601"/>
      <c r="H34" s="595"/>
      <c r="I34" s="600"/>
      <c r="J34" s="58"/>
      <c r="K34" s="1033"/>
    </row>
    <row r="35" spans="1:23">
      <c r="A35" s="599" t="s">
        <v>394</v>
      </c>
      <c r="B35" s="595"/>
      <c r="C35" s="601">
        <v>7264</v>
      </c>
      <c r="D35" s="595"/>
      <c r="E35" s="601">
        <v>4000</v>
      </c>
      <c r="F35" s="595"/>
      <c r="G35" s="601">
        <v>4000</v>
      </c>
      <c r="H35" s="595"/>
      <c r="I35" s="600"/>
      <c r="J35" s="58" t="s">
        <v>0</v>
      </c>
      <c r="K35" s="863"/>
    </row>
    <row r="36" spans="1:23">
      <c r="A36" s="599" t="s">
        <v>49</v>
      </c>
      <c r="B36" s="595"/>
      <c r="C36" s="601">
        <v>-9880</v>
      </c>
      <c r="D36" s="595"/>
      <c r="E36" s="601">
        <v>-4000</v>
      </c>
      <c r="F36" s="595"/>
      <c r="G36" s="601">
        <v>-4000</v>
      </c>
      <c r="H36" s="595"/>
      <c r="I36" s="600"/>
      <c r="J36" s="58" t="s">
        <v>0</v>
      </c>
    </row>
    <row r="37" spans="1:23" ht="16.5" customHeight="1" thickBot="1">
      <c r="A37" s="609" t="s">
        <v>1</v>
      </c>
      <c r="B37" s="608"/>
      <c r="C37" s="1333">
        <f>SUM(C31:C36)</f>
        <v>234530</v>
      </c>
      <c r="D37" s="608"/>
      <c r="E37" s="1335">
        <f>SUM(E31:E36)</f>
        <v>113000</v>
      </c>
      <c r="F37" s="608"/>
      <c r="G37" s="1335">
        <f>SUM(G31:G36)</f>
        <v>386000</v>
      </c>
      <c r="H37" s="608"/>
      <c r="I37" s="1336"/>
      <c r="J37" s="58" t="s">
        <v>0</v>
      </c>
      <c r="L37" s="1794"/>
      <c r="M37" s="1794"/>
      <c r="N37" s="1794"/>
      <c r="O37" s="1794"/>
      <c r="P37" s="1794"/>
      <c r="Q37" s="1794"/>
      <c r="R37" s="1794"/>
      <c r="S37" s="1794"/>
      <c r="T37" s="1794"/>
      <c r="U37" s="1794"/>
      <c r="V37" s="1794"/>
      <c r="W37" s="1794"/>
    </row>
    <row r="38" spans="1:23">
      <c r="A38" s="606"/>
      <c r="B38" s="604"/>
      <c r="C38" s="605"/>
      <c r="D38" s="604"/>
      <c r="E38" s="605"/>
      <c r="F38" s="604"/>
      <c r="G38" s="605"/>
      <c r="H38" s="604"/>
      <c r="I38" s="603"/>
      <c r="J38" s="58" t="s">
        <v>0</v>
      </c>
      <c r="L38" s="1794"/>
      <c r="M38" s="1794"/>
      <c r="N38" s="1794"/>
      <c r="O38" s="1794"/>
      <c r="P38" s="1794"/>
      <c r="Q38" s="1794"/>
      <c r="R38" s="1794"/>
      <c r="S38" s="1794"/>
      <c r="T38" s="1794"/>
      <c r="U38" s="1794"/>
      <c r="V38" s="1794"/>
      <c r="W38" s="1794"/>
    </row>
    <row r="39" spans="1:23">
      <c r="A39" s="602" t="s">
        <v>108</v>
      </c>
      <c r="B39" s="595"/>
      <c r="C39" s="601"/>
      <c r="D39" s="595"/>
      <c r="E39" s="601"/>
      <c r="F39" s="595"/>
      <c r="G39" s="601"/>
      <c r="H39" s="595"/>
      <c r="I39" s="600"/>
      <c r="J39" s="58" t="s">
        <v>0</v>
      </c>
      <c r="L39" s="1794"/>
      <c r="M39" s="1794"/>
      <c r="N39" s="1794"/>
      <c r="O39" s="1794"/>
      <c r="P39" s="1794"/>
      <c r="Q39" s="1794"/>
      <c r="R39" s="1794"/>
      <c r="S39" s="1794"/>
      <c r="T39" s="1794"/>
      <c r="U39" s="1794"/>
      <c r="V39" s="1794"/>
      <c r="W39" s="1794"/>
    </row>
    <row r="40" spans="1:23">
      <c r="A40" s="599" t="s">
        <v>36</v>
      </c>
      <c r="B40" s="598">
        <v>0</v>
      </c>
      <c r="C40" s="596">
        <v>0</v>
      </c>
      <c r="D40" s="598">
        <v>0</v>
      </c>
      <c r="E40" s="596">
        <v>0</v>
      </c>
      <c r="F40" s="598">
        <v>0</v>
      </c>
      <c r="G40" s="596">
        <v>0</v>
      </c>
      <c r="H40" s="595"/>
      <c r="I40" s="594"/>
      <c r="J40" s="58" t="s">
        <v>0</v>
      </c>
    </row>
    <row r="41" spans="1:23">
      <c r="A41" s="597" t="s">
        <v>2</v>
      </c>
      <c r="B41" s="595"/>
      <c r="C41" s="596">
        <v>0</v>
      </c>
      <c r="D41" s="595"/>
      <c r="E41" s="596">
        <v>0</v>
      </c>
      <c r="F41" s="595"/>
      <c r="G41" s="596">
        <v>0</v>
      </c>
      <c r="H41" s="595"/>
      <c r="I41" s="594"/>
      <c r="J41" s="58" t="s">
        <v>0</v>
      </c>
    </row>
    <row r="42" spans="1:23">
      <c r="A42" s="593" t="s">
        <v>3</v>
      </c>
      <c r="B42" s="591"/>
      <c r="C42" s="592">
        <v>0</v>
      </c>
      <c r="D42" s="591"/>
      <c r="E42" s="592">
        <v>0</v>
      </c>
      <c r="F42" s="591"/>
      <c r="G42" s="592">
        <v>0</v>
      </c>
      <c r="H42" s="591"/>
      <c r="I42" s="590"/>
      <c r="J42" s="58" t="s">
        <v>0</v>
      </c>
    </row>
    <row r="43" spans="1:23">
      <c r="A43" s="589"/>
      <c r="B43" s="588"/>
      <c r="C43" s="588"/>
      <c r="D43" s="588"/>
      <c r="E43" s="588"/>
      <c r="F43" s="588"/>
      <c r="G43" s="588"/>
      <c r="H43" s="588"/>
      <c r="I43" s="588"/>
      <c r="J43" s="58" t="s">
        <v>13</v>
      </c>
    </row>
    <row r="44" spans="1:23">
      <c r="A44" s="1791"/>
      <c r="B44" s="1792"/>
      <c r="C44" s="1792"/>
      <c r="D44" s="1792"/>
      <c r="E44" s="1792"/>
      <c r="F44" s="1792"/>
      <c r="G44" s="1792"/>
      <c r="H44" s="1792"/>
      <c r="I44" s="1792"/>
      <c r="J44" s="1792"/>
    </row>
    <row r="45" spans="1:23">
      <c r="H45" s="15"/>
      <c r="I45" s="15"/>
      <c r="J45" s="295"/>
      <c r="K45" s="296"/>
    </row>
    <row r="46" spans="1:23" ht="18.75">
      <c r="A46" s="1789"/>
      <c r="B46" s="1789"/>
      <c r="C46" s="1789"/>
      <c r="D46" s="1789"/>
      <c r="E46" s="1789"/>
      <c r="F46" s="1789"/>
      <c r="G46" s="1789"/>
      <c r="H46" s="1789"/>
      <c r="I46" s="1789"/>
      <c r="J46" s="295"/>
      <c r="K46" s="296"/>
    </row>
    <row r="47" spans="1:23" s="18" customFormat="1" ht="27" customHeight="1">
      <c r="A47" s="1112"/>
      <c r="B47" s="1112"/>
      <c r="C47" s="1112"/>
      <c r="D47" s="1112"/>
      <c r="E47" s="1180"/>
      <c r="F47" s="1112"/>
      <c r="G47" s="1112"/>
      <c r="H47" s="1112"/>
      <c r="I47" s="1112"/>
      <c r="J47" s="182"/>
      <c r="K47" s="298"/>
    </row>
    <row r="48" spans="1:23" s="18" customFormat="1" ht="27" customHeight="1">
      <c r="A48" s="1793"/>
      <c r="B48" s="1793"/>
      <c r="C48" s="1793"/>
      <c r="D48" s="1793"/>
      <c r="E48" s="1793"/>
      <c r="F48" s="1793"/>
      <c r="G48" s="1793"/>
      <c r="H48" s="1793"/>
      <c r="I48" s="1793"/>
      <c r="J48" s="182"/>
      <c r="K48" s="298"/>
    </row>
    <row r="49" spans="1:11" s="18" customFormat="1" ht="27" customHeight="1">
      <c r="A49" s="1793"/>
      <c r="B49" s="1793"/>
      <c r="C49" s="1793"/>
      <c r="D49" s="1793"/>
      <c r="E49" s="1793"/>
      <c r="F49" s="1793"/>
      <c r="G49" s="1793"/>
      <c r="H49" s="1793"/>
      <c r="I49" s="1793"/>
      <c r="J49" s="182"/>
      <c r="K49" s="298"/>
    </row>
    <row r="50" spans="1:11" s="18" customFormat="1" ht="35.1" customHeight="1">
      <c r="A50" s="1787"/>
      <c r="B50" s="1787"/>
      <c r="C50" s="1787"/>
      <c r="D50" s="1787"/>
      <c r="E50" s="1787"/>
      <c r="F50" s="1787"/>
      <c r="G50" s="1787"/>
      <c r="H50" s="1787"/>
      <c r="I50" s="1787"/>
      <c r="J50" s="182"/>
      <c r="K50" s="298"/>
    </row>
    <row r="51" spans="1:11" s="18" customFormat="1" ht="39.75" customHeight="1">
      <c r="A51" s="1788"/>
      <c r="B51" s="1788"/>
      <c r="C51" s="1788"/>
      <c r="D51" s="1788"/>
      <c r="E51" s="1788"/>
      <c r="F51" s="1788"/>
      <c r="G51" s="1788"/>
      <c r="H51" s="1788"/>
      <c r="I51" s="1788"/>
      <c r="J51" s="182"/>
      <c r="K51" s="298"/>
    </row>
    <row r="52" spans="1:11" s="18" customFormat="1" ht="27" customHeight="1">
      <c r="A52" s="1788"/>
      <c r="B52" s="1788"/>
      <c r="C52" s="1788"/>
      <c r="D52" s="1788"/>
      <c r="E52" s="1788"/>
      <c r="F52" s="1788"/>
      <c r="G52" s="1788"/>
      <c r="H52" s="1788"/>
      <c r="I52" s="1788"/>
      <c r="J52" s="182"/>
      <c r="K52" s="298"/>
    </row>
    <row r="53" spans="1:11" s="18" customFormat="1" ht="39.75" customHeight="1">
      <c r="A53" s="1788"/>
      <c r="B53" s="1788"/>
      <c r="C53" s="1788"/>
      <c r="D53" s="1788"/>
      <c r="E53" s="1788"/>
      <c r="F53" s="1788"/>
      <c r="G53" s="1788"/>
      <c r="H53" s="1788"/>
      <c r="I53" s="1788"/>
      <c r="J53" s="182"/>
      <c r="K53" s="298"/>
    </row>
    <row r="54" spans="1:11" s="18" customFormat="1" ht="27" customHeight="1">
      <c r="A54" s="1790"/>
      <c r="B54" s="1790"/>
      <c r="C54" s="1790"/>
      <c r="D54" s="1790"/>
      <c r="E54" s="1790"/>
      <c r="F54" s="1790"/>
      <c r="G54" s="1790"/>
      <c r="H54" s="1790"/>
      <c r="I54" s="1790"/>
      <c r="J54" s="1790"/>
      <c r="K54" s="1950"/>
    </row>
    <row r="55" spans="1:11" s="18" customFormat="1" ht="22.9" customHeight="1">
      <c r="A55" s="297"/>
      <c r="B55" s="1786"/>
      <c r="C55" s="1786"/>
      <c r="D55" s="1786"/>
      <c r="E55" s="1786"/>
      <c r="F55" s="1786"/>
      <c r="G55" s="1786"/>
      <c r="H55" s="1786"/>
      <c r="I55" s="1786"/>
      <c r="J55" s="182"/>
      <c r="K55" s="298"/>
    </row>
    <row r="56" spans="1:11" s="18" customFormat="1">
      <c r="A56" s="297"/>
      <c r="B56" s="297"/>
      <c r="C56" s="297"/>
      <c r="D56" s="297"/>
      <c r="E56" s="297"/>
      <c r="F56" s="297"/>
      <c r="G56" s="297"/>
      <c r="H56" s="30"/>
      <c r="I56" s="31"/>
      <c r="J56" s="182"/>
      <c r="K56" s="298"/>
    </row>
    <row r="57" spans="1:11">
      <c r="A57" s="299"/>
      <c r="B57" s="299"/>
      <c r="C57" s="299"/>
      <c r="D57" s="299"/>
      <c r="E57" s="299"/>
      <c r="F57" s="299"/>
      <c r="G57" s="299"/>
      <c r="H57" s="31"/>
      <c r="I57" s="31"/>
      <c r="J57" s="295"/>
      <c r="K57" s="296"/>
    </row>
    <row r="58" spans="1:11">
      <c r="A58" s="299"/>
      <c r="B58" s="299"/>
      <c r="C58" s="299"/>
      <c r="D58" s="299"/>
      <c r="E58" s="299"/>
      <c r="F58" s="299"/>
      <c r="G58" s="299"/>
      <c r="H58" s="31"/>
      <c r="I58" s="31"/>
      <c r="J58" s="295"/>
      <c r="K58" s="296"/>
    </row>
    <row r="59" spans="1:11" ht="65.45" customHeight="1">
      <c r="A59" s="299"/>
      <c r="B59" s="1785"/>
      <c r="C59" s="1785"/>
      <c r="D59" s="1785"/>
      <c r="E59" s="1785"/>
      <c r="F59" s="1785"/>
      <c r="G59" s="1785"/>
      <c r="H59" s="1785"/>
      <c r="I59" s="1785"/>
      <c r="J59" s="295"/>
      <c r="K59" s="296"/>
    </row>
    <row r="60" spans="1:11">
      <c r="H60" s="13"/>
      <c r="I60" s="13"/>
    </row>
    <row r="61" spans="1:11">
      <c r="H61" s="13"/>
      <c r="I61" s="54"/>
    </row>
    <row r="62" spans="1:11">
      <c r="H62" s="13"/>
      <c r="I62" s="13"/>
    </row>
    <row r="63" spans="1:11">
      <c r="H63" s="13"/>
      <c r="I63" s="13"/>
      <c r="J63" s="294"/>
      <c r="K63" s="294"/>
    </row>
    <row r="64" spans="1:11">
      <c r="H64" s="13"/>
      <c r="I64" s="13"/>
      <c r="J64" s="294"/>
      <c r="K64" s="294"/>
    </row>
    <row r="65" spans="8:11">
      <c r="H65" s="13"/>
      <c r="I65" s="13"/>
      <c r="J65" s="294"/>
      <c r="K65" s="294"/>
    </row>
    <row r="66" spans="8:11">
      <c r="H66" s="13"/>
      <c r="I66" s="13"/>
      <c r="J66" s="294"/>
      <c r="K66" s="294"/>
    </row>
    <row r="67" spans="8:11">
      <c r="H67" s="13"/>
      <c r="I67" s="13"/>
      <c r="J67" s="294"/>
      <c r="K67" s="294"/>
    </row>
    <row r="68" spans="8:11">
      <c r="H68" s="13"/>
      <c r="I68" s="13"/>
      <c r="J68" s="294"/>
      <c r="K68" s="294"/>
    </row>
    <row r="69" spans="8:11">
      <c r="H69" s="13"/>
      <c r="I69" s="13"/>
      <c r="J69" s="294"/>
      <c r="K69" s="294"/>
    </row>
    <row r="70" spans="8:11">
      <c r="H70" s="13"/>
      <c r="I70" s="13"/>
      <c r="J70" s="294"/>
      <c r="K70" s="294"/>
    </row>
    <row r="71" spans="8:11">
      <c r="H71" s="13"/>
      <c r="I71" s="13"/>
      <c r="J71" s="294"/>
      <c r="K71" s="294"/>
    </row>
    <row r="72" spans="8:11">
      <c r="H72" s="13"/>
      <c r="I72" s="14"/>
      <c r="J72" s="294"/>
      <c r="K72" s="294"/>
    </row>
    <row r="73" spans="8:11">
      <c r="H73" s="13"/>
      <c r="I73" s="14"/>
      <c r="J73" s="294"/>
      <c r="K73" s="294"/>
    </row>
    <row r="74" spans="8:11">
      <c r="H74" s="13"/>
      <c r="I74" s="13"/>
      <c r="J74" s="294"/>
      <c r="K74" s="294"/>
    </row>
    <row r="75" spans="8:11">
      <c r="H75" s="13"/>
      <c r="I75" s="13"/>
      <c r="J75" s="294"/>
      <c r="K75" s="294"/>
    </row>
    <row r="76" spans="8:11">
      <c r="H76" s="13"/>
      <c r="I76" s="13"/>
      <c r="J76" s="294"/>
      <c r="K76" s="294"/>
    </row>
    <row r="77" spans="8:11">
      <c r="H77" s="13"/>
      <c r="I77" s="13"/>
      <c r="J77" s="294"/>
      <c r="K77" s="294"/>
    </row>
    <row r="78" spans="8:11">
      <c r="H78" s="13"/>
      <c r="I78" s="13"/>
      <c r="J78" s="294"/>
      <c r="K78" s="294"/>
    </row>
    <row r="79" spans="8:11">
      <c r="H79" s="13"/>
      <c r="I79" s="13"/>
      <c r="J79" s="294"/>
      <c r="K79" s="294"/>
    </row>
    <row r="80" spans="8:11">
      <c r="H80" s="13"/>
      <c r="I80" s="13"/>
      <c r="J80" s="294"/>
      <c r="K80" s="294"/>
    </row>
    <row r="81" spans="8:11">
      <c r="H81" s="13"/>
      <c r="I81" s="13"/>
      <c r="J81" s="294"/>
      <c r="K81" s="294"/>
    </row>
    <row r="82" spans="8:11">
      <c r="H82" s="13"/>
      <c r="I82" s="13"/>
      <c r="J82" s="294"/>
      <c r="K82" s="294"/>
    </row>
    <row r="83" spans="8:11">
      <c r="H83" s="13"/>
      <c r="I83" s="13"/>
      <c r="J83" s="294"/>
      <c r="K83" s="294"/>
    </row>
    <row r="84" spans="8:11">
      <c r="H84" s="13"/>
      <c r="I84" s="13"/>
      <c r="J84" s="294"/>
      <c r="K84" s="294"/>
    </row>
    <row r="85" spans="8:11">
      <c r="H85" s="13"/>
      <c r="I85" s="13"/>
      <c r="J85" s="294"/>
      <c r="K85" s="294"/>
    </row>
    <row r="86" spans="8:11">
      <c r="H86" s="13"/>
      <c r="I86" s="13"/>
      <c r="J86" s="294"/>
      <c r="K86" s="294"/>
    </row>
    <row r="87" spans="8:11">
      <c r="H87" s="16"/>
      <c r="I87" s="13"/>
      <c r="J87" s="294"/>
      <c r="K87" s="294"/>
    </row>
    <row r="88" spans="8:11">
      <c r="H88" s="18"/>
      <c r="I88" s="18"/>
      <c r="J88" s="294"/>
      <c r="K88" s="294"/>
    </row>
    <row r="89" spans="8:11">
      <c r="H89" s="6"/>
      <c r="I89" s="6"/>
      <c r="J89" s="294"/>
      <c r="K89" s="294"/>
    </row>
    <row r="90" spans="8:11">
      <c r="H90" s="6"/>
      <c r="I90" s="6"/>
      <c r="J90" s="294"/>
      <c r="K90" s="294"/>
    </row>
    <row r="91" spans="8:11">
      <c r="H91" s="6"/>
      <c r="I91" s="6"/>
      <c r="J91" s="294"/>
      <c r="K91" s="294"/>
    </row>
    <row r="92" spans="8:11">
      <c r="H92" s="6"/>
      <c r="I92" s="6"/>
      <c r="J92" s="294"/>
      <c r="K92" s="294"/>
    </row>
    <row r="93" spans="8:11">
      <c r="J93" s="294"/>
      <c r="K93" s="294"/>
    </row>
    <row r="94" spans="8:11">
      <c r="J94" s="294"/>
      <c r="K94" s="294"/>
    </row>
    <row r="196" spans="1:11">
      <c r="A196" s="294" t="s">
        <v>85</v>
      </c>
      <c r="J196" s="294"/>
      <c r="K196" s="294"/>
    </row>
  </sheetData>
  <customSheetViews>
    <customSheetView guid="{DA38F665-F06D-4DFB-B852-747D93BB00EF}" scale="75" showPageBreaks="1" printArea="1" view="pageBreakPreview">
      <pane xSplit="1" ySplit="9" topLeftCell="B16" activePane="bottomRight" state="frozen"/>
      <selection pane="bottomRight" activeCell="B210" sqref="B210"/>
      <pageMargins left="0.5" right="0.5" top="0.5" bottom="0.25" header="0.5" footer="0.5"/>
      <printOptions horizontalCentered="1"/>
      <pageSetup scale="70" orientation="landscape" r:id="rId1"/>
      <headerFooter alignWithMargins="0">
        <oddFooter>&amp;C&amp;"Times New Roman,Regular"Exhibit L - Summary of Requirements by Object Class&amp;R&amp;"Times New Roman,Regular"Research, Evaluation, and Statistics</oddFooter>
      </headerFooter>
    </customSheetView>
    <customSheetView guid="{4D0F9E3D-0229-48CC-A08B-F132802E9D7B}" scale="75" showPageBreaks="1" printArea="1" hiddenColumns="1" view="pageBreakPreview">
      <pane xSplit="1" ySplit="9" topLeftCell="B10" activePane="bottomRight" state="frozen"/>
      <selection pane="bottomRight" activeCell="C39" sqref="C39"/>
      <pageMargins left="0.5" right="0.5" top="0.5" bottom="0.25" header="0.5" footer="0.5"/>
      <printOptions horizontalCentered="1"/>
      <pageSetup scale="70" orientation="landscape" r:id="rId2"/>
      <headerFooter alignWithMargins="0">
        <oddFooter>&amp;C&amp;"Times New Roman,Regular"Exhibit L - Summary of Requirements by Object Class&amp;R&amp;"Times New Roman,Regular"Research, Evaluation, and Statistics</oddFooter>
      </headerFooter>
    </customSheetView>
    <customSheetView guid="{F6772377-6B25-4EEA-B255-4C2F62B37855}" scale="75" showPageBreaks="1" printArea="1" view="pageBreakPreview">
      <pane xSplit="1" ySplit="9" topLeftCell="B19" activePane="bottomRight" state="frozen"/>
      <selection pane="bottomRight" activeCell="C39" sqref="C39"/>
      <pageMargins left="0.5" right="0.5" top="0.5" bottom="0.25" header="0.5" footer="0.5"/>
      <printOptions horizontalCentered="1"/>
      <pageSetup scale="70" orientation="landscape" r:id="rId3"/>
      <headerFooter alignWithMargins="0">
        <oddFooter>&amp;C&amp;"Times New Roman,Regular"Exhibit L - Summary of Requirements by Object Class&amp;R&amp;"Times New Roman,Regular"Research, Evaluation, and Statistics</oddFooter>
      </headerFooter>
    </customSheetView>
    <customSheetView guid="{27B9C207-C13F-4981-9CED-E69585BBD779}" scale="75" showPageBreaks="1" printArea="1" view="pageBreakPreview" topLeftCell="A7">
      <selection activeCell="B36" sqref="B36"/>
      <pageMargins left="0.5" right="0.5" top="0.5" bottom="0.25" header="0.5" footer="0.5"/>
      <printOptions horizontalCentered="1"/>
      <pageSetup scale="70" orientation="landscape" r:id="rId4"/>
      <headerFooter alignWithMargins="0">
        <oddFooter>&amp;C&amp;"Times New Roman,Regular"Exhibit L - Summary of Requirements by Object Class&amp;R&amp;"Times New Roman,Regular"Research, Evaluation, and Statistics</oddFooter>
      </headerFooter>
    </customSheetView>
  </customSheetViews>
  <mergeCells count="24">
    <mergeCell ref="L37:W39"/>
    <mergeCell ref="A7:I7"/>
    <mergeCell ref="A5:I5"/>
    <mergeCell ref="A8:A9"/>
    <mergeCell ref="A6:I6"/>
    <mergeCell ref="B8:C8"/>
    <mergeCell ref="H8:I8"/>
    <mergeCell ref="F8:G8"/>
    <mergeCell ref="D8:E8"/>
    <mergeCell ref="A1:I1"/>
    <mergeCell ref="A2:I2"/>
    <mergeCell ref="A3:I3"/>
    <mergeCell ref="A4:I4"/>
    <mergeCell ref="B59:I59"/>
    <mergeCell ref="B55:I55"/>
    <mergeCell ref="A50:I50"/>
    <mergeCell ref="A52:I52"/>
    <mergeCell ref="A53:I53"/>
    <mergeCell ref="A46:I46"/>
    <mergeCell ref="A54:K54"/>
    <mergeCell ref="A44:J44"/>
    <mergeCell ref="A48:I48"/>
    <mergeCell ref="A49:I49"/>
    <mergeCell ref="A51:I51"/>
  </mergeCells>
  <printOptions horizontalCentered="1"/>
  <pageMargins left="0.5" right="0.5" top="0.5" bottom="0.25" header="0.5" footer="0.5"/>
  <pageSetup scale="70" orientation="landscape" r:id="rId5"/>
  <headerFooter alignWithMargins="0">
    <oddFooter>&amp;C&amp;"Times New Roman,Regular"Exhibit L - Summary of Requirements by Object Class&amp;R&amp;"Times New Roman,Regular"Research, Evaluation, and Statistics</oddFooter>
  </headerFooter>
</worksheet>
</file>

<file path=xl/worksheets/sheet18.xml><?xml version="1.0" encoding="utf-8"?>
<worksheet xmlns="http://schemas.openxmlformats.org/spreadsheetml/2006/main" xmlns:r="http://schemas.openxmlformats.org/officeDocument/2006/relationships">
  <dimension ref="A1:Y178"/>
  <sheetViews>
    <sheetView showGridLines="0" showOutlineSymbols="0" view="pageBreakPreview" topLeftCell="A36" zoomScale="75" zoomScaleNormal="75" zoomScaleSheetLayoutView="75" workbookViewId="0">
      <selection activeCell="C56" sqref="C56"/>
    </sheetView>
  </sheetViews>
  <sheetFormatPr defaultColWidth="8.88671875" defaultRowHeight="15.75"/>
  <cols>
    <col min="1" max="2" width="2.5546875" style="271" customWidth="1"/>
    <col min="3" max="3" width="55.88671875" style="271" customWidth="1"/>
    <col min="4" max="5" width="4.44140625" style="18" customWidth="1"/>
    <col min="6" max="6" width="10.21875" style="18" customWidth="1"/>
    <col min="7" max="8" width="4.44140625" style="18" customWidth="1"/>
    <col min="9" max="9" width="9.77734375" style="18" customWidth="1"/>
    <col min="10" max="11" width="4.44140625" style="18" customWidth="1"/>
    <col min="12" max="12" width="8.44140625" style="18" customWidth="1"/>
    <col min="13" max="14" width="4.44140625" style="18" customWidth="1"/>
    <col min="15" max="15" width="9.77734375" style="18" customWidth="1"/>
    <col min="16" max="17" width="4.44140625" style="18" customWidth="1"/>
    <col min="18" max="18" width="8.5546875" style="18" customWidth="1"/>
    <col min="19" max="20" width="4.44140625" style="18" customWidth="1"/>
    <col min="21" max="21" width="9.6640625" style="18" customWidth="1"/>
    <col min="22" max="22" width="7" style="18" customWidth="1"/>
    <col min="23" max="23" width="8.21875" style="18" customWidth="1"/>
    <col min="24" max="24" width="10.5546875" style="18" customWidth="1"/>
    <col min="25" max="25" width="6.5546875" style="68" customWidth="1"/>
    <col min="26" max="26" width="7.6640625" style="271" customWidth="1"/>
    <col min="27" max="16384" width="8.88671875" style="271"/>
  </cols>
  <sheetData>
    <row r="1" spans="1:25" ht="20.25">
      <c r="A1" s="1592" t="s">
        <v>144</v>
      </c>
      <c r="B1" s="1593"/>
      <c r="C1" s="1593"/>
      <c r="D1" s="1593"/>
      <c r="E1" s="1593"/>
      <c r="F1" s="1593"/>
      <c r="G1" s="1593"/>
      <c r="H1" s="1593"/>
      <c r="I1" s="1593"/>
      <c r="J1" s="1593"/>
      <c r="K1" s="1593"/>
      <c r="L1" s="1593"/>
      <c r="M1" s="1593"/>
      <c r="N1" s="1593"/>
      <c r="O1" s="1593"/>
      <c r="P1" s="1593"/>
      <c r="Q1" s="1593"/>
      <c r="R1" s="1593"/>
      <c r="S1" s="1593"/>
      <c r="T1" s="1593"/>
      <c r="U1" s="1593"/>
      <c r="V1" s="1593"/>
      <c r="W1" s="1593"/>
      <c r="X1" s="1593"/>
      <c r="Y1" s="67" t="s">
        <v>0</v>
      </c>
    </row>
    <row r="2" spans="1:25" ht="15.75" customHeight="1">
      <c r="A2" s="1867"/>
      <c r="B2" s="1867"/>
      <c r="C2" s="1867"/>
      <c r="D2" s="1867"/>
      <c r="E2" s="1867"/>
      <c r="F2" s="1867"/>
      <c r="G2" s="1867"/>
      <c r="H2" s="1867"/>
      <c r="I2" s="1867"/>
      <c r="J2" s="1867"/>
      <c r="K2" s="1867"/>
      <c r="L2" s="1867"/>
      <c r="M2" s="1867"/>
      <c r="N2" s="1867"/>
      <c r="O2" s="1867"/>
      <c r="P2" s="1867"/>
      <c r="Q2" s="1867"/>
      <c r="R2" s="1867"/>
      <c r="S2" s="1867"/>
      <c r="T2" s="1867"/>
      <c r="U2" s="1867"/>
      <c r="V2" s="1867"/>
      <c r="W2" s="1867"/>
      <c r="X2" s="1867"/>
      <c r="Y2" s="67" t="s">
        <v>0</v>
      </c>
    </row>
    <row r="3" spans="1:25" ht="22.5">
      <c r="A3" s="1568" t="s">
        <v>107</v>
      </c>
      <c r="B3" s="1561"/>
      <c r="C3" s="1561"/>
      <c r="D3" s="1561"/>
      <c r="E3" s="1561"/>
      <c r="F3" s="1561"/>
      <c r="G3" s="1561"/>
      <c r="H3" s="1561"/>
      <c r="I3" s="1561"/>
      <c r="J3" s="1561"/>
      <c r="K3" s="1561"/>
      <c r="L3" s="1561"/>
      <c r="M3" s="1561"/>
      <c r="N3" s="1561"/>
      <c r="O3" s="1561"/>
      <c r="P3" s="1561"/>
      <c r="Q3" s="1561"/>
      <c r="R3" s="1561"/>
      <c r="S3" s="1561"/>
      <c r="T3" s="1561"/>
      <c r="U3" s="1561"/>
      <c r="V3" s="1561"/>
      <c r="W3" s="1561"/>
      <c r="X3" s="1561"/>
      <c r="Y3" s="67" t="s">
        <v>0</v>
      </c>
    </row>
    <row r="4" spans="1:25" ht="23.25">
      <c r="A4" s="1553" t="s">
        <v>190</v>
      </c>
      <c r="B4" s="1562"/>
      <c r="C4" s="1562"/>
      <c r="D4" s="1562"/>
      <c r="E4" s="1562"/>
      <c r="F4" s="1562"/>
      <c r="G4" s="1562"/>
      <c r="H4" s="1562"/>
      <c r="I4" s="1562"/>
      <c r="J4" s="1562"/>
      <c r="K4" s="1562"/>
      <c r="L4" s="1562"/>
      <c r="M4" s="1562"/>
      <c r="N4" s="1562"/>
      <c r="O4" s="1562"/>
      <c r="P4" s="1562"/>
      <c r="Q4" s="1562"/>
      <c r="R4" s="1562"/>
      <c r="S4" s="1562"/>
      <c r="T4" s="1562"/>
      <c r="U4" s="1562"/>
      <c r="V4" s="1562"/>
      <c r="W4" s="1562"/>
      <c r="X4" s="1562"/>
      <c r="Y4" s="67" t="s">
        <v>0</v>
      </c>
    </row>
    <row r="5" spans="1:25" ht="23.25">
      <c r="A5" s="1553" t="s">
        <v>281</v>
      </c>
      <c r="B5" s="1561"/>
      <c r="C5" s="1561"/>
      <c r="D5" s="1561"/>
      <c r="E5" s="1561"/>
      <c r="F5" s="1561"/>
      <c r="G5" s="1561"/>
      <c r="H5" s="1561"/>
      <c r="I5" s="1561"/>
      <c r="J5" s="1561"/>
      <c r="K5" s="1561"/>
      <c r="L5" s="1561"/>
      <c r="M5" s="1561"/>
      <c r="N5" s="1561"/>
      <c r="O5" s="1561"/>
      <c r="P5" s="1561"/>
      <c r="Q5" s="1561"/>
      <c r="R5" s="1561"/>
      <c r="S5" s="1561"/>
      <c r="T5" s="1561"/>
      <c r="U5" s="1561"/>
      <c r="V5" s="1561"/>
      <c r="W5" s="1561"/>
      <c r="X5" s="1561"/>
      <c r="Y5" s="67" t="s">
        <v>0</v>
      </c>
    </row>
    <row r="6" spans="1:25" ht="23.25">
      <c r="A6" s="1553" t="s">
        <v>98</v>
      </c>
      <c r="B6" s="1562"/>
      <c r="C6" s="1562"/>
      <c r="D6" s="1562"/>
      <c r="E6" s="1562"/>
      <c r="F6" s="1562"/>
      <c r="G6" s="1562"/>
      <c r="H6" s="1562"/>
      <c r="I6" s="1562"/>
      <c r="J6" s="1562"/>
      <c r="K6" s="1562"/>
      <c r="L6" s="1562"/>
      <c r="M6" s="1562"/>
      <c r="N6" s="1562"/>
      <c r="O6" s="1562"/>
      <c r="P6" s="1562"/>
      <c r="Q6" s="1562"/>
      <c r="R6" s="1562"/>
      <c r="S6" s="1562"/>
      <c r="T6" s="1562"/>
      <c r="U6" s="1562"/>
      <c r="V6" s="1562"/>
      <c r="W6" s="1562"/>
      <c r="X6" s="1562"/>
      <c r="Y6" s="67" t="s">
        <v>0</v>
      </c>
    </row>
    <row r="7" spans="1:25" ht="15.75" customHeight="1">
      <c r="A7" s="1596"/>
      <c r="B7" s="1596"/>
      <c r="C7" s="1596"/>
      <c r="D7" s="1596"/>
      <c r="E7" s="1596"/>
      <c r="F7" s="1596"/>
      <c r="G7" s="1596"/>
      <c r="H7" s="1596"/>
      <c r="I7" s="1596"/>
      <c r="J7" s="1596"/>
      <c r="K7" s="1596"/>
      <c r="L7" s="1596"/>
      <c r="M7" s="1596"/>
      <c r="N7" s="1596"/>
      <c r="O7" s="1596"/>
      <c r="P7" s="1596"/>
      <c r="Q7" s="1596"/>
      <c r="R7" s="1596"/>
      <c r="S7" s="1596"/>
      <c r="T7" s="1596"/>
      <c r="U7" s="1596"/>
      <c r="V7" s="1596"/>
      <c r="W7" s="1596"/>
      <c r="X7" s="1596"/>
      <c r="Y7" s="67" t="s">
        <v>0</v>
      </c>
    </row>
    <row r="8" spans="1:25">
      <c r="A8" s="1595"/>
      <c r="B8" s="1595"/>
      <c r="C8" s="1595"/>
      <c r="D8" s="1595"/>
      <c r="E8" s="1595"/>
      <c r="F8" s="1595"/>
      <c r="G8" s="1595"/>
      <c r="H8" s="1595"/>
      <c r="I8" s="1595"/>
      <c r="J8" s="1595"/>
      <c r="K8" s="1595"/>
      <c r="L8" s="1595"/>
      <c r="M8" s="1595"/>
      <c r="N8" s="1595"/>
      <c r="O8" s="1595"/>
      <c r="P8" s="1595"/>
      <c r="Q8" s="1595"/>
      <c r="R8" s="1595"/>
      <c r="S8" s="1595"/>
      <c r="T8" s="1595"/>
      <c r="U8" s="1603"/>
      <c r="V8" s="1600" t="s">
        <v>148</v>
      </c>
      <c r="W8" s="1601"/>
      <c r="X8" s="1602"/>
      <c r="Y8" s="67" t="s">
        <v>0</v>
      </c>
    </row>
    <row r="9" spans="1:25">
      <c r="A9" s="1595"/>
      <c r="B9" s="1595"/>
      <c r="C9" s="1595"/>
      <c r="D9" s="1595"/>
      <c r="E9" s="1595"/>
      <c r="F9" s="1595"/>
      <c r="G9" s="1595"/>
      <c r="H9" s="1595"/>
      <c r="I9" s="1595"/>
      <c r="J9" s="1595"/>
      <c r="K9" s="1595"/>
      <c r="L9" s="1595"/>
      <c r="M9" s="1595"/>
      <c r="N9" s="1595"/>
      <c r="O9" s="1595"/>
      <c r="P9" s="1595"/>
      <c r="Q9" s="1595"/>
      <c r="R9" s="1595"/>
      <c r="S9" s="1595"/>
      <c r="T9" s="1595"/>
      <c r="U9" s="1603"/>
      <c r="V9" s="1606" t="s">
        <v>11</v>
      </c>
      <c r="W9" s="1599" t="s">
        <v>25</v>
      </c>
      <c r="X9" s="1597" t="s">
        <v>117</v>
      </c>
      <c r="Y9" s="67" t="s">
        <v>0</v>
      </c>
    </row>
    <row r="10" spans="1:25" ht="16.5" thickBot="1">
      <c r="A10" s="1604"/>
      <c r="B10" s="1604"/>
      <c r="C10" s="1604"/>
      <c r="D10" s="1604"/>
      <c r="E10" s="1604"/>
      <c r="F10" s="1604"/>
      <c r="G10" s="1604"/>
      <c r="H10" s="1604"/>
      <c r="I10" s="1604"/>
      <c r="J10" s="1604"/>
      <c r="K10" s="1604"/>
      <c r="L10" s="1604"/>
      <c r="M10" s="1604"/>
      <c r="N10" s="1604"/>
      <c r="O10" s="1604"/>
      <c r="P10" s="1604"/>
      <c r="Q10" s="1604"/>
      <c r="R10" s="1604"/>
      <c r="S10" s="1604"/>
      <c r="T10" s="1604"/>
      <c r="U10" s="1605"/>
      <c r="V10" s="1607"/>
      <c r="W10" s="1598"/>
      <c r="X10" s="1598"/>
      <c r="Y10" s="67" t="s">
        <v>0</v>
      </c>
    </row>
    <row r="11" spans="1:25">
      <c r="A11" s="1987" t="s">
        <v>172</v>
      </c>
      <c r="B11" s="1988"/>
      <c r="C11" s="1988"/>
      <c r="D11" s="1988"/>
      <c r="E11" s="1988"/>
      <c r="F11" s="1988"/>
      <c r="G11" s="1988"/>
      <c r="H11" s="1988"/>
      <c r="I11" s="1988"/>
      <c r="J11" s="1988"/>
      <c r="K11" s="1988"/>
      <c r="L11" s="1988"/>
      <c r="M11" s="1988"/>
      <c r="N11" s="1988"/>
      <c r="O11" s="1988"/>
      <c r="P11" s="1988"/>
      <c r="Q11" s="1988"/>
      <c r="R11" s="1988"/>
      <c r="S11" s="1988"/>
      <c r="T11" s="1988"/>
      <c r="U11" s="1988"/>
      <c r="V11" s="1441">
        <v>0</v>
      </c>
      <c r="W11" s="1441">
        <v>0</v>
      </c>
      <c r="X11" s="1442">
        <v>1117845</v>
      </c>
      <c r="Y11" s="67" t="s">
        <v>0</v>
      </c>
    </row>
    <row r="12" spans="1:25">
      <c r="A12" s="1433"/>
      <c r="B12" s="1434" t="s">
        <v>282</v>
      </c>
      <c r="C12" s="1434"/>
      <c r="D12" s="1434"/>
      <c r="E12" s="1434"/>
      <c r="F12" s="1434"/>
      <c r="G12" s="1434"/>
      <c r="H12" s="1434"/>
      <c r="I12" s="1434"/>
      <c r="J12" s="1434"/>
      <c r="K12" s="1434"/>
      <c r="L12" s="1434"/>
      <c r="M12" s="1434"/>
      <c r="N12" s="1434"/>
      <c r="O12" s="1434"/>
      <c r="P12" s="1434"/>
      <c r="Q12" s="1434"/>
      <c r="R12" s="1434"/>
      <c r="S12" s="1434"/>
      <c r="T12" s="1434"/>
      <c r="U12" s="1434"/>
      <c r="V12" s="1443"/>
      <c r="W12" s="1443"/>
      <c r="X12" s="1444">
        <v>168153</v>
      </c>
      <c r="Y12" s="67" t="s">
        <v>0</v>
      </c>
    </row>
    <row r="13" spans="1:25">
      <c r="A13" s="1433"/>
      <c r="B13" s="1434" t="s">
        <v>283</v>
      </c>
      <c r="C13" s="1434"/>
      <c r="D13" s="1434"/>
      <c r="E13" s="1434"/>
      <c r="F13" s="1434"/>
      <c r="G13" s="1434"/>
      <c r="H13" s="1434"/>
      <c r="I13" s="1434"/>
      <c r="J13" s="1434"/>
      <c r="K13" s="1434"/>
      <c r="L13" s="1434"/>
      <c r="M13" s="1434"/>
      <c r="N13" s="1434"/>
      <c r="O13" s="1434"/>
      <c r="P13" s="1434"/>
      <c r="Q13" s="1434"/>
      <c r="R13" s="1434"/>
      <c r="S13" s="1434"/>
      <c r="T13" s="1434"/>
      <c r="U13" s="1434"/>
      <c r="V13" s="1443"/>
      <c r="W13" s="1443"/>
      <c r="X13" s="1444">
        <v>2994</v>
      </c>
      <c r="Y13" s="67" t="s">
        <v>0</v>
      </c>
    </row>
    <row r="14" spans="1:25">
      <c r="A14" s="1433"/>
      <c r="B14" s="1434" t="s">
        <v>400</v>
      </c>
      <c r="C14" s="1434"/>
      <c r="D14" s="1434"/>
      <c r="E14" s="1434"/>
      <c r="F14" s="1434"/>
      <c r="G14" s="1434"/>
      <c r="H14" s="1434"/>
      <c r="I14" s="1434"/>
      <c r="J14" s="1434"/>
      <c r="K14" s="1434"/>
      <c r="L14" s="1434"/>
      <c r="M14" s="1434"/>
      <c r="N14" s="1434"/>
      <c r="O14" s="1434"/>
      <c r="P14" s="1434"/>
      <c r="Q14" s="1434"/>
      <c r="R14" s="1434"/>
      <c r="S14" s="1434"/>
      <c r="T14" s="1434"/>
      <c r="U14" s="1434"/>
      <c r="V14" s="1443"/>
      <c r="W14" s="1443"/>
      <c r="X14" s="558">
        <v>-31230</v>
      </c>
      <c r="Y14" s="67" t="s">
        <v>0</v>
      </c>
    </row>
    <row r="15" spans="1:25" s="1191" customFormat="1">
      <c r="A15" s="1229"/>
      <c r="B15" s="1228" t="s">
        <v>589</v>
      </c>
      <c r="C15" s="1228"/>
      <c r="D15" s="1434"/>
      <c r="E15" s="1434"/>
      <c r="F15" s="1434"/>
      <c r="G15" s="1434"/>
      <c r="H15" s="1434"/>
      <c r="I15" s="1434"/>
      <c r="J15" s="1434"/>
      <c r="K15" s="1434"/>
      <c r="L15" s="1434"/>
      <c r="M15" s="1434"/>
      <c r="N15" s="1434"/>
      <c r="O15" s="1434"/>
      <c r="P15" s="1434"/>
      <c r="Q15" s="1434"/>
      <c r="R15" s="1434"/>
      <c r="S15" s="1434"/>
      <c r="T15" s="1434"/>
      <c r="U15" s="1434"/>
      <c r="V15" s="1443"/>
      <c r="W15" s="1443"/>
      <c r="X15" s="558">
        <v>-25817</v>
      </c>
      <c r="Y15" s="67"/>
    </row>
    <row r="16" spans="1:25">
      <c r="A16" s="1229"/>
      <c r="B16" s="1445" t="s">
        <v>402</v>
      </c>
      <c r="C16" s="1228"/>
      <c r="D16" s="1434"/>
      <c r="E16" s="1434"/>
      <c r="F16" s="1434"/>
      <c r="G16" s="1434"/>
      <c r="H16" s="1434"/>
      <c r="I16" s="1434"/>
      <c r="J16" s="1434"/>
      <c r="K16" s="1434"/>
      <c r="L16" s="1434"/>
      <c r="M16" s="1434"/>
      <c r="N16" s="1434"/>
      <c r="O16" s="1434"/>
      <c r="P16" s="1434"/>
      <c r="Q16" s="1434"/>
      <c r="R16" s="1434"/>
      <c r="S16" s="1434"/>
      <c r="T16" s="1434"/>
      <c r="U16" s="1434"/>
      <c r="V16" s="1446">
        <v>0</v>
      </c>
      <c r="W16" s="1446">
        <v>0</v>
      </c>
      <c r="X16" s="1447">
        <f>SUM(X11:X15)</f>
        <v>1231945</v>
      </c>
      <c r="Y16" s="67" t="s">
        <v>0</v>
      </c>
    </row>
    <row r="17" spans="1:25">
      <c r="A17" s="1989" t="s">
        <v>171</v>
      </c>
      <c r="B17" s="1550"/>
      <c r="C17" s="1550"/>
      <c r="D17" s="1550"/>
      <c r="E17" s="1550"/>
      <c r="F17" s="1550"/>
      <c r="G17" s="1550"/>
      <c r="H17" s="1550"/>
      <c r="I17" s="1550"/>
      <c r="J17" s="1550"/>
      <c r="K17" s="1550"/>
      <c r="L17" s="1550"/>
      <c r="M17" s="1550"/>
      <c r="N17" s="1550"/>
      <c r="O17" s="1550"/>
      <c r="P17" s="1550"/>
      <c r="Q17" s="1550"/>
      <c r="R17" s="1550"/>
      <c r="S17" s="1550"/>
      <c r="T17" s="1550"/>
      <c r="U17" s="1550"/>
      <c r="V17" s="1446">
        <v>0</v>
      </c>
      <c r="W17" s="1446">
        <v>0</v>
      </c>
      <c r="X17" s="1448">
        <v>1162500</v>
      </c>
      <c r="Y17" s="67" t="s">
        <v>0</v>
      </c>
    </row>
    <row r="18" spans="1:25" ht="18.75" customHeight="1">
      <c r="A18" s="1549" t="s">
        <v>456</v>
      </c>
      <c r="B18" s="1550"/>
      <c r="C18" s="1550"/>
      <c r="D18" s="1550"/>
      <c r="E18" s="1550"/>
      <c r="F18" s="1550"/>
      <c r="G18" s="1550"/>
      <c r="H18" s="1550"/>
      <c r="I18" s="1550"/>
      <c r="J18" s="1550"/>
      <c r="K18" s="1550"/>
      <c r="L18" s="1550"/>
      <c r="M18" s="1550"/>
      <c r="N18" s="1550"/>
      <c r="O18" s="1550"/>
      <c r="P18" s="1550"/>
      <c r="Q18" s="1550"/>
      <c r="R18" s="1550"/>
      <c r="S18" s="1550"/>
      <c r="T18" s="1550"/>
      <c r="U18" s="1550"/>
      <c r="V18" s="1443"/>
      <c r="W18" s="1443"/>
      <c r="X18" s="1449">
        <v>-42000</v>
      </c>
      <c r="Y18" s="67" t="s">
        <v>0</v>
      </c>
    </row>
    <row r="19" spans="1:25">
      <c r="A19" s="1990" t="s">
        <v>237</v>
      </c>
      <c r="B19" s="1991"/>
      <c r="C19" s="1991"/>
      <c r="D19" s="1991"/>
      <c r="E19" s="1991"/>
      <c r="F19" s="1991"/>
      <c r="G19" s="1991"/>
      <c r="H19" s="1991"/>
      <c r="I19" s="1991"/>
      <c r="J19" s="1991"/>
      <c r="K19" s="1991"/>
      <c r="L19" s="1991"/>
      <c r="M19" s="1991"/>
      <c r="N19" s="1991"/>
      <c r="O19" s="1991"/>
      <c r="P19" s="1991"/>
      <c r="Q19" s="1991"/>
      <c r="R19" s="1991"/>
      <c r="S19" s="1991"/>
      <c r="T19" s="1991"/>
      <c r="U19" s="1991"/>
      <c r="V19" s="1450">
        <f>+V18+V17</f>
        <v>0</v>
      </c>
      <c r="W19" s="1450">
        <f>+W18+W17</f>
        <v>0</v>
      </c>
      <c r="X19" s="1437">
        <f>+X18+X17</f>
        <v>1120500</v>
      </c>
      <c r="Y19" s="67" t="s">
        <v>0</v>
      </c>
    </row>
    <row r="20" spans="1:25">
      <c r="A20" s="1818" t="s">
        <v>61</v>
      </c>
      <c r="B20" s="1992"/>
      <c r="C20" s="1992"/>
      <c r="D20" s="1992"/>
      <c r="E20" s="1992"/>
      <c r="F20" s="1992"/>
      <c r="G20" s="1992"/>
      <c r="H20" s="1992"/>
      <c r="I20" s="1992"/>
      <c r="J20" s="1992"/>
      <c r="K20" s="1992"/>
      <c r="L20" s="1992"/>
      <c r="M20" s="1992"/>
      <c r="N20" s="1992"/>
      <c r="O20" s="1992"/>
      <c r="P20" s="1992"/>
      <c r="Q20" s="1992"/>
      <c r="R20" s="1992"/>
      <c r="S20" s="1992"/>
      <c r="T20" s="1992"/>
      <c r="U20" s="1992"/>
      <c r="V20" s="425"/>
      <c r="W20" s="425"/>
      <c r="X20" s="388"/>
      <c r="Y20" s="67" t="s">
        <v>0</v>
      </c>
    </row>
    <row r="21" spans="1:25">
      <c r="A21" s="1484"/>
      <c r="B21" s="1483"/>
      <c r="C21" s="631" t="s">
        <v>676</v>
      </c>
      <c r="D21" s="1483"/>
      <c r="E21" s="1483"/>
      <c r="F21" s="1483"/>
      <c r="G21" s="1483"/>
      <c r="H21" s="1483"/>
      <c r="I21" s="1483"/>
      <c r="J21" s="1483"/>
      <c r="K21" s="1483"/>
      <c r="L21" s="1483"/>
      <c r="M21" s="1483"/>
      <c r="N21" s="1483"/>
      <c r="O21" s="1483"/>
      <c r="P21" s="1483"/>
      <c r="Q21" s="1483"/>
      <c r="R21" s="1483"/>
      <c r="S21" s="1483"/>
      <c r="T21" s="1483"/>
      <c r="U21" s="1483"/>
      <c r="V21" s="425"/>
      <c r="W21" s="425"/>
      <c r="X21" s="630">
        <f>-X18</f>
        <v>42000</v>
      </c>
      <c r="Y21" s="67" t="s">
        <v>0</v>
      </c>
    </row>
    <row r="22" spans="1:25">
      <c r="A22" s="1549" t="s">
        <v>5</v>
      </c>
      <c r="B22" s="1550"/>
      <c r="C22" s="1550"/>
      <c r="D22" s="1550"/>
      <c r="E22" s="1550"/>
      <c r="F22" s="1550"/>
      <c r="G22" s="1550"/>
      <c r="H22" s="1550"/>
      <c r="I22" s="1550"/>
      <c r="J22" s="1550"/>
      <c r="K22" s="1550"/>
      <c r="L22" s="1550"/>
      <c r="M22" s="1550"/>
      <c r="N22" s="1550"/>
      <c r="O22" s="1550"/>
      <c r="P22" s="1550"/>
      <c r="Q22" s="1550"/>
      <c r="R22" s="1550"/>
      <c r="S22" s="1550"/>
      <c r="T22" s="1550"/>
      <c r="U22" s="1550"/>
      <c r="V22" s="425"/>
      <c r="W22" s="425"/>
      <c r="X22" s="388"/>
      <c r="Y22" s="67" t="s">
        <v>0</v>
      </c>
    </row>
    <row r="23" spans="1:25">
      <c r="A23" s="330" t="s">
        <v>29</v>
      </c>
      <c r="B23" s="411"/>
      <c r="C23" s="411"/>
      <c r="D23" s="411"/>
      <c r="E23" s="411"/>
      <c r="F23" s="411"/>
      <c r="G23" s="411"/>
      <c r="H23" s="411"/>
      <c r="I23" s="411"/>
      <c r="J23" s="411"/>
      <c r="K23" s="411"/>
      <c r="L23" s="411"/>
      <c r="M23" s="411"/>
      <c r="N23" s="411"/>
      <c r="O23" s="411"/>
      <c r="P23" s="411"/>
      <c r="Q23" s="411"/>
      <c r="R23" s="411"/>
      <c r="S23" s="411"/>
      <c r="T23" s="411"/>
      <c r="U23" s="411"/>
      <c r="V23" s="425"/>
      <c r="W23" s="425"/>
      <c r="X23" s="388"/>
      <c r="Y23" s="67" t="s">
        <v>0</v>
      </c>
    </row>
    <row r="24" spans="1:25">
      <c r="A24" s="1565" t="s">
        <v>21</v>
      </c>
      <c r="B24" s="1566"/>
      <c r="C24" s="1566"/>
      <c r="D24" s="1566"/>
      <c r="E24" s="1566"/>
      <c r="F24" s="1566"/>
      <c r="G24" s="1566"/>
      <c r="H24" s="1566"/>
      <c r="I24" s="1566"/>
      <c r="J24" s="1566"/>
      <c r="K24" s="1566"/>
      <c r="L24" s="1566"/>
      <c r="M24" s="1566"/>
      <c r="N24" s="1566"/>
      <c r="O24" s="1566"/>
      <c r="P24" s="1566"/>
      <c r="Q24" s="1566"/>
      <c r="R24" s="1566"/>
      <c r="S24" s="1566"/>
      <c r="T24" s="1566"/>
      <c r="U24" s="1566"/>
      <c r="V24" s="425"/>
      <c r="W24" s="425"/>
      <c r="X24" s="425">
        <v>0</v>
      </c>
      <c r="Y24" s="67" t="s">
        <v>0</v>
      </c>
    </row>
    <row r="25" spans="1:25">
      <c r="A25" s="1565" t="s">
        <v>20</v>
      </c>
      <c r="B25" s="1566"/>
      <c r="C25" s="1566"/>
      <c r="D25" s="1566"/>
      <c r="E25" s="1566"/>
      <c r="F25" s="1566"/>
      <c r="G25" s="1566"/>
      <c r="H25" s="1566"/>
      <c r="I25" s="1566"/>
      <c r="J25" s="1566"/>
      <c r="K25" s="1566"/>
      <c r="L25" s="1566"/>
      <c r="M25" s="1566"/>
      <c r="N25" s="1566"/>
      <c r="O25" s="1566"/>
      <c r="P25" s="1566"/>
      <c r="Q25" s="1566"/>
      <c r="R25" s="1566"/>
      <c r="S25" s="1566"/>
      <c r="T25" s="1566"/>
      <c r="U25" s="1566"/>
      <c r="V25" s="425"/>
      <c r="W25" s="425"/>
      <c r="X25" s="425">
        <f>X24+X21</f>
        <v>42000</v>
      </c>
      <c r="Y25" s="67" t="s">
        <v>0</v>
      </c>
    </row>
    <row r="26" spans="1:25">
      <c r="A26" s="1589" t="s">
        <v>150</v>
      </c>
      <c r="B26" s="1590"/>
      <c r="C26" s="1590"/>
      <c r="D26" s="1590"/>
      <c r="E26" s="1590"/>
      <c r="F26" s="1590"/>
      <c r="G26" s="1590"/>
      <c r="H26" s="1590"/>
      <c r="I26" s="1590"/>
      <c r="J26" s="1590"/>
      <c r="K26" s="1590"/>
      <c r="L26" s="1590"/>
      <c r="M26" s="1590"/>
      <c r="N26" s="1590"/>
      <c r="O26" s="1590"/>
      <c r="P26" s="1590"/>
      <c r="Q26" s="1590"/>
      <c r="R26" s="1590"/>
      <c r="S26" s="1590"/>
      <c r="T26" s="1590"/>
      <c r="U26" s="1591"/>
      <c r="V26" s="99">
        <f>+V25+V19</f>
        <v>0</v>
      </c>
      <c r="W26" s="99">
        <f>+W25+W19</f>
        <v>0</v>
      </c>
      <c r="X26" s="99">
        <f>+X25+X19</f>
        <v>1162500</v>
      </c>
      <c r="Y26" s="67" t="s">
        <v>0</v>
      </c>
    </row>
    <row r="27" spans="1:25">
      <c r="A27" s="1549" t="s">
        <v>62</v>
      </c>
      <c r="B27" s="1550"/>
      <c r="C27" s="1550"/>
      <c r="D27" s="1550"/>
      <c r="E27" s="1550"/>
      <c r="F27" s="1550"/>
      <c r="G27" s="1550"/>
      <c r="H27" s="1550"/>
      <c r="I27" s="1550"/>
      <c r="J27" s="1550"/>
      <c r="K27" s="1550"/>
      <c r="L27" s="1550"/>
      <c r="M27" s="1550"/>
      <c r="N27" s="1550"/>
      <c r="O27" s="1550"/>
      <c r="P27" s="1550"/>
      <c r="Q27" s="1550"/>
      <c r="R27" s="1550"/>
      <c r="S27" s="1550"/>
      <c r="T27" s="1550"/>
      <c r="U27" s="1550"/>
      <c r="V27" s="425"/>
      <c r="W27" s="425"/>
      <c r="X27" s="388"/>
      <c r="Y27" s="67" t="s">
        <v>0</v>
      </c>
    </row>
    <row r="28" spans="1:25">
      <c r="A28" s="360"/>
      <c r="B28" s="631" t="s">
        <v>164</v>
      </c>
      <c r="C28" s="361"/>
      <c r="D28" s="361"/>
      <c r="E28" s="361"/>
      <c r="F28" s="361"/>
      <c r="G28" s="361"/>
      <c r="H28" s="361"/>
      <c r="I28" s="361"/>
      <c r="J28" s="361"/>
      <c r="K28" s="361"/>
      <c r="L28" s="361"/>
      <c r="M28" s="361"/>
      <c r="N28" s="361"/>
      <c r="O28" s="361"/>
      <c r="P28" s="361"/>
      <c r="Q28" s="361"/>
      <c r="R28" s="361"/>
      <c r="S28" s="361"/>
      <c r="T28" s="361"/>
      <c r="U28" s="361"/>
      <c r="V28" s="425" t="s">
        <v>116</v>
      </c>
      <c r="W28" s="425"/>
      <c r="X28" s="388"/>
      <c r="Y28" s="67" t="s">
        <v>0</v>
      </c>
    </row>
    <row r="29" spans="1:25">
      <c r="A29" s="358"/>
      <c r="B29" s="632"/>
      <c r="C29" s="631" t="s">
        <v>284</v>
      </c>
      <c r="D29" s="632"/>
      <c r="E29" s="632"/>
      <c r="F29" s="632"/>
      <c r="G29" s="632"/>
      <c r="H29" s="632"/>
      <c r="I29" s="632"/>
      <c r="J29" s="632"/>
      <c r="K29" s="632"/>
      <c r="L29" s="632"/>
      <c r="M29" s="632"/>
      <c r="N29" s="632"/>
      <c r="O29" s="632"/>
      <c r="P29" s="632"/>
      <c r="Q29" s="632"/>
      <c r="R29" s="632"/>
      <c r="S29" s="632"/>
      <c r="T29" s="632"/>
      <c r="U29" s="633"/>
      <c r="V29" s="425"/>
      <c r="W29" s="425"/>
      <c r="X29" s="388">
        <v>10000</v>
      </c>
      <c r="Y29" s="67" t="s">
        <v>0</v>
      </c>
    </row>
    <row r="30" spans="1:25">
      <c r="A30" s="358"/>
      <c r="B30" s="632"/>
      <c r="C30" s="631" t="s">
        <v>285</v>
      </c>
      <c r="D30" s="632"/>
      <c r="E30" s="632"/>
      <c r="F30" s="632"/>
      <c r="G30" s="632"/>
      <c r="H30" s="632"/>
      <c r="I30" s="632"/>
      <c r="J30" s="632"/>
      <c r="K30" s="632"/>
      <c r="L30" s="632"/>
      <c r="M30" s="632"/>
      <c r="N30" s="632"/>
      <c r="O30" s="632"/>
      <c r="P30" s="632"/>
      <c r="Q30" s="632"/>
      <c r="R30" s="632"/>
      <c r="S30" s="632"/>
      <c r="T30" s="632"/>
      <c r="U30" s="633"/>
      <c r="V30" s="425"/>
      <c r="W30" s="425"/>
      <c r="X30" s="388">
        <v>5000</v>
      </c>
      <c r="Y30" s="67" t="s">
        <v>0</v>
      </c>
    </row>
    <row r="31" spans="1:25">
      <c r="A31" s="358"/>
      <c r="B31" s="632"/>
      <c r="C31" s="634" t="s">
        <v>286</v>
      </c>
      <c r="D31" s="635"/>
      <c r="E31" s="635"/>
      <c r="F31" s="635"/>
      <c r="G31" s="635"/>
      <c r="H31" s="635"/>
      <c r="I31" s="635"/>
      <c r="J31" s="635"/>
      <c r="K31" s="635"/>
      <c r="L31" s="635"/>
      <c r="M31" s="635"/>
      <c r="N31" s="635"/>
      <c r="O31" s="635"/>
      <c r="P31" s="635"/>
      <c r="Q31" s="635"/>
      <c r="R31" s="635"/>
      <c r="S31" s="635"/>
      <c r="T31" s="635"/>
      <c r="U31" s="636"/>
      <c r="V31" s="637"/>
      <c r="W31" s="637"/>
      <c r="X31" s="630">
        <v>8000</v>
      </c>
      <c r="Y31" s="67" t="s">
        <v>0</v>
      </c>
    </row>
    <row r="32" spans="1:25" s="1376" customFormat="1">
      <c r="A32" s="1377"/>
      <c r="B32" s="1379"/>
      <c r="C32" s="631" t="s">
        <v>657</v>
      </c>
      <c r="D32" s="1379"/>
      <c r="E32" s="1379"/>
      <c r="F32" s="1379"/>
      <c r="G32" s="1379"/>
      <c r="H32" s="1379"/>
      <c r="I32" s="1379"/>
      <c r="J32" s="1379"/>
      <c r="K32" s="1379"/>
      <c r="L32" s="1379"/>
      <c r="M32" s="1379"/>
      <c r="N32" s="1379"/>
      <c r="O32" s="1379"/>
      <c r="P32" s="1379"/>
      <c r="Q32" s="1379"/>
      <c r="R32" s="1379"/>
      <c r="S32" s="1379"/>
      <c r="T32" s="1379"/>
      <c r="U32" s="1379"/>
      <c r="V32" s="425"/>
      <c r="W32" s="388"/>
      <c r="X32" s="388">
        <v>60000</v>
      </c>
      <c r="Y32" s="67"/>
    </row>
    <row r="33" spans="1:25">
      <c r="A33" s="358"/>
      <c r="B33" s="632"/>
      <c r="C33" s="631" t="s">
        <v>287</v>
      </c>
      <c r="D33" s="632"/>
      <c r="E33" s="632"/>
      <c r="F33" s="632"/>
      <c r="G33" s="632"/>
      <c r="H33" s="632"/>
      <c r="I33" s="632"/>
      <c r="J33" s="632"/>
      <c r="K33" s="632"/>
      <c r="L33" s="632"/>
      <c r="M33" s="632"/>
      <c r="N33" s="632"/>
      <c r="O33" s="632"/>
      <c r="P33" s="632"/>
      <c r="Q33" s="632"/>
      <c r="R33" s="632"/>
      <c r="S33" s="632"/>
      <c r="T33" s="632"/>
      <c r="U33" s="633"/>
      <c r="V33" s="425"/>
      <c r="W33" s="425"/>
      <c r="X33" s="388">
        <v>8000</v>
      </c>
      <c r="Y33" s="67" t="s">
        <v>0</v>
      </c>
    </row>
    <row r="34" spans="1:25">
      <c r="A34" s="358"/>
      <c r="B34" s="632"/>
      <c r="C34" s="631" t="s">
        <v>630</v>
      </c>
      <c r="D34" s="632"/>
      <c r="E34" s="632"/>
      <c r="F34" s="632"/>
      <c r="G34" s="632"/>
      <c r="H34" s="632"/>
      <c r="I34" s="632"/>
      <c r="J34" s="632"/>
      <c r="K34" s="632"/>
      <c r="L34" s="632"/>
      <c r="M34" s="632"/>
      <c r="N34" s="632"/>
      <c r="O34" s="632"/>
      <c r="P34" s="632"/>
      <c r="Q34" s="632"/>
      <c r="R34" s="632"/>
      <c r="S34" s="632"/>
      <c r="T34" s="632"/>
      <c r="U34" s="633"/>
      <c r="V34" s="425"/>
      <c r="W34" s="425"/>
      <c r="X34" s="388">
        <v>52000</v>
      </c>
      <c r="Y34" s="67" t="s">
        <v>0</v>
      </c>
    </row>
    <row r="35" spans="1:25">
      <c r="A35" s="358"/>
      <c r="B35" s="632"/>
      <c r="C35" s="631" t="s">
        <v>288</v>
      </c>
      <c r="D35" s="632"/>
      <c r="E35" s="632"/>
      <c r="F35" s="632"/>
      <c r="G35" s="632"/>
      <c r="H35" s="632"/>
      <c r="I35" s="632"/>
      <c r="J35" s="632"/>
      <c r="K35" s="632"/>
      <c r="L35" s="632"/>
      <c r="M35" s="632"/>
      <c r="N35" s="632"/>
      <c r="O35" s="632"/>
      <c r="P35" s="632"/>
      <c r="Q35" s="632"/>
      <c r="R35" s="632"/>
      <c r="S35" s="632"/>
      <c r="T35" s="632"/>
      <c r="U35" s="633"/>
      <c r="V35" s="425"/>
      <c r="W35" s="425"/>
      <c r="X35" s="388">
        <v>11000</v>
      </c>
      <c r="Y35" s="67" t="s">
        <v>0</v>
      </c>
    </row>
    <row r="36" spans="1:25">
      <c r="A36" s="358"/>
      <c r="B36" s="632"/>
      <c r="C36" s="631" t="s">
        <v>289</v>
      </c>
      <c r="D36" s="632"/>
      <c r="E36" s="632"/>
      <c r="F36" s="632"/>
      <c r="G36" s="632"/>
      <c r="H36" s="632"/>
      <c r="I36" s="632"/>
      <c r="J36" s="632"/>
      <c r="K36" s="632"/>
      <c r="L36" s="632"/>
      <c r="M36" s="632"/>
      <c r="N36" s="632"/>
      <c r="O36" s="632"/>
      <c r="P36" s="632"/>
      <c r="Q36" s="632"/>
      <c r="R36" s="632"/>
      <c r="S36" s="632"/>
      <c r="T36" s="632"/>
      <c r="U36" s="633"/>
      <c r="V36" s="425"/>
      <c r="W36" s="425"/>
      <c r="X36" s="388">
        <v>17000</v>
      </c>
      <c r="Y36" s="67" t="s">
        <v>0</v>
      </c>
    </row>
    <row r="37" spans="1:25">
      <c r="A37" s="638"/>
      <c r="B37" s="639"/>
      <c r="C37" s="640" t="s">
        <v>290</v>
      </c>
      <c r="D37" s="639"/>
      <c r="E37" s="639"/>
      <c r="F37" s="639"/>
      <c r="G37" s="639"/>
      <c r="H37" s="639"/>
      <c r="I37" s="639"/>
      <c r="J37" s="639"/>
      <c r="K37" s="639"/>
      <c r="L37" s="639"/>
      <c r="M37" s="639"/>
      <c r="N37" s="639"/>
      <c r="O37" s="639"/>
      <c r="P37" s="639"/>
      <c r="Q37" s="639"/>
      <c r="R37" s="639"/>
      <c r="S37" s="639"/>
      <c r="T37" s="639"/>
      <c r="U37" s="639"/>
      <c r="V37" s="424">
        <f>SUM(V29:V36)</f>
        <v>0</v>
      </c>
      <c r="W37" s="388">
        <f>SUM(W29:W36)</f>
        <v>0</v>
      </c>
      <c r="X37" s="388">
        <f>SUM(X29:X36)</f>
        <v>171000</v>
      </c>
      <c r="Y37" s="67" t="s">
        <v>0</v>
      </c>
    </row>
    <row r="38" spans="1:25">
      <c r="A38" s="360"/>
      <c r="B38" s="631" t="s">
        <v>291</v>
      </c>
      <c r="C38" s="641"/>
      <c r="D38" s="361"/>
      <c r="E38" s="361"/>
      <c r="F38" s="361"/>
      <c r="G38" s="361"/>
      <c r="H38" s="361"/>
      <c r="I38" s="361"/>
      <c r="J38" s="361"/>
      <c r="K38" s="361"/>
      <c r="L38" s="361"/>
      <c r="M38" s="361"/>
      <c r="N38" s="361"/>
      <c r="O38" s="361"/>
      <c r="P38" s="361"/>
      <c r="Q38" s="361"/>
      <c r="R38" s="361"/>
      <c r="S38" s="361"/>
      <c r="T38" s="361"/>
      <c r="U38" s="361"/>
      <c r="V38" s="425"/>
      <c r="W38" s="425"/>
      <c r="X38" s="388"/>
      <c r="Y38" s="67" t="s">
        <v>0</v>
      </c>
    </row>
    <row r="39" spans="1:25">
      <c r="A39" s="358"/>
      <c r="B39" s="632"/>
      <c r="C39" s="411" t="s">
        <v>292</v>
      </c>
      <c r="D39" s="632"/>
      <c r="E39" s="632"/>
      <c r="F39" s="632"/>
      <c r="G39" s="632"/>
      <c r="H39" s="632"/>
      <c r="I39" s="632"/>
      <c r="J39" s="632"/>
      <c r="K39" s="632"/>
      <c r="L39" s="632"/>
      <c r="M39" s="632"/>
      <c r="N39" s="632"/>
      <c r="O39" s="632"/>
      <c r="P39" s="632"/>
      <c r="Q39" s="632"/>
      <c r="R39" s="632"/>
      <c r="S39" s="632"/>
      <c r="T39" s="632"/>
      <c r="U39" s="632"/>
      <c r="V39" s="425"/>
      <c r="W39" s="425"/>
      <c r="X39" s="388">
        <v>-10000</v>
      </c>
      <c r="Y39" s="67" t="s">
        <v>0</v>
      </c>
    </row>
    <row r="40" spans="1:25">
      <c r="A40" s="358"/>
      <c r="B40" s="632"/>
      <c r="C40" s="631" t="s">
        <v>293</v>
      </c>
      <c r="D40" s="632"/>
      <c r="E40" s="632"/>
      <c r="F40" s="632"/>
      <c r="G40" s="632"/>
      <c r="H40" s="632"/>
      <c r="I40" s="632"/>
      <c r="J40" s="632"/>
      <c r="K40" s="632"/>
      <c r="L40" s="632"/>
      <c r="M40" s="632"/>
      <c r="N40" s="632"/>
      <c r="O40" s="632"/>
      <c r="P40" s="632"/>
      <c r="Q40" s="632"/>
      <c r="R40" s="632"/>
      <c r="S40" s="632"/>
      <c r="T40" s="632"/>
      <c r="U40" s="632"/>
      <c r="V40" s="425"/>
      <c r="W40" s="425"/>
      <c r="X40" s="388">
        <v>-1000</v>
      </c>
      <c r="Y40" s="67" t="s">
        <v>0</v>
      </c>
    </row>
    <row r="41" spans="1:25">
      <c r="A41" s="358"/>
      <c r="B41" s="632"/>
      <c r="C41" s="631" t="s">
        <v>294</v>
      </c>
      <c r="D41" s="632"/>
      <c r="E41" s="632"/>
      <c r="F41" s="632"/>
      <c r="G41" s="632"/>
      <c r="H41" s="632"/>
      <c r="I41" s="632"/>
      <c r="J41" s="632"/>
      <c r="K41" s="632"/>
      <c r="L41" s="632"/>
      <c r="M41" s="632"/>
      <c r="N41" s="632"/>
      <c r="O41" s="632"/>
      <c r="P41" s="632"/>
      <c r="Q41" s="632"/>
      <c r="R41" s="632"/>
      <c r="S41" s="632"/>
      <c r="T41" s="632"/>
      <c r="U41" s="632"/>
      <c r="V41" s="425"/>
      <c r="W41" s="425"/>
      <c r="X41" s="388">
        <v>-10000</v>
      </c>
      <c r="Y41" s="67" t="s">
        <v>0</v>
      </c>
    </row>
    <row r="42" spans="1:25">
      <c r="A42" s="358"/>
      <c r="B42" s="632"/>
      <c r="C42" s="631" t="s">
        <v>295</v>
      </c>
      <c r="D42" s="632"/>
      <c r="E42" s="632"/>
      <c r="F42" s="632"/>
      <c r="G42" s="632"/>
      <c r="H42" s="632"/>
      <c r="I42" s="632"/>
      <c r="J42" s="632"/>
      <c r="K42" s="632"/>
      <c r="L42" s="632"/>
      <c r="M42" s="632"/>
      <c r="N42" s="632"/>
      <c r="O42" s="632"/>
      <c r="P42" s="632"/>
      <c r="Q42" s="632"/>
      <c r="R42" s="632"/>
      <c r="S42" s="632"/>
      <c r="T42" s="632"/>
      <c r="U42" s="632"/>
      <c r="V42" s="425"/>
      <c r="W42" s="425"/>
      <c r="X42" s="388">
        <v>-4500</v>
      </c>
      <c r="Y42" s="67" t="s">
        <v>0</v>
      </c>
    </row>
    <row r="43" spans="1:25">
      <c r="A43" s="358"/>
      <c r="B43" s="632"/>
      <c r="C43" s="631" t="s">
        <v>296</v>
      </c>
      <c r="D43" s="632"/>
      <c r="E43" s="632"/>
      <c r="F43" s="632"/>
      <c r="G43" s="632"/>
      <c r="H43" s="632"/>
      <c r="I43" s="632"/>
      <c r="J43" s="632"/>
      <c r="K43" s="632"/>
      <c r="L43" s="632"/>
      <c r="M43" s="632"/>
      <c r="N43" s="632"/>
      <c r="O43" s="632"/>
      <c r="P43" s="632"/>
      <c r="Q43" s="632"/>
      <c r="R43" s="632"/>
      <c r="S43" s="632"/>
      <c r="T43" s="632"/>
      <c r="U43" s="632"/>
      <c r="V43" s="425"/>
      <c r="W43" s="425"/>
      <c r="X43" s="388">
        <v>-125000</v>
      </c>
      <c r="Y43" s="67" t="s">
        <v>0</v>
      </c>
    </row>
    <row r="44" spans="1:25">
      <c r="A44" s="358"/>
      <c r="B44" s="632"/>
      <c r="C44" s="631" t="s">
        <v>297</v>
      </c>
      <c r="D44" s="632"/>
      <c r="E44" s="632"/>
      <c r="F44" s="632"/>
      <c r="G44" s="632"/>
      <c r="H44" s="632"/>
      <c r="I44" s="632"/>
      <c r="J44" s="632"/>
      <c r="K44" s="632"/>
      <c r="L44" s="632"/>
      <c r="M44" s="632"/>
      <c r="N44" s="632"/>
      <c r="O44" s="632"/>
      <c r="P44" s="632"/>
      <c r="Q44" s="632"/>
      <c r="R44" s="632"/>
      <c r="S44" s="632"/>
      <c r="T44" s="632"/>
      <c r="U44" s="632"/>
      <c r="V44" s="425"/>
      <c r="W44" s="425"/>
      <c r="X44" s="388">
        <v>-35000</v>
      </c>
      <c r="Y44" s="67" t="s">
        <v>0</v>
      </c>
    </row>
    <row r="45" spans="1:25">
      <c r="A45" s="358"/>
      <c r="B45" s="632"/>
      <c r="C45" s="631" t="s">
        <v>298</v>
      </c>
      <c r="D45" s="632"/>
      <c r="E45" s="632"/>
      <c r="F45" s="632"/>
      <c r="G45" s="632"/>
      <c r="H45" s="632"/>
      <c r="I45" s="632"/>
      <c r="J45" s="632"/>
      <c r="K45" s="632"/>
      <c r="L45" s="632"/>
      <c r="M45" s="632"/>
      <c r="N45" s="632"/>
      <c r="O45" s="632"/>
      <c r="P45" s="632"/>
      <c r="Q45" s="632"/>
      <c r="R45" s="632"/>
      <c r="S45" s="632"/>
      <c r="T45" s="632"/>
      <c r="U45" s="632"/>
      <c r="V45" s="425"/>
      <c r="W45" s="425"/>
      <c r="X45" s="388">
        <v>-20000</v>
      </c>
      <c r="Y45" s="67" t="s">
        <v>0</v>
      </c>
    </row>
    <row r="46" spans="1:25" s="642" customFormat="1">
      <c r="A46" s="362"/>
      <c r="B46" s="635"/>
      <c r="C46" s="634" t="s">
        <v>299</v>
      </c>
      <c r="D46" s="635"/>
      <c r="E46" s="635"/>
      <c r="F46" s="635"/>
      <c r="G46" s="635"/>
      <c r="H46" s="635"/>
      <c r="I46" s="635"/>
      <c r="J46" s="635"/>
      <c r="K46" s="635"/>
      <c r="L46" s="635"/>
      <c r="M46" s="635"/>
      <c r="N46" s="635"/>
      <c r="O46" s="635"/>
      <c r="P46" s="635"/>
      <c r="Q46" s="635"/>
      <c r="R46" s="635"/>
      <c r="S46" s="635"/>
      <c r="T46" s="635"/>
      <c r="U46" s="635"/>
      <c r="V46" s="637"/>
      <c r="W46" s="637"/>
      <c r="X46" s="630">
        <v>-38000</v>
      </c>
      <c r="Y46" s="67" t="s">
        <v>0</v>
      </c>
    </row>
    <row r="47" spans="1:25" s="642" customFormat="1">
      <c r="A47" s="362"/>
      <c r="B47" s="635"/>
      <c r="C47" s="634" t="s">
        <v>300</v>
      </c>
      <c r="D47" s="635"/>
      <c r="E47" s="635"/>
      <c r="F47" s="635"/>
      <c r="G47" s="635"/>
      <c r="H47" s="635"/>
      <c r="I47" s="635"/>
      <c r="J47" s="635"/>
      <c r="K47" s="635"/>
      <c r="L47" s="635"/>
      <c r="M47" s="635"/>
      <c r="N47" s="635"/>
      <c r="O47" s="635"/>
      <c r="P47" s="635"/>
      <c r="Q47" s="635"/>
      <c r="R47" s="635"/>
      <c r="S47" s="635"/>
      <c r="T47" s="635"/>
      <c r="U47" s="635"/>
      <c r="V47" s="637"/>
      <c r="W47" s="637"/>
      <c r="X47" s="630">
        <v>-4000</v>
      </c>
      <c r="Y47" s="643" t="s">
        <v>0</v>
      </c>
    </row>
    <row r="48" spans="1:25" s="642" customFormat="1">
      <c r="A48" s="1195"/>
      <c r="B48" s="635"/>
      <c r="C48" s="634" t="s">
        <v>658</v>
      </c>
      <c r="D48" s="635"/>
      <c r="E48" s="635"/>
      <c r="F48" s="635"/>
      <c r="G48" s="635"/>
      <c r="H48" s="635"/>
      <c r="I48" s="635"/>
      <c r="J48" s="635"/>
      <c r="K48" s="635"/>
      <c r="L48" s="635"/>
      <c r="M48" s="635"/>
      <c r="N48" s="635"/>
      <c r="O48" s="635"/>
      <c r="P48" s="635"/>
      <c r="Q48" s="635"/>
      <c r="R48" s="635"/>
      <c r="S48" s="635"/>
      <c r="T48" s="635"/>
      <c r="U48" s="635"/>
      <c r="V48" s="637"/>
      <c r="W48" s="637"/>
      <c r="X48" s="630">
        <v>-100000</v>
      </c>
      <c r="Y48" s="643" t="s">
        <v>0</v>
      </c>
    </row>
    <row r="49" spans="1:25" s="642" customFormat="1">
      <c r="A49" s="1195"/>
      <c r="B49" s="635"/>
      <c r="C49" s="634" t="s">
        <v>301</v>
      </c>
      <c r="D49" s="635"/>
      <c r="E49" s="635"/>
      <c r="F49" s="635"/>
      <c r="G49" s="635"/>
      <c r="H49" s="635"/>
      <c r="I49" s="635"/>
      <c r="J49" s="635"/>
      <c r="K49" s="635"/>
      <c r="L49" s="635"/>
      <c r="M49" s="635"/>
      <c r="N49" s="635"/>
      <c r="O49" s="635"/>
      <c r="P49" s="635"/>
      <c r="Q49" s="635"/>
      <c r="R49" s="635"/>
      <c r="S49" s="635"/>
      <c r="T49" s="635"/>
      <c r="U49" s="635"/>
      <c r="V49" s="637"/>
      <c r="W49" s="637"/>
      <c r="X49" s="630">
        <v>-9000</v>
      </c>
      <c r="Y49" s="643" t="s">
        <v>0</v>
      </c>
    </row>
    <row r="50" spans="1:25" s="642" customFormat="1">
      <c r="A50" s="1195"/>
      <c r="B50" s="635"/>
      <c r="C50" s="634" t="s">
        <v>302</v>
      </c>
      <c r="D50" s="635"/>
      <c r="E50" s="635"/>
      <c r="F50" s="635"/>
      <c r="G50" s="635"/>
      <c r="H50" s="635"/>
      <c r="I50" s="635"/>
      <c r="J50" s="635"/>
      <c r="K50" s="635"/>
      <c r="L50" s="635"/>
      <c r="M50" s="635"/>
      <c r="N50" s="635"/>
      <c r="O50" s="635"/>
      <c r="P50" s="635"/>
      <c r="Q50" s="635"/>
      <c r="R50" s="635"/>
      <c r="S50" s="635"/>
      <c r="T50" s="635"/>
      <c r="U50" s="635"/>
      <c r="V50" s="637"/>
      <c r="W50" s="637"/>
      <c r="X50" s="630">
        <v>-1000</v>
      </c>
      <c r="Y50" s="643" t="s">
        <v>0</v>
      </c>
    </row>
    <row r="51" spans="1:25" s="642" customFormat="1">
      <c r="A51" s="1375"/>
      <c r="B51" s="635"/>
      <c r="C51" s="634" t="s">
        <v>671</v>
      </c>
      <c r="D51" s="635"/>
      <c r="E51" s="635"/>
      <c r="F51" s="635"/>
      <c r="G51" s="635"/>
      <c r="H51" s="635"/>
      <c r="I51" s="635"/>
      <c r="J51" s="635"/>
      <c r="K51" s="635"/>
      <c r="L51" s="635"/>
      <c r="M51" s="635"/>
      <c r="N51" s="635"/>
      <c r="O51" s="635"/>
      <c r="P51" s="635"/>
      <c r="Q51" s="635"/>
      <c r="R51" s="635"/>
      <c r="S51" s="635"/>
      <c r="T51" s="635"/>
      <c r="U51" s="635"/>
      <c r="V51" s="637"/>
      <c r="W51" s="637"/>
      <c r="X51" s="630">
        <v>-2000</v>
      </c>
      <c r="Y51" s="643"/>
    </row>
    <row r="52" spans="1:25" s="642" customFormat="1">
      <c r="A52" s="1195"/>
      <c r="B52" s="635"/>
      <c r="C52" s="634" t="s">
        <v>303</v>
      </c>
      <c r="D52" s="635"/>
      <c r="E52" s="635"/>
      <c r="F52" s="635"/>
      <c r="G52" s="635"/>
      <c r="H52" s="635"/>
      <c r="I52" s="635"/>
      <c r="J52" s="635"/>
      <c r="K52" s="635"/>
      <c r="L52" s="635"/>
      <c r="M52" s="635"/>
      <c r="N52" s="635"/>
      <c r="O52" s="635"/>
      <c r="P52" s="635"/>
      <c r="Q52" s="635"/>
      <c r="R52" s="635"/>
      <c r="S52" s="635"/>
      <c r="T52" s="635"/>
      <c r="U52" s="635"/>
      <c r="V52" s="637"/>
      <c r="W52" s="637"/>
      <c r="X52" s="630">
        <v>-12000</v>
      </c>
      <c r="Y52" s="643" t="s">
        <v>0</v>
      </c>
    </row>
    <row r="53" spans="1:25">
      <c r="A53" s="1193"/>
      <c r="B53" s="1197"/>
      <c r="C53" s="631" t="s">
        <v>304</v>
      </c>
      <c r="D53" s="1197"/>
      <c r="E53" s="1197"/>
      <c r="F53" s="1197"/>
      <c r="G53" s="1197"/>
      <c r="H53" s="1197"/>
      <c r="I53" s="1197"/>
      <c r="J53" s="1197"/>
      <c r="K53" s="1197"/>
      <c r="L53" s="1197"/>
      <c r="M53" s="1197"/>
      <c r="N53" s="1197"/>
      <c r="O53" s="1197"/>
      <c r="P53" s="1197"/>
      <c r="Q53" s="1197"/>
      <c r="R53" s="1197"/>
      <c r="S53" s="1197"/>
      <c r="T53" s="1197"/>
      <c r="U53" s="1197"/>
      <c r="V53" s="425"/>
      <c r="W53" s="425"/>
      <c r="X53" s="425">
        <v>-170000</v>
      </c>
      <c r="Y53" s="67" t="s">
        <v>0</v>
      </c>
    </row>
    <row r="54" spans="1:25">
      <c r="A54" s="1193"/>
      <c r="B54" s="1197"/>
      <c r="C54" s="631" t="s">
        <v>305</v>
      </c>
      <c r="D54" s="1197"/>
      <c r="E54" s="1197"/>
      <c r="F54" s="1197"/>
      <c r="G54" s="1197"/>
      <c r="H54" s="1197"/>
      <c r="I54" s="1197"/>
      <c r="J54" s="1197"/>
      <c r="K54" s="1197"/>
      <c r="L54" s="1197"/>
      <c r="M54" s="1197"/>
      <c r="N54" s="1197"/>
      <c r="O54" s="1197"/>
      <c r="P54" s="1197"/>
      <c r="Q54" s="1197"/>
      <c r="R54" s="1197"/>
      <c r="S54" s="1197"/>
      <c r="T54" s="1197"/>
      <c r="U54" s="1197"/>
      <c r="V54" s="425"/>
      <c r="W54" s="425"/>
      <c r="X54" s="425">
        <v>-10500</v>
      </c>
      <c r="Y54" s="67" t="s">
        <v>0</v>
      </c>
    </row>
    <row r="55" spans="1:25">
      <c r="A55" s="1193"/>
      <c r="B55" s="1197"/>
      <c r="C55" s="631" t="s">
        <v>306</v>
      </c>
      <c r="D55" s="1197"/>
      <c r="E55" s="1197"/>
      <c r="F55" s="1197"/>
      <c r="G55" s="1197"/>
      <c r="H55" s="1197"/>
      <c r="I55" s="1197"/>
      <c r="J55" s="1197"/>
      <c r="K55" s="1197"/>
      <c r="L55" s="1197"/>
      <c r="M55" s="1197"/>
      <c r="N55" s="1197"/>
      <c r="O55" s="1197"/>
      <c r="P55" s="1197"/>
      <c r="Q55" s="1197"/>
      <c r="R55" s="1197"/>
      <c r="S55" s="1197"/>
      <c r="T55" s="1197"/>
      <c r="U55" s="1197"/>
      <c r="V55" s="424">
        <f>SUM(V39:V53)</f>
        <v>0</v>
      </c>
      <c r="W55" s="424">
        <f>SUM(W39:W53)</f>
        <v>0</v>
      </c>
      <c r="X55" s="424">
        <f>SUM(X39:X54)</f>
        <v>-552000</v>
      </c>
      <c r="Y55" s="67" t="s">
        <v>0</v>
      </c>
    </row>
    <row r="56" spans="1:25" ht="18" customHeight="1">
      <c r="A56" s="1242"/>
      <c r="B56" s="1243" t="s">
        <v>63</v>
      </c>
      <c r="C56" s="1243"/>
      <c r="D56" s="641"/>
      <c r="E56" s="641"/>
      <c r="F56" s="641"/>
      <c r="G56" s="641"/>
      <c r="H56" s="641"/>
      <c r="I56" s="641"/>
      <c r="J56" s="641"/>
      <c r="K56" s="641"/>
      <c r="L56" s="641"/>
      <c r="M56" s="641"/>
      <c r="N56" s="641"/>
      <c r="O56" s="641"/>
      <c r="P56" s="641"/>
      <c r="Q56" s="641"/>
      <c r="R56" s="641"/>
      <c r="S56" s="641"/>
      <c r="T56" s="641"/>
      <c r="U56" s="1244"/>
      <c r="V56" s="1100">
        <f>SUM(V37+V55)</f>
        <v>0</v>
      </c>
      <c r="W56" s="1041">
        <f>SUM(W37+W55)</f>
        <v>0</v>
      </c>
      <c r="X56" s="1041">
        <f>SUM(X37+X55)</f>
        <v>-381000</v>
      </c>
      <c r="Y56" s="67" t="s">
        <v>0</v>
      </c>
    </row>
    <row r="57" spans="1:25" ht="18" customHeight="1">
      <c r="A57" s="1815" t="s">
        <v>232</v>
      </c>
      <c r="B57" s="1552"/>
      <c r="C57" s="1552"/>
      <c r="D57" s="1552"/>
      <c r="E57" s="1552"/>
      <c r="F57" s="1552"/>
      <c r="G57" s="1552"/>
      <c r="H57" s="1552"/>
      <c r="I57" s="1552"/>
      <c r="J57" s="1552"/>
      <c r="K57" s="1552"/>
      <c r="L57" s="1552"/>
      <c r="M57" s="1552"/>
      <c r="N57" s="1552"/>
      <c r="O57" s="1552"/>
      <c r="P57" s="1552"/>
      <c r="Q57" s="1552"/>
      <c r="R57" s="1552"/>
      <c r="S57" s="1552"/>
      <c r="T57" s="1552"/>
      <c r="U57" s="1986"/>
      <c r="V57" s="645">
        <f>V26+V56</f>
        <v>0</v>
      </c>
      <c r="W57" s="645">
        <f>W26+W56</f>
        <v>0</v>
      </c>
      <c r="X57" s="645">
        <f>X26+X56</f>
        <v>781500</v>
      </c>
      <c r="Y57" s="67" t="s">
        <v>0</v>
      </c>
    </row>
    <row r="58" spans="1:25" ht="18" customHeight="1">
      <c r="A58" s="1196" t="s">
        <v>233</v>
      </c>
      <c r="B58" s="1203"/>
      <c r="C58" s="1203"/>
      <c r="D58" s="1203"/>
      <c r="E58" s="1203"/>
      <c r="F58" s="1203"/>
      <c r="G58" s="1203"/>
      <c r="H58" s="1203"/>
      <c r="I58" s="1203"/>
      <c r="J58" s="1203"/>
      <c r="K58" s="1203"/>
      <c r="L58" s="1203"/>
      <c r="M58" s="1203"/>
      <c r="N58" s="1203"/>
      <c r="O58" s="1203"/>
      <c r="P58" s="1203"/>
      <c r="Q58" s="1203"/>
      <c r="R58" s="1203"/>
      <c r="S58" s="1203"/>
      <c r="T58" s="1203"/>
      <c r="U58" s="1247"/>
      <c r="V58" s="647"/>
      <c r="W58" s="647"/>
      <c r="X58" s="647">
        <v>42000</v>
      </c>
      <c r="Y58" s="67" t="s">
        <v>0</v>
      </c>
    </row>
    <row r="59" spans="1:25" s="1192" customFormat="1" ht="18" customHeight="1">
      <c r="A59" s="1237" t="s">
        <v>631</v>
      </c>
      <c r="B59" s="1238"/>
      <c r="C59" s="1238"/>
      <c r="D59" s="1238"/>
      <c r="E59" s="1238"/>
      <c r="F59" s="1238"/>
      <c r="G59" s="1238"/>
      <c r="H59" s="1238"/>
      <c r="I59" s="1238"/>
      <c r="J59" s="1238"/>
      <c r="K59" s="1238"/>
      <c r="L59" s="1238"/>
      <c r="M59" s="1238"/>
      <c r="N59" s="1238"/>
      <c r="O59" s="1238"/>
      <c r="P59" s="1238"/>
      <c r="Q59" s="1238"/>
      <c r="R59" s="1238"/>
      <c r="S59" s="1238"/>
      <c r="T59" s="1238"/>
      <c r="U59" s="1240"/>
      <c r="V59" s="645">
        <v>0</v>
      </c>
      <c r="W59" s="645">
        <v>0</v>
      </c>
      <c r="X59" s="645">
        <f>SUM(X57:X58)</f>
        <v>823500</v>
      </c>
      <c r="Y59" s="67" t="s">
        <v>0</v>
      </c>
    </row>
    <row r="60" spans="1:25" s="1192" customFormat="1" ht="18" customHeight="1">
      <c r="A60" s="1230" t="s">
        <v>632</v>
      </c>
      <c r="B60" s="655"/>
      <c r="C60" s="655"/>
      <c r="D60" s="655"/>
      <c r="E60" s="655"/>
      <c r="F60" s="655"/>
      <c r="G60" s="655"/>
      <c r="H60" s="655"/>
      <c r="I60" s="655"/>
      <c r="J60" s="655"/>
      <c r="K60" s="655"/>
      <c r="L60" s="655"/>
      <c r="M60" s="655"/>
      <c r="N60" s="655"/>
      <c r="O60" s="655"/>
      <c r="P60" s="655"/>
      <c r="Q60" s="655"/>
      <c r="R60" s="655"/>
      <c r="S60" s="655"/>
      <c r="T60" s="655"/>
      <c r="U60" s="1245"/>
      <c r="V60" s="1246"/>
      <c r="W60" s="1246"/>
      <c r="X60" s="1246"/>
      <c r="Y60" s="67" t="s">
        <v>0</v>
      </c>
    </row>
    <row r="61" spans="1:25" s="1192" customFormat="1" ht="18" customHeight="1">
      <c r="A61" s="1229"/>
      <c r="B61" s="1228"/>
      <c r="C61" s="634" t="s">
        <v>355</v>
      </c>
      <c r="D61" s="1228"/>
      <c r="E61" s="1228"/>
      <c r="F61" s="1228"/>
      <c r="G61" s="1228"/>
      <c r="H61" s="1228"/>
      <c r="I61" s="1228"/>
      <c r="J61" s="1228"/>
      <c r="K61" s="1228"/>
      <c r="L61" s="1228"/>
      <c r="M61" s="1228"/>
      <c r="N61" s="1228"/>
      <c r="O61" s="1228"/>
      <c r="P61" s="1228"/>
      <c r="Q61" s="1228"/>
      <c r="R61" s="1228"/>
      <c r="S61" s="1228"/>
      <c r="T61" s="1228"/>
      <c r="U61" s="1232"/>
      <c r="V61" s="1190"/>
      <c r="W61" s="1190"/>
      <c r="X61" s="1190">
        <v>10500</v>
      </c>
      <c r="Y61" s="67" t="s">
        <v>0</v>
      </c>
    </row>
    <row r="62" spans="1:25" s="1192" customFormat="1" ht="18" customHeight="1">
      <c r="A62" s="1229"/>
      <c r="B62" s="1228"/>
      <c r="C62" s="634" t="s">
        <v>360</v>
      </c>
      <c r="D62" s="1228"/>
      <c r="E62" s="1228"/>
      <c r="F62" s="1228"/>
      <c r="G62" s="1228"/>
      <c r="H62" s="1228"/>
      <c r="I62" s="1228"/>
      <c r="J62" s="1228"/>
      <c r="K62" s="1228"/>
      <c r="L62" s="1228"/>
      <c r="M62" s="1228"/>
      <c r="N62" s="1228"/>
      <c r="O62" s="1228"/>
      <c r="P62" s="1228"/>
      <c r="Q62" s="1228"/>
      <c r="R62" s="1228"/>
      <c r="S62" s="1228"/>
      <c r="T62" s="1228"/>
      <c r="U62" s="1232"/>
      <c r="V62" s="1190"/>
      <c r="W62" s="1190"/>
      <c r="X62" s="1190">
        <v>100000</v>
      </c>
      <c r="Y62" s="67" t="s">
        <v>0</v>
      </c>
    </row>
    <row r="63" spans="1:25" s="1192" customFormat="1" ht="18" customHeight="1">
      <c r="A63" s="1229"/>
      <c r="B63" s="1228"/>
      <c r="C63" s="634" t="s">
        <v>358</v>
      </c>
      <c r="D63" s="1228"/>
      <c r="E63" s="1228"/>
      <c r="F63" s="1228"/>
      <c r="G63" s="1228"/>
      <c r="H63" s="1228"/>
      <c r="I63" s="1228"/>
      <c r="J63" s="1228"/>
      <c r="K63" s="1228"/>
      <c r="L63" s="1228"/>
      <c r="M63" s="1228"/>
      <c r="N63" s="1228"/>
      <c r="O63" s="1228"/>
      <c r="P63" s="1228"/>
      <c r="Q63" s="1228"/>
      <c r="R63" s="1228"/>
      <c r="S63" s="1228"/>
      <c r="T63" s="1228"/>
      <c r="U63" s="1232"/>
      <c r="V63" s="1190"/>
      <c r="W63" s="1190"/>
      <c r="X63" s="1190">
        <v>23000</v>
      </c>
      <c r="Y63" s="67" t="s">
        <v>0</v>
      </c>
    </row>
    <row r="64" spans="1:25" s="1192" customFormat="1" ht="18" customHeight="1">
      <c r="A64" s="1229"/>
      <c r="B64" s="1228"/>
      <c r="C64" s="1228" t="s">
        <v>320</v>
      </c>
      <c r="D64" s="1228"/>
      <c r="E64" s="1228"/>
      <c r="F64" s="1228"/>
      <c r="G64" s="1228"/>
      <c r="H64" s="1228"/>
      <c r="I64" s="1228"/>
      <c r="J64" s="1228"/>
      <c r="K64" s="1228"/>
      <c r="L64" s="1228"/>
      <c r="M64" s="1228"/>
      <c r="N64" s="1228"/>
      <c r="O64" s="1228"/>
      <c r="P64" s="1228"/>
      <c r="Q64" s="1228"/>
      <c r="R64" s="1228"/>
      <c r="S64" s="1228"/>
      <c r="T64" s="1228"/>
      <c r="U64" s="1232"/>
      <c r="V64" s="1190"/>
      <c r="W64" s="1190"/>
      <c r="X64" s="1190">
        <v>20000</v>
      </c>
      <c r="Y64" s="67" t="s">
        <v>0</v>
      </c>
    </row>
    <row r="65" spans="1:25" s="1192" customFormat="1" ht="18" customHeight="1">
      <c r="A65" s="1229"/>
      <c r="B65" s="1228"/>
      <c r="C65" s="634" t="s">
        <v>633</v>
      </c>
      <c r="D65" s="1228"/>
      <c r="E65" s="1228"/>
      <c r="F65" s="1228"/>
      <c r="G65" s="1228"/>
      <c r="H65" s="1228"/>
      <c r="I65" s="1228"/>
      <c r="J65" s="1228"/>
      <c r="K65" s="1228"/>
      <c r="L65" s="1228"/>
      <c r="M65" s="1228"/>
      <c r="N65" s="1228"/>
      <c r="O65" s="1228"/>
      <c r="P65" s="1228"/>
      <c r="Q65" s="1228"/>
      <c r="R65" s="1228"/>
      <c r="S65" s="1228"/>
      <c r="T65" s="1228"/>
      <c r="U65" s="1232"/>
      <c r="V65" s="1190"/>
      <c r="W65" s="1190"/>
      <c r="X65" s="1190">
        <v>67000</v>
      </c>
      <c r="Y65" s="67" t="s">
        <v>0</v>
      </c>
    </row>
    <row r="66" spans="1:25" s="1192" customFormat="1" ht="18" customHeight="1">
      <c r="A66" s="1231"/>
      <c r="B66" s="685"/>
      <c r="C66" s="685" t="s">
        <v>638</v>
      </c>
      <c r="D66" s="685"/>
      <c r="E66" s="685"/>
      <c r="F66" s="685"/>
      <c r="G66" s="685"/>
      <c r="H66" s="685"/>
      <c r="I66" s="685"/>
      <c r="J66" s="685"/>
      <c r="K66" s="685"/>
      <c r="L66" s="685"/>
      <c r="M66" s="685"/>
      <c r="N66" s="685"/>
      <c r="O66" s="685"/>
      <c r="P66" s="685"/>
      <c r="Q66" s="685"/>
      <c r="R66" s="685"/>
      <c r="S66" s="685"/>
      <c r="T66" s="685"/>
      <c r="U66" s="1235"/>
      <c r="V66" s="1236"/>
      <c r="W66" s="1236"/>
      <c r="X66" s="1236">
        <f>SUM(X61:X65)</f>
        <v>220500</v>
      </c>
      <c r="Y66" s="67" t="s">
        <v>0</v>
      </c>
    </row>
    <row r="67" spans="1:25" ht="18" customHeight="1">
      <c r="A67" s="1237" t="s">
        <v>635</v>
      </c>
      <c r="B67" s="1238"/>
      <c r="C67" s="1239"/>
      <c r="D67" s="1238"/>
      <c r="E67" s="1238"/>
      <c r="F67" s="1238"/>
      <c r="G67" s="1238"/>
      <c r="H67" s="1238"/>
      <c r="I67" s="1238"/>
      <c r="J67" s="1238"/>
      <c r="K67" s="1238"/>
      <c r="L67" s="1238"/>
      <c r="M67" s="1238"/>
      <c r="N67" s="1238"/>
      <c r="O67" s="1238"/>
      <c r="P67" s="1238"/>
      <c r="Q67" s="1238"/>
      <c r="R67" s="1238"/>
      <c r="S67" s="1238"/>
      <c r="T67" s="1238"/>
      <c r="U67" s="1240"/>
      <c r="V67" s="645">
        <v>0</v>
      </c>
      <c r="W67" s="645">
        <v>0</v>
      </c>
      <c r="X67" s="645">
        <f>SUM(X57,X66)</f>
        <v>1002000</v>
      </c>
      <c r="Y67" s="67" t="s">
        <v>0</v>
      </c>
    </row>
    <row r="68" spans="1:25" ht="18" customHeight="1">
      <c r="A68" s="1237" t="s">
        <v>636</v>
      </c>
      <c r="B68" s="1238"/>
      <c r="C68" s="1239"/>
      <c r="D68" s="1238"/>
      <c r="E68" s="1238"/>
      <c r="F68" s="1238"/>
      <c r="G68" s="1238"/>
      <c r="H68" s="1238"/>
      <c r="I68" s="1238"/>
      <c r="J68" s="1238"/>
      <c r="K68" s="1238"/>
      <c r="L68" s="1238"/>
      <c r="M68" s="1238"/>
      <c r="N68" s="1238"/>
      <c r="O68" s="1238"/>
      <c r="P68" s="1238"/>
      <c r="Q68" s="1238"/>
      <c r="R68" s="1238"/>
      <c r="S68" s="1238"/>
      <c r="T68" s="1238"/>
      <c r="U68" s="1240"/>
      <c r="V68" s="1234">
        <f>+V57-V11</f>
        <v>0</v>
      </c>
      <c r="W68" s="1234">
        <f>+W57-W11</f>
        <v>0</v>
      </c>
      <c r="X68" s="1234">
        <f>SUM(X67,X58)</f>
        <v>1044000</v>
      </c>
      <c r="Y68" s="67" t="s">
        <v>0</v>
      </c>
    </row>
    <row r="69" spans="1:25">
      <c r="A69" s="1982" t="s">
        <v>637</v>
      </c>
      <c r="B69" s="1983"/>
      <c r="C69" s="1983"/>
      <c r="D69" s="1983"/>
      <c r="E69" s="1983"/>
      <c r="F69" s="1983"/>
      <c r="G69" s="1983"/>
      <c r="H69" s="1983"/>
      <c r="I69" s="1983"/>
      <c r="J69" s="1983"/>
      <c r="K69" s="1983"/>
      <c r="L69" s="1983"/>
      <c r="M69" s="1983"/>
      <c r="N69" s="1983"/>
      <c r="O69" s="1983"/>
      <c r="P69" s="1983"/>
      <c r="Q69" s="1983"/>
      <c r="R69" s="1983"/>
      <c r="S69" s="1983"/>
      <c r="T69" s="1983"/>
      <c r="U69" s="1984"/>
      <c r="V69" s="645">
        <v>0</v>
      </c>
      <c r="W69" s="645">
        <v>0</v>
      </c>
      <c r="X69" s="1241">
        <f>X57-X17</f>
        <v>-381000</v>
      </c>
      <c r="Y69" s="67" t="s">
        <v>0</v>
      </c>
    </row>
    <row r="70" spans="1:25" s="1387" customFormat="1">
      <c r="A70" s="1363"/>
      <c r="B70" s="1363"/>
      <c r="C70" s="1363"/>
      <c r="D70" s="1363"/>
      <c r="E70" s="1363"/>
      <c r="F70" s="1363"/>
      <c r="G70" s="1363"/>
      <c r="H70" s="1363"/>
      <c r="I70" s="1363"/>
      <c r="J70" s="1363"/>
      <c r="K70" s="1363"/>
      <c r="L70" s="1363"/>
      <c r="M70" s="1363"/>
      <c r="N70" s="1363"/>
      <c r="O70" s="1363"/>
      <c r="P70" s="1363"/>
      <c r="Q70" s="1363"/>
      <c r="R70" s="1363"/>
      <c r="S70" s="1363"/>
      <c r="T70" s="1363"/>
      <c r="U70" s="1363"/>
      <c r="V70" s="1364"/>
      <c r="W70" s="1364"/>
      <c r="X70" s="559"/>
      <c r="Y70" s="67"/>
    </row>
    <row r="71" spans="1:25" s="1361" customFormat="1" ht="35.25" customHeight="1">
      <c r="A71" s="1985" t="s">
        <v>696</v>
      </c>
      <c r="B71" s="1687"/>
      <c r="C71" s="1687"/>
      <c r="D71" s="1687"/>
      <c r="E71" s="1687"/>
      <c r="F71" s="1687"/>
      <c r="G71" s="1687"/>
      <c r="H71" s="1687"/>
      <c r="I71" s="1687"/>
      <c r="J71" s="1687"/>
      <c r="K71" s="1687"/>
      <c r="L71" s="1687"/>
      <c r="M71" s="1687"/>
      <c r="N71" s="1687"/>
      <c r="O71" s="1687"/>
      <c r="P71" s="1687"/>
      <c r="Q71" s="1687"/>
      <c r="R71" s="1687"/>
      <c r="S71" s="1687"/>
      <c r="T71" s="1687"/>
      <c r="U71" s="1687"/>
      <c r="V71" s="1687"/>
      <c r="W71" s="1687"/>
      <c r="X71" s="1687"/>
      <c r="Y71" s="1687"/>
    </row>
    <row r="72" spans="1:25" s="1361" customFormat="1">
      <c r="A72" s="1363"/>
      <c r="B72" s="1363"/>
      <c r="C72" s="1363"/>
      <c r="D72" s="1363"/>
      <c r="E72" s="1363"/>
      <c r="F72" s="1363"/>
      <c r="G72" s="1363"/>
      <c r="H72" s="1363"/>
      <c r="I72" s="1363"/>
      <c r="J72" s="1363"/>
      <c r="K72" s="1363"/>
      <c r="L72" s="1363"/>
      <c r="M72" s="1363"/>
      <c r="N72" s="1363"/>
      <c r="O72" s="1363"/>
      <c r="P72" s="1363"/>
      <c r="Q72" s="1363"/>
      <c r="R72" s="1363"/>
      <c r="S72" s="1363"/>
      <c r="T72" s="1363"/>
      <c r="U72" s="1363"/>
      <c r="V72" s="1364"/>
      <c r="W72" s="1364"/>
      <c r="X72" s="559"/>
      <c r="Y72" s="67"/>
    </row>
    <row r="73" spans="1:25" ht="22.5" customHeight="1">
      <c r="A73" s="1973" t="s">
        <v>114</v>
      </c>
      <c r="B73" s="1974"/>
      <c r="C73" s="1974"/>
      <c r="D73" s="1953" t="s">
        <v>169</v>
      </c>
      <c r="E73" s="1977"/>
      <c r="F73" s="1978"/>
      <c r="G73" s="1953" t="s">
        <v>644</v>
      </c>
      <c r="H73" s="1979"/>
      <c r="I73" s="1980"/>
      <c r="J73" s="1953" t="s">
        <v>151</v>
      </c>
      <c r="K73" s="1977"/>
      <c r="L73" s="1978"/>
      <c r="M73" s="1953" t="s">
        <v>150</v>
      </c>
      <c r="N73" s="1977"/>
      <c r="O73" s="1978"/>
      <c r="P73" s="1953" t="s">
        <v>152</v>
      </c>
      <c r="Q73" s="1981"/>
      <c r="R73" s="1981"/>
      <c r="S73" s="1953" t="s">
        <v>153</v>
      </c>
      <c r="T73" s="1977"/>
      <c r="U73" s="1977"/>
      <c r="V73" s="1953" t="s">
        <v>154</v>
      </c>
      <c r="W73" s="1954"/>
      <c r="X73" s="1955"/>
      <c r="Y73" s="67" t="s">
        <v>0</v>
      </c>
    </row>
    <row r="74" spans="1:25" ht="42" customHeight="1">
      <c r="A74" s="1975"/>
      <c r="B74" s="1960"/>
      <c r="C74" s="1960"/>
      <c r="D74" s="1961"/>
      <c r="E74" s="1962"/>
      <c r="F74" s="1963"/>
      <c r="G74" s="1966"/>
      <c r="H74" s="1967"/>
      <c r="I74" s="1968"/>
      <c r="J74" s="1961"/>
      <c r="K74" s="1962"/>
      <c r="L74" s="1963"/>
      <c r="M74" s="1961"/>
      <c r="N74" s="1962"/>
      <c r="O74" s="1963"/>
      <c r="P74" s="1970"/>
      <c r="Q74" s="1971"/>
      <c r="R74" s="1971"/>
      <c r="S74" s="1961"/>
      <c r="T74" s="1962"/>
      <c r="U74" s="1962"/>
      <c r="V74" s="1843"/>
      <c r="W74" s="1844"/>
      <c r="X74" s="1845"/>
      <c r="Y74" s="67" t="s">
        <v>0</v>
      </c>
    </row>
    <row r="75" spans="1:25" ht="16.5" thickBot="1">
      <c r="A75" s="1976"/>
      <c r="B75" s="1920"/>
      <c r="C75" s="1920"/>
      <c r="D75" s="1392" t="s">
        <v>115</v>
      </c>
      <c r="E75" s="417" t="s">
        <v>25</v>
      </c>
      <c r="F75" s="419" t="s">
        <v>117</v>
      </c>
      <c r="G75" s="1392" t="s">
        <v>115</v>
      </c>
      <c r="H75" s="417" t="s">
        <v>25</v>
      </c>
      <c r="I75" s="419" t="s">
        <v>117</v>
      </c>
      <c r="J75" s="1392" t="s">
        <v>115</v>
      </c>
      <c r="K75" s="417" t="s">
        <v>25</v>
      </c>
      <c r="L75" s="419" t="s">
        <v>117</v>
      </c>
      <c r="M75" s="1392" t="s">
        <v>115</v>
      </c>
      <c r="N75" s="417" t="s">
        <v>25</v>
      </c>
      <c r="O75" s="419" t="s">
        <v>117</v>
      </c>
      <c r="P75" s="1392" t="s">
        <v>115</v>
      </c>
      <c r="Q75" s="417" t="s">
        <v>25</v>
      </c>
      <c r="R75" s="419" t="s">
        <v>117</v>
      </c>
      <c r="S75" s="1392" t="s">
        <v>115</v>
      </c>
      <c r="T75" s="417" t="s">
        <v>25</v>
      </c>
      <c r="U75" s="419" t="s">
        <v>117</v>
      </c>
      <c r="V75" s="1393" t="s">
        <v>115</v>
      </c>
      <c r="W75" s="417" t="s">
        <v>25</v>
      </c>
      <c r="X75" s="416" t="s">
        <v>117</v>
      </c>
      <c r="Y75" s="67" t="s">
        <v>0</v>
      </c>
    </row>
    <row r="76" spans="1:25">
      <c r="A76" s="648" t="s">
        <v>307</v>
      </c>
      <c r="B76" s="649"/>
      <c r="C76" s="650"/>
      <c r="D76" s="394"/>
      <c r="E76" s="392"/>
      <c r="F76" s="391"/>
      <c r="G76" s="394"/>
      <c r="H76" s="392"/>
      <c r="I76" s="391">
        <v>10000</v>
      </c>
      <c r="J76" s="394"/>
      <c r="K76" s="392"/>
      <c r="L76" s="391"/>
      <c r="M76" s="394"/>
      <c r="N76" s="392"/>
      <c r="O76" s="391">
        <f>I76+L76</f>
        <v>10000</v>
      </c>
      <c r="P76" s="394"/>
      <c r="Q76" s="392"/>
      <c r="R76" s="391"/>
      <c r="S76" s="394"/>
      <c r="T76" s="392"/>
      <c r="U76" s="391">
        <v>-10000</v>
      </c>
      <c r="V76" s="394"/>
      <c r="W76" s="392"/>
      <c r="X76" s="388">
        <f>R76+O76+U76</f>
        <v>0</v>
      </c>
      <c r="Y76" s="67" t="s">
        <v>0</v>
      </c>
    </row>
    <row r="77" spans="1:25">
      <c r="A77" s="397" t="s">
        <v>308</v>
      </c>
      <c r="B77" s="395"/>
      <c r="C77" s="395"/>
      <c r="D77" s="394"/>
      <c r="E77" s="392"/>
      <c r="F77" s="391" t="s">
        <v>218</v>
      </c>
      <c r="G77" s="394"/>
      <c r="H77" s="392"/>
      <c r="I77" s="391">
        <v>24000</v>
      </c>
      <c r="J77" s="394"/>
      <c r="K77" s="392"/>
      <c r="L77" s="391"/>
      <c r="M77" s="394"/>
      <c r="N77" s="392"/>
      <c r="O77" s="391">
        <f t="shared" ref="O77:O138" si="0">I77+L77</f>
        <v>24000</v>
      </c>
      <c r="P77" s="394"/>
      <c r="Q77" s="392"/>
      <c r="R77" s="391"/>
      <c r="S77" s="394"/>
      <c r="T77" s="392"/>
      <c r="U77" s="391"/>
      <c r="V77" s="394"/>
      <c r="W77" s="392"/>
      <c r="X77" s="388">
        <f t="shared" ref="X77:X138" si="1">R77+O77+U77</f>
        <v>24000</v>
      </c>
      <c r="Y77" s="67" t="s">
        <v>0</v>
      </c>
    </row>
    <row r="78" spans="1:25">
      <c r="A78" s="1031"/>
      <c r="B78" s="395" t="s">
        <v>309</v>
      </c>
      <c r="C78" s="395"/>
      <c r="D78" s="394"/>
      <c r="E78" s="392"/>
      <c r="F78" s="550"/>
      <c r="G78" s="651"/>
      <c r="H78" s="652"/>
      <c r="I78" s="550">
        <v>1500</v>
      </c>
      <c r="J78" s="651"/>
      <c r="K78" s="652"/>
      <c r="L78" s="550"/>
      <c r="M78" s="651"/>
      <c r="N78" s="652"/>
      <c r="O78" s="550">
        <f t="shared" si="0"/>
        <v>1500</v>
      </c>
      <c r="P78" s="651"/>
      <c r="Q78" s="652"/>
      <c r="R78" s="550"/>
      <c r="S78" s="651"/>
      <c r="T78" s="652"/>
      <c r="U78" s="550">
        <v>-1500</v>
      </c>
      <c r="V78" s="651"/>
      <c r="W78" s="652"/>
      <c r="X78" s="552">
        <f t="shared" si="1"/>
        <v>0</v>
      </c>
      <c r="Y78" s="67" t="s">
        <v>0</v>
      </c>
    </row>
    <row r="79" spans="1:25">
      <c r="A79" s="397" t="s">
        <v>310</v>
      </c>
      <c r="B79" s="395"/>
      <c r="C79" s="395"/>
      <c r="D79" s="394"/>
      <c r="E79" s="392"/>
      <c r="F79" s="391">
        <f>((40000/1349500)*-(229415)+40000)-(((40000/1349500)*-(229415)+40000)*0.2%)</f>
        <v>33133.599999999999</v>
      </c>
      <c r="G79" s="394"/>
      <c r="H79" s="392"/>
      <c r="I79" s="391">
        <v>15000</v>
      </c>
      <c r="J79" s="394"/>
      <c r="K79" s="392"/>
      <c r="L79" s="391"/>
      <c r="M79" s="394"/>
      <c r="N79" s="392"/>
      <c r="O79" s="391">
        <f t="shared" si="0"/>
        <v>15000</v>
      </c>
      <c r="P79" s="394"/>
      <c r="Q79" s="392"/>
      <c r="R79" s="391">
        <v>10000</v>
      </c>
      <c r="S79" s="394"/>
      <c r="T79" s="392"/>
      <c r="U79" s="391"/>
      <c r="V79" s="394"/>
      <c r="W79" s="392"/>
      <c r="X79" s="388">
        <f t="shared" si="1"/>
        <v>25000</v>
      </c>
      <c r="Y79" s="67" t="s">
        <v>0</v>
      </c>
    </row>
    <row r="80" spans="1:25">
      <c r="A80" s="397" t="s">
        <v>311</v>
      </c>
      <c r="B80" s="395"/>
      <c r="C80" s="395"/>
      <c r="D80" s="394"/>
      <c r="E80" s="392"/>
      <c r="F80" s="391"/>
      <c r="G80" s="394"/>
      <c r="H80" s="392"/>
      <c r="I80" s="391">
        <v>15000</v>
      </c>
      <c r="J80" s="394"/>
      <c r="K80" s="392"/>
      <c r="L80" s="391"/>
      <c r="M80" s="394"/>
      <c r="N80" s="392"/>
      <c r="O80" s="391">
        <f t="shared" si="0"/>
        <v>15000</v>
      </c>
      <c r="P80" s="394"/>
      <c r="Q80" s="392"/>
      <c r="R80" s="391">
        <v>5000</v>
      </c>
      <c r="S80" s="394"/>
      <c r="T80" s="392"/>
      <c r="U80" s="391"/>
      <c r="V80" s="394"/>
      <c r="W80" s="392"/>
      <c r="X80" s="388">
        <f t="shared" si="1"/>
        <v>20000</v>
      </c>
      <c r="Y80" s="67" t="s">
        <v>0</v>
      </c>
    </row>
    <row r="81" spans="1:25" s="1369" customFormat="1">
      <c r="A81" s="397"/>
      <c r="B81" s="1370" t="s">
        <v>651</v>
      </c>
      <c r="C81" s="1370"/>
      <c r="D81" s="394"/>
      <c r="E81" s="392"/>
      <c r="F81" s="550"/>
      <c r="G81" s="651"/>
      <c r="H81" s="652"/>
      <c r="I81" s="550"/>
      <c r="J81" s="651"/>
      <c r="K81" s="652"/>
      <c r="L81" s="550"/>
      <c r="M81" s="651"/>
      <c r="N81" s="652"/>
      <c r="O81" s="550"/>
      <c r="P81" s="651"/>
      <c r="Q81" s="652"/>
      <c r="R81" s="550">
        <v>2000</v>
      </c>
      <c r="S81" s="651"/>
      <c r="T81" s="652"/>
      <c r="U81" s="550"/>
      <c r="V81" s="651"/>
      <c r="W81" s="652"/>
      <c r="X81" s="552">
        <f t="shared" si="1"/>
        <v>2000</v>
      </c>
      <c r="Y81" s="67"/>
    </row>
    <row r="82" spans="1:25">
      <c r="A82" s="397" t="s">
        <v>312</v>
      </c>
      <c r="B82" s="395"/>
      <c r="C82" s="395"/>
      <c r="D82" s="394"/>
      <c r="E82" s="392"/>
      <c r="F82" s="391">
        <f>((5500/1349500)*-(229415)+5500)-(((5500/1349500)*-(229415)+5500)*0.2%)</f>
        <v>4555.87</v>
      </c>
      <c r="G82" s="394"/>
      <c r="H82" s="392"/>
      <c r="I82" s="391">
        <v>3000</v>
      </c>
      <c r="J82" s="394"/>
      <c r="K82" s="392"/>
      <c r="L82" s="391"/>
      <c r="M82" s="394"/>
      <c r="N82" s="392"/>
      <c r="O82" s="391">
        <f t="shared" si="0"/>
        <v>3000</v>
      </c>
      <c r="P82" s="394"/>
      <c r="Q82" s="392"/>
      <c r="R82" s="391"/>
      <c r="S82" s="394"/>
      <c r="T82" s="392"/>
      <c r="U82" s="391">
        <v>-1000</v>
      </c>
      <c r="V82" s="394"/>
      <c r="W82" s="392"/>
      <c r="X82" s="388">
        <f t="shared" si="1"/>
        <v>2000</v>
      </c>
      <c r="Y82" s="67" t="s">
        <v>0</v>
      </c>
    </row>
    <row r="83" spans="1:25">
      <c r="A83" s="397"/>
      <c r="B83" s="395" t="s">
        <v>313</v>
      </c>
      <c r="C83" s="395"/>
      <c r="D83" s="394"/>
      <c r="E83" s="392"/>
      <c r="F83" s="550">
        <f>((3000/1349500)*-(229415)+3000)-(((3000/1349500)*-(229415)+3000)*0.2%)</f>
        <v>2485.02</v>
      </c>
      <c r="G83" s="394"/>
      <c r="H83" s="392"/>
      <c r="I83" s="391"/>
      <c r="J83" s="394"/>
      <c r="K83" s="392"/>
      <c r="L83" s="391"/>
      <c r="M83" s="394"/>
      <c r="N83" s="392"/>
      <c r="O83" s="391">
        <f t="shared" si="0"/>
        <v>0</v>
      </c>
      <c r="P83" s="394"/>
      <c r="Q83" s="392"/>
      <c r="R83" s="391"/>
      <c r="S83" s="394"/>
      <c r="T83" s="392"/>
      <c r="U83" s="391"/>
      <c r="V83" s="394"/>
      <c r="W83" s="392"/>
      <c r="X83" s="388">
        <f t="shared" si="1"/>
        <v>0</v>
      </c>
      <c r="Y83" s="67" t="s">
        <v>0</v>
      </c>
    </row>
    <row r="84" spans="1:25">
      <c r="A84" s="397" t="s">
        <v>462</v>
      </c>
      <c r="B84" s="395"/>
      <c r="C84" s="395"/>
      <c r="D84" s="394"/>
      <c r="E84" s="392"/>
      <c r="F84" s="391">
        <f>((2500/1349500)*-(229415)+2500)-(((2500/1349500)*-(229415)+2500)*0.2%)</f>
        <v>2070.85</v>
      </c>
      <c r="G84" s="651"/>
      <c r="H84" s="652"/>
      <c r="I84" s="550"/>
      <c r="J84" s="651"/>
      <c r="K84" s="652"/>
      <c r="L84" s="550"/>
      <c r="M84" s="651"/>
      <c r="N84" s="652"/>
      <c r="O84" s="550">
        <f t="shared" si="0"/>
        <v>0</v>
      </c>
      <c r="P84" s="651"/>
      <c r="Q84" s="652"/>
      <c r="R84" s="550"/>
      <c r="S84" s="651"/>
      <c r="T84" s="652"/>
      <c r="U84" s="550"/>
      <c r="V84" s="651"/>
      <c r="W84" s="652"/>
      <c r="X84" s="552">
        <f t="shared" si="1"/>
        <v>0</v>
      </c>
      <c r="Y84" s="67" t="s">
        <v>0</v>
      </c>
    </row>
    <row r="85" spans="1:25">
      <c r="A85" s="397" t="s">
        <v>581</v>
      </c>
      <c r="B85" s="1038"/>
      <c r="C85" s="1038"/>
      <c r="D85" s="394"/>
      <c r="E85" s="392"/>
      <c r="F85" s="391"/>
      <c r="G85" s="651"/>
      <c r="H85" s="652"/>
      <c r="I85" s="550"/>
      <c r="J85" s="651"/>
      <c r="K85" s="652"/>
      <c r="L85" s="550"/>
      <c r="M85" s="651"/>
      <c r="N85" s="652"/>
      <c r="O85" s="550"/>
      <c r="P85" s="651"/>
      <c r="Q85" s="652"/>
      <c r="R85" s="550"/>
      <c r="S85" s="651"/>
      <c r="T85" s="652"/>
      <c r="U85" s="550"/>
      <c r="V85" s="651"/>
      <c r="W85" s="652"/>
      <c r="X85" s="552"/>
      <c r="Y85" s="67"/>
    </row>
    <row r="86" spans="1:25">
      <c r="A86" s="1233"/>
      <c r="B86" s="1204" t="s">
        <v>315</v>
      </c>
      <c r="C86" s="1032"/>
      <c r="D86" s="394"/>
      <c r="E86" s="392"/>
      <c r="F86" s="391" t="s">
        <v>218</v>
      </c>
      <c r="G86" s="394"/>
      <c r="H86" s="392"/>
      <c r="I86" s="391">
        <v>1000</v>
      </c>
      <c r="J86" s="394"/>
      <c r="K86" s="392"/>
      <c r="L86" s="391"/>
      <c r="M86" s="394"/>
      <c r="N86" s="392"/>
      <c r="O86" s="391">
        <f t="shared" si="0"/>
        <v>1000</v>
      </c>
      <c r="P86" s="394"/>
      <c r="Q86" s="392"/>
      <c r="R86" s="391"/>
      <c r="S86" s="394"/>
      <c r="T86" s="392"/>
      <c r="U86" s="391"/>
      <c r="V86" s="394"/>
      <c r="W86" s="392"/>
      <c r="X86" s="388">
        <f t="shared" si="1"/>
        <v>1000</v>
      </c>
      <c r="Y86" s="67" t="s">
        <v>0</v>
      </c>
    </row>
    <row r="87" spans="1:25" s="642" customFormat="1">
      <c r="A87" s="654" t="s">
        <v>463</v>
      </c>
      <c r="B87" s="655"/>
      <c r="C87" s="655"/>
      <c r="D87" s="656"/>
      <c r="E87" s="657"/>
      <c r="F87" s="658"/>
      <c r="G87" s="656"/>
      <c r="H87" s="657"/>
      <c r="I87" s="658">
        <v>10000</v>
      </c>
      <c r="J87" s="656"/>
      <c r="K87" s="657"/>
      <c r="L87" s="658"/>
      <c r="M87" s="656"/>
      <c r="N87" s="657"/>
      <c r="O87" s="658">
        <f t="shared" si="0"/>
        <v>10000</v>
      </c>
      <c r="P87" s="656"/>
      <c r="Q87" s="657"/>
      <c r="R87" s="1344">
        <v>0</v>
      </c>
      <c r="S87" s="656"/>
      <c r="T87" s="657"/>
      <c r="U87" s="658">
        <v>-10000</v>
      </c>
      <c r="V87" s="656"/>
      <c r="W87" s="657"/>
      <c r="X87" s="659" t="s">
        <v>317</v>
      </c>
      <c r="Y87" s="643" t="s">
        <v>0</v>
      </c>
    </row>
    <row r="88" spans="1:25">
      <c r="A88" s="397" t="s">
        <v>391</v>
      </c>
      <c r="B88" s="395"/>
      <c r="C88" s="395"/>
      <c r="D88" s="394"/>
      <c r="E88" s="392"/>
      <c r="F88" s="391">
        <f>((15000/1349500)*-(229415)+15000)-(((15000/1349500)*-(229415)+15000)*0.2%)</f>
        <v>12425.1</v>
      </c>
      <c r="G88" s="394"/>
      <c r="H88" s="392"/>
      <c r="I88" s="391">
        <v>4500</v>
      </c>
      <c r="J88" s="394"/>
      <c r="K88" s="392"/>
      <c r="L88" s="391"/>
      <c r="M88" s="394"/>
      <c r="N88" s="392"/>
      <c r="O88" s="391">
        <f t="shared" si="0"/>
        <v>4500</v>
      </c>
      <c r="P88" s="394"/>
      <c r="Q88" s="392"/>
      <c r="R88" s="391"/>
      <c r="S88" s="394"/>
      <c r="T88" s="392"/>
      <c r="U88" s="391">
        <v>-4500</v>
      </c>
      <c r="V88" s="394"/>
      <c r="W88" s="392"/>
      <c r="X88" s="388">
        <f t="shared" si="1"/>
        <v>0</v>
      </c>
      <c r="Y88" s="67" t="s">
        <v>0</v>
      </c>
    </row>
    <row r="89" spans="1:25" s="642" customFormat="1">
      <c r="A89" s="654" t="s">
        <v>464</v>
      </c>
      <c r="B89" s="655"/>
      <c r="C89" s="655"/>
      <c r="D89" s="656"/>
      <c r="E89" s="657"/>
      <c r="F89" s="658" t="s">
        <v>218</v>
      </c>
      <c r="G89" s="656"/>
      <c r="H89" s="657"/>
      <c r="I89" s="658">
        <v>125000</v>
      </c>
      <c r="J89" s="656"/>
      <c r="K89" s="657"/>
      <c r="L89" s="658"/>
      <c r="M89" s="656"/>
      <c r="N89" s="657"/>
      <c r="O89" s="658">
        <f t="shared" si="0"/>
        <v>125000</v>
      </c>
      <c r="P89" s="656"/>
      <c r="Q89" s="657"/>
      <c r="R89" s="658"/>
      <c r="S89" s="656"/>
      <c r="T89" s="657"/>
      <c r="U89" s="658">
        <v>-125000</v>
      </c>
      <c r="V89" s="656"/>
      <c r="W89" s="657"/>
      <c r="X89" s="659" t="s">
        <v>317</v>
      </c>
      <c r="Y89" s="643" t="s">
        <v>0</v>
      </c>
    </row>
    <row r="90" spans="1:25" s="642" customFormat="1">
      <c r="A90" s="654"/>
      <c r="B90" s="655" t="s">
        <v>220</v>
      </c>
      <c r="C90" s="655"/>
      <c r="D90" s="660"/>
      <c r="E90" s="661"/>
      <c r="F90" s="662"/>
      <c r="G90" s="660"/>
      <c r="H90" s="661"/>
      <c r="I90" s="663">
        <v>117000</v>
      </c>
      <c r="J90" s="660"/>
      <c r="K90" s="661"/>
      <c r="L90" s="663"/>
      <c r="M90" s="660"/>
      <c r="N90" s="661"/>
      <c r="O90" s="663">
        <f t="shared" si="0"/>
        <v>117000</v>
      </c>
      <c r="P90" s="660"/>
      <c r="Q90" s="661"/>
      <c r="R90" s="663"/>
      <c r="S90" s="660"/>
      <c r="T90" s="661"/>
      <c r="U90" s="663">
        <v>-117000</v>
      </c>
      <c r="V90" s="660"/>
      <c r="W90" s="661"/>
      <c r="X90" s="664" t="s">
        <v>317</v>
      </c>
      <c r="Y90" s="643" t="s">
        <v>0</v>
      </c>
    </row>
    <row r="91" spans="1:25" s="642" customFormat="1">
      <c r="A91" s="654"/>
      <c r="B91" s="655" t="s">
        <v>253</v>
      </c>
      <c r="C91" s="655"/>
      <c r="D91" s="660"/>
      <c r="E91" s="661"/>
      <c r="F91" s="662"/>
      <c r="G91" s="660"/>
      <c r="H91" s="661"/>
      <c r="I91" s="663">
        <v>4000</v>
      </c>
      <c r="J91" s="660"/>
      <c r="K91" s="661"/>
      <c r="L91" s="663"/>
      <c r="M91" s="660"/>
      <c r="N91" s="661"/>
      <c r="O91" s="663">
        <f t="shared" si="0"/>
        <v>4000</v>
      </c>
      <c r="P91" s="660"/>
      <c r="Q91" s="661"/>
      <c r="R91" s="663"/>
      <c r="S91" s="660"/>
      <c r="T91" s="661"/>
      <c r="U91" s="663">
        <v>-4000</v>
      </c>
      <c r="V91" s="660"/>
      <c r="W91" s="661"/>
      <c r="X91" s="664" t="s">
        <v>317</v>
      </c>
      <c r="Y91" s="643" t="s">
        <v>0</v>
      </c>
    </row>
    <row r="92" spans="1:25" s="642" customFormat="1">
      <c r="A92" s="654"/>
      <c r="B92" s="655" t="s">
        <v>219</v>
      </c>
      <c r="C92" s="655"/>
      <c r="D92" s="660"/>
      <c r="E92" s="661"/>
      <c r="F92" s="662"/>
      <c r="G92" s="660"/>
      <c r="H92" s="661"/>
      <c r="I92" s="663">
        <v>4000</v>
      </c>
      <c r="J92" s="660"/>
      <c r="K92" s="661"/>
      <c r="L92" s="663"/>
      <c r="M92" s="660"/>
      <c r="N92" s="661"/>
      <c r="O92" s="663">
        <f t="shared" si="0"/>
        <v>4000</v>
      </c>
      <c r="P92" s="660"/>
      <c r="Q92" s="661"/>
      <c r="R92" s="663"/>
      <c r="S92" s="660"/>
      <c r="T92" s="661"/>
      <c r="U92" s="663">
        <v>-4000</v>
      </c>
      <c r="V92" s="660"/>
      <c r="W92" s="661"/>
      <c r="X92" s="664" t="s">
        <v>317</v>
      </c>
      <c r="Y92" s="643" t="s">
        <v>0</v>
      </c>
    </row>
    <row r="93" spans="1:25">
      <c r="A93" s="397" t="s">
        <v>318</v>
      </c>
      <c r="B93" s="395"/>
      <c r="C93" s="395"/>
      <c r="D93" s="394"/>
      <c r="E93" s="392"/>
      <c r="F93" s="391">
        <f>((45000/1349500)*-(229415)+45000)-(((45000/1349500)*-(229415)+45000)*0.2%)</f>
        <v>37275.300000000003</v>
      </c>
      <c r="G93" s="394"/>
      <c r="H93" s="392"/>
      <c r="I93" s="391">
        <v>35000</v>
      </c>
      <c r="J93" s="394"/>
      <c r="K93" s="392"/>
      <c r="L93" s="391"/>
      <c r="M93" s="394"/>
      <c r="N93" s="392"/>
      <c r="O93" s="391">
        <f t="shared" si="0"/>
        <v>35000</v>
      </c>
      <c r="P93" s="394"/>
      <c r="Q93" s="392"/>
      <c r="R93" s="391"/>
      <c r="S93" s="394"/>
      <c r="T93" s="392"/>
      <c r="U93" s="391">
        <v>-35000</v>
      </c>
      <c r="V93" s="394"/>
      <c r="W93" s="392"/>
      <c r="X93" s="388">
        <f t="shared" si="1"/>
        <v>0</v>
      </c>
      <c r="Y93" s="67" t="s">
        <v>0</v>
      </c>
    </row>
    <row r="94" spans="1:25" s="642" customFormat="1">
      <c r="A94" s="654" t="s">
        <v>319</v>
      </c>
      <c r="B94" s="655"/>
      <c r="C94" s="655"/>
      <c r="D94" s="656"/>
      <c r="E94" s="657"/>
      <c r="F94" s="658">
        <f>((20000/1349500)*-(229415)+20000)-(((20000/1349500)*-(229415)+20000)*0.2%)</f>
        <v>16566.8</v>
      </c>
      <c r="G94" s="656"/>
      <c r="H94" s="657"/>
      <c r="I94" s="658">
        <v>7000</v>
      </c>
      <c r="J94" s="656"/>
      <c r="K94" s="657"/>
      <c r="L94" s="658"/>
      <c r="M94" s="656"/>
      <c r="N94" s="657"/>
      <c r="O94" s="658">
        <f t="shared" si="0"/>
        <v>7000</v>
      </c>
      <c r="P94" s="656"/>
      <c r="Q94" s="657"/>
      <c r="R94" s="658">
        <v>8000</v>
      </c>
      <c r="S94" s="656"/>
      <c r="T94" s="657"/>
      <c r="U94" s="658"/>
      <c r="V94" s="656"/>
      <c r="W94" s="657"/>
      <c r="X94" s="630">
        <f t="shared" si="1"/>
        <v>15000</v>
      </c>
      <c r="Y94" s="643" t="s">
        <v>0</v>
      </c>
    </row>
    <row r="95" spans="1:25" s="642" customFormat="1">
      <c r="A95" s="654"/>
      <c r="B95" s="655" t="s">
        <v>652</v>
      </c>
      <c r="C95" s="655"/>
      <c r="D95" s="656"/>
      <c r="E95" s="661"/>
      <c r="F95" s="663"/>
      <c r="G95" s="660"/>
      <c r="H95" s="661"/>
      <c r="I95" s="663"/>
      <c r="J95" s="660"/>
      <c r="K95" s="661"/>
      <c r="L95" s="663"/>
      <c r="M95" s="660"/>
      <c r="N95" s="661"/>
      <c r="O95" s="663"/>
      <c r="P95" s="660"/>
      <c r="Q95" s="661"/>
      <c r="R95" s="663">
        <v>2500</v>
      </c>
      <c r="S95" s="660"/>
      <c r="T95" s="661"/>
      <c r="U95" s="663"/>
      <c r="V95" s="660"/>
      <c r="W95" s="661"/>
      <c r="X95" s="1373">
        <f t="shared" si="1"/>
        <v>2500</v>
      </c>
      <c r="Y95" s="643"/>
    </row>
    <row r="96" spans="1:25">
      <c r="A96" s="397" t="s">
        <v>465</v>
      </c>
      <c r="B96" s="395"/>
      <c r="C96" s="395"/>
      <c r="D96" s="394"/>
      <c r="E96" s="392"/>
      <c r="F96" s="391">
        <f>((1000/1349500)*-(229415)+1000)-(((1000/1349500)*-(229415)+1000)*0.2%)</f>
        <v>828.34</v>
      </c>
      <c r="G96" s="394"/>
      <c r="H96" s="392"/>
      <c r="I96" s="391">
        <v>0</v>
      </c>
      <c r="J96" s="394"/>
      <c r="K96" s="392"/>
      <c r="L96" s="391"/>
      <c r="M96" s="394"/>
      <c r="N96" s="392"/>
      <c r="O96" s="391">
        <f t="shared" si="0"/>
        <v>0</v>
      </c>
      <c r="P96" s="394"/>
      <c r="Q96" s="392"/>
      <c r="R96" s="391"/>
      <c r="S96" s="394"/>
      <c r="T96" s="392"/>
      <c r="U96" s="391"/>
      <c r="V96" s="394"/>
      <c r="W96" s="392"/>
      <c r="X96" s="388">
        <f t="shared" si="1"/>
        <v>0</v>
      </c>
      <c r="Y96" s="67" t="s">
        <v>0</v>
      </c>
    </row>
    <row r="97" spans="1:25" s="642" customFormat="1">
      <c r="A97" s="654" t="s">
        <v>320</v>
      </c>
      <c r="B97" s="655"/>
      <c r="C97" s="655"/>
      <c r="D97" s="656"/>
      <c r="E97" s="657"/>
      <c r="F97" s="666"/>
      <c r="G97" s="656"/>
      <c r="H97" s="657"/>
      <c r="I97" s="658">
        <v>20000</v>
      </c>
      <c r="J97" s="656"/>
      <c r="K97" s="657"/>
      <c r="L97" s="658"/>
      <c r="M97" s="656"/>
      <c r="N97" s="657"/>
      <c r="O97" s="658">
        <f t="shared" si="0"/>
        <v>20000</v>
      </c>
      <c r="P97" s="656"/>
      <c r="Q97" s="657"/>
      <c r="R97" s="658"/>
      <c r="S97" s="656"/>
      <c r="T97" s="657"/>
      <c r="U97" s="658">
        <v>-20000</v>
      </c>
      <c r="V97" s="656"/>
      <c r="W97" s="657"/>
      <c r="X97" s="659" t="s">
        <v>317</v>
      </c>
      <c r="Y97" s="643" t="s">
        <v>0</v>
      </c>
    </row>
    <row r="98" spans="1:25">
      <c r="A98" s="397" t="s">
        <v>361</v>
      </c>
      <c r="B98" s="395"/>
      <c r="C98" s="395"/>
      <c r="D98" s="394"/>
      <c r="E98" s="392"/>
      <c r="F98" s="391">
        <f>((50000/1349500)*-(229415)+50000)-(((50000/1349500)*-(229415)+50000)*0.2%)</f>
        <v>41417</v>
      </c>
      <c r="G98" s="394"/>
      <c r="H98" s="392"/>
      <c r="I98" s="391">
        <v>38000</v>
      </c>
      <c r="J98" s="394"/>
      <c r="K98" s="392"/>
      <c r="L98" s="391"/>
      <c r="M98" s="394"/>
      <c r="N98" s="392"/>
      <c r="O98" s="391">
        <f t="shared" si="0"/>
        <v>38000</v>
      </c>
      <c r="P98" s="394"/>
      <c r="Q98" s="392"/>
      <c r="R98" s="391"/>
      <c r="S98" s="394"/>
      <c r="T98" s="392"/>
      <c r="U98" s="391">
        <v>-38000</v>
      </c>
      <c r="V98" s="394"/>
      <c r="W98" s="392"/>
      <c r="X98" s="388">
        <f t="shared" si="1"/>
        <v>0</v>
      </c>
      <c r="Y98" s="67" t="s">
        <v>0</v>
      </c>
    </row>
    <row r="99" spans="1:25">
      <c r="A99" s="397"/>
      <c r="B99" s="395" t="s">
        <v>321</v>
      </c>
      <c r="C99" s="395"/>
      <c r="D99" s="651"/>
      <c r="E99" s="652"/>
      <c r="F99" s="550">
        <f>((12000/1349500)*-(229415)+12000)-(((12000/1349500)*-(229415)+12000)*0.2%)</f>
        <v>9940.08</v>
      </c>
      <c r="G99" s="651"/>
      <c r="H99" s="652"/>
      <c r="I99" s="550"/>
      <c r="J99" s="651"/>
      <c r="K99" s="652"/>
      <c r="L99" s="550"/>
      <c r="M99" s="651"/>
      <c r="N99" s="652"/>
      <c r="O99" s="550">
        <f t="shared" si="0"/>
        <v>0</v>
      </c>
      <c r="P99" s="651"/>
      <c r="Q99" s="652"/>
      <c r="R99" s="550"/>
      <c r="S99" s="651"/>
      <c r="T99" s="652"/>
      <c r="U99" s="550"/>
      <c r="V99" s="651"/>
      <c r="W99" s="652"/>
      <c r="X99" s="552">
        <f t="shared" si="1"/>
        <v>0</v>
      </c>
      <c r="Y99" s="67" t="s">
        <v>0</v>
      </c>
    </row>
    <row r="100" spans="1:25">
      <c r="A100" s="397"/>
      <c r="B100" s="395" t="s">
        <v>322</v>
      </c>
      <c r="C100" s="395"/>
      <c r="D100" s="651"/>
      <c r="E100" s="652"/>
      <c r="F100" s="550">
        <f>((10000/1349500)*-(229415)+10000)-(((10000/1349500)*-(229415)+10000)*0.2%)</f>
        <v>8283.4</v>
      </c>
      <c r="G100" s="651"/>
      <c r="H100" s="652"/>
      <c r="I100" s="550"/>
      <c r="J100" s="651"/>
      <c r="K100" s="652"/>
      <c r="L100" s="550"/>
      <c r="M100" s="651"/>
      <c r="N100" s="652"/>
      <c r="O100" s="550">
        <f t="shared" si="0"/>
        <v>0</v>
      </c>
      <c r="P100" s="651"/>
      <c r="Q100" s="652"/>
      <c r="R100" s="550"/>
      <c r="S100" s="651"/>
      <c r="T100" s="652"/>
      <c r="U100" s="550"/>
      <c r="V100" s="651"/>
      <c r="W100" s="652"/>
      <c r="X100" s="552">
        <f t="shared" si="1"/>
        <v>0</v>
      </c>
      <c r="Y100" s="67" t="s">
        <v>0</v>
      </c>
    </row>
    <row r="101" spans="1:25">
      <c r="A101" s="397"/>
      <c r="B101" s="395" t="s">
        <v>323</v>
      </c>
      <c r="C101" s="395"/>
      <c r="D101" s="651"/>
      <c r="E101" s="652"/>
      <c r="F101" s="550">
        <f>((3000/1349500)*-(229415)+3000)-(((3000/1349500)*-(229415)+3000)*0.2%)</f>
        <v>2485.02</v>
      </c>
      <c r="G101" s="651"/>
      <c r="H101" s="652"/>
      <c r="I101" s="550"/>
      <c r="J101" s="651"/>
      <c r="K101" s="652"/>
      <c r="L101" s="550"/>
      <c r="M101" s="651"/>
      <c r="N101" s="652"/>
      <c r="O101" s="550">
        <f t="shared" si="0"/>
        <v>0</v>
      </c>
      <c r="P101" s="651"/>
      <c r="Q101" s="652"/>
      <c r="R101" s="550"/>
      <c r="S101" s="651"/>
      <c r="T101" s="652"/>
      <c r="U101" s="550"/>
      <c r="V101" s="651"/>
      <c r="W101" s="652"/>
      <c r="X101" s="552">
        <f t="shared" si="1"/>
        <v>0</v>
      </c>
      <c r="Y101" s="67" t="s">
        <v>0</v>
      </c>
    </row>
    <row r="102" spans="1:25">
      <c r="A102" s="397"/>
      <c r="B102" s="395" t="s">
        <v>324</v>
      </c>
      <c r="C102" s="395"/>
      <c r="D102" s="651"/>
      <c r="E102" s="652"/>
      <c r="F102" s="550">
        <f>((25000/1349500)*-(229415)+25000)-(((25000/1349500)*-(229415)+25000)*0.2%)</f>
        <v>20708.5</v>
      </c>
      <c r="G102" s="651"/>
      <c r="H102" s="652"/>
      <c r="I102" s="550"/>
      <c r="J102" s="651"/>
      <c r="K102" s="652"/>
      <c r="L102" s="550"/>
      <c r="M102" s="651"/>
      <c r="N102" s="652"/>
      <c r="O102" s="550">
        <f t="shared" si="0"/>
        <v>0</v>
      </c>
      <c r="P102" s="651"/>
      <c r="Q102" s="652"/>
      <c r="R102" s="550"/>
      <c r="S102" s="651"/>
      <c r="T102" s="652"/>
      <c r="U102" s="550"/>
      <c r="V102" s="651"/>
      <c r="W102" s="652"/>
      <c r="X102" s="552">
        <f t="shared" si="1"/>
        <v>0</v>
      </c>
      <c r="Y102" s="67" t="s">
        <v>0</v>
      </c>
    </row>
    <row r="103" spans="1:25">
      <c r="A103" s="397" t="s">
        <v>325</v>
      </c>
      <c r="B103" s="395"/>
      <c r="C103" s="395"/>
      <c r="D103" s="394"/>
      <c r="E103" s="392"/>
      <c r="F103" s="391">
        <f>((10000/1349500)*-(229415)+10000)-(((10000/1349500)*-(229415)+10000)*0.2%)</f>
        <v>8283.4</v>
      </c>
      <c r="G103" s="394"/>
      <c r="H103" s="392"/>
      <c r="I103" s="391">
        <v>4000</v>
      </c>
      <c r="J103" s="394"/>
      <c r="K103" s="392"/>
      <c r="L103" s="391"/>
      <c r="M103" s="394"/>
      <c r="N103" s="392"/>
      <c r="O103" s="391">
        <f t="shared" si="0"/>
        <v>4000</v>
      </c>
      <c r="P103" s="394"/>
      <c r="Q103" s="392"/>
      <c r="R103" s="391"/>
      <c r="S103" s="394"/>
      <c r="T103" s="392"/>
      <c r="U103" s="391">
        <v>-4000</v>
      </c>
      <c r="V103" s="394"/>
      <c r="W103" s="392"/>
      <c r="X103" s="388">
        <f t="shared" si="1"/>
        <v>0</v>
      </c>
      <c r="Y103" s="67" t="s">
        <v>0</v>
      </c>
    </row>
    <row r="104" spans="1:25">
      <c r="A104" s="1424" t="s">
        <v>326</v>
      </c>
      <c r="B104" s="1425"/>
      <c r="C104" s="1425"/>
      <c r="D104" s="1426"/>
      <c r="E104" s="1427"/>
      <c r="F104" s="1344">
        <f>((519000/1349500)*-(229415)+519000)-(((519000/1349500)*-(229415)+519000)*0.2%)</f>
        <v>429908.46</v>
      </c>
      <c r="G104" s="1426"/>
      <c r="H104" s="1427"/>
      <c r="I104" s="1344">
        <v>370000</v>
      </c>
      <c r="J104" s="1426"/>
      <c r="K104" s="1427"/>
      <c r="L104" s="1344"/>
      <c r="M104" s="1426"/>
      <c r="N104" s="1427"/>
      <c r="O104" s="1344">
        <f t="shared" si="0"/>
        <v>370000</v>
      </c>
      <c r="P104" s="1426"/>
      <c r="Q104" s="1427"/>
      <c r="R104" s="1344">
        <v>60000</v>
      </c>
      <c r="S104" s="1426"/>
      <c r="T104" s="1427"/>
      <c r="U104" s="1344"/>
      <c r="V104" s="1426"/>
      <c r="W104" s="1427"/>
      <c r="X104" s="1428">
        <f t="shared" si="1"/>
        <v>430000</v>
      </c>
      <c r="Y104" s="67" t="s">
        <v>0</v>
      </c>
    </row>
    <row r="105" spans="1:25">
      <c r="A105" s="397"/>
      <c r="B105" s="395" t="s">
        <v>327</v>
      </c>
      <c r="C105" s="395"/>
      <c r="D105" s="651"/>
      <c r="E105" s="652"/>
      <c r="F105" s="550"/>
      <c r="G105" s="651"/>
      <c r="H105" s="652"/>
      <c r="I105" s="550">
        <v>6000</v>
      </c>
      <c r="J105" s="651"/>
      <c r="K105" s="652"/>
      <c r="L105" s="550"/>
      <c r="M105" s="651"/>
      <c r="N105" s="652"/>
      <c r="O105" s="550">
        <f t="shared" si="0"/>
        <v>6000</v>
      </c>
      <c r="P105" s="651"/>
      <c r="Q105" s="652"/>
      <c r="R105" s="550"/>
      <c r="S105" s="651"/>
      <c r="T105" s="652"/>
      <c r="U105" s="550"/>
      <c r="V105" s="651"/>
      <c r="W105" s="652"/>
      <c r="X105" s="552">
        <f t="shared" si="1"/>
        <v>6000</v>
      </c>
      <c r="Y105" s="67" t="s">
        <v>0</v>
      </c>
    </row>
    <row r="106" spans="1:25">
      <c r="A106" s="397"/>
      <c r="B106" s="395" t="s">
        <v>328</v>
      </c>
      <c r="C106" s="395"/>
      <c r="D106" s="651"/>
      <c r="E106" s="652"/>
      <c r="F106" s="550">
        <f>((5000/1349500)*-(229415)+5000)-(((5000/1349500)*-(229415)+5000)*0.2%)</f>
        <v>4141.7</v>
      </c>
      <c r="G106" s="651"/>
      <c r="H106" s="652"/>
      <c r="I106" s="550"/>
      <c r="J106" s="651"/>
      <c r="K106" s="652"/>
      <c r="L106" s="550"/>
      <c r="M106" s="651"/>
      <c r="N106" s="652"/>
      <c r="O106" s="550">
        <f t="shared" si="0"/>
        <v>0</v>
      </c>
      <c r="P106" s="651"/>
      <c r="Q106" s="652"/>
      <c r="R106" s="550"/>
      <c r="S106" s="651"/>
      <c r="T106" s="652"/>
      <c r="U106" s="550"/>
      <c r="V106" s="651"/>
      <c r="W106" s="652"/>
      <c r="X106" s="552">
        <f t="shared" si="1"/>
        <v>0</v>
      </c>
      <c r="Y106" s="67" t="s">
        <v>0</v>
      </c>
    </row>
    <row r="107" spans="1:25">
      <c r="A107" s="397"/>
      <c r="B107" s="395" t="s">
        <v>329</v>
      </c>
      <c r="C107" s="395"/>
      <c r="D107" s="651"/>
      <c r="E107" s="652"/>
      <c r="F107" s="550">
        <f>((3000/1349500)*-(229415)+3000)-(((3000/1349500)*-(229415)+3000)*0.2%)</f>
        <v>2485.02</v>
      </c>
      <c r="G107" s="651"/>
      <c r="H107" s="652"/>
      <c r="I107" s="550">
        <v>2000</v>
      </c>
      <c r="J107" s="651"/>
      <c r="K107" s="652"/>
      <c r="L107" s="550"/>
      <c r="M107" s="651"/>
      <c r="N107" s="652"/>
      <c r="O107" s="550">
        <f t="shared" si="0"/>
        <v>2000</v>
      </c>
      <c r="P107" s="651"/>
      <c r="Q107" s="652"/>
      <c r="R107" s="550"/>
      <c r="S107" s="651"/>
      <c r="T107" s="652"/>
      <c r="U107" s="550"/>
      <c r="V107" s="651"/>
      <c r="W107" s="652"/>
      <c r="X107" s="552">
        <f t="shared" si="1"/>
        <v>2000</v>
      </c>
      <c r="Y107" s="67" t="s">
        <v>0</v>
      </c>
    </row>
    <row r="108" spans="1:25">
      <c r="A108" s="397"/>
      <c r="B108" s="395" t="s">
        <v>330</v>
      </c>
      <c r="C108" s="395"/>
      <c r="D108" s="651"/>
      <c r="E108" s="652"/>
      <c r="F108" s="550"/>
      <c r="G108" s="651"/>
      <c r="H108" s="652"/>
      <c r="I108" s="550">
        <v>4000</v>
      </c>
      <c r="J108" s="651"/>
      <c r="K108" s="652"/>
      <c r="L108" s="550"/>
      <c r="M108" s="651"/>
      <c r="N108" s="652"/>
      <c r="O108" s="550">
        <f t="shared" si="0"/>
        <v>4000</v>
      </c>
      <c r="P108" s="651"/>
      <c r="Q108" s="652"/>
      <c r="R108" s="550"/>
      <c r="S108" s="651"/>
      <c r="T108" s="652"/>
      <c r="U108" s="550">
        <v>-4000</v>
      </c>
      <c r="V108" s="651"/>
      <c r="W108" s="652"/>
      <c r="X108" s="552">
        <f t="shared" si="1"/>
        <v>0</v>
      </c>
      <c r="Y108" s="67" t="s">
        <v>0</v>
      </c>
    </row>
    <row r="109" spans="1:25">
      <c r="A109" s="397"/>
      <c r="B109" s="395" t="s">
        <v>332</v>
      </c>
      <c r="C109" s="395"/>
      <c r="D109" s="651"/>
      <c r="E109" s="652"/>
      <c r="F109" s="550"/>
      <c r="G109" s="651"/>
      <c r="H109" s="652"/>
      <c r="I109" s="550">
        <v>4000</v>
      </c>
      <c r="J109" s="651"/>
      <c r="K109" s="652"/>
      <c r="L109" s="550"/>
      <c r="M109" s="651"/>
      <c r="N109" s="652"/>
      <c r="O109" s="550">
        <f t="shared" si="0"/>
        <v>4000</v>
      </c>
      <c r="P109" s="651"/>
      <c r="Q109" s="652"/>
      <c r="R109" s="550"/>
      <c r="S109" s="651"/>
      <c r="T109" s="652"/>
      <c r="U109" s="550"/>
      <c r="V109" s="651"/>
      <c r="W109" s="652"/>
      <c r="X109" s="552">
        <f t="shared" si="1"/>
        <v>4000</v>
      </c>
      <c r="Y109" s="67" t="s">
        <v>0</v>
      </c>
    </row>
    <row r="110" spans="1:25">
      <c r="A110" s="397"/>
      <c r="B110" s="395" t="s">
        <v>333</v>
      </c>
      <c r="C110" s="395"/>
      <c r="D110" s="651"/>
      <c r="E110" s="652"/>
      <c r="F110" s="550"/>
      <c r="G110" s="651"/>
      <c r="H110" s="652"/>
      <c r="I110" s="550">
        <v>2000</v>
      </c>
      <c r="J110" s="651"/>
      <c r="K110" s="652"/>
      <c r="L110" s="550"/>
      <c r="M110" s="651"/>
      <c r="N110" s="652"/>
      <c r="O110" s="550">
        <f t="shared" si="0"/>
        <v>2000</v>
      </c>
      <c r="P110" s="651"/>
      <c r="Q110" s="652"/>
      <c r="R110" s="550">
        <v>3000</v>
      </c>
      <c r="S110" s="651"/>
      <c r="T110" s="652"/>
      <c r="U110" s="550"/>
      <c r="V110" s="651"/>
      <c r="W110" s="652"/>
      <c r="X110" s="552">
        <f t="shared" si="1"/>
        <v>5000</v>
      </c>
      <c r="Y110" s="67" t="s">
        <v>0</v>
      </c>
    </row>
    <row r="111" spans="1:25" s="1423" customFormat="1">
      <c r="A111" s="1424" t="s">
        <v>331</v>
      </c>
      <c r="B111" s="1425"/>
      <c r="C111" s="1425"/>
      <c r="D111" s="1429"/>
      <c r="E111" s="1430"/>
      <c r="F111" s="1431"/>
      <c r="G111" s="1429"/>
      <c r="H111" s="1430"/>
      <c r="I111" s="1344">
        <v>100000</v>
      </c>
      <c r="J111" s="1429"/>
      <c r="K111" s="1430"/>
      <c r="L111" s="1431"/>
      <c r="M111" s="1429"/>
      <c r="N111" s="1430"/>
      <c r="O111" s="1344">
        <f t="shared" si="0"/>
        <v>100000</v>
      </c>
      <c r="P111" s="1429"/>
      <c r="Q111" s="1430"/>
      <c r="R111" s="1431"/>
      <c r="S111" s="1429"/>
      <c r="T111" s="1430"/>
      <c r="U111" s="1344">
        <v>-100000</v>
      </c>
      <c r="V111" s="1429"/>
      <c r="W111" s="1430"/>
      <c r="X111" s="1428">
        <f t="shared" si="1"/>
        <v>0</v>
      </c>
      <c r="Y111" s="67"/>
    </row>
    <row r="112" spans="1:25" ht="31.5" customHeight="1">
      <c r="A112" s="1956" t="s">
        <v>334</v>
      </c>
      <c r="B112" s="1957"/>
      <c r="C112" s="1958"/>
      <c r="D112" s="394"/>
      <c r="E112" s="392"/>
      <c r="F112" s="665"/>
      <c r="G112" s="394"/>
      <c r="H112" s="392"/>
      <c r="I112" s="391"/>
      <c r="J112" s="394"/>
      <c r="K112" s="392"/>
      <c r="L112" s="391"/>
      <c r="M112" s="394"/>
      <c r="N112" s="392"/>
      <c r="O112" s="391">
        <f t="shared" si="0"/>
        <v>0</v>
      </c>
      <c r="P112" s="394"/>
      <c r="Q112" s="392"/>
      <c r="R112" s="391">
        <v>8000</v>
      </c>
      <c r="S112" s="394"/>
      <c r="T112" s="392"/>
      <c r="U112" s="391"/>
      <c r="V112" s="394"/>
      <c r="W112" s="392"/>
      <c r="X112" s="388">
        <f t="shared" si="1"/>
        <v>8000</v>
      </c>
      <c r="Y112" s="67" t="s">
        <v>0</v>
      </c>
    </row>
    <row r="113" spans="1:25">
      <c r="A113" s="397" t="s">
        <v>335</v>
      </c>
      <c r="B113" s="395"/>
      <c r="C113" s="395"/>
      <c r="D113" s="394"/>
      <c r="E113" s="392"/>
      <c r="F113" s="391">
        <f>((12000/1349500)*-(229415)+12000)-(((12000/1349500)*-(229415)+12000)*0.2%)</f>
        <v>9940.08</v>
      </c>
      <c r="G113" s="394"/>
      <c r="H113" s="392"/>
      <c r="I113" s="391">
        <v>9000</v>
      </c>
      <c r="J113" s="394"/>
      <c r="K113" s="392"/>
      <c r="L113" s="391"/>
      <c r="M113" s="394"/>
      <c r="N113" s="392"/>
      <c r="O113" s="391">
        <f t="shared" si="0"/>
        <v>9000</v>
      </c>
      <c r="P113" s="394"/>
      <c r="Q113" s="392"/>
      <c r="R113" s="391"/>
      <c r="S113" s="394"/>
      <c r="T113" s="392"/>
      <c r="U113" s="391">
        <v>-9000</v>
      </c>
      <c r="V113" s="394"/>
      <c r="W113" s="392"/>
      <c r="X113" s="388">
        <f t="shared" si="1"/>
        <v>0</v>
      </c>
      <c r="Y113" s="67" t="s">
        <v>0</v>
      </c>
    </row>
    <row r="114" spans="1:25">
      <c r="A114" s="397" t="s">
        <v>336</v>
      </c>
      <c r="B114" s="395"/>
      <c r="C114" s="395"/>
      <c r="D114" s="394"/>
      <c r="E114" s="392"/>
      <c r="F114" s="391">
        <f>((2000/1349500)*-(229415)+2000)-(((2000/1349500)*-(229415)+2000)*0.2%)</f>
        <v>1656.68</v>
      </c>
      <c r="G114" s="394"/>
      <c r="H114" s="392"/>
      <c r="I114" s="391">
        <v>1000</v>
      </c>
      <c r="J114" s="394"/>
      <c r="K114" s="392"/>
      <c r="L114" s="391"/>
      <c r="M114" s="394"/>
      <c r="N114" s="392"/>
      <c r="O114" s="391">
        <f t="shared" si="0"/>
        <v>1000</v>
      </c>
      <c r="P114" s="394"/>
      <c r="Q114" s="392"/>
      <c r="R114" s="391"/>
      <c r="S114" s="394"/>
      <c r="T114" s="392"/>
      <c r="U114" s="391">
        <v>-1000</v>
      </c>
      <c r="V114" s="394"/>
      <c r="W114" s="392"/>
      <c r="X114" s="388">
        <f t="shared" si="1"/>
        <v>0</v>
      </c>
      <c r="Y114" s="67" t="s">
        <v>0</v>
      </c>
    </row>
    <row r="115" spans="1:25">
      <c r="A115" s="397" t="s">
        <v>466</v>
      </c>
      <c r="B115" s="395"/>
      <c r="C115" s="395"/>
      <c r="D115" s="394"/>
      <c r="E115" s="392"/>
      <c r="F115" s="391">
        <f>((11500/1349500)*-(229415)+11500)-(((11500/1349500)*-(229415)+11500)*0.2%)</f>
        <v>9525.91</v>
      </c>
      <c r="G115" s="394"/>
      <c r="H115" s="392"/>
      <c r="I115" s="391">
        <v>6000</v>
      </c>
      <c r="J115" s="394"/>
      <c r="K115" s="392"/>
      <c r="L115" s="391"/>
      <c r="M115" s="394"/>
      <c r="N115" s="392"/>
      <c r="O115" s="391">
        <f t="shared" si="0"/>
        <v>6000</v>
      </c>
      <c r="P115" s="394"/>
      <c r="Q115" s="392"/>
      <c r="R115" s="391"/>
      <c r="S115" s="394"/>
      <c r="T115" s="392"/>
      <c r="U115" s="391"/>
      <c r="V115" s="394"/>
      <c r="W115" s="392"/>
      <c r="X115" s="388">
        <f t="shared" si="1"/>
        <v>6000</v>
      </c>
      <c r="Y115" s="67" t="s">
        <v>0</v>
      </c>
    </row>
    <row r="116" spans="1:25">
      <c r="A116" s="397" t="s">
        <v>362</v>
      </c>
      <c r="B116" s="395"/>
      <c r="C116" s="395"/>
      <c r="D116" s="394"/>
      <c r="E116" s="392"/>
      <c r="F116" s="391">
        <f>((20000/1349500)*-(229415)+20000)-(((20000/1349500)*-(229415)+20000)*0.2%)</f>
        <v>16566.8</v>
      </c>
      <c r="G116" s="394"/>
      <c r="H116" s="392"/>
      <c r="I116" s="391">
        <v>5000</v>
      </c>
      <c r="J116" s="394"/>
      <c r="K116" s="392"/>
      <c r="L116" s="391"/>
      <c r="M116" s="394"/>
      <c r="N116" s="392"/>
      <c r="O116" s="391">
        <f t="shared" si="0"/>
        <v>5000</v>
      </c>
      <c r="P116" s="394"/>
      <c r="Q116" s="392"/>
      <c r="R116" s="391"/>
      <c r="S116" s="394"/>
      <c r="T116" s="392"/>
      <c r="U116" s="391"/>
      <c r="V116" s="394"/>
      <c r="W116" s="392"/>
      <c r="X116" s="388">
        <f t="shared" si="1"/>
        <v>5000</v>
      </c>
      <c r="Y116" s="67" t="s">
        <v>0</v>
      </c>
    </row>
    <row r="117" spans="1:25">
      <c r="A117" s="397" t="s">
        <v>337</v>
      </c>
      <c r="B117" s="395"/>
      <c r="C117" s="395"/>
      <c r="D117" s="394"/>
      <c r="E117" s="392"/>
      <c r="F117" s="391">
        <f>((3000/1349500)*-(229415)+3000)-(((3000/1349500)*-(229415)+3000)*0.2%)</f>
        <v>2485.02</v>
      </c>
      <c r="G117" s="394"/>
      <c r="H117" s="392"/>
      <c r="I117" s="391"/>
      <c r="J117" s="394"/>
      <c r="K117" s="392"/>
      <c r="L117" s="391"/>
      <c r="M117" s="394"/>
      <c r="N117" s="392"/>
      <c r="O117" s="391">
        <f t="shared" si="0"/>
        <v>0</v>
      </c>
      <c r="P117" s="394"/>
      <c r="Q117" s="392"/>
      <c r="R117" s="391"/>
      <c r="S117" s="394"/>
      <c r="T117" s="392"/>
      <c r="U117" s="391"/>
      <c r="V117" s="394"/>
      <c r="W117" s="392"/>
      <c r="X117" s="388">
        <f t="shared" si="1"/>
        <v>0</v>
      </c>
      <c r="Y117" s="67" t="s">
        <v>0</v>
      </c>
    </row>
    <row r="118" spans="1:25">
      <c r="A118" s="397" t="s">
        <v>363</v>
      </c>
      <c r="B118" s="395"/>
      <c r="C118" s="395"/>
      <c r="D118" s="394"/>
      <c r="E118" s="392"/>
      <c r="F118" s="391">
        <f>((35000/1349500)*-(229415)+35000)-(((35000/1349500)*-(229415)+35000)*0.2%)</f>
        <v>28991.9</v>
      </c>
      <c r="G118" s="394"/>
      <c r="H118" s="392"/>
      <c r="I118" s="391">
        <v>12000</v>
      </c>
      <c r="J118" s="394"/>
      <c r="K118" s="392"/>
      <c r="L118" s="391"/>
      <c r="M118" s="394"/>
      <c r="N118" s="392"/>
      <c r="O118" s="391">
        <f t="shared" si="0"/>
        <v>12000</v>
      </c>
      <c r="P118" s="394"/>
      <c r="Q118" s="392"/>
      <c r="R118" s="391"/>
      <c r="S118" s="394"/>
      <c r="T118" s="392"/>
      <c r="U118" s="391">
        <v>-12000</v>
      </c>
      <c r="V118" s="394"/>
      <c r="W118" s="392"/>
      <c r="X118" s="388">
        <f t="shared" si="1"/>
        <v>0</v>
      </c>
      <c r="Y118" s="67" t="s">
        <v>0</v>
      </c>
    </row>
    <row r="119" spans="1:25">
      <c r="A119" s="397" t="s">
        <v>338</v>
      </c>
      <c r="B119" s="395"/>
      <c r="C119" s="395"/>
      <c r="D119" s="394"/>
      <c r="E119" s="392"/>
      <c r="F119" s="391">
        <f>((7000/1349500)*-(229415)+7000)-(((7000/1349500)*-(229415)+7000)*0.2%)</f>
        <v>5798.38</v>
      </c>
      <c r="G119" s="394"/>
      <c r="H119" s="392"/>
      <c r="I119" s="391">
        <v>7000</v>
      </c>
      <c r="J119" s="394"/>
      <c r="K119" s="392"/>
      <c r="L119" s="391"/>
      <c r="M119" s="394"/>
      <c r="N119" s="392"/>
      <c r="O119" s="391">
        <f t="shared" si="0"/>
        <v>7000</v>
      </c>
      <c r="P119" s="394"/>
      <c r="Q119" s="392"/>
      <c r="R119" s="391"/>
      <c r="S119" s="394"/>
      <c r="T119" s="392"/>
      <c r="U119" s="391"/>
      <c r="V119" s="394"/>
      <c r="W119" s="392"/>
      <c r="X119" s="388">
        <f t="shared" si="1"/>
        <v>7000</v>
      </c>
      <c r="Y119" s="67" t="s">
        <v>0</v>
      </c>
    </row>
    <row r="120" spans="1:25">
      <c r="A120" s="397" t="s">
        <v>339</v>
      </c>
      <c r="B120" s="395"/>
      <c r="C120" s="395"/>
      <c r="D120" s="394"/>
      <c r="E120" s="392"/>
      <c r="F120" s="391">
        <f>((15000/1349500)*-(229415)+15000)-(((15000/1349500)*-(229415)+15000)*0.2%)</f>
        <v>12425.1</v>
      </c>
      <c r="G120" s="394"/>
      <c r="H120" s="392"/>
      <c r="I120" s="391">
        <v>12500</v>
      </c>
      <c r="J120" s="394"/>
      <c r="K120" s="392"/>
      <c r="L120" s="391"/>
      <c r="M120" s="394"/>
      <c r="N120" s="392"/>
      <c r="O120" s="391">
        <f t="shared" si="0"/>
        <v>12500</v>
      </c>
      <c r="P120" s="394"/>
      <c r="Q120" s="392"/>
      <c r="R120" s="391"/>
      <c r="S120" s="394"/>
      <c r="T120" s="392"/>
      <c r="U120" s="391">
        <v>-2000</v>
      </c>
      <c r="V120" s="394"/>
      <c r="W120" s="392"/>
      <c r="X120" s="388">
        <f t="shared" si="1"/>
        <v>10500</v>
      </c>
      <c r="Y120" s="67" t="s">
        <v>0</v>
      </c>
    </row>
    <row r="121" spans="1:25">
      <c r="A121" s="397" t="s">
        <v>583</v>
      </c>
      <c r="B121" s="395"/>
      <c r="C121" s="395"/>
      <c r="D121" s="394"/>
      <c r="E121" s="392"/>
      <c r="F121" s="665"/>
      <c r="G121" s="394"/>
      <c r="H121" s="392"/>
      <c r="I121" s="391"/>
      <c r="J121" s="394"/>
      <c r="K121" s="392"/>
      <c r="L121" s="391"/>
      <c r="M121" s="394"/>
      <c r="N121" s="392"/>
      <c r="O121" s="391">
        <f t="shared" si="0"/>
        <v>0</v>
      </c>
      <c r="P121" s="394"/>
      <c r="Q121" s="392"/>
      <c r="R121" s="391">
        <v>52000</v>
      </c>
      <c r="S121" s="394"/>
      <c r="T121" s="392"/>
      <c r="U121" s="391"/>
      <c r="V121" s="394"/>
      <c r="W121" s="392"/>
      <c r="X121" s="388">
        <f t="shared" si="1"/>
        <v>52000</v>
      </c>
      <c r="Y121" s="67" t="s">
        <v>0</v>
      </c>
    </row>
    <row r="122" spans="1:25">
      <c r="A122" s="397" t="s">
        <v>467</v>
      </c>
      <c r="B122" s="395"/>
      <c r="C122" s="395"/>
      <c r="D122" s="394"/>
      <c r="E122" s="392"/>
      <c r="F122" s="391">
        <f>((1000/1349500)*-(229415)+1000)-(((1000/1349500)*-(229415)+1000)*0.2%)</f>
        <v>828.34</v>
      </c>
      <c r="G122" s="394"/>
      <c r="H122" s="392"/>
      <c r="I122" s="391"/>
      <c r="J122" s="394"/>
      <c r="K122" s="392"/>
      <c r="L122" s="391"/>
      <c r="M122" s="394"/>
      <c r="N122" s="392"/>
      <c r="O122" s="391">
        <f t="shared" si="0"/>
        <v>0</v>
      </c>
      <c r="P122" s="394"/>
      <c r="Q122" s="392"/>
      <c r="R122" s="391"/>
      <c r="S122" s="394"/>
      <c r="T122" s="392"/>
      <c r="U122" s="391"/>
      <c r="V122" s="394"/>
      <c r="W122" s="392"/>
      <c r="X122" s="388">
        <f t="shared" si="1"/>
        <v>0</v>
      </c>
      <c r="Y122" s="67" t="s">
        <v>0</v>
      </c>
    </row>
    <row r="123" spans="1:25">
      <c r="A123" s="667" t="s">
        <v>341</v>
      </c>
      <c r="B123" s="668"/>
      <c r="C123" s="668"/>
      <c r="D123" s="669"/>
      <c r="E123" s="670"/>
      <c r="F123" s="671">
        <f>((30000/1349500)*-(229415)+30000)-(((30000/1349500)*-(229415)+30000)*0.2%)</f>
        <v>24850.2</v>
      </c>
      <c r="G123" s="669"/>
      <c r="H123" s="670"/>
      <c r="I123" s="671">
        <v>10000</v>
      </c>
      <c r="J123" s="669"/>
      <c r="K123" s="670"/>
      <c r="L123" s="671"/>
      <c r="M123" s="669"/>
      <c r="N123" s="670"/>
      <c r="O123" s="671">
        <f t="shared" si="0"/>
        <v>10000</v>
      </c>
      <c r="P123" s="669"/>
      <c r="Q123" s="670"/>
      <c r="R123" s="671">
        <v>11000</v>
      </c>
      <c r="S123" s="669"/>
      <c r="T123" s="670"/>
      <c r="U123" s="671"/>
      <c r="V123" s="669"/>
      <c r="W123" s="670"/>
      <c r="X123" s="672">
        <f t="shared" si="1"/>
        <v>21000</v>
      </c>
      <c r="Y123" s="67" t="s">
        <v>0</v>
      </c>
    </row>
    <row r="124" spans="1:25">
      <c r="A124" s="1569" t="s">
        <v>114</v>
      </c>
      <c r="B124" s="1918"/>
      <c r="C124" s="1918"/>
      <c r="D124" s="1540" t="s">
        <v>169</v>
      </c>
      <c r="E124" s="1903"/>
      <c r="F124" s="1904"/>
      <c r="G124" s="1540" t="s">
        <v>644</v>
      </c>
      <c r="H124" s="1964"/>
      <c r="I124" s="1965"/>
      <c r="J124" s="1540" t="s">
        <v>151</v>
      </c>
      <c r="K124" s="1903"/>
      <c r="L124" s="1904"/>
      <c r="M124" s="1540" t="s">
        <v>150</v>
      </c>
      <c r="N124" s="1903"/>
      <c r="O124" s="1904"/>
      <c r="P124" s="1540" t="s">
        <v>152</v>
      </c>
      <c r="Q124" s="1969"/>
      <c r="R124" s="1969"/>
      <c r="S124" s="1540" t="s">
        <v>153</v>
      </c>
      <c r="T124" s="1903"/>
      <c r="U124" s="1903"/>
      <c r="V124" s="1540" t="s">
        <v>154</v>
      </c>
      <c r="W124" s="1841"/>
      <c r="X124" s="1842"/>
      <c r="Y124" s="67" t="s">
        <v>0</v>
      </c>
    </row>
    <row r="125" spans="1:25" ht="34.5" customHeight="1">
      <c r="A125" s="1959"/>
      <c r="B125" s="1960"/>
      <c r="C125" s="1960"/>
      <c r="D125" s="1961"/>
      <c r="E125" s="1962"/>
      <c r="F125" s="1963"/>
      <c r="G125" s="1966"/>
      <c r="H125" s="1967"/>
      <c r="I125" s="1968"/>
      <c r="J125" s="1961"/>
      <c r="K125" s="1962"/>
      <c r="L125" s="1963"/>
      <c r="M125" s="1961"/>
      <c r="N125" s="1962"/>
      <c r="O125" s="1963"/>
      <c r="P125" s="1970"/>
      <c r="Q125" s="1971"/>
      <c r="R125" s="1971"/>
      <c r="S125" s="1961"/>
      <c r="T125" s="1962"/>
      <c r="U125" s="1962"/>
      <c r="V125" s="1843"/>
      <c r="W125" s="1844"/>
      <c r="X125" s="1845"/>
      <c r="Y125" s="67" t="s">
        <v>0</v>
      </c>
    </row>
    <row r="126" spans="1:25" ht="16.5" thickBot="1">
      <c r="A126" s="1919"/>
      <c r="B126" s="1920"/>
      <c r="C126" s="1920"/>
      <c r="D126" s="420" t="s">
        <v>115</v>
      </c>
      <c r="E126" s="417" t="s">
        <v>25</v>
      </c>
      <c r="F126" s="419" t="s">
        <v>117</v>
      </c>
      <c r="G126" s="420" t="s">
        <v>115</v>
      </c>
      <c r="H126" s="417" t="s">
        <v>25</v>
      </c>
      <c r="I126" s="419" t="s">
        <v>117</v>
      </c>
      <c r="J126" s="420" t="s">
        <v>115</v>
      </c>
      <c r="K126" s="417" t="s">
        <v>25</v>
      </c>
      <c r="L126" s="419" t="s">
        <v>117</v>
      </c>
      <c r="M126" s="420" t="s">
        <v>115</v>
      </c>
      <c r="N126" s="417" t="s">
        <v>25</v>
      </c>
      <c r="O126" s="419" t="s">
        <v>117</v>
      </c>
      <c r="P126" s="420" t="s">
        <v>115</v>
      </c>
      <c r="Q126" s="417" t="s">
        <v>25</v>
      </c>
      <c r="R126" s="419" t="s">
        <v>117</v>
      </c>
      <c r="S126" s="420" t="s">
        <v>115</v>
      </c>
      <c r="T126" s="417" t="s">
        <v>25</v>
      </c>
      <c r="U126" s="419" t="s">
        <v>117</v>
      </c>
      <c r="V126" s="418" t="s">
        <v>115</v>
      </c>
      <c r="W126" s="417" t="s">
        <v>25</v>
      </c>
      <c r="X126" s="416" t="s">
        <v>117</v>
      </c>
      <c r="Y126" s="67" t="s">
        <v>0</v>
      </c>
    </row>
    <row r="127" spans="1:25">
      <c r="A127" s="648" t="s">
        <v>468</v>
      </c>
      <c r="B127" s="673"/>
      <c r="C127" s="673"/>
      <c r="D127" s="674"/>
      <c r="E127" s="675"/>
      <c r="F127" s="676">
        <f>((100000/1349500)*-(229415)+100000)-(((100000/1349500)*-(229415)+100000)*0.2%)</f>
        <v>82834</v>
      </c>
      <c r="G127" s="674"/>
      <c r="H127" s="675"/>
      <c r="I127" s="676">
        <v>63000</v>
      </c>
      <c r="J127" s="674"/>
      <c r="K127" s="675"/>
      <c r="L127" s="676"/>
      <c r="M127" s="674"/>
      <c r="N127" s="675"/>
      <c r="O127" s="676">
        <f t="shared" si="0"/>
        <v>63000</v>
      </c>
      <c r="P127" s="674"/>
      <c r="Q127" s="675"/>
      <c r="R127" s="676">
        <v>17000</v>
      </c>
      <c r="S127" s="674"/>
      <c r="T127" s="675"/>
      <c r="U127" s="676"/>
      <c r="V127" s="674"/>
      <c r="W127" s="675"/>
      <c r="X127" s="677">
        <f t="shared" si="1"/>
        <v>80000</v>
      </c>
      <c r="Y127" s="67" t="s">
        <v>0</v>
      </c>
    </row>
    <row r="128" spans="1:25">
      <c r="A128" s="330"/>
      <c r="B128" s="411" t="s">
        <v>342</v>
      </c>
      <c r="C128" s="411"/>
      <c r="D128" s="678"/>
      <c r="E128" s="679"/>
      <c r="F128" s="680">
        <f>((37000/1349500)*-(229415)+37000)-(((37000/1349500)*-(229415)+37000)*0.2%)</f>
        <v>30648.58</v>
      </c>
      <c r="G128" s="678"/>
      <c r="H128" s="679"/>
      <c r="I128" s="680"/>
      <c r="J128" s="678"/>
      <c r="K128" s="679"/>
      <c r="L128" s="680"/>
      <c r="M128" s="678"/>
      <c r="N128" s="679"/>
      <c r="O128" s="680">
        <f t="shared" si="0"/>
        <v>0</v>
      </c>
      <c r="P128" s="678"/>
      <c r="Q128" s="679"/>
      <c r="R128" s="680"/>
      <c r="S128" s="678"/>
      <c r="T128" s="679"/>
      <c r="U128" s="680"/>
      <c r="V128" s="678"/>
      <c r="W128" s="679"/>
      <c r="X128" s="681">
        <f t="shared" si="1"/>
        <v>0</v>
      </c>
      <c r="Y128" s="67" t="s">
        <v>0</v>
      </c>
    </row>
    <row r="129" spans="1:25">
      <c r="A129" s="330"/>
      <c r="B129" s="411" t="s">
        <v>343</v>
      </c>
      <c r="C129" s="411"/>
      <c r="D129" s="678"/>
      <c r="E129" s="679"/>
      <c r="F129" s="680">
        <f>((2500/1349500)*-(229415)+2500)-(((2500/1349500)*-(229415)+2500)*0.2%)</f>
        <v>2070.85</v>
      </c>
      <c r="G129" s="678"/>
      <c r="H129" s="679"/>
      <c r="I129" s="680"/>
      <c r="J129" s="678"/>
      <c r="K129" s="679"/>
      <c r="L129" s="680"/>
      <c r="M129" s="678"/>
      <c r="N129" s="679"/>
      <c r="O129" s="680">
        <f t="shared" si="0"/>
        <v>0</v>
      </c>
      <c r="P129" s="678"/>
      <c r="Q129" s="679"/>
      <c r="R129" s="680"/>
      <c r="S129" s="678"/>
      <c r="T129" s="679"/>
      <c r="U129" s="680"/>
      <c r="V129" s="678"/>
      <c r="W129" s="679"/>
      <c r="X129" s="681">
        <f t="shared" si="1"/>
        <v>0</v>
      </c>
      <c r="Y129" s="67" t="s">
        <v>0</v>
      </c>
    </row>
    <row r="130" spans="1:25">
      <c r="A130" s="330"/>
      <c r="B130" s="411" t="s">
        <v>344</v>
      </c>
      <c r="C130" s="411"/>
      <c r="D130" s="678"/>
      <c r="E130" s="679"/>
      <c r="F130" s="680">
        <f>((7500/1349500)*-(229415)+7500)-(((7500/1349500)*-(229415)+7500)*0.2%)</f>
        <v>6212.55</v>
      </c>
      <c r="G130" s="678"/>
      <c r="H130" s="679"/>
      <c r="I130" s="680"/>
      <c r="J130" s="678"/>
      <c r="K130" s="679"/>
      <c r="L130" s="680"/>
      <c r="M130" s="678"/>
      <c r="N130" s="679"/>
      <c r="O130" s="680">
        <f t="shared" si="0"/>
        <v>0</v>
      </c>
      <c r="P130" s="678"/>
      <c r="Q130" s="679"/>
      <c r="R130" s="680"/>
      <c r="S130" s="678"/>
      <c r="T130" s="679"/>
      <c r="U130" s="680"/>
      <c r="V130" s="678"/>
      <c r="W130" s="679"/>
      <c r="X130" s="681">
        <f t="shared" si="1"/>
        <v>0</v>
      </c>
      <c r="Y130" s="67" t="s">
        <v>0</v>
      </c>
    </row>
    <row r="131" spans="1:25">
      <c r="A131" s="330"/>
      <c r="B131" s="411" t="s">
        <v>345</v>
      </c>
      <c r="C131" s="411"/>
      <c r="D131" s="678"/>
      <c r="E131" s="679"/>
      <c r="F131" s="682">
        <f>((15000/1349500)*-(229415)+15000)-(((15000/1349500)*-(229415)+15000)*0.2%)</f>
        <v>12425.1</v>
      </c>
      <c r="G131" s="678"/>
      <c r="H131" s="679"/>
      <c r="I131" s="680"/>
      <c r="J131" s="678"/>
      <c r="K131" s="679"/>
      <c r="L131" s="680"/>
      <c r="M131" s="678"/>
      <c r="N131" s="679"/>
      <c r="O131" s="680">
        <f t="shared" si="0"/>
        <v>0</v>
      </c>
      <c r="P131" s="678"/>
      <c r="Q131" s="679"/>
      <c r="R131" s="680"/>
      <c r="S131" s="678"/>
      <c r="T131" s="679"/>
      <c r="U131" s="680"/>
      <c r="V131" s="678"/>
      <c r="W131" s="679"/>
      <c r="X131" s="681">
        <f t="shared" si="1"/>
        <v>0</v>
      </c>
      <c r="Y131" s="67" t="s">
        <v>0</v>
      </c>
    </row>
    <row r="132" spans="1:25">
      <c r="A132" s="330"/>
      <c r="B132" s="411" t="s">
        <v>346</v>
      </c>
      <c r="C132" s="411"/>
      <c r="D132" s="678"/>
      <c r="E132" s="679"/>
      <c r="F132" s="680">
        <f>((13000/1349500)*-(229415)+13000)-(((13000/1349500)*-(229415)+13000)*0.2%)</f>
        <v>10768.42</v>
      </c>
      <c r="G132" s="678"/>
      <c r="H132" s="679"/>
      <c r="I132" s="680"/>
      <c r="J132" s="678"/>
      <c r="K132" s="679"/>
      <c r="L132" s="680"/>
      <c r="M132" s="678"/>
      <c r="N132" s="679"/>
      <c r="O132" s="680">
        <f t="shared" si="0"/>
        <v>0</v>
      </c>
      <c r="P132" s="678"/>
      <c r="Q132" s="679"/>
      <c r="R132" s="680"/>
      <c r="S132" s="678"/>
      <c r="T132" s="679"/>
      <c r="U132" s="680"/>
      <c r="V132" s="678"/>
      <c r="W132" s="679"/>
      <c r="X132" s="681">
        <f t="shared" si="1"/>
        <v>0</v>
      </c>
      <c r="Y132" s="67" t="s">
        <v>0</v>
      </c>
    </row>
    <row r="133" spans="1:25">
      <c r="A133" s="330"/>
      <c r="B133" s="411" t="s">
        <v>347</v>
      </c>
      <c r="C133" s="411"/>
      <c r="D133" s="678"/>
      <c r="E133" s="679"/>
      <c r="F133" s="682"/>
      <c r="G133" s="678"/>
      <c r="H133" s="679"/>
      <c r="I133" s="680"/>
      <c r="J133" s="678"/>
      <c r="K133" s="679"/>
      <c r="L133" s="680"/>
      <c r="M133" s="678"/>
      <c r="N133" s="679"/>
      <c r="O133" s="680">
        <f t="shared" si="0"/>
        <v>0</v>
      </c>
      <c r="P133" s="678"/>
      <c r="Q133" s="679"/>
      <c r="R133" s="680">
        <v>20000</v>
      </c>
      <c r="S133" s="678"/>
      <c r="T133" s="679"/>
      <c r="U133" s="680"/>
      <c r="V133" s="678"/>
      <c r="W133" s="679"/>
      <c r="X133" s="681">
        <f t="shared" si="1"/>
        <v>20000</v>
      </c>
      <c r="Y133" s="67" t="s">
        <v>0</v>
      </c>
    </row>
    <row r="134" spans="1:25">
      <c r="A134" s="330"/>
      <c r="B134" s="411" t="s">
        <v>348</v>
      </c>
      <c r="C134" s="411"/>
      <c r="D134" s="678"/>
      <c r="E134" s="679"/>
      <c r="F134" s="682">
        <f>((10000/1349500)*-(229415)+10000)-(((10000/1349500)*-(229415)+10000)*0.2%)</f>
        <v>8283.4</v>
      </c>
      <c r="G134" s="678"/>
      <c r="H134" s="679"/>
      <c r="I134" s="680"/>
      <c r="J134" s="678"/>
      <c r="K134" s="679"/>
      <c r="L134" s="680"/>
      <c r="M134" s="678"/>
      <c r="N134" s="679"/>
      <c r="O134" s="680">
        <f t="shared" si="0"/>
        <v>0</v>
      </c>
      <c r="P134" s="678"/>
      <c r="Q134" s="679"/>
      <c r="R134" s="680"/>
      <c r="S134" s="678"/>
      <c r="T134" s="679"/>
      <c r="U134" s="680"/>
      <c r="V134" s="678"/>
      <c r="W134" s="679"/>
      <c r="X134" s="681">
        <f t="shared" si="1"/>
        <v>0</v>
      </c>
      <c r="Y134" s="67" t="s">
        <v>0</v>
      </c>
    </row>
    <row r="135" spans="1:25">
      <c r="A135" s="330"/>
      <c r="B135" s="411" t="s">
        <v>349</v>
      </c>
      <c r="C135" s="411"/>
      <c r="D135" s="678"/>
      <c r="E135" s="679"/>
      <c r="F135" s="680">
        <f>((10000/1349500)*-(229415)+10000)-(((10000/1349500)*-(229415)+10000)*0.2%)</f>
        <v>8283.4</v>
      </c>
      <c r="G135" s="678"/>
      <c r="H135" s="679"/>
      <c r="I135" s="680"/>
      <c r="J135" s="678"/>
      <c r="K135" s="679"/>
      <c r="L135" s="680"/>
      <c r="M135" s="678"/>
      <c r="N135" s="679"/>
      <c r="O135" s="680">
        <f t="shared" si="0"/>
        <v>0</v>
      </c>
      <c r="P135" s="678"/>
      <c r="Q135" s="679"/>
      <c r="R135" s="680"/>
      <c r="S135" s="678"/>
      <c r="T135" s="679"/>
      <c r="U135" s="680"/>
      <c r="V135" s="678"/>
      <c r="W135" s="679"/>
      <c r="X135" s="681">
        <f t="shared" si="1"/>
        <v>0</v>
      </c>
      <c r="Y135" s="67" t="s">
        <v>0</v>
      </c>
    </row>
    <row r="136" spans="1:25">
      <c r="A136" s="330"/>
      <c r="B136" s="411" t="s">
        <v>350</v>
      </c>
      <c r="C136" s="411"/>
      <c r="D136" s="678"/>
      <c r="E136" s="679"/>
      <c r="F136" s="682"/>
      <c r="G136" s="678"/>
      <c r="H136" s="679"/>
      <c r="I136" s="680">
        <v>4000</v>
      </c>
      <c r="J136" s="678"/>
      <c r="K136" s="679"/>
      <c r="L136" s="680"/>
      <c r="M136" s="678"/>
      <c r="N136" s="679"/>
      <c r="O136" s="680">
        <f t="shared" si="0"/>
        <v>4000</v>
      </c>
      <c r="P136" s="678"/>
      <c r="Q136" s="679"/>
      <c r="R136" s="680">
        <v>6000</v>
      </c>
      <c r="S136" s="678"/>
      <c r="T136" s="679"/>
      <c r="U136" s="680"/>
      <c r="V136" s="678"/>
      <c r="W136" s="679"/>
      <c r="X136" s="681">
        <f t="shared" si="1"/>
        <v>10000</v>
      </c>
      <c r="Y136" s="67" t="s">
        <v>0</v>
      </c>
    </row>
    <row r="137" spans="1:25">
      <c r="A137" s="330"/>
      <c r="B137" s="411" t="s">
        <v>351</v>
      </c>
      <c r="C137" s="411"/>
      <c r="D137" s="678"/>
      <c r="E137" s="679"/>
      <c r="F137" s="680">
        <f>((5000/1349500)*-(229415)+5000)-(((5000/1349500)*-(229415)+5000)*0.2%)</f>
        <v>4141.7</v>
      </c>
      <c r="G137" s="678"/>
      <c r="H137" s="679"/>
      <c r="I137" s="680"/>
      <c r="J137" s="678"/>
      <c r="K137" s="679"/>
      <c r="L137" s="680"/>
      <c r="M137" s="678"/>
      <c r="N137" s="679"/>
      <c r="O137" s="680">
        <f t="shared" si="0"/>
        <v>0</v>
      </c>
      <c r="P137" s="678"/>
      <c r="Q137" s="679"/>
      <c r="R137" s="680"/>
      <c r="S137" s="678"/>
      <c r="T137" s="679"/>
      <c r="U137" s="680"/>
      <c r="V137" s="678"/>
      <c r="W137" s="679"/>
      <c r="X137" s="681">
        <f t="shared" si="1"/>
        <v>0</v>
      </c>
      <c r="Y137" s="67" t="s">
        <v>0</v>
      </c>
    </row>
    <row r="138" spans="1:25">
      <c r="A138" s="330" t="s">
        <v>352</v>
      </c>
      <c r="B138" s="411"/>
      <c r="C138" s="411"/>
      <c r="D138" s="683"/>
      <c r="E138" s="389"/>
      <c r="F138" s="557">
        <f>((31000/1349500)*-(229415)+31000)-(((31000/1349500)*-(229415)+31000)*0.2%)</f>
        <v>25678.54</v>
      </c>
      <c r="G138" s="683"/>
      <c r="H138" s="389"/>
      <c r="I138" s="557"/>
      <c r="J138" s="683"/>
      <c r="K138" s="389"/>
      <c r="L138" s="557"/>
      <c r="M138" s="683"/>
      <c r="N138" s="389"/>
      <c r="O138" s="557">
        <f t="shared" si="0"/>
        <v>0</v>
      </c>
      <c r="P138" s="683"/>
      <c r="Q138" s="389"/>
      <c r="R138" s="557"/>
      <c r="S138" s="683"/>
      <c r="T138" s="389"/>
      <c r="U138" s="557"/>
      <c r="V138" s="683"/>
      <c r="W138" s="389"/>
      <c r="X138" s="558">
        <f t="shared" si="1"/>
        <v>0</v>
      </c>
      <c r="Y138" s="67" t="s">
        <v>0</v>
      </c>
    </row>
    <row r="139" spans="1:25">
      <c r="A139" s="886" t="s">
        <v>469</v>
      </c>
      <c r="B139" s="411"/>
      <c r="C139" s="411"/>
      <c r="D139" s="683"/>
      <c r="E139" s="389"/>
      <c r="F139" s="557">
        <f>((15000/1349500)*-(229415)+15000)-(((15000/1349500)*-(229415)+15000)*0.2%)</f>
        <v>12425.1</v>
      </c>
      <c r="G139" s="683"/>
      <c r="H139" s="389"/>
      <c r="I139" s="557">
        <v>5000</v>
      </c>
      <c r="J139" s="683"/>
      <c r="K139" s="389"/>
      <c r="L139" s="557"/>
      <c r="M139" s="683"/>
      <c r="N139" s="389"/>
      <c r="O139" s="557">
        <f t="shared" ref="O139:O144" si="2">I139+L139</f>
        <v>5000</v>
      </c>
      <c r="P139" s="683"/>
      <c r="Q139" s="389"/>
      <c r="R139" s="557"/>
      <c r="S139" s="683"/>
      <c r="T139" s="389"/>
      <c r="U139" s="557"/>
      <c r="V139" s="683"/>
      <c r="W139" s="389"/>
      <c r="X139" s="558">
        <f>R139+O139+U139</f>
        <v>5000</v>
      </c>
      <c r="Y139" s="67" t="s">
        <v>0</v>
      </c>
    </row>
    <row r="140" spans="1:25">
      <c r="A140" s="330" t="s">
        <v>353</v>
      </c>
      <c r="B140" s="411"/>
      <c r="C140" s="411"/>
      <c r="D140" s="683"/>
      <c r="E140" s="389"/>
      <c r="F140" s="557">
        <f>((330000/1349500)*-(229415)+330000)-(((330000/1349500)*-(229415)+330000)*0.2%)</f>
        <v>273352.2</v>
      </c>
      <c r="G140" s="683"/>
      <c r="H140" s="389"/>
      <c r="I140" s="557">
        <v>240000</v>
      </c>
      <c r="J140" s="683"/>
      <c r="K140" s="389"/>
      <c r="L140" s="557"/>
      <c r="M140" s="683"/>
      <c r="N140" s="389"/>
      <c r="O140" s="557">
        <f t="shared" si="2"/>
        <v>240000</v>
      </c>
      <c r="P140" s="683"/>
      <c r="Q140" s="389"/>
      <c r="R140" s="557"/>
      <c r="S140" s="683"/>
      <c r="T140" s="389"/>
      <c r="U140" s="557">
        <v>-170000</v>
      </c>
      <c r="V140" s="683"/>
      <c r="W140" s="389"/>
      <c r="X140" s="558">
        <f>R140+O140+U140</f>
        <v>70000</v>
      </c>
      <c r="Y140" s="67" t="s">
        <v>0</v>
      </c>
    </row>
    <row r="141" spans="1:25">
      <c r="A141" s="330" t="s">
        <v>354</v>
      </c>
      <c r="B141" s="411"/>
      <c r="C141" s="411"/>
      <c r="D141" s="683"/>
      <c r="E141" s="389"/>
      <c r="F141" s="557">
        <f>((10000/1349500)*-(229415)+10000)-(((10000/1349500)*-(229415)+10000)*0.2%)</f>
        <v>8283.4</v>
      </c>
      <c r="G141" s="683"/>
      <c r="H141" s="389"/>
      <c r="I141" s="557"/>
      <c r="J141" s="683"/>
      <c r="K141" s="389"/>
      <c r="L141" s="557"/>
      <c r="M141" s="683"/>
      <c r="N141" s="389"/>
      <c r="O141" s="557">
        <f t="shared" si="2"/>
        <v>0</v>
      </c>
      <c r="P141" s="683"/>
      <c r="Q141" s="389"/>
      <c r="R141" s="557"/>
      <c r="S141" s="683"/>
      <c r="T141" s="389"/>
      <c r="U141" s="557"/>
      <c r="V141" s="683"/>
      <c r="W141" s="389"/>
      <c r="X141" s="558">
        <f>R141+O141+U141</f>
        <v>0</v>
      </c>
      <c r="Y141" s="67" t="s">
        <v>0</v>
      </c>
    </row>
    <row r="142" spans="1:25">
      <c r="A142" s="397" t="s">
        <v>470</v>
      </c>
      <c r="B142" s="395"/>
      <c r="C142" s="395"/>
      <c r="D142" s="394"/>
      <c r="E142" s="392"/>
      <c r="F142" s="391">
        <f>((3500/1349500)*-(229415)+3500)-(((3500/1349500)*-(229415)+3500)*0.2%)</f>
        <v>2899.19</v>
      </c>
      <c r="G142" s="394"/>
      <c r="H142" s="392"/>
      <c r="I142" s="391"/>
      <c r="J142" s="394"/>
      <c r="K142" s="392"/>
      <c r="L142" s="391"/>
      <c r="M142" s="394"/>
      <c r="N142" s="392"/>
      <c r="O142" s="391">
        <f t="shared" si="2"/>
        <v>0</v>
      </c>
      <c r="P142" s="394"/>
      <c r="Q142" s="392"/>
      <c r="R142" s="391"/>
      <c r="S142" s="394"/>
      <c r="T142" s="392"/>
      <c r="U142" s="391"/>
      <c r="V142" s="394"/>
      <c r="W142" s="392"/>
      <c r="X142" s="388">
        <f>R142+O142+U142</f>
        <v>0</v>
      </c>
      <c r="Y142" s="67" t="s">
        <v>0</v>
      </c>
    </row>
    <row r="143" spans="1:25">
      <c r="A143" s="397" t="s">
        <v>471</v>
      </c>
      <c r="B143" s="411"/>
      <c r="C143" s="411"/>
      <c r="D143" s="394"/>
      <c r="E143" s="392"/>
      <c r="F143" s="391">
        <f>((3000/1349500)*-(229415)+3000)-(((3000/1349500)*-(229415)+3000)*0.2%)</f>
        <v>2485.02</v>
      </c>
      <c r="G143" s="394"/>
      <c r="H143" s="392"/>
      <c r="I143" s="391"/>
      <c r="J143" s="394"/>
      <c r="K143" s="392"/>
      <c r="L143" s="391"/>
      <c r="M143" s="394"/>
      <c r="N143" s="392"/>
      <c r="O143" s="391">
        <f t="shared" si="2"/>
        <v>0</v>
      </c>
      <c r="P143" s="394"/>
      <c r="Q143" s="392"/>
      <c r="R143" s="391"/>
      <c r="S143" s="394"/>
      <c r="T143" s="392"/>
      <c r="U143" s="391"/>
      <c r="V143" s="394"/>
      <c r="W143" s="392"/>
      <c r="X143" s="388">
        <f>R143+O143+U143</f>
        <v>0</v>
      </c>
      <c r="Y143" s="67" t="s">
        <v>0</v>
      </c>
    </row>
    <row r="144" spans="1:25" s="642" customFormat="1" ht="17.25" customHeight="1">
      <c r="A144" s="684" t="s">
        <v>355</v>
      </c>
      <c r="B144" s="685"/>
      <c r="C144" s="685"/>
      <c r="D144" s="686"/>
      <c r="E144" s="687"/>
      <c r="F144" s="688">
        <f>((12500/1349500)*-(229415)+12500)-(((12500/1349500)*-(229415)+12500)*0.2%)</f>
        <v>10354.25</v>
      </c>
      <c r="G144" s="686"/>
      <c r="H144" s="687"/>
      <c r="I144" s="688">
        <v>10500</v>
      </c>
      <c r="J144" s="686"/>
      <c r="K144" s="687"/>
      <c r="L144" s="688"/>
      <c r="M144" s="686"/>
      <c r="N144" s="687"/>
      <c r="O144" s="688">
        <f t="shared" si="2"/>
        <v>10500</v>
      </c>
      <c r="P144" s="686"/>
      <c r="Q144" s="687"/>
      <c r="R144" s="688"/>
      <c r="S144" s="686"/>
      <c r="T144" s="687"/>
      <c r="U144" s="688">
        <v>-10500</v>
      </c>
      <c r="V144" s="686"/>
      <c r="W144" s="687"/>
      <c r="X144" s="659" t="s">
        <v>317</v>
      </c>
      <c r="Y144" s="643" t="s">
        <v>0</v>
      </c>
    </row>
    <row r="145" spans="1:25" ht="17.25" customHeight="1">
      <c r="A145" s="689" t="s">
        <v>206</v>
      </c>
      <c r="B145" s="690"/>
      <c r="C145" s="690"/>
      <c r="D145" s="140">
        <v>0</v>
      </c>
      <c r="E145" s="691">
        <v>0</v>
      </c>
      <c r="F145" s="692">
        <f>SUM(F76:F77,F79:F82,F84,F86:F89,F93:F98,F103:F104,F112:F123,F127,F138:F139,F140:F144)</f>
        <v>1117844.8299999998</v>
      </c>
      <c r="G145" s="140">
        <v>0</v>
      </c>
      <c r="H145" s="691">
        <v>0</v>
      </c>
      <c r="I145" s="692">
        <f>SUM(I76:I77,I79:I82,I84,I86:I89,I93:I98,I103:I104,I111,I112:I123,I127,I138:I139,I140:I144)</f>
        <v>1162500</v>
      </c>
      <c r="J145" s="140">
        <v>0</v>
      </c>
      <c r="K145" s="691">
        <v>0</v>
      </c>
      <c r="L145" s="692">
        <f>SUM(L76:L77,L79:L82,L84,L86:L89,L93:L98,L103:L104,L112:L123,L127,L138:L139,L140:L144)</f>
        <v>0</v>
      </c>
      <c r="M145" s="140"/>
      <c r="N145" s="691"/>
      <c r="O145" s="692">
        <f>SUM(O76:O77,O79:O82,O84,O86:O89,O93:O98,O103:O104,O111,O112:O123,O127,O138:O139,O140:O144)</f>
        <v>1162500</v>
      </c>
      <c r="P145" s="140"/>
      <c r="Q145" s="691"/>
      <c r="R145" s="692">
        <f>SUM(R76:R77,R79:R82,R84,R86:R89,R93:R98,R103:R104,R112:R123,R127,R138:R139,R140:R144)-SUM(R81,R95)</f>
        <v>171000</v>
      </c>
      <c r="S145" s="140"/>
      <c r="T145" s="691"/>
      <c r="U145" s="692">
        <f>SUM(U76:U77,U79:U82,U84,U86:U89,U93:U98,U103:U104,U112:U123,U127,U138:U139,U140:U144, U111)</f>
        <v>-552000</v>
      </c>
      <c r="V145" s="140">
        <v>0</v>
      </c>
      <c r="W145" s="691">
        <v>0</v>
      </c>
      <c r="X145" s="693">
        <f>SUM(X76:X77,X79:X82,X84,X86:X89,X93:X98,X103:X104,X111:X123,X127,X138:X139,X140:X144)-SUM(X81,X95)</f>
        <v>781500</v>
      </c>
      <c r="Y145" s="67" t="s">
        <v>0</v>
      </c>
    </row>
    <row r="146" spans="1:25" ht="17.25" customHeight="1">
      <c r="A146" s="562"/>
      <c r="B146" s="694" t="s">
        <v>109</v>
      </c>
      <c r="C146" s="694"/>
      <c r="D146" s="695"/>
      <c r="E146" s="696"/>
      <c r="F146" s="697">
        <v>-25817.11076</v>
      </c>
      <c r="G146" s="695"/>
      <c r="H146" s="696"/>
      <c r="I146" s="697">
        <f>X18</f>
        <v>-42000</v>
      </c>
      <c r="J146" s="695"/>
      <c r="K146" s="696"/>
      <c r="L146" s="697">
        <v>42000</v>
      </c>
      <c r="M146" s="695"/>
      <c r="N146" s="696"/>
      <c r="O146" s="697"/>
      <c r="P146" s="695"/>
      <c r="Q146" s="696"/>
      <c r="R146" s="697"/>
      <c r="S146" s="695"/>
      <c r="T146" s="696"/>
      <c r="U146" s="697">
        <v>-32000</v>
      </c>
      <c r="V146" s="695"/>
      <c r="W146" s="696"/>
      <c r="X146" s="698">
        <v>-32000</v>
      </c>
      <c r="Y146" s="67" t="s">
        <v>0</v>
      </c>
    </row>
    <row r="147" spans="1:25" ht="17.25" customHeight="1">
      <c r="A147" s="330"/>
      <c r="B147" s="627" t="s">
        <v>282</v>
      </c>
      <c r="C147" s="411"/>
      <c r="D147" s="683"/>
      <c r="E147" s="389"/>
      <c r="F147" s="557">
        <v>168153</v>
      </c>
      <c r="G147" s="683"/>
      <c r="H147" s="389"/>
      <c r="I147" s="557"/>
      <c r="J147" s="683"/>
      <c r="K147" s="389"/>
      <c r="L147" s="557"/>
      <c r="M147" s="683"/>
      <c r="N147" s="389"/>
      <c r="O147" s="557"/>
      <c r="P147" s="683"/>
      <c r="Q147" s="389"/>
      <c r="R147" s="557"/>
      <c r="S147" s="683"/>
      <c r="T147" s="389"/>
      <c r="U147" s="557"/>
      <c r="V147" s="683"/>
      <c r="W147" s="389"/>
      <c r="X147" s="558"/>
      <c r="Y147" s="67" t="s">
        <v>0</v>
      </c>
    </row>
    <row r="148" spans="1:25" ht="17.25" customHeight="1">
      <c r="A148" s="330"/>
      <c r="B148" s="627" t="s">
        <v>283</v>
      </c>
      <c r="C148" s="411"/>
      <c r="D148" s="683"/>
      <c r="E148" s="389"/>
      <c r="F148" s="557">
        <v>2994</v>
      </c>
      <c r="G148" s="683"/>
      <c r="H148" s="389"/>
      <c r="I148" s="557"/>
      <c r="J148" s="683"/>
      <c r="K148" s="389"/>
      <c r="L148" s="557"/>
      <c r="M148" s="683"/>
      <c r="N148" s="389"/>
      <c r="O148" s="557"/>
      <c r="P148" s="683"/>
      <c r="Q148" s="389"/>
      <c r="R148" s="557"/>
      <c r="S148" s="683"/>
      <c r="T148" s="389"/>
      <c r="U148" s="557"/>
      <c r="V148" s="683"/>
      <c r="W148" s="389"/>
      <c r="X148" s="558"/>
      <c r="Y148" s="67" t="s">
        <v>0</v>
      </c>
    </row>
    <row r="149" spans="1:25" ht="17.25" customHeight="1">
      <c r="A149" s="335"/>
      <c r="B149" s="1380" t="s">
        <v>400</v>
      </c>
      <c r="C149" s="1248"/>
      <c r="D149" s="669"/>
      <c r="E149" s="670"/>
      <c r="F149" s="671">
        <v>-31230</v>
      </c>
      <c r="G149" s="669"/>
      <c r="H149" s="670"/>
      <c r="I149" s="671"/>
      <c r="J149" s="669"/>
      <c r="K149" s="670"/>
      <c r="L149" s="671"/>
      <c r="M149" s="669"/>
      <c r="N149" s="670"/>
      <c r="O149" s="671"/>
      <c r="P149" s="669"/>
      <c r="Q149" s="670"/>
      <c r="R149" s="671"/>
      <c r="S149" s="669"/>
      <c r="T149" s="670"/>
      <c r="U149" s="671"/>
      <c r="V149" s="669"/>
      <c r="W149" s="670"/>
      <c r="X149" s="672"/>
      <c r="Y149" s="67" t="s">
        <v>0</v>
      </c>
    </row>
    <row r="150" spans="1:25">
      <c r="A150" s="1202" t="s">
        <v>26</v>
      </c>
      <c r="B150" s="1249"/>
      <c r="C150" s="409"/>
      <c r="D150" s="699">
        <f>SUM(D76:D144)</f>
        <v>0</v>
      </c>
      <c r="E150" s="141">
        <f>SUM(E76:E144)</f>
        <v>0</v>
      </c>
      <c r="F150" s="164">
        <f>SUM(F145:F149)</f>
        <v>1231944.7192399998</v>
      </c>
      <c r="G150" s="699">
        <f>SUM(G76:G144)</f>
        <v>0</v>
      </c>
      <c r="H150" s="141">
        <f>SUM(H76:H144)</f>
        <v>0</v>
      </c>
      <c r="I150" s="164">
        <f>SUM(I145:I149)</f>
        <v>1120500</v>
      </c>
      <c r="J150" s="699">
        <f>SUM(J76:J144)</f>
        <v>0</v>
      </c>
      <c r="K150" s="141">
        <f>SUM(K76:K144)</f>
        <v>0</v>
      </c>
      <c r="L150" s="164">
        <f>SUM(L145:L149)</f>
        <v>42000</v>
      </c>
      <c r="M150" s="699">
        <f>SUM(M76:M144)</f>
        <v>0</v>
      </c>
      <c r="N150" s="141">
        <f>SUM(N76:N144)</f>
        <v>0</v>
      </c>
      <c r="O150" s="164">
        <f>SUM(O145:O149)</f>
        <v>1162500</v>
      </c>
      <c r="P150" s="699">
        <f>SUM(P76:P144)</f>
        <v>0</v>
      </c>
      <c r="Q150" s="141">
        <f>SUM(Q76:Q144)</f>
        <v>0</v>
      </c>
      <c r="R150" s="164">
        <f>SUM(R145:R149)</f>
        <v>171000</v>
      </c>
      <c r="S150" s="699">
        <f>SUM(S76:S144)</f>
        <v>0</v>
      </c>
      <c r="T150" s="141">
        <f>SUM(T76:T144)</f>
        <v>0</v>
      </c>
      <c r="U150" s="164">
        <f>SUM(U145:U149)</f>
        <v>-584000</v>
      </c>
      <c r="V150" s="699">
        <f>SUM(V76:V144)</f>
        <v>0</v>
      </c>
      <c r="W150" s="141">
        <f>SUM(W76:W144)</f>
        <v>0</v>
      </c>
      <c r="X150" s="700">
        <f>X145+X146</f>
        <v>749500</v>
      </c>
      <c r="Y150" s="67" t="s">
        <v>0</v>
      </c>
    </row>
    <row r="151" spans="1:25" s="1192" customFormat="1">
      <c r="A151" s="1252" t="s">
        <v>632</v>
      </c>
      <c r="B151" s="694"/>
      <c r="C151" s="694"/>
      <c r="D151" s="695"/>
      <c r="E151" s="696"/>
      <c r="F151" s="697"/>
      <c r="G151" s="695"/>
      <c r="H151" s="696"/>
      <c r="I151" s="697"/>
      <c r="J151" s="695"/>
      <c r="K151" s="696"/>
      <c r="L151" s="697"/>
      <c r="M151" s="695"/>
      <c r="N151" s="696"/>
      <c r="O151" s="697"/>
      <c r="P151" s="695"/>
      <c r="Q151" s="696"/>
      <c r="R151" s="697"/>
      <c r="S151" s="695"/>
      <c r="T151" s="696"/>
      <c r="U151" s="697"/>
      <c r="V151" s="695"/>
      <c r="W151" s="696"/>
      <c r="X151" s="698"/>
      <c r="Y151" s="67" t="s">
        <v>0</v>
      </c>
    </row>
    <row r="152" spans="1:25" s="1192" customFormat="1">
      <c r="A152" s="1194" t="s">
        <v>358</v>
      </c>
      <c r="B152" s="1378" t="s">
        <v>355</v>
      </c>
      <c r="C152" s="1204"/>
      <c r="D152" s="683"/>
      <c r="E152" s="389"/>
      <c r="F152" s="557"/>
      <c r="G152" s="683"/>
      <c r="H152" s="389"/>
      <c r="I152" s="557"/>
      <c r="J152" s="683"/>
      <c r="K152" s="389"/>
      <c r="L152" s="557"/>
      <c r="M152" s="683"/>
      <c r="N152" s="389"/>
      <c r="O152" s="557"/>
      <c r="P152" s="683"/>
      <c r="Q152" s="389"/>
      <c r="R152" s="557">
        <v>10500</v>
      </c>
      <c r="S152" s="683"/>
      <c r="T152" s="389"/>
      <c r="U152" s="557"/>
      <c r="V152" s="683"/>
      <c r="W152" s="389"/>
      <c r="X152" s="558">
        <f t="shared" ref="X152:X157" si="3">R152+O152+U152</f>
        <v>10500</v>
      </c>
      <c r="Y152" s="67" t="s">
        <v>0</v>
      </c>
    </row>
    <row r="153" spans="1:25" s="1192" customFormat="1">
      <c r="A153" s="1194"/>
      <c r="B153" s="631" t="s">
        <v>360</v>
      </c>
      <c r="C153" s="1204"/>
      <c r="D153" s="683"/>
      <c r="E153" s="389"/>
      <c r="F153" s="557"/>
      <c r="G153" s="683"/>
      <c r="H153" s="389"/>
      <c r="I153" s="557"/>
      <c r="J153" s="683"/>
      <c r="K153" s="389"/>
      <c r="L153" s="557"/>
      <c r="M153" s="683"/>
      <c r="N153" s="389"/>
      <c r="O153" s="557"/>
      <c r="P153" s="683"/>
      <c r="Q153" s="389"/>
      <c r="R153" s="557">
        <v>100000</v>
      </c>
      <c r="S153" s="683"/>
      <c r="T153" s="389"/>
      <c r="U153" s="557"/>
      <c r="V153" s="683"/>
      <c r="W153" s="389"/>
      <c r="X153" s="558">
        <f t="shared" si="3"/>
        <v>100000</v>
      </c>
      <c r="Y153" s="67" t="s">
        <v>0</v>
      </c>
    </row>
    <row r="154" spans="1:25" s="1192" customFormat="1">
      <c r="A154" s="1194" t="s">
        <v>320</v>
      </c>
      <c r="B154" s="1378" t="s">
        <v>656</v>
      </c>
      <c r="C154" s="1204"/>
      <c r="D154" s="683"/>
      <c r="E154" s="389"/>
      <c r="F154" s="557"/>
      <c r="G154" s="683"/>
      <c r="H154" s="389"/>
      <c r="I154" s="557"/>
      <c r="J154" s="683"/>
      <c r="K154" s="389"/>
      <c r="L154" s="557"/>
      <c r="M154" s="683"/>
      <c r="N154" s="389"/>
      <c r="O154" s="557"/>
      <c r="P154" s="683"/>
      <c r="Q154" s="389"/>
      <c r="R154" s="557">
        <v>23000</v>
      </c>
      <c r="S154" s="683"/>
      <c r="T154" s="389"/>
      <c r="U154" s="557"/>
      <c r="V154" s="683"/>
      <c r="W154" s="389"/>
      <c r="X154" s="558">
        <f t="shared" si="3"/>
        <v>23000</v>
      </c>
      <c r="Y154" s="67" t="s">
        <v>0</v>
      </c>
    </row>
    <row r="155" spans="1:25" s="1192" customFormat="1">
      <c r="A155" s="1194" t="s">
        <v>633</v>
      </c>
      <c r="B155" s="1378" t="s">
        <v>320</v>
      </c>
      <c r="C155" s="1204"/>
      <c r="D155" s="683"/>
      <c r="E155" s="389"/>
      <c r="F155" s="557"/>
      <c r="G155" s="683"/>
      <c r="H155" s="389"/>
      <c r="I155" s="557"/>
      <c r="J155" s="683"/>
      <c r="K155" s="389"/>
      <c r="L155" s="557"/>
      <c r="M155" s="683"/>
      <c r="N155" s="389"/>
      <c r="O155" s="557"/>
      <c r="P155" s="683"/>
      <c r="Q155" s="389"/>
      <c r="R155" s="557">
        <v>20000</v>
      </c>
      <c r="S155" s="683"/>
      <c r="T155" s="389"/>
      <c r="U155" s="557"/>
      <c r="V155" s="683"/>
      <c r="W155" s="389"/>
      <c r="X155" s="558">
        <f t="shared" si="3"/>
        <v>20000</v>
      </c>
      <c r="Y155" s="67" t="s">
        <v>0</v>
      </c>
    </row>
    <row r="156" spans="1:25" s="1192" customFormat="1">
      <c r="A156" s="1194" t="s">
        <v>355</v>
      </c>
      <c r="B156" s="1378" t="s">
        <v>633</v>
      </c>
      <c r="C156" s="1204"/>
      <c r="D156" s="683"/>
      <c r="E156" s="389"/>
      <c r="F156" s="557"/>
      <c r="G156" s="683"/>
      <c r="H156" s="389"/>
      <c r="I156" s="557"/>
      <c r="J156" s="683"/>
      <c r="K156" s="389"/>
      <c r="L156" s="557"/>
      <c r="M156" s="683"/>
      <c r="N156" s="389"/>
      <c r="O156" s="557"/>
      <c r="P156" s="683"/>
      <c r="Q156" s="389"/>
      <c r="R156" s="557">
        <v>67000</v>
      </c>
      <c r="S156" s="683"/>
      <c r="T156" s="389"/>
      <c r="U156" s="557"/>
      <c r="V156" s="683"/>
      <c r="W156" s="389"/>
      <c r="X156" s="558">
        <f t="shared" si="3"/>
        <v>67000</v>
      </c>
      <c r="Y156" s="67" t="s">
        <v>0</v>
      </c>
    </row>
    <row r="157" spans="1:25" s="1192" customFormat="1">
      <c r="A157" s="1242" t="s">
        <v>634</v>
      </c>
      <c r="B157" s="1248"/>
      <c r="C157" s="1248"/>
      <c r="D157" s="1253"/>
      <c r="E157" s="1254"/>
      <c r="F157" s="1040"/>
      <c r="G157" s="1253"/>
      <c r="H157" s="1254"/>
      <c r="I157" s="1040"/>
      <c r="J157" s="1253"/>
      <c r="K157" s="1254"/>
      <c r="L157" s="1040"/>
      <c r="M157" s="1253"/>
      <c r="N157" s="1254"/>
      <c r="O157" s="1040"/>
      <c r="P157" s="1253"/>
      <c r="Q157" s="1254"/>
      <c r="R157" s="1040">
        <f>SUM(R152:R156)</f>
        <v>220500</v>
      </c>
      <c r="S157" s="1253"/>
      <c r="T157" s="1254"/>
      <c r="U157" s="1040"/>
      <c r="V157" s="1253"/>
      <c r="W157" s="1254"/>
      <c r="X157" s="1100">
        <f t="shared" si="3"/>
        <v>220500</v>
      </c>
      <c r="Y157" s="67" t="s">
        <v>0</v>
      </c>
    </row>
    <row r="158" spans="1:25" s="1192" customFormat="1">
      <c r="A158" s="1202" t="s">
        <v>639</v>
      </c>
      <c r="B158" s="1249"/>
      <c r="C158" s="1249"/>
      <c r="D158" s="339">
        <f t="shared" ref="D158:X158" si="4">SUM(D150,D157)</f>
        <v>0</v>
      </c>
      <c r="E158" s="340">
        <f t="shared" si="4"/>
        <v>0</v>
      </c>
      <c r="F158" s="166">
        <f t="shared" si="4"/>
        <v>1231944.7192399998</v>
      </c>
      <c r="G158" s="339">
        <f t="shared" si="4"/>
        <v>0</v>
      </c>
      <c r="H158" s="340">
        <f t="shared" si="4"/>
        <v>0</v>
      </c>
      <c r="I158" s="166">
        <f t="shared" si="4"/>
        <v>1120500</v>
      </c>
      <c r="J158" s="339">
        <f t="shared" si="4"/>
        <v>0</v>
      </c>
      <c r="K158" s="340">
        <f t="shared" si="4"/>
        <v>0</v>
      </c>
      <c r="L158" s="166">
        <f t="shared" si="4"/>
        <v>42000</v>
      </c>
      <c r="M158" s="339">
        <f t="shared" si="4"/>
        <v>0</v>
      </c>
      <c r="N158" s="340">
        <f t="shared" si="4"/>
        <v>0</v>
      </c>
      <c r="O158" s="166">
        <f t="shared" si="4"/>
        <v>1162500</v>
      </c>
      <c r="P158" s="339">
        <f t="shared" si="4"/>
        <v>0</v>
      </c>
      <c r="Q158" s="340">
        <f t="shared" si="4"/>
        <v>0</v>
      </c>
      <c r="R158" s="166">
        <f t="shared" si="4"/>
        <v>391500</v>
      </c>
      <c r="S158" s="339">
        <f t="shared" si="4"/>
        <v>0</v>
      </c>
      <c r="T158" s="340">
        <f t="shared" si="4"/>
        <v>0</v>
      </c>
      <c r="U158" s="166">
        <f t="shared" si="4"/>
        <v>-584000</v>
      </c>
      <c r="V158" s="339">
        <f t="shared" si="4"/>
        <v>0</v>
      </c>
      <c r="W158" s="340">
        <f t="shared" si="4"/>
        <v>0</v>
      </c>
      <c r="X158" s="755">
        <f t="shared" si="4"/>
        <v>970000</v>
      </c>
      <c r="Y158" s="67" t="s">
        <v>0</v>
      </c>
    </row>
    <row r="159" spans="1:25" ht="17.25" customHeight="1">
      <c r="A159" s="1130"/>
      <c r="B159" s="1917"/>
      <c r="C159" s="1972"/>
      <c r="D159" s="1250"/>
      <c r="E159" s="701"/>
      <c r="F159" s="399"/>
      <c r="G159" s="1251"/>
      <c r="H159" s="399"/>
      <c r="I159" s="399"/>
      <c r="J159" s="1251"/>
      <c r="K159" s="399"/>
      <c r="L159" s="399"/>
      <c r="M159" s="1251"/>
      <c r="N159" s="399"/>
      <c r="O159" s="399"/>
      <c r="P159" s="1251"/>
      <c r="Q159" s="399"/>
      <c r="R159" s="399"/>
      <c r="S159" s="1251"/>
      <c r="T159" s="399"/>
      <c r="U159" s="399"/>
      <c r="V159" s="1251"/>
      <c r="W159" s="399"/>
      <c r="X159" s="398"/>
      <c r="Y159" s="67" t="s">
        <v>0</v>
      </c>
    </row>
    <row r="160" spans="1:25">
      <c r="A160" s="385"/>
      <c r="B160" s="1811" t="s">
        <v>103</v>
      </c>
      <c r="C160" s="1812"/>
      <c r="D160" s="384"/>
      <c r="E160" s="380"/>
      <c r="F160" s="382"/>
      <c r="G160" s="381"/>
      <c r="H160" s="382"/>
      <c r="I160" s="382"/>
      <c r="J160" s="381"/>
      <c r="K160" s="382"/>
      <c r="L160" s="382"/>
      <c r="M160" s="381"/>
      <c r="N160" s="382"/>
      <c r="O160" s="382"/>
      <c r="P160" s="381"/>
      <c r="Q160" s="382"/>
      <c r="R160" s="382"/>
      <c r="S160" s="381"/>
      <c r="T160" s="382"/>
      <c r="U160" s="382"/>
      <c r="V160" s="381"/>
      <c r="W160" s="380"/>
      <c r="X160" s="379"/>
      <c r="Y160" s="67" t="s">
        <v>0</v>
      </c>
    </row>
    <row r="161" spans="1:25">
      <c r="A161" s="397"/>
      <c r="B161" s="1809" t="s">
        <v>102</v>
      </c>
      <c r="C161" s="1810"/>
      <c r="D161" s="394"/>
      <c r="E161" s="392">
        <f>+E150+E160</f>
        <v>0</v>
      </c>
      <c r="F161" s="391"/>
      <c r="G161" s="390"/>
      <c r="H161" s="392">
        <f>+H150+H160</f>
        <v>0</v>
      </c>
      <c r="I161" s="391"/>
      <c r="J161" s="390"/>
      <c r="K161" s="392">
        <f>+K150+K160</f>
        <v>0</v>
      </c>
      <c r="L161" s="391"/>
      <c r="M161" s="390"/>
      <c r="N161" s="392">
        <f>+N150+N160</f>
        <v>0</v>
      </c>
      <c r="O161" s="391"/>
      <c r="P161" s="390"/>
      <c r="Q161" s="392">
        <f>+Q150+Q160</f>
        <v>0</v>
      </c>
      <c r="R161" s="391"/>
      <c r="S161" s="390"/>
      <c r="T161" s="392">
        <f>+T150+T160</f>
        <v>0</v>
      </c>
      <c r="U161" s="391"/>
      <c r="V161" s="390"/>
      <c r="W161" s="392">
        <f>+W150+W160</f>
        <v>0</v>
      </c>
      <c r="X161" s="388"/>
      <c r="Y161" s="67" t="s">
        <v>0</v>
      </c>
    </row>
    <row r="162" spans="1:25">
      <c r="A162" s="335"/>
      <c r="B162" s="1813"/>
      <c r="C162" s="1814"/>
      <c r="D162" s="403"/>
      <c r="E162" s="701"/>
      <c r="F162" s="399"/>
      <c r="G162" s="400"/>
      <c r="H162" s="399"/>
      <c r="I162" s="399"/>
      <c r="J162" s="400"/>
      <c r="K162" s="399"/>
      <c r="L162" s="399"/>
      <c r="M162" s="400"/>
      <c r="N162" s="399"/>
      <c r="O162" s="399"/>
      <c r="P162" s="400"/>
      <c r="Q162" s="399"/>
      <c r="R162" s="399"/>
      <c r="S162" s="400"/>
      <c r="T162" s="399"/>
      <c r="U162" s="399"/>
      <c r="V162" s="400"/>
      <c r="W162" s="399"/>
      <c r="X162" s="398"/>
      <c r="Y162" s="67" t="s">
        <v>0</v>
      </c>
    </row>
    <row r="163" spans="1:25">
      <c r="A163" s="397"/>
      <c r="B163" s="1809" t="s">
        <v>100</v>
      </c>
      <c r="C163" s="1810"/>
      <c r="D163" s="394"/>
      <c r="E163" s="392"/>
      <c r="F163" s="391"/>
      <c r="G163" s="390"/>
      <c r="H163" s="391"/>
      <c r="I163" s="391"/>
      <c r="J163" s="390"/>
      <c r="K163" s="391"/>
      <c r="L163" s="391"/>
      <c r="M163" s="390"/>
      <c r="N163" s="391"/>
      <c r="O163" s="391"/>
      <c r="P163" s="390"/>
      <c r="Q163" s="391"/>
      <c r="R163" s="391"/>
      <c r="S163" s="390"/>
      <c r="T163" s="391"/>
      <c r="U163" s="391"/>
      <c r="V163" s="390"/>
      <c r="W163" s="391"/>
      <c r="X163" s="388"/>
      <c r="Y163" s="67" t="s">
        <v>0</v>
      </c>
    </row>
    <row r="164" spans="1:25">
      <c r="A164" s="397"/>
      <c r="B164" s="396"/>
      <c r="C164" s="395" t="s">
        <v>31</v>
      </c>
      <c r="D164" s="394"/>
      <c r="E164" s="392"/>
      <c r="F164" s="391"/>
      <c r="G164" s="390"/>
      <c r="H164" s="391"/>
      <c r="I164" s="391"/>
      <c r="J164" s="390"/>
      <c r="K164" s="392"/>
      <c r="L164" s="391"/>
      <c r="M164" s="390"/>
      <c r="N164" s="392"/>
      <c r="O164" s="391"/>
      <c r="P164" s="390"/>
      <c r="Q164" s="392"/>
      <c r="R164" s="391"/>
      <c r="S164" s="390"/>
      <c r="T164" s="392"/>
      <c r="U164" s="391"/>
      <c r="V164" s="390"/>
      <c r="W164" s="389"/>
      <c r="X164" s="388"/>
      <c r="Y164" s="67" t="s">
        <v>0</v>
      </c>
    </row>
    <row r="165" spans="1:25">
      <c r="A165" s="385"/>
      <c r="B165" s="387"/>
      <c r="C165" s="386" t="s">
        <v>60</v>
      </c>
      <c r="D165" s="384"/>
      <c r="E165" s="380"/>
      <c r="F165" s="382"/>
      <c r="G165" s="381"/>
      <c r="H165" s="382"/>
      <c r="I165" s="382"/>
      <c r="J165" s="381"/>
      <c r="K165" s="380"/>
      <c r="L165" s="382"/>
      <c r="M165" s="381"/>
      <c r="N165" s="380"/>
      <c r="O165" s="382"/>
      <c r="P165" s="381"/>
      <c r="Q165" s="380"/>
      <c r="R165" s="382"/>
      <c r="S165" s="381"/>
      <c r="T165" s="380"/>
      <c r="U165" s="382"/>
      <c r="V165" s="381"/>
      <c r="W165" s="380"/>
      <c r="X165" s="379"/>
      <c r="Y165" s="67" t="s">
        <v>0</v>
      </c>
    </row>
    <row r="166" spans="1:25">
      <c r="A166" s="359"/>
      <c r="B166" s="1807" t="s">
        <v>101</v>
      </c>
      <c r="C166" s="1808"/>
      <c r="D166" s="405"/>
      <c r="E166" s="404">
        <f>E165+E164+E161</f>
        <v>0</v>
      </c>
      <c r="F166" s="407"/>
      <c r="G166" s="560"/>
      <c r="H166" s="404">
        <f>H165+H164+H161</f>
        <v>0</v>
      </c>
      <c r="I166" s="407"/>
      <c r="J166" s="560"/>
      <c r="K166" s="404">
        <f>K165+K164+K161</f>
        <v>0</v>
      </c>
      <c r="L166" s="407"/>
      <c r="M166" s="560"/>
      <c r="N166" s="404">
        <f>N165+N164+N161</f>
        <v>0</v>
      </c>
      <c r="O166" s="407"/>
      <c r="P166" s="560"/>
      <c r="Q166" s="404">
        <f>Q165+Q164+Q161</f>
        <v>0</v>
      </c>
      <c r="R166" s="407"/>
      <c r="S166" s="560"/>
      <c r="T166" s="404">
        <f>T165+T164+T161</f>
        <v>0</v>
      </c>
      <c r="U166" s="407"/>
      <c r="V166" s="560"/>
      <c r="W166" s="404">
        <f>W165+W164+W161</f>
        <v>0</v>
      </c>
      <c r="X166" s="408"/>
      <c r="Y166" s="67" t="s">
        <v>0</v>
      </c>
    </row>
    <row r="167" spans="1:25">
      <c r="C167" s="378"/>
      <c r="Y167" s="67" t="s">
        <v>0</v>
      </c>
    </row>
    <row r="168" spans="1:25" ht="15" customHeight="1">
      <c r="A168" s="1952" t="s">
        <v>640</v>
      </c>
      <c r="B168" s="1533"/>
      <c r="C168" s="1533"/>
      <c r="D168" s="1533"/>
      <c r="E168" s="1533"/>
      <c r="F168" s="1533"/>
      <c r="G168" s="1533"/>
      <c r="H168" s="1533"/>
      <c r="I168" s="1533"/>
      <c r="J168" s="1533"/>
      <c r="K168" s="1533"/>
      <c r="L168" s="1533"/>
      <c r="M168" s="1533"/>
      <c r="N168" s="1533"/>
      <c r="O168" s="1533"/>
      <c r="P168" s="1533"/>
      <c r="Q168" s="1533"/>
      <c r="R168" s="1533"/>
      <c r="S168" s="1533"/>
      <c r="T168" s="1533"/>
      <c r="U168" s="1533"/>
      <c r="V168" s="1533"/>
      <c r="W168" s="1533"/>
      <c r="X168" s="1533"/>
      <c r="Y168" s="67" t="s">
        <v>0</v>
      </c>
    </row>
    <row r="169" spans="1:25" s="253" customFormat="1" ht="15" customHeight="1">
      <c r="D169" s="18"/>
      <c r="E169" s="18"/>
      <c r="F169" s="18"/>
      <c r="G169" s="18"/>
      <c r="H169" s="18"/>
      <c r="I169" s="18"/>
      <c r="J169" s="18"/>
      <c r="K169" s="18"/>
      <c r="L169" s="18"/>
      <c r="M169" s="18"/>
      <c r="N169" s="18"/>
      <c r="O169" s="18"/>
      <c r="P169" s="18"/>
      <c r="Q169" s="18"/>
      <c r="R169" s="18"/>
      <c r="S169" s="18"/>
      <c r="T169" s="18"/>
      <c r="U169" s="18"/>
      <c r="V169" s="18"/>
      <c r="W169" s="18"/>
      <c r="X169" s="18"/>
      <c r="Y169" s="67" t="s">
        <v>13</v>
      </c>
    </row>
    <row r="170" spans="1:25" s="253" customFormat="1" ht="15" customHeight="1">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5"/>
    </row>
    <row r="171" spans="1:25" s="253" customFormat="1" ht="15" customHeight="1">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5"/>
    </row>
    <row r="172" spans="1:25" s="253" customFormat="1" ht="15">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5"/>
    </row>
    <row r="173" spans="1:25" s="253" customFormat="1" ht="15">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5"/>
    </row>
    <row r="174" spans="1:25" s="253" customFormat="1" ht="15">
      <c r="A174" s="256"/>
      <c r="B174" s="256"/>
      <c r="C174" s="256"/>
      <c r="D174" s="41"/>
      <c r="E174" s="41"/>
      <c r="F174" s="41"/>
      <c r="G174" s="41"/>
      <c r="H174" s="41"/>
      <c r="I174" s="41"/>
      <c r="J174" s="41"/>
      <c r="K174" s="41"/>
      <c r="L174" s="41"/>
      <c r="M174" s="41"/>
      <c r="N174" s="41"/>
      <c r="O174" s="41"/>
      <c r="P174" s="41"/>
      <c r="Q174" s="41"/>
      <c r="R174" s="41"/>
      <c r="S174" s="41"/>
      <c r="T174" s="41"/>
      <c r="U174" s="41"/>
      <c r="V174" s="41"/>
      <c r="W174" s="257"/>
      <c r="X174" s="257"/>
      <c r="Y174" s="255"/>
    </row>
    <row r="175" spans="1:25" s="253" customFormat="1" ht="15">
      <c r="A175" s="256"/>
      <c r="B175" s="256"/>
      <c r="C175" s="272"/>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55"/>
    </row>
    <row r="176" spans="1:25" s="253" customFormat="1" ht="30" customHeight="1">
      <c r="A176" s="1806"/>
      <c r="B176" s="1806"/>
      <c r="C176" s="1806"/>
      <c r="D176" s="1806"/>
      <c r="E176" s="1806"/>
      <c r="F176" s="1806"/>
      <c r="G176" s="1806"/>
      <c r="H176" s="1806"/>
      <c r="I176" s="1806"/>
      <c r="J176" s="1806"/>
      <c r="K176" s="1806"/>
      <c r="L176" s="1806"/>
      <c r="M176" s="1806"/>
      <c r="N176" s="1806"/>
      <c r="O176" s="1806"/>
      <c r="P176" s="1806"/>
      <c r="Q176" s="1806"/>
      <c r="R176" s="1806"/>
      <c r="S176" s="1806"/>
      <c r="T176" s="1806"/>
      <c r="U176" s="1806"/>
      <c r="V176" s="1806"/>
      <c r="W176" s="49"/>
      <c r="X176" s="49"/>
      <c r="Y176" s="255"/>
    </row>
    <row r="177" spans="11:24">
      <c r="W177" s="377"/>
      <c r="X177" s="377"/>
    </row>
    <row r="178" spans="11:24">
      <c r="K178" s="53"/>
    </row>
  </sheetData>
  <customSheetViews>
    <customSheetView guid="{DA38F665-F06D-4DFB-B852-747D93BB00EF}" scale="75" showPageBreaks="1" showGridLines="0" outlineSymbols="0" printArea="1" view="pageBreakPreview" topLeftCell="A67">
      <selection activeCell="B210" sqref="B210"/>
      <rowBreaks count="2" manualBreakCount="2">
        <brk id="59" min="1" max="23" man="1"/>
        <brk id="110" max="23" man="1"/>
      </rowBreaks>
      <pageMargins left="0.5" right="0.4" top="0.5" bottom="0.25" header="0" footer="0"/>
      <printOptions horizontalCentered="1"/>
      <pageSetup scale="50" firstPageNumber="8" fitToHeight="0" orientation="landscape" useFirstPageNumber="1" r:id="rId1"/>
      <headerFooter alignWithMargins="0">
        <oddFooter>&amp;C&amp;"Times New Roman,Regular"Exhibit B - Summary of Requirements&amp;R&amp;"Times New Roman,Regular"State and Local Law Enforcement Assistance</oddFooter>
      </headerFooter>
    </customSheetView>
    <customSheetView guid="{4D0F9E3D-0229-48CC-A08B-F132802E9D7B}" scale="75" showPageBreaks="1" showGridLines="0" outlineSymbols="0" printArea="1" view="pageBreakPreview" topLeftCell="A35">
      <selection activeCell="A130" sqref="A130:XFD130"/>
      <rowBreaks count="2" manualBreakCount="2">
        <brk id="59" min="1" max="23" man="1"/>
        <brk id="110" max="23" man="1"/>
      </rowBreaks>
      <pageMargins left="0.5" right="0.4" top="0.5" bottom="0.25" header="0" footer="0"/>
      <printOptions horizontalCentered="1"/>
      <pageSetup scale="50" firstPageNumber="8" fitToHeight="0" orientation="landscape" useFirstPageNumber="1" r:id="rId2"/>
      <headerFooter alignWithMargins="0">
        <oddFooter>&amp;C&amp;"Times New Roman,Regular"Exhibit B - Summary of Requirements&amp;R&amp;"Times New Roman,Regular"State and Local Law Enforcement Assistance</oddFooter>
      </headerFooter>
    </customSheetView>
    <customSheetView guid="{F6772377-6B25-4EEA-B255-4C2F62B37855}" scale="75" showPageBreaks="1" showGridLines="0" outlineSymbols="0" printArea="1" view="pageBreakPreview" topLeftCell="A125">
      <selection activeCell="C89" sqref="C89"/>
      <rowBreaks count="2" manualBreakCount="2">
        <brk id="59" min="1" max="23" man="1"/>
        <brk id="109" max="23" man="1"/>
      </rowBreaks>
      <pageMargins left="0.5" right="0.4" top="0.5" bottom="0.25" header="0" footer="0"/>
      <printOptions horizontalCentered="1"/>
      <pageSetup scale="50" firstPageNumber="8" fitToHeight="0" orientation="landscape" useFirstPageNumber="1" r:id="rId3"/>
      <headerFooter alignWithMargins="0">
        <oddFooter>&amp;C&amp;"Times New Roman,Regular"Exhibit B - Summary of Requirements&amp;R&amp;"Times New Roman,Regular"State and Local Law Enforcement Assistance</oddFooter>
      </headerFooter>
    </customSheetView>
    <customSheetView guid="{27B9C207-C13F-4981-9CED-E69585BBD779}" scale="75" showPageBreaks="1" showGridLines="0" outlineSymbols="0" printArea="1" view="pageBreakPreview" topLeftCell="A122">
      <selection activeCell="B154" sqref="B154"/>
      <rowBreaks count="2" manualBreakCount="2">
        <brk id="73" max="23" man="1"/>
        <brk id="124" max="23" man="1"/>
      </rowBreaks>
      <pageMargins left="0.5" right="0.4" top="0.5" bottom="0.25" header="0" footer="0"/>
      <printOptions horizontalCentered="1"/>
      <pageSetup scale="44" firstPageNumber="8" fitToHeight="0" orientation="landscape" useFirstPageNumber="1" r:id="rId4"/>
      <headerFooter alignWithMargins="0">
        <oddFooter>&amp;C&amp;"Times New Roman,Regular"Exhibit B - Summary of Requirements&amp;R&amp;"Times New Roman,Regular"State and Local Law Enforcement Assistance</oddFooter>
      </headerFooter>
    </customSheetView>
  </customSheetViews>
  <mergeCells count="50">
    <mergeCell ref="A6:X6"/>
    <mergeCell ref="A1:X1"/>
    <mergeCell ref="A2:X2"/>
    <mergeCell ref="A3:X3"/>
    <mergeCell ref="A4:X4"/>
    <mergeCell ref="A5:X5"/>
    <mergeCell ref="A7:X7"/>
    <mergeCell ref="A8:U10"/>
    <mergeCell ref="V8:X8"/>
    <mergeCell ref="V9:V10"/>
    <mergeCell ref="W9:W10"/>
    <mergeCell ref="X9:X10"/>
    <mergeCell ref="A57:U57"/>
    <mergeCell ref="A11:U11"/>
    <mergeCell ref="A17:U17"/>
    <mergeCell ref="A18:U18"/>
    <mergeCell ref="A19:U19"/>
    <mergeCell ref="A20:U20"/>
    <mergeCell ref="A22:U22"/>
    <mergeCell ref="A24:U24"/>
    <mergeCell ref="A25:U25"/>
    <mergeCell ref="A26:U26"/>
    <mergeCell ref="A27:U27"/>
    <mergeCell ref="J73:L74"/>
    <mergeCell ref="M73:O74"/>
    <mergeCell ref="P73:R74"/>
    <mergeCell ref="S73:U74"/>
    <mergeCell ref="A69:U69"/>
    <mergeCell ref="A71:Y71"/>
    <mergeCell ref="B161:C161"/>
    <mergeCell ref="B162:C162"/>
    <mergeCell ref="A73:C75"/>
    <mergeCell ref="D73:F74"/>
    <mergeCell ref="G73:I74"/>
    <mergeCell ref="A176:V176"/>
    <mergeCell ref="B166:C166"/>
    <mergeCell ref="A168:X168"/>
    <mergeCell ref="B163:C163"/>
    <mergeCell ref="V73:X74"/>
    <mergeCell ref="A112:C112"/>
    <mergeCell ref="A124:C126"/>
    <mergeCell ref="D124:F125"/>
    <mergeCell ref="G124:I125"/>
    <mergeCell ref="J124:L125"/>
    <mergeCell ref="M124:O125"/>
    <mergeCell ref="P124:R125"/>
    <mergeCell ref="S124:U125"/>
    <mergeCell ref="V124:X125"/>
    <mergeCell ref="B159:C159"/>
    <mergeCell ref="B160:C160"/>
  </mergeCells>
  <printOptions horizontalCentered="1"/>
  <pageMargins left="0.5" right="0.4" top="0.5" bottom="0.25" header="0" footer="0"/>
  <pageSetup scale="46" firstPageNumber="8" fitToHeight="0" orientation="landscape" useFirstPageNumber="1" r:id="rId5"/>
  <headerFooter alignWithMargins="0">
    <oddFooter>&amp;C&amp;"Times New Roman,Regular"Exhibit B - Summary of Requirements&amp;R&amp;"Times New Roman,Regular"State and Local Law Enforcement Assistance</oddFooter>
  </headerFooter>
  <rowBreaks count="2" manualBreakCount="2">
    <brk id="72" max="23" man="1"/>
    <brk id="123" max="23" man="1"/>
  </rowBreaks>
</worksheet>
</file>

<file path=xl/worksheets/sheet19.xml><?xml version="1.0" encoding="utf-8"?>
<worksheet xmlns="http://schemas.openxmlformats.org/spreadsheetml/2006/main" xmlns:r="http://schemas.openxmlformats.org/officeDocument/2006/relationships">
  <dimension ref="A1:K204"/>
  <sheetViews>
    <sheetView view="pageBreakPreview" topLeftCell="A43" zoomScale="75" zoomScaleNormal="75" zoomScaleSheetLayoutView="75" workbookViewId="0">
      <selection activeCell="A54" sqref="A54"/>
    </sheetView>
  </sheetViews>
  <sheetFormatPr defaultColWidth="7.21875" defaultRowHeight="12.75"/>
  <cols>
    <col min="1" max="1" width="67.21875" style="433" customWidth="1"/>
    <col min="2" max="2" width="28.77734375" style="433" customWidth="1"/>
    <col min="3" max="3" width="5.6640625" style="433" customWidth="1"/>
    <col min="4" max="4" width="8.6640625" style="433" customWidth="1"/>
    <col min="5" max="5" width="6" style="433" customWidth="1"/>
    <col min="6" max="6" width="15" style="433" customWidth="1"/>
    <col min="7" max="7" width="11.33203125" style="433" customWidth="1"/>
    <col min="8" max="8" width="8.88671875" style="471" customWidth="1"/>
    <col min="9" max="10" width="7.21875" style="433"/>
    <col min="11" max="11" width="7.5546875" style="433" bestFit="1" customWidth="1"/>
    <col min="12" max="16384" width="7.21875" style="433"/>
  </cols>
  <sheetData>
    <row r="1" spans="1:8" ht="20.25">
      <c r="A1" s="1692" t="s">
        <v>240</v>
      </c>
      <c r="B1" s="1693"/>
      <c r="C1" s="1693"/>
      <c r="D1" s="1693"/>
      <c r="E1" s="1693"/>
      <c r="F1" s="1693"/>
      <c r="G1" s="1693"/>
      <c r="H1" s="432" t="s">
        <v>0</v>
      </c>
    </row>
    <row r="2" spans="1:8" ht="20.25">
      <c r="A2" s="1733"/>
      <c r="B2" s="1733"/>
      <c r="C2" s="1733"/>
      <c r="D2" s="1733"/>
      <c r="E2" s="1733"/>
      <c r="F2" s="1733"/>
      <c r="G2" s="1733"/>
      <c r="H2" s="432" t="s">
        <v>0</v>
      </c>
    </row>
    <row r="3" spans="1:8">
      <c r="A3" s="1886"/>
      <c r="B3" s="1886"/>
      <c r="C3" s="1886"/>
      <c r="D3" s="1886"/>
      <c r="E3" s="1886"/>
      <c r="F3" s="1886"/>
      <c r="G3" s="1886"/>
      <c r="H3" s="432" t="s">
        <v>0</v>
      </c>
    </row>
    <row r="4" spans="1:8" ht="23.25">
      <c r="A4" s="1887" t="s">
        <v>241</v>
      </c>
      <c r="B4" s="1875"/>
      <c r="C4" s="1875"/>
      <c r="D4" s="1875"/>
      <c r="E4" s="1875"/>
      <c r="F4" s="1875"/>
      <c r="G4" s="1875"/>
      <c r="H4" s="432" t="s">
        <v>0</v>
      </c>
    </row>
    <row r="5" spans="1:8" ht="22.5">
      <c r="A5" s="1887" t="str">
        <f>'[4]B. Summ of Reqs -SLLEA '!A4:X4</f>
        <v>Office of Justice Programs</v>
      </c>
      <c r="B5" s="2002"/>
      <c r="C5" s="2002"/>
      <c r="D5" s="2002"/>
      <c r="E5" s="2002"/>
      <c r="F5" s="2002"/>
      <c r="G5" s="2002"/>
      <c r="H5" s="432" t="s">
        <v>0</v>
      </c>
    </row>
    <row r="6" spans="1:8" ht="23.25">
      <c r="A6" s="1885" t="str">
        <f>'[4]B. Summ of Reqs -SLLEA '!A5:X5</f>
        <v>State and Local Law Enforcement Assistance</v>
      </c>
      <c r="B6" s="1888"/>
      <c r="C6" s="1888"/>
      <c r="D6" s="1888"/>
      <c r="E6" s="1888"/>
      <c r="F6" s="1888"/>
      <c r="G6" s="1888"/>
      <c r="H6" s="432" t="s">
        <v>0</v>
      </c>
    </row>
    <row r="7" spans="1:8" ht="23.25">
      <c r="A7" s="1874" t="s">
        <v>98</v>
      </c>
      <c r="B7" s="1875"/>
      <c r="C7" s="1875"/>
      <c r="D7" s="1875"/>
      <c r="E7" s="1875"/>
      <c r="F7" s="1875"/>
      <c r="G7" s="1875"/>
      <c r="H7" s="432" t="s">
        <v>0</v>
      </c>
    </row>
    <row r="8" spans="1:8">
      <c r="A8" s="1876"/>
      <c r="B8" s="1876"/>
      <c r="C8" s="1876"/>
      <c r="D8" s="1876"/>
      <c r="E8" s="1876"/>
      <c r="F8" s="1876"/>
      <c r="G8" s="1876"/>
      <c r="H8" s="432" t="s">
        <v>0</v>
      </c>
    </row>
    <row r="9" spans="1:8">
      <c r="A9" s="1877"/>
      <c r="B9" s="1877"/>
      <c r="C9" s="1877"/>
      <c r="D9" s="1877"/>
      <c r="E9" s="1877"/>
      <c r="F9" s="1877"/>
      <c r="G9" s="1877"/>
      <c r="H9" s="432" t="s">
        <v>0</v>
      </c>
    </row>
    <row r="10" spans="1:8">
      <c r="A10" s="1878" t="s">
        <v>91</v>
      </c>
      <c r="B10" s="1880" t="s">
        <v>356</v>
      </c>
      <c r="C10" s="1997" t="s">
        <v>281</v>
      </c>
      <c r="D10" s="1998"/>
      <c r="E10" s="1998"/>
      <c r="F10" s="1999"/>
      <c r="G10" s="1880" t="s">
        <v>244</v>
      </c>
      <c r="H10" s="432" t="s">
        <v>0</v>
      </c>
    </row>
    <row r="11" spans="1:8">
      <c r="A11" s="2000"/>
      <c r="B11" s="2001"/>
      <c r="C11" s="434" t="s">
        <v>115</v>
      </c>
      <c r="D11" s="434" t="s">
        <v>4</v>
      </c>
      <c r="E11" s="434" t="s">
        <v>25</v>
      </c>
      <c r="F11" s="435" t="s">
        <v>117</v>
      </c>
      <c r="G11" s="2001"/>
      <c r="H11" s="432" t="s">
        <v>0</v>
      </c>
    </row>
    <row r="12" spans="1:8" ht="18.75" customHeight="1">
      <c r="A12" s="702"/>
      <c r="B12" s="703"/>
      <c r="C12" s="704"/>
      <c r="D12" s="286"/>
      <c r="E12" s="286"/>
      <c r="F12" s="705"/>
      <c r="G12" s="705"/>
      <c r="H12" s="432" t="s">
        <v>0</v>
      </c>
    </row>
    <row r="13" spans="1:8" ht="18.75" customHeight="1">
      <c r="A13" s="706" t="s">
        <v>310</v>
      </c>
      <c r="B13" s="437" t="s">
        <v>281</v>
      </c>
      <c r="C13" s="707"/>
      <c r="D13" s="708"/>
      <c r="E13" s="708"/>
      <c r="F13" s="709">
        <v>10000</v>
      </c>
      <c r="G13" s="709">
        <f t="shared" ref="G13:G20" si="0">+F13</f>
        <v>10000</v>
      </c>
      <c r="H13" s="432" t="s">
        <v>0</v>
      </c>
    </row>
    <row r="14" spans="1:8" ht="18.75" customHeight="1">
      <c r="A14" s="710" t="s">
        <v>311</v>
      </c>
      <c r="B14" s="437" t="s">
        <v>281</v>
      </c>
      <c r="C14" s="711"/>
      <c r="D14" s="708"/>
      <c r="E14" s="708"/>
      <c r="F14" s="709">
        <v>5000</v>
      </c>
      <c r="G14" s="709">
        <f t="shared" si="0"/>
        <v>5000</v>
      </c>
      <c r="H14" s="432" t="s">
        <v>0</v>
      </c>
    </row>
    <row r="15" spans="1:8" ht="18.75" customHeight="1">
      <c r="A15" s="712" t="s">
        <v>319</v>
      </c>
      <c r="B15" s="437" t="s">
        <v>281</v>
      </c>
      <c r="C15" s="711"/>
      <c r="D15" s="708"/>
      <c r="E15" s="708"/>
      <c r="F15" s="709">
        <v>8000</v>
      </c>
      <c r="G15" s="709">
        <f t="shared" si="0"/>
        <v>8000</v>
      </c>
      <c r="H15" s="432" t="s">
        <v>0</v>
      </c>
    </row>
    <row r="16" spans="1:8" ht="18.75" customHeight="1">
      <c r="A16" s="712" t="s">
        <v>654</v>
      </c>
      <c r="B16" s="437" t="s">
        <v>281</v>
      </c>
      <c r="C16" s="711"/>
      <c r="D16" s="708"/>
      <c r="E16" s="708"/>
      <c r="F16" s="709">
        <v>60000</v>
      </c>
      <c r="G16" s="709">
        <f t="shared" si="0"/>
        <v>60000</v>
      </c>
      <c r="H16" s="432"/>
    </row>
    <row r="17" spans="1:8" ht="18.75" customHeight="1">
      <c r="A17" s="710" t="s">
        <v>334</v>
      </c>
      <c r="B17" s="437" t="s">
        <v>281</v>
      </c>
      <c r="C17" s="711"/>
      <c r="D17" s="708"/>
      <c r="E17" s="708"/>
      <c r="F17" s="709">
        <v>8000</v>
      </c>
      <c r="G17" s="709">
        <f t="shared" si="0"/>
        <v>8000</v>
      </c>
      <c r="H17" s="432" t="s">
        <v>0</v>
      </c>
    </row>
    <row r="18" spans="1:8" ht="18.75" customHeight="1">
      <c r="A18" s="710" t="s">
        <v>583</v>
      </c>
      <c r="B18" s="437" t="s">
        <v>281</v>
      </c>
      <c r="C18" s="711"/>
      <c r="D18" s="708"/>
      <c r="E18" s="708"/>
      <c r="F18" s="709">
        <v>52000</v>
      </c>
      <c r="G18" s="709">
        <f t="shared" si="0"/>
        <v>52000</v>
      </c>
      <c r="H18" s="432" t="s">
        <v>0</v>
      </c>
    </row>
    <row r="19" spans="1:8" ht="18.75" customHeight="1">
      <c r="A19" s="710" t="s">
        <v>341</v>
      </c>
      <c r="B19" s="437" t="s">
        <v>281</v>
      </c>
      <c r="C19" s="711"/>
      <c r="D19" s="708"/>
      <c r="E19" s="708"/>
      <c r="F19" s="709">
        <v>11000</v>
      </c>
      <c r="G19" s="709">
        <f t="shared" si="0"/>
        <v>11000</v>
      </c>
      <c r="H19" s="432" t="s">
        <v>0</v>
      </c>
    </row>
    <row r="20" spans="1:8" ht="18.75" customHeight="1">
      <c r="A20" s="436" t="s">
        <v>357</v>
      </c>
      <c r="B20" s="437" t="s">
        <v>281</v>
      </c>
      <c r="C20" s="711"/>
      <c r="D20" s="708"/>
      <c r="E20" s="708"/>
      <c r="F20" s="709">
        <v>17000</v>
      </c>
      <c r="G20" s="709">
        <f t="shared" si="0"/>
        <v>17000</v>
      </c>
      <c r="H20" s="432" t="s">
        <v>0</v>
      </c>
    </row>
    <row r="21" spans="1:8" ht="18.75" customHeight="1">
      <c r="A21" s="443"/>
      <c r="B21" s="444"/>
      <c r="C21" s="713"/>
      <c r="D21" s="714"/>
      <c r="E21" s="714"/>
      <c r="F21" s="715"/>
      <c r="G21" s="291"/>
      <c r="H21" s="432" t="s">
        <v>0</v>
      </c>
    </row>
    <row r="22" spans="1:8" ht="18.75" customHeight="1">
      <c r="A22" s="716" t="s">
        <v>246</v>
      </c>
      <c r="B22" s="717"/>
      <c r="C22" s="464">
        <f>SUM(C12:C21)</f>
        <v>0</v>
      </c>
      <c r="D22" s="465">
        <f>SUM(D12:D21)</f>
        <v>0</v>
      </c>
      <c r="E22" s="465">
        <f>SUM(E12:E21)</f>
        <v>0</v>
      </c>
      <c r="F22" s="466">
        <f>SUM(F12:F21)</f>
        <v>171000</v>
      </c>
      <c r="G22" s="467">
        <f>SUM(G12:G21)</f>
        <v>171000</v>
      </c>
      <c r="H22" s="432" t="s">
        <v>0</v>
      </c>
    </row>
    <row r="23" spans="1:8" ht="18.75" customHeight="1">
      <c r="A23" s="1324"/>
      <c r="B23" s="729"/>
      <c r="C23" s="729"/>
      <c r="D23" s="729"/>
      <c r="E23" s="729"/>
      <c r="F23" s="729"/>
      <c r="G23" s="1325"/>
      <c r="H23" s="432" t="s">
        <v>0</v>
      </c>
    </row>
    <row r="24" spans="1:8" ht="14.25" customHeight="1">
      <c r="A24" s="1993" t="s">
        <v>247</v>
      </c>
      <c r="B24" s="1995" t="s">
        <v>356</v>
      </c>
      <c r="C24" s="1997" t="s">
        <v>281</v>
      </c>
      <c r="D24" s="1998"/>
      <c r="E24" s="1998"/>
      <c r="F24" s="1999"/>
      <c r="G24" s="1995" t="s">
        <v>248</v>
      </c>
      <c r="H24" s="432" t="s">
        <v>0</v>
      </c>
    </row>
    <row r="25" spans="1:8" ht="15" customHeight="1">
      <c r="A25" s="1994"/>
      <c r="B25" s="1996"/>
      <c r="C25" s="434" t="s">
        <v>115</v>
      </c>
      <c r="D25" s="434" t="s">
        <v>4</v>
      </c>
      <c r="E25" s="434" t="s">
        <v>25</v>
      </c>
      <c r="F25" s="435" t="s">
        <v>117</v>
      </c>
      <c r="G25" s="1996"/>
      <c r="H25" s="432" t="s">
        <v>0</v>
      </c>
    </row>
    <row r="26" spans="1:8" ht="18.75" customHeight="1">
      <c r="A26" s="718"/>
      <c r="B26" s="702"/>
      <c r="C26" s="704"/>
      <c r="D26" s="286"/>
      <c r="E26" s="286"/>
      <c r="F26" s="705"/>
      <c r="G26" s="705"/>
      <c r="H26" s="432" t="s">
        <v>0</v>
      </c>
    </row>
    <row r="27" spans="1:8" ht="18.75" customHeight="1">
      <c r="A27" s="719" t="s">
        <v>307</v>
      </c>
      <c r="B27" s="436" t="s">
        <v>281</v>
      </c>
      <c r="C27" s="707"/>
      <c r="D27" s="708"/>
      <c r="E27" s="708"/>
      <c r="F27" s="709">
        <v>-10000</v>
      </c>
      <c r="G27" s="709">
        <f t="shared" ref="G27:G42" si="1">+F27</f>
        <v>-10000</v>
      </c>
      <c r="H27" s="432" t="s">
        <v>0</v>
      </c>
    </row>
    <row r="28" spans="1:8" ht="18.75" customHeight="1">
      <c r="A28" s="457" t="s">
        <v>312</v>
      </c>
      <c r="B28" s="459" t="s">
        <v>281</v>
      </c>
      <c r="C28" s="711"/>
      <c r="D28" s="720"/>
      <c r="E28" s="720"/>
      <c r="F28" s="721">
        <v>-1000</v>
      </c>
      <c r="G28" s="721">
        <f t="shared" si="1"/>
        <v>-1000</v>
      </c>
      <c r="H28" s="432" t="s">
        <v>0</v>
      </c>
    </row>
    <row r="29" spans="1:8" ht="18.75" customHeight="1">
      <c r="A29" s="457" t="s">
        <v>358</v>
      </c>
      <c r="B29" s="459" t="s">
        <v>281</v>
      </c>
      <c r="C29" s="711"/>
      <c r="D29" s="720"/>
      <c r="E29" s="720"/>
      <c r="F29" s="721">
        <v>-10000</v>
      </c>
      <c r="G29" s="721">
        <f t="shared" si="1"/>
        <v>-10000</v>
      </c>
      <c r="H29" s="432" t="s">
        <v>0</v>
      </c>
    </row>
    <row r="30" spans="1:8" ht="18.75" customHeight="1">
      <c r="A30" s="457" t="s">
        <v>359</v>
      </c>
      <c r="B30" s="459" t="s">
        <v>281</v>
      </c>
      <c r="C30" s="711"/>
      <c r="D30" s="720"/>
      <c r="E30" s="720"/>
      <c r="F30" s="721">
        <v>-4500</v>
      </c>
      <c r="G30" s="721">
        <f t="shared" si="1"/>
        <v>-4500</v>
      </c>
      <c r="H30" s="432" t="s">
        <v>0</v>
      </c>
    </row>
    <row r="31" spans="1:8" ht="18.75" customHeight="1">
      <c r="A31" s="457" t="s">
        <v>360</v>
      </c>
      <c r="B31" s="459" t="s">
        <v>281</v>
      </c>
      <c r="C31" s="711"/>
      <c r="D31" s="720"/>
      <c r="E31" s="720"/>
      <c r="F31" s="721">
        <v>-125000</v>
      </c>
      <c r="G31" s="721">
        <f t="shared" si="1"/>
        <v>-125000</v>
      </c>
      <c r="H31" s="432" t="s">
        <v>0</v>
      </c>
    </row>
    <row r="32" spans="1:8" ht="18.75" customHeight="1">
      <c r="A32" s="457" t="s">
        <v>318</v>
      </c>
      <c r="B32" s="459" t="s">
        <v>281</v>
      </c>
      <c r="C32" s="711"/>
      <c r="D32" s="720"/>
      <c r="E32" s="720"/>
      <c r="F32" s="721">
        <v>-35000</v>
      </c>
      <c r="G32" s="721">
        <f t="shared" si="1"/>
        <v>-35000</v>
      </c>
      <c r="H32" s="432" t="s">
        <v>0</v>
      </c>
    </row>
    <row r="33" spans="1:11" ht="18.75" customHeight="1">
      <c r="A33" s="457" t="s">
        <v>320</v>
      </c>
      <c r="B33" s="459" t="s">
        <v>281</v>
      </c>
      <c r="C33" s="711"/>
      <c r="D33" s="720"/>
      <c r="E33" s="720"/>
      <c r="F33" s="721">
        <v>-20000</v>
      </c>
      <c r="G33" s="721">
        <f t="shared" si="1"/>
        <v>-20000</v>
      </c>
      <c r="H33" s="432" t="s">
        <v>0</v>
      </c>
    </row>
    <row r="34" spans="1:11" ht="18.75" customHeight="1">
      <c r="A34" s="457" t="s">
        <v>361</v>
      </c>
      <c r="B34" s="459" t="s">
        <v>281</v>
      </c>
      <c r="C34" s="711"/>
      <c r="D34" s="720"/>
      <c r="E34" s="720"/>
      <c r="F34" s="721">
        <v>-38000</v>
      </c>
      <c r="G34" s="721">
        <f t="shared" si="1"/>
        <v>-38000</v>
      </c>
      <c r="H34" s="432" t="s">
        <v>0</v>
      </c>
    </row>
    <row r="35" spans="1:11" ht="18.75" customHeight="1">
      <c r="A35" s="457" t="s">
        <v>325</v>
      </c>
      <c r="B35" s="459" t="s">
        <v>281</v>
      </c>
      <c r="C35" s="711"/>
      <c r="D35" s="720"/>
      <c r="E35" s="720"/>
      <c r="F35" s="721">
        <v>-4000</v>
      </c>
      <c r="G35" s="721">
        <f t="shared" si="1"/>
        <v>-4000</v>
      </c>
      <c r="H35" s="432" t="s">
        <v>0</v>
      </c>
    </row>
    <row r="36" spans="1:11" ht="18.75" customHeight="1">
      <c r="A36" s="457" t="s">
        <v>655</v>
      </c>
      <c r="B36" s="459" t="s">
        <v>281</v>
      </c>
      <c r="C36" s="711"/>
      <c r="D36" s="720"/>
      <c r="E36" s="720"/>
      <c r="F36" s="721">
        <v>-100000</v>
      </c>
      <c r="G36" s="721">
        <f t="shared" si="1"/>
        <v>-100000</v>
      </c>
      <c r="H36" s="432" t="s">
        <v>0</v>
      </c>
    </row>
    <row r="37" spans="1:11" ht="18.75" customHeight="1">
      <c r="A37" s="457" t="s">
        <v>335</v>
      </c>
      <c r="B37" s="459" t="s">
        <v>281</v>
      </c>
      <c r="C37" s="711"/>
      <c r="D37" s="720"/>
      <c r="E37" s="720"/>
      <c r="F37" s="721">
        <v>-9000</v>
      </c>
      <c r="G37" s="721">
        <f t="shared" si="1"/>
        <v>-9000</v>
      </c>
      <c r="H37" s="432" t="s">
        <v>0</v>
      </c>
    </row>
    <row r="38" spans="1:11" ht="18.75" customHeight="1">
      <c r="A38" s="457" t="s">
        <v>336</v>
      </c>
      <c r="B38" s="459" t="s">
        <v>281</v>
      </c>
      <c r="C38" s="711"/>
      <c r="D38" s="720"/>
      <c r="E38" s="720"/>
      <c r="F38" s="721">
        <v>-1000</v>
      </c>
      <c r="G38" s="721">
        <f t="shared" si="1"/>
        <v>-1000</v>
      </c>
      <c r="H38" s="432" t="s">
        <v>0</v>
      </c>
    </row>
    <row r="39" spans="1:11" ht="18.75" customHeight="1">
      <c r="A39" s="459" t="s">
        <v>363</v>
      </c>
      <c r="B39" s="459" t="s">
        <v>281</v>
      </c>
      <c r="C39" s="711"/>
      <c r="D39" s="720"/>
      <c r="E39" s="720"/>
      <c r="F39" s="721">
        <v>-12000</v>
      </c>
      <c r="G39" s="721">
        <f t="shared" si="1"/>
        <v>-12000</v>
      </c>
      <c r="H39" s="432" t="s">
        <v>0</v>
      </c>
    </row>
    <row r="40" spans="1:11" ht="18.75" customHeight="1">
      <c r="A40" s="459" t="s">
        <v>339</v>
      </c>
      <c r="B40" s="459" t="s">
        <v>281</v>
      </c>
      <c r="C40" s="711"/>
      <c r="D40" s="720"/>
      <c r="E40" s="720"/>
      <c r="F40" s="721">
        <v>-2000</v>
      </c>
      <c r="G40" s="721">
        <f t="shared" si="1"/>
        <v>-2000</v>
      </c>
      <c r="H40" s="432" t="s">
        <v>0</v>
      </c>
    </row>
    <row r="41" spans="1:11" ht="18.75" customHeight="1">
      <c r="A41" s="459" t="s">
        <v>353</v>
      </c>
      <c r="B41" s="459" t="s">
        <v>281</v>
      </c>
      <c r="C41" s="711"/>
      <c r="D41" s="720"/>
      <c r="E41" s="720"/>
      <c r="F41" s="721">
        <v>-170000</v>
      </c>
      <c r="G41" s="721">
        <f t="shared" si="1"/>
        <v>-170000</v>
      </c>
      <c r="H41" s="432" t="s">
        <v>0</v>
      </c>
    </row>
    <row r="42" spans="1:11" ht="18.75" customHeight="1">
      <c r="A42" s="722" t="s">
        <v>355</v>
      </c>
      <c r="B42" s="722" t="s">
        <v>281</v>
      </c>
      <c r="C42" s="723"/>
      <c r="D42" s="724"/>
      <c r="E42" s="724"/>
      <c r="F42" s="725">
        <v>-10500</v>
      </c>
      <c r="G42" s="725">
        <f t="shared" si="1"/>
        <v>-10500</v>
      </c>
      <c r="H42" s="432" t="s">
        <v>0</v>
      </c>
    </row>
    <row r="43" spans="1:11" ht="18.75" customHeight="1">
      <c r="A43" s="460"/>
      <c r="B43" s="460"/>
      <c r="C43" s="726"/>
      <c r="D43" s="290"/>
      <c r="E43" s="290"/>
      <c r="F43" s="727"/>
      <c r="G43" s="291"/>
      <c r="H43" s="432" t="s">
        <v>0</v>
      </c>
      <c r="K43" s="728"/>
    </row>
    <row r="44" spans="1:11" ht="18.75" customHeight="1">
      <c r="A44" s="462" t="s">
        <v>248</v>
      </c>
      <c r="B44" s="729"/>
      <c r="C44" s="464">
        <f>SUM(C26:C43)</f>
        <v>0</v>
      </c>
      <c r="D44" s="465">
        <f>SUM(D26:D43)</f>
        <v>0</v>
      </c>
      <c r="E44" s="465">
        <f>SUM(E26:E43)</f>
        <v>0</v>
      </c>
      <c r="F44" s="466">
        <f>SUM(F26:F43)</f>
        <v>-552000</v>
      </c>
      <c r="G44" s="467">
        <f>SUM(G26:G43)</f>
        <v>-552000</v>
      </c>
      <c r="H44" s="432" t="s">
        <v>0</v>
      </c>
    </row>
    <row r="45" spans="1:11" ht="18.75" customHeight="1">
      <c r="A45" s="1255"/>
      <c r="B45" s="1258"/>
      <c r="C45" s="1256"/>
      <c r="D45" s="1256"/>
      <c r="E45" s="1256"/>
      <c r="F45" s="1257"/>
      <c r="G45" s="1257"/>
      <c r="H45" s="432" t="s">
        <v>0</v>
      </c>
    </row>
    <row r="46" spans="1:11" ht="18.75" customHeight="1">
      <c r="A46" s="1255"/>
      <c r="B46" s="1258"/>
      <c r="C46" s="1256"/>
      <c r="D46" s="1256"/>
      <c r="E46" s="1256"/>
      <c r="F46" s="1257"/>
      <c r="G46" s="1257"/>
      <c r="H46" s="432"/>
    </row>
    <row r="47" spans="1:11" ht="18.75" customHeight="1">
      <c r="A47" s="1321" t="s">
        <v>641</v>
      </c>
      <c r="B47" s="1322"/>
      <c r="C47" s="1263"/>
      <c r="D47" s="1263"/>
      <c r="E47" s="1263"/>
      <c r="F47" s="1263"/>
      <c r="G47" s="1323"/>
      <c r="H47" s="432" t="s">
        <v>0</v>
      </c>
    </row>
    <row r="48" spans="1:11" ht="18.75" customHeight="1">
      <c r="A48" s="1878" t="s">
        <v>91</v>
      </c>
      <c r="B48" s="1880" t="s">
        <v>356</v>
      </c>
      <c r="C48" s="1997" t="s">
        <v>281</v>
      </c>
      <c r="D48" s="1998"/>
      <c r="E48" s="1998"/>
      <c r="F48" s="1999"/>
      <c r="G48" s="1880" t="s">
        <v>244</v>
      </c>
      <c r="H48" s="432" t="s">
        <v>0</v>
      </c>
    </row>
    <row r="49" spans="1:8" ht="18.75" customHeight="1">
      <c r="A49" s="2000"/>
      <c r="B49" s="2001"/>
      <c r="C49" s="434" t="s">
        <v>115</v>
      </c>
      <c r="D49" s="434" t="s">
        <v>4</v>
      </c>
      <c r="E49" s="434" t="s">
        <v>25</v>
      </c>
      <c r="F49" s="435" t="s">
        <v>117</v>
      </c>
      <c r="G49" s="2001"/>
      <c r="H49" s="432" t="s">
        <v>0</v>
      </c>
    </row>
    <row r="50" spans="1:8" ht="18.75" customHeight="1">
      <c r="A50" s="1262"/>
      <c r="B50" s="1260"/>
      <c r="C50" s="1265"/>
      <c r="D50" s="1266"/>
      <c r="E50" s="1267"/>
      <c r="F50" s="1264"/>
      <c r="G50" s="1264"/>
      <c r="H50" s="432" t="s">
        <v>0</v>
      </c>
    </row>
    <row r="51" spans="1:8" ht="18.75" customHeight="1">
      <c r="A51" s="459" t="s">
        <v>355</v>
      </c>
      <c r="B51" s="1270" t="s">
        <v>281</v>
      </c>
      <c r="C51" s="1275"/>
      <c r="D51" s="1276"/>
      <c r="E51" s="1277"/>
      <c r="F51" s="1278">
        <v>10500</v>
      </c>
      <c r="G51" s="1278">
        <f t="shared" ref="G51:G55" si="2">+F51</f>
        <v>10500</v>
      </c>
      <c r="H51" s="432" t="s">
        <v>0</v>
      </c>
    </row>
    <row r="52" spans="1:8" ht="18.75" customHeight="1">
      <c r="A52" s="459" t="s">
        <v>360</v>
      </c>
      <c r="B52" s="1268" t="s">
        <v>281</v>
      </c>
      <c r="C52" s="1279"/>
      <c r="D52" s="1280"/>
      <c r="E52" s="1280"/>
      <c r="F52" s="1278">
        <v>100000</v>
      </c>
      <c r="G52" s="1278">
        <f t="shared" si="2"/>
        <v>100000</v>
      </c>
      <c r="H52" s="432" t="s">
        <v>0</v>
      </c>
    </row>
    <row r="53" spans="1:8" ht="18.75" customHeight="1">
      <c r="A53" s="459" t="s">
        <v>358</v>
      </c>
      <c r="B53" s="1268" t="s">
        <v>281</v>
      </c>
      <c r="C53" s="1279"/>
      <c r="D53" s="1280"/>
      <c r="E53" s="1280"/>
      <c r="F53" s="1278">
        <v>23000</v>
      </c>
      <c r="G53" s="1278">
        <f t="shared" si="2"/>
        <v>23000</v>
      </c>
      <c r="H53" s="432" t="s">
        <v>0</v>
      </c>
    </row>
    <row r="54" spans="1:8" ht="18.75" customHeight="1">
      <c r="A54" s="459" t="s">
        <v>320</v>
      </c>
      <c r="B54" s="1268" t="s">
        <v>281</v>
      </c>
      <c r="C54" s="1275"/>
      <c r="D54" s="1276"/>
      <c r="E54" s="1276"/>
      <c r="F54" s="1278">
        <v>20000</v>
      </c>
      <c r="G54" s="1278">
        <f t="shared" si="2"/>
        <v>20000</v>
      </c>
      <c r="H54" s="432" t="s">
        <v>0</v>
      </c>
    </row>
    <row r="55" spans="1:8" ht="18.75" customHeight="1">
      <c r="A55" s="459" t="s">
        <v>633</v>
      </c>
      <c r="B55" s="1269" t="s">
        <v>281</v>
      </c>
      <c r="C55" s="1281"/>
      <c r="D55" s="1282"/>
      <c r="E55" s="1282"/>
      <c r="F55" s="1283">
        <v>67000</v>
      </c>
      <c r="G55" s="1283">
        <f t="shared" si="2"/>
        <v>67000</v>
      </c>
      <c r="H55" s="432" t="s">
        <v>0</v>
      </c>
    </row>
    <row r="56" spans="1:8" ht="18.75" customHeight="1">
      <c r="A56" s="1271"/>
      <c r="B56" s="1272"/>
      <c r="C56" s="1284"/>
      <c r="D56" s="1285"/>
      <c r="E56" s="1285"/>
      <c r="F56" s="1286"/>
      <c r="G56" s="1286"/>
      <c r="H56" s="432" t="s">
        <v>0</v>
      </c>
    </row>
    <row r="57" spans="1:8" ht="18.75" customHeight="1">
      <c r="A57" s="1273" t="s">
        <v>246</v>
      </c>
      <c r="B57" s="1274"/>
      <c r="C57" s="1287">
        <v>0</v>
      </c>
      <c r="D57" s="1288">
        <v>0</v>
      </c>
      <c r="E57" s="1288">
        <v>0</v>
      </c>
      <c r="F57" s="1337">
        <f>SUM(F51:F55)</f>
        <v>220500</v>
      </c>
      <c r="G57" s="1337">
        <f>SUM(G51:G55)</f>
        <v>220500</v>
      </c>
      <c r="H57" s="432" t="s">
        <v>0</v>
      </c>
    </row>
    <row r="58" spans="1:8" ht="18.75" customHeight="1">
      <c r="A58" s="1261"/>
      <c r="B58" s="1261"/>
      <c r="C58" s="1259"/>
      <c r="D58" s="1259"/>
      <c r="E58" s="1259"/>
      <c r="F58" s="1259"/>
      <c r="G58" s="1259"/>
      <c r="H58" s="432" t="s">
        <v>13</v>
      </c>
    </row>
    <row r="59" spans="1:8" ht="15" customHeight="1"/>
    <row r="60" spans="1:8" ht="15" customHeight="1"/>
    <row r="61" spans="1:8" ht="15" customHeight="1"/>
    <row r="62" spans="1:8" ht="15" customHeight="1"/>
    <row r="63" spans="1:8" ht="15" customHeight="1"/>
    <row r="64" spans="1: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sheetData>
  <customSheetViews>
    <customSheetView guid="{DA38F665-F06D-4DFB-B852-747D93BB00EF}" scale="75" showPageBreaks="1" fitToPage="1" printArea="1" view="pageBreakPreview" topLeftCell="A19">
      <selection activeCell="B210" sqref="B210"/>
      <pageMargins left="0.75" right="0.75" top="1" bottom="1" header="0.5" footer="0.5"/>
      <printOptions horizontalCentered="1"/>
      <pageSetup scale="59" orientation="landscape" r:id="rId1"/>
      <headerFooter alignWithMargins="0">
        <oddFooter>&amp;C&amp;"Times New Roman,Regular"Exhibit C - Program Increases/Offsets By Decision Unit</oddFooter>
      </headerFooter>
    </customSheetView>
    <customSheetView guid="{4D0F9E3D-0229-48CC-A08B-F132802E9D7B}" scale="75" showPageBreaks="1" fitToPage="1" printArea="1" view="pageBreakPreview" topLeftCell="A16">
      <selection activeCell="G18" sqref="G18"/>
      <pageMargins left="0.75" right="0.75" top="1" bottom="1" header="0.5" footer="0.5"/>
      <printOptions horizontalCentered="1"/>
      <pageSetup scale="58" orientation="landscape" r:id="rId2"/>
      <headerFooter alignWithMargins="0">
        <oddFooter>&amp;C&amp;"Times New Roman,Regular"Exhibit C - Program Increases/Offsets By Decision Unit</oddFooter>
      </headerFooter>
    </customSheetView>
    <customSheetView guid="{F6772377-6B25-4EEA-B255-4C2F62B37855}" scale="75" showPageBreaks="1" fitToPage="1" printArea="1" view="pageBreakPreview" topLeftCell="A27">
      <selection activeCell="A30" sqref="A30"/>
      <pageMargins left="0.75" right="0.75" top="1" bottom="1" header="0.5" footer="0.5"/>
      <printOptions horizontalCentered="1"/>
      <pageSetup scale="45" orientation="landscape" r:id="rId3"/>
      <headerFooter alignWithMargins="0">
        <oddFooter>&amp;C&amp;"Times New Roman,Regular"Exhibit C - Program Increases/Offsets By Decision Unit</oddFooter>
      </headerFooter>
    </customSheetView>
    <customSheetView guid="{27B9C207-C13F-4981-9CED-E69585BBD779}" scale="75" showPageBreaks="1" printArea="1" view="pageBreakPreview" topLeftCell="A43">
      <selection activeCell="A36" sqref="A36"/>
      <rowBreaks count="1" manualBreakCount="1">
        <brk id="45" max="6" man="1"/>
      </rowBreaks>
      <pageMargins left="0.75" right="0.75" top="1" bottom="1" header="0.5" footer="0.5"/>
      <printOptions horizontalCentered="1"/>
      <pageSetup scale="56" orientation="landscape" r:id="rId4"/>
      <headerFooter alignWithMargins="0">
        <oddFooter>&amp;C&amp;"Times New Roman,Regular"Exhibit C - Program Increases/Offsets By Decision Unit&amp;R&amp;"Times New Roman,Regular"State and Local Law Enforcement Assistance</oddFooter>
      </headerFooter>
    </customSheetView>
  </customSheetViews>
  <mergeCells count="21">
    <mergeCell ref="A6:G6"/>
    <mergeCell ref="A1:G1"/>
    <mergeCell ref="A2:G2"/>
    <mergeCell ref="A3:G3"/>
    <mergeCell ref="A4:G4"/>
    <mergeCell ref="A5:G5"/>
    <mergeCell ref="A7:G7"/>
    <mergeCell ref="A8:G8"/>
    <mergeCell ref="A9:G9"/>
    <mergeCell ref="A10:A11"/>
    <mergeCell ref="B10:B11"/>
    <mergeCell ref="C10:F10"/>
    <mergeCell ref="G10:G11"/>
    <mergeCell ref="A24:A25"/>
    <mergeCell ref="B24:B25"/>
    <mergeCell ref="C24:F24"/>
    <mergeCell ref="G24:G25"/>
    <mergeCell ref="A48:A49"/>
    <mergeCell ref="B48:B49"/>
    <mergeCell ref="C48:F48"/>
    <mergeCell ref="G48:G49"/>
  </mergeCells>
  <printOptions horizontalCentered="1"/>
  <pageMargins left="0.75" right="0.75" top="1" bottom="1" header="0.5" footer="0.5"/>
  <pageSetup scale="56" orientation="landscape" r:id="rId5"/>
  <headerFooter alignWithMargins="0">
    <oddFooter>&amp;C&amp;"Times New Roman,Regular"Exhibit C - Program Increases/Offsets By Decision Unit&amp;R&amp;"Times New Roman,Regular"State and Local Law Enforcement Assistance</oddFooter>
  </headerFooter>
  <rowBreaks count="1" manualBreakCount="1">
    <brk id="45" max="6" man="1"/>
  </rowBreaks>
</worksheet>
</file>

<file path=xl/worksheets/sheet20.xml><?xml version="1.0" encoding="utf-8"?>
<worksheet xmlns="http://schemas.openxmlformats.org/spreadsheetml/2006/main" xmlns:r="http://schemas.openxmlformats.org/officeDocument/2006/relationships">
  <dimension ref="A1:T72"/>
  <sheetViews>
    <sheetView view="pageBreakPreview" zoomScale="70" zoomScaleNormal="75" zoomScaleSheetLayoutView="70" workbookViewId="0">
      <selection activeCell="P43" sqref="P43:P44"/>
    </sheetView>
  </sheetViews>
  <sheetFormatPr defaultColWidth="8.88671875" defaultRowHeight="12.75"/>
  <cols>
    <col min="1" max="1" width="53.88671875" style="477" customWidth="1"/>
    <col min="2" max="2" width="1.21875" style="477" customWidth="1"/>
    <col min="3" max="3" width="10.77734375" style="477" customWidth="1"/>
    <col min="4" max="4" width="11" style="477" customWidth="1"/>
    <col min="5" max="5" width="1.21875" style="477" customWidth="1"/>
    <col min="6" max="7" width="11.21875" style="477" customWidth="1"/>
    <col min="8" max="8" width="1.21875" style="477" customWidth="1"/>
    <col min="9" max="16" width="10.77734375" style="477" customWidth="1"/>
    <col min="17" max="17" width="8.88671875" style="477" customWidth="1"/>
    <col min="18" max="16384" width="8.88671875" style="477"/>
  </cols>
  <sheetData>
    <row r="1" spans="1:20" ht="20.25">
      <c r="A1" s="1897" t="s">
        <v>145</v>
      </c>
      <c r="B1" s="1609"/>
      <c r="C1" s="1609"/>
      <c r="D1" s="1609"/>
      <c r="E1" s="1609"/>
      <c r="F1" s="1609"/>
      <c r="G1" s="1609"/>
      <c r="H1" s="1609"/>
      <c r="I1" s="1609"/>
      <c r="J1" s="1609"/>
      <c r="K1" s="1609"/>
      <c r="L1" s="1609"/>
      <c r="M1" s="1609"/>
      <c r="N1" s="1609"/>
      <c r="O1" s="1609"/>
      <c r="P1" s="1609"/>
      <c r="Q1" s="476" t="s">
        <v>0</v>
      </c>
      <c r="R1" s="189"/>
      <c r="S1" s="189"/>
    </row>
    <row r="2" spans="1:20" ht="19.149999999999999" customHeight="1">
      <c r="A2" s="478"/>
      <c r="Q2" s="476" t="s">
        <v>0</v>
      </c>
      <c r="T2" s="476"/>
    </row>
    <row r="3" spans="1:20" ht="15.75">
      <c r="A3" s="1899" t="str">
        <f>'[4]B. Summ of Reqs -SLLEA '!A3:X3</f>
        <v>Summary of Requirements</v>
      </c>
      <c r="B3" s="1611"/>
      <c r="C3" s="1611"/>
      <c r="D3" s="1611"/>
      <c r="E3" s="1611"/>
      <c r="F3" s="1611"/>
      <c r="G3" s="1611"/>
      <c r="H3" s="1611"/>
      <c r="I3" s="1611"/>
      <c r="J3" s="1611"/>
      <c r="K3" s="1611"/>
      <c r="L3" s="1611"/>
      <c r="M3" s="1611"/>
      <c r="N3" s="1611"/>
      <c r="O3" s="1611"/>
      <c r="P3" s="1611"/>
      <c r="Q3" s="476" t="s">
        <v>0</v>
      </c>
      <c r="R3" s="321"/>
      <c r="S3" s="321"/>
      <c r="T3" s="476"/>
    </row>
    <row r="4" spans="1:20" ht="15.75">
      <c r="A4" s="1898" t="str">
        <f>'[4]B. Summ of Reqs -SLLEA '!A4:X4</f>
        <v>Office of Justice Programs</v>
      </c>
      <c r="B4" s="2002"/>
      <c r="C4" s="2002"/>
      <c r="D4" s="2002"/>
      <c r="E4" s="2002"/>
      <c r="F4" s="2002"/>
      <c r="G4" s="2002"/>
      <c r="H4" s="2002"/>
      <c r="I4" s="2002"/>
      <c r="J4" s="2002"/>
      <c r="K4" s="2002"/>
      <c r="L4" s="2002"/>
      <c r="M4" s="2002"/>
      <c r="N4" s="2002"/>
      <c r="O4" s="2002"/>
      <c r="P4" s="2002"/>
      <c r="Q4" s="476" t="s">
        <v>0</v>
      </c>
      <c r="R4" s="321"/>
      <c r="S4" s="321"/>
      <c r="T4" s="476"/>
    </row>
    <row r="5" spans="1:20" ht="15.75">
      <c r="A5" s="2004" t="str">
        <f>'[4]B. Summ of Reqs -SLLEA '!A5:X5</f>
        <v>State and Local Law Enforcement Assistance</v>
      </c>
      <c r="B5" s="2005"/>
      <c r="C5" s="2005"/>
      <c r="D5" s="2005"/>
      <c r="E5" s="2005"/>
      <c r="F5" s="2005"/>
      <c r="G5" s="2005"/>
      <c r="H5" s="2005"/>
      <c r="I5" s="2005"/>
      <c r="J5" s="2005"/>
      <c r="K5" s="2005"/>
      <c r="L5" s="2005"/>
      <c r="M5" s="2005"/>
      <c r="N5" s="2005"/>
      <c r="O5" s="2005"/>
      <c r="P5" s="2005"/>
      <c r="Q5" s="476" t="s">
        <v>0</v>
      </c>
      <c r="R5" s="365"/>
      <c r="S5" s="365"/>
    </row>
    <row r="6" spans="1:20" ht="15">
      <c r="A6" s="1900" t="s">
        <v>98</v>
      </c>
      <c r="B6" s="1611"/>
      <c r="C6" s="1611"/>
      <c r="D6" s="1611"/>
      <c r="E6" s="1611"/>
      <c r="F6" s="1611"/>
      <c r="G6" s="1611"/>
      <c r="H6" s="1611"/>
      <c r="I6" s="1611"/>
      <c r="J6" s="1611"/>
      <c r="K6" s="1611"/>
      <c r="L6" s="1611"/>
      <c r="M6" s="1611"/>
      <c r="N6" s="1611"/>
      <c r="O6" s="1611"/>
      <c r="P6" s="1611"/>
      <c r="Q6" s="476" t="s">
        <v>0</v>
      </c>
      <c r="R6" s="321"/>
      <c r="S6" s="321"/>
      <c r="T6" s="476"/>
    </row>
    <row r="7" spans="1:20">
      <c r="Q7" s="476" t="s">
        <v>0</v>
      </c>
      <c r="T7" s="476"/>
    </row>
    <row r="8" spans="1:20" ht="13.5" thickBot="1">
      <c r="Q8" s="476" t="s">
        <v>0</v>
      </c>
      <c r="T8" s="476"/>
    </row>
    <row r="9" spans="1:20" ht="37.5" customHeight="1">
      <c r="A9" s="479"/>
      <c r="B9" s="480"/>
      <c r="C9" s="1894" t="s">
        <v>173</v>
      </c>
      <c r="D9" s="1615"/>
      <c r="E9" s="481"/>
      <c r="F9" s="1894" t="s">
        <v>166</v>
      </c>
      <c r="G9" s="1615"/>
      <c r="H9" s="481"/>
      <c r="I9" s="1895" t="s">
        <v>150</v>
      </c>
      <c r="J9" s="1615"/>
      <c r="K9" s="1896">
        <v>2013</v>
      </c>
      <c r="L9" s="1629"/>
      <c r="M9" s="1629"/>
      <c r="N9" s="1630"/>
      <c r="O9" s="1895" t="s">
        <v>154</v>
      </c>
      <c r="P9" s="1615"/>
      <c r="Q9" s="476" t="s">
        <v>0</v>
      </c>
      <c r="S9" s="482"/>
      <c r="T9" s="476"/>
    </row>
    <row r="10" spans="1:20" ht="14.25" customHeight="1">
      <c r="A10" s="480"/>
      <c r="B10" s="480"/>
      <c r="C10" s="1616"/>
      <c r="D10" s="1617"/>
      <c r="E10" s="481"/>
      <c r="F10" s="1625"/>
      <c r="G10" s="1626"/>
      <c r="H10" s="481"/>
      <c r="I10" s="1625"/>
      <c r="J10" s="1626"/>
      <c r="K10" s="1889" t="s">
        <v>118</v>
      </c>
      <c r="L10" s="1890"/>
      <c r="M10" s="1891" t="s">
        <v>127</v>
      </c>
      <c r="N10" s="1622"/>
      <c r="O10" s="1625"/>
      <c r="P10" s="1626"/>
      <c r="Q10" s="476" t="s">
        <v>0</v>
      </c>
      <c r="S10" s="482"/>
      <c r="T10" s="476"/>
    </row>
    <row r="11" spans="1:20" hidden="1">
      <c r="A11" s="1892" t="s">
        <v>128</v>
      </c>
      <c r="B11" s="480"/>
      <c r="C11" s="483"/>
      <c r="D11" s="484"/>
      <c r="E11" s="485"/>
      <c r="F11" s="483"/>
      <c r="G11" s="484"/>
      <c r="H11" s="485"/>
      <c r="I11" s="483"/>
      <c r="J11" s="484"/>
      <c r="K11" s="483"/>
      <c r="L11" s="484"/>
      <c r="M11" s="486"/>
      <c r="N11" s="484"/>
      <c r="O11" s="483"/>
      <c r="P11" s="484"/>
      <c r="Q11" s="476" t="s">
        <v>0</v>
      </c>
      <c r="S11" s="486"/>
      <c r="T11" s="476"/>
    </row>
    <row r="12" spans="1:20" ht="25.5">
      <c r="A12" s="1893"/>
      <c r="B12" s="480"/>
      <c r="C12" s="487" t="s">
        <v>129</v>
      </c>
      <c r="D12" s="488" t="s">
        <v>130</v>
      </c>
      <c r="E12" s="485"/>
      <c r="F12" s="487" t="s">
        <v>129</v>
      </c>
      <c r="G12" s="488" t="s">
        <v>130</v>
      </c>
      <c r="H12" s="485"/>
      <c r="I12" s="487" t="s">
        <v>129</v>
      </c>
      <c r="J12" s="488" t="s">
        <v>130</v>
      </c>
      <c r="K12" s="487" t="s">
        <v>129</v>
      </c>
      <c r="L12" s="488" t="s">
        <v>130</v>
      </c>
      <c r="M12" s="487" t="s">
        <v>129</v>
      </c>
      <c r="N12" s="488" t="s">
        <v>130</v>
      </c>
      <c r="O12" s="487" t="s">
        <v>129</v>
      </c>
      <c r="P12" s="488" t="s">
        <v>130</v>
      </c>
      <c r="Q12" s="476" t="s">
        <v>0</v>
      </c>
      <c r="S12" s="489"/>
      <c r="T12" s="476"/>
    </row>
    <row r="13" spans="1:20">
      <c r="A13" s="490"/>
      <c r="B13" s="480"/>
      <c r="C13" s="491"/>
      <c r="D13" s="492"/>
      <c r="E13" s="493"/>
      <c r="F13" s="491"/>
      <c r="G13" s="492"/>
      <c r="H13" s="493"/>
      <c r="I13" s="491"/>
      <c r="J13" s="492"/>
      <c r="K13" s="491"/>
      <c r="L13" s="494"/>
      <c r="M13" s="495"/>
      <c r="N13" s="492"/>
      <c r="O13" s="491"/>
      <c r="P13" s="492"/>
      <c r="Q13" s="476" t="s">
        <v>0</v>
      </c>
      <c r="S13" s="496"/>
      <c r="T13" s="476"/>
    </row>
    <row r="14" spans="1:20" ht="25.5">
      <c r="A14" s="497" t="s">
        <v>187</v>
      </c>
      <c r="B14" s="480"/>
      <c r="C14" s="491"/>
      <c r="D14" s="498"/>
      <c r="E14" s="493"/>
      <c r="F14" s="491"/>
      <c r="G14" s="498"/>
      <c r="H14" s="493"/>
      <c r="I14" s="491"/>
      <c r="J14" s="498"/>
      <c r="K14" s="491"/>
      <c r="L14" s="494"/>
      <c r="M14" s="491"/>
      <c r="N14" s="498"/>
      <c r="O14" s="491"/>
      <c r="P14" s="498"/>
      <c r="Q14" s="476" t="s">
        <v>0</v>
      </c>
      <c r="S14" s="499"/>
      <c r="T14" s="476"/>
    </row>
    <row r="15" spans="1:20">
      <c r="A15" s="307" t="s">
        <v>131</v>
      </c>
      <c r="B15" s="480"/>
      <c r="C15" s="491"/>
      <c r="D15" s="498"/>
      <c r="E15" s="493"/>
      <c r="F15" s="491"/>
      <c r="G15" s="498"/>
      <c r="H15" s="493"/>
      <c r="I15" s="491"/>
      <c r="J15" s="492"/>
      <c r="K15" s="491"/>
      <c r="L15" s="494"/>
      <c r="M15" s="491"/>
      <c r="N15" s="498"/>
      <c r="O15" s="491"/>
      <c r="P15" s="492"/>
      <c r="Q15" s="476" t="s">
        <v>0</v>
      </c>
      <c r="S15" s="499"/>
      <c r="T15" s="476"/>
    </row>
    <row r="16" spans="1:20">
      <c r="A16" s="306" t="s">
        <v>175</v>
      </c>
      <c r="B16" s="480"/>
      <c r="C16" s="491"/>
      <c r="D16" s="498"/>
      <c r="E16" s="493"/>
      <c r="F16" s="491"/>
      <c r="G16" s="498"/>
      <c r="H16" s="493"/>
      <c r="I16" s="491"/>
      <c r="J16" s="492"/>
      <c r="K16" s="491"/>
      <c r="L16" s="494"/>
      <c r="M16" s="491"/>
      <c r="N16" s="498"/>
      <c r="O16" s="491"/>
      <c r="P16" s="492"/>
      <c r="Q16" s="476" t="s">
        <v>0</v>
      </c>
      <c r="S16" s="499"/>
      <c r="T16" s="476"/>
    </row>
    <row r="17" spans="1:20" ht="13.5" customHeight="1">
      <c r="A17" s="307" t="s">
        <v>176</v>
      </c>
      <c r="B17" s="500"/>
      <c r="C17" s="501"/>
      <c r="D17" s="502"/>
      <c r="E17" s="503"/>
      <c r="F17" s="501"/>
      <c r="G17" s="502"/>
      <c r="H17" s="504"/>
      <c r="I17" s="491"/>
      <c r="J17" s="492"/>
      <c r="K17" s="501"/>
      <c r="L17" s="505"/>
      <c r="M17" s="501"/>
      <c r="N17" s="502"/>
      <c r="O17" s="501"/>
      <c r="P17" s="502"/>
      <c r="Q17" s="476" t="s">
        <v>0</v>
      </c>
      <c r="S17" s="506"/>
      <c r="T17" s="476"/>
    </row>
    <row r="18" spans="1:20" s="514" customFormat="1">
      <c r="A18" s="507" t="s">
        <v>132</v>
      </c>
      <c r="B18" s="508"/>
      <c r="C18" s="509">
        <f>SUM(C15:C17)</f>
        <v>0</v>
      </c>
      <c r="D18" s="510">
        <f>SUM(D15:D17)</f>
        <v>0</v>
      </c>
      <c r="E18" s="511"/>
      <c r="F18" s="509">
        <f>SUM(F15:F17)</f>
        <v>0</v>
      </c>
      <c r="G18" s="510">
        <f>SUM(G15:G17)</f>
        <v>0</v>
      </c>
      <c r="H18" s="512"/>
      <c r="I18" s="509">
        <f t="shared" ref="I18:P18" si="0">SUM(I15:I17)</f>
        <v>0</v>
      </c>
      <c r="J18" s="510">
        <f t="shared" si="0"/>
        <v>0</v>
      </c>
      <c r="K18" s="509">
        <f t="shared" si="0"/>
        <v>0</v>
      </c>
      <c r="L18" s="510">
        <f t="shared" si="0"/>
        <v>0</v>
      </c>
      <c r="M18" s="509">
        <f t="shared" si="0"/>
        <v>0</v>
      </c>
      <c r="N18" s="510">
        <f t="shared" si="0"/>
        <v>0</v>
      </c>
      <c r="O18" s="509">
        <f t="shared" si="0"/>
        <v>0</v>
      </c>
      <c r="P18" s="510">
        <f t="shared" si="0"/>
        <v>0</v>
      </c>
      <c r="Q18" s="476" t="s">
        <v>0</v>
      </c>
      <c r="R18" s="477"/>
      <c r="S18" s="513"/>
      <c r="T18" s="476"/>
    </row>
    <row r="19" spans="1:20">
      <c r="A19" s="515"/>
      <c r="B19" s="480"/>
      <c r="C19" s="491"/>
      <c r="D19" s="492"/>
      <c r="E19" s="516"/>
      <c r="F19" s="491"/>
      <c r="G19" s="492"/>
      <c r="H19" s="516"/>
      <c r="I19" s="491"/>
      <c r="J19" s="492"/>
      <c r="K19" s="491"/>
      <c r="L19" s="494"/>
      <c r="M19" s="491"/>
      <c r="N19" s="492"/>
      <c r="O19" s="491"/>
      <c r="P19" s="492"/>
      <c r="Q19" s="476" t="s">
        <v>0</v>
      </c>
      <c r="S19" s="496"/>
      <c r="T19" s="476"/>
    </row>
    <row r="20" spans="1:20" ht="25.5">
      <c r="A20" s="497" t="s">
        <v>188</v>
      </c>
      <c r="B20" s="480"/>
      <c r="C20" s="491"/>
      <c r="D20" s="492"/>
      <c r="E20" s="517"/>
      <c r="F20" s="491"/>
      <c r="G20" s="492"/>
      <c r="H20" s="517"/>
      <c r="I20" s="491"/>
      <c r="J20" s="492"/>
      <c r="K20" s="491"/>
      <c r="L20" s="494"/>
      <c r="M20" s="491"/>
      <c r="N20" s="492"/>
      <c r="O20" s="518"/>
      <c r="P20" s="519"/>
      <c r="Q20" s="476" t="s">
        <v>0</v>
      </c>
      <c r="S20" s="496"/>
      <c r="T20" s="476"/>
    </row>
    <row r="21" spans="1:20">
      <c r="A21" s="307" t="s">
        <v>177</v>
      </c>
      <c r="B21" s="480"/>
      <c r="C21" s="491"/>
      <c r="D21" s="492"/>
      <c r="E21" s="517"/>
      <c r="F21" s="491"/>
      <c r="G21" s="492"/>
      <c r="H21" s="517"/>
      <c r="I21" s="491"/>
      <c r="J21" s="492"/>
      <c r="K21" s="491"/>
      <c r="L21" s="494"/>
      <c r="M21" s="491"/>
      <c r="N21" s="492"/>
      <c r="O21" s="491"/>
      <c r="P21" s="492"/>
      <c r="Q21" s="476" t="s">
        <v>0</v>
      </c>
      <c r="S21" s="496"/>
      <c r="T21" s="476"/>
    </row>
    <row r="22" spans="1:20" ht="31.5" customHeight="1">
      <c r="A22" s="306" t="s">
        <v>182</v>
      </c>
      <c r="B22" s="480"/>
      <c r="C22" s="491"/>
      <c r="D22" s="492">
        <f>'B. Summ of Reqs -SLLEA '!F144</f>
        <v>10354.25</v>
      </c>
      <c r="E22" s="517"/>
      <c r="F22" s="491"/>
      <c r="G22" s="492">
        <v>10500</v>
      </c>
      <c r="H22" s="517"/>
      <c r="I22" s="491"/>
      <c r="J22" s="492">
        <f>SUM('B. Summ of Reqs -SLLEA '!O144)-380</f>
        <v>10120</v>
      </c>
      <c r="K22" s="491"/>
      <c r="L22" s="494">
        <v>0</v>
      </c>
      <c r="M22" s="491"/>
      <c r="N22" s="492">
        <v>-10500</v>
      </c>
      <c r="O22" s="491"/>
      <c r="P22" s="492">
        <f t="shared" ref="P22" si="1">G22+L22+N22</f>
        <v>0</v>
      </c>
      <c r="Q22" s="476" t="s">
        <v>0</v>
      </c>
      <c r="S22" s="496"/>
      <c r="T22" s="476"/>
    </row>
    <row r="23" spans="1:20" ht="25.5">
      <c r="A23" s="306" t="s">
        <v>181</v>
      </c>
      <c r="B23" s="480"/>
      <c r="C23" s="491"/>
      <c r="D23" s="492"/>
      <c r="E23" s="517"/>
      <c r="F23" s="491"/>
      <c r="G23" s="492"/>
      <c r="H23" s="517"/>
      <c r="I23" s="491"/>
      <c r="J23" s="492"/>
      <c r="K23" s="491"/>
      <c r="L23" s="494"/>
      <c r="M23" s="491"/>
      <c r="N23" s="492"/>
      <c r="O23" s="491"/>
      <c r="P23" s="492"/>
      <c r="Q23" s="476" t="s">
        <v>0</v>
      </c>
      <c r="S23" s="496"/>
      <c r="T23" s="476"/>
    </row>
    <row r="24" spans="1:20">
      <c r="A24" s="306" t="s">
        <v>178</v>
      </c>
      <c r="B24" s="480"/>
      <c r="C24" s="491"/>
      <c r="D24" s="492"/>
      <c r="E24" s="517"/>
      <c r="F24" s="491"/>
      <c r="G24" s="492"/>
      <c r="H24" s="517"/>
      <c r="I24" s="491"/>
      <c r="J24" s="492"/>
      <c r="K24" s="491"/>
      <c r="L24" s="494"/>
      <c r="M24" s="491"/>
      <c r="N24" s="492"/>
      <c r="O24" s="491"/>
      <c r="P24" s="492"/>
      <c r="Q24" s="476" t="s">
        <v>0</v>
      </c>
      <c r="S24" s="496"/>
      <c r="T24" s="476"/>
    </row>
    <row r="25" spans="1:20">
      <c r="A25" s="307" t="s">
        <v>179</v>
      </c>
      <c r="B25" s="480"/>
      <c r="C25" s="491"/>
      <c r="D25" s="492"/>
      <c r="E25" s="517"/>
      <c r="F25" s="491"/>
      <c r="G25" s="492"/>
      <c r="H25" s="517"/>
      <c r="I25" s="491"/>
      <c r="J25" s="492"/>
      <c r="K25" s="491"/>
      <c r="L25" s="494"/>
      <c r="M25" s="491"/>
      <c r="N25" s="492"/>
      <c r="O25" s="491"/>
      <c r="P25" s="492"/>
      <c r="Q25" s="476" t="s">
        <v>0</v>
      </c>
      <c r="S25" s="496"/>
      <c r="T25" s="476"/>
    </row>
    <row r="26" spans="1:20">
      <c r="A26" s="306" t="s">
        <v>180</v>
      </c>
      <c r="B26" s="480"/>
      <c r="C26" s="491"/>
      <c r="D26" s="492"/>
      <c r="E26" s="517"/>
      <c r="F26" s="491"/>
      <c r="G26" s="492"/>
      <c r="H26" s="517"/>
      <c r="I26" s="491"/>
      <c r="J26" s="492"/>
      <c r="K26" s="491"/>
      <c r="L26" s="494"/>
      <c r="M26" s="491"/>
      <c r="N26" s="492"/>
      <c r="O26" s="491"/>
      <c r="P26" s="492"/>
      <c r="Q26" s="476" t="s">
        <v>0</v>
      </c>
      <c r="R26" s="496"/>
      <c r="S26" s="496"/>
      <c r="T26" s="476"/>
    </row>
    <row r="27" spans="1:20">
      <c r="A27" s="507" t="s">
        <v>133</v>
      </c>
      <c r="B27" s="508"/>
      <c r="C27" s="509">
        <f>SUM(C21:C26)</f>
        <v>0</v>
      </c>
      <c r="D27" s="510">
        <f>SUM(D21:D26)</f>
        <v>10354.25</v>
      </c>
      <c r="E27" s="520"/>
      <c r="F27" s="509">
        <f>SUM(F21:F26)</f>
        <v>0</v>
      </c>
      <c r="G27" s="510">
        <f>SUM(G21:G26)</f>
        <v>10500</v>
      </c>
      <c r="H27" s="521"/>
      <c r="I27" s="509">
        <f t="shared" ref="I27:P27" si="2">SUM(I21:I26)</f>
        <v>0</v>
      </c>
      <c r="J27" s="510">
        <f>SUM(J22)</f>
        <v>10120</v>
      </c>
      <c r="K27" s="509">
        <f t="shared" si="2"/>
        <v>0</v>
      </c>
      <c r="L27" s="522">
        <f t="shared" si="2"/>
        <v>0</v>
      </c>
      <c r="M27" s="509">
        <f t="shared" si="2"/>
        <v>0</v>
      </c>
      <c r="N27" s="510">
        <f t="shared" si="2"/>
        <v>-10500</v>
      </c>
      <c r="O27" s="509">
        <f t="shared" si="2"/>
        <v>0</v>
      </c>
      <c r="P27" s="510">
        <f t="shared" si="2"/>
        <v>0</v>
      </c>
      <c r="Q27" s="476" t="s">
        <v>0</v>
      </c>
      <c r="R27" s="513"/>
      <c r="S27" s="513"/>
      <c r="T27" s="476"/>
    </row>
    <row r="28" spans="1:20">
      <c r="A28" s="515"/>
      <c r="B28" s="480"/>
      <c r="C28" s="491"/>
      <c r="D28" s="492"/>
      <c r="E28" s="480"/>
      <c r="F28" s="491"/>
      <c r="G28" s="492"/>
      <c r="H28" s="480"/>
      <c r="I28" s="491"/>
      <c r="J28" s="492"/>
      <c r="K28" s="491"/>
      <c r="L28" s="494"/>
      <c r="M28" s="491"/>
      <c r="N28" s="492"/>
      <c r="O28" s="491"/>
      <c r="P28" s="492"/>
      <c r="Q28" s="476" t="s">
        <v>0</v>
      </c>
      <c r="R28" s="496"/>
      <c r="S28" s="496"/>
      <c r="T28" s="476"/>
    </row>
    <row r="29" spans="1:20" ht="39" customHeight="1">
      <c r="A29" s="497" t="s">
        <v>189</v>
      </c>
      <c r="B29" s="480"/>
      <c r="C29" s="491"/>
      <c r="D29" s="492"/>
      <c r="E29" s="493"/>
      <c r="F29" s="491"/>
      <c r="G29" s="492"/>
      <c r="H29" s="493"/>
      <c r="I29" s="491"/>
      <c r="J29" s="492"/>
      <c r="K29" s="491"/>
      <c r="L29" s="494"/>
      <c r="M29" s="491"/>
      <c r="N29" s="492"/>
      <c r="O29" s="491"/>
      <c r="P29" s="492"/>
      <c r="Q29" s="476" t="s">
        <v>0</v>
      </c>
      <c r="R29" s="496"/>
      <c r="S29" s="496"/>
      <c r="T29" s="476"/>
    </row>
    <row r="30" spans="1:20" ht="30" customHeight="1">
      <c r="A30" s="306" t="s">
        <v>183</v>
      </c>
      <c r="B30" s="480"/>
      <c r="C30" s="491"/>
      <c r="D30" s="492">
        <f>'B. Summ of Reqs -SLLEA '!F145-SUM(D22,D32)</f>
        <v>999806.37999999989</v>
      </c>
      <c r="E30" s="493"/>
      <c r="F30" s="491"/>
      <c r="G30" s="492">
        <f>1162500-SUM(G22,G32)</f>
        <v>1079000</v>
      </c>
      <c r="H30" s="493"/>
      <c r="I30" s="491"/>
      <c r="J30" s="492">
        <f>('B. Summ of Reqs -SLLEA '!O150-SUM(73000+10500))-38983</f>
        <v>1040017</v>
      </c>
      <c r="K30" s="491"/>
      <c r="L30" s="494">
        <f>'C. Increases Offsets - SLLEA'!G22-'D. Strat Goals &amp; Obs - SLLEA'!L32</f>
        <v>143000</v>
      </c>
      <c r="M30" s="491"/>
      <c r="N30" s="492">
        <f>'C. Increases Offsets - SLLEA'!F44-N22-N32</f>
        <v>-539500</v>
      </c>
      <c r="O30" s="491"/>
      <c r="P30" s="492">
        <f>G30+L30+N30</f>
        <v>682500</v>
      </c>
      <c r="Q30" s="476" t="s">
        <v>0</v>
      </c>
      <c r="R30" s="496"/>
      <c r="S30" s="496"/>
      <c r="T30" s="476"/>
    </row>
    <row r="31" spans="1:20" ht="38.25">
      <c r="A31" s="306" t="s">
        <v>184</v>
      </c>
      <c r="B31" s="480"/>
      <c r="C31" s="491"/>
      <c r="D31" s="492"/>
      <c r="E31" s="493"/>
      <c r="F31" s="491"/>
      <c r="G31" s="492"/>
      <c r="H31" s="493"/>
      <c r="I31" s="491"/>
      <c r="J31" s="492"/>
      <c r="K31" s="491"/>
      <c r="L31" s="494"/>
      <c r="M31" s="491"/>
      <c r="N31" s="492"/>
      <c r="O31" s="491"/>
      <c r="P31" s="492"/>
      <c r="Q31" s="476" t="s">
        <v>0</v>
      </c>
      <c r="R31" s="496"/>
      <c r="S31" s="496"/>
      <c r="T31" s="476"/>
    </row>
    <row r="32" spans="1:20" ht="42" customHeight="1">
      <c r="A32" s="306" t="s">
        <v>185</v>
      </c>
      <c r="B32" s="480"/>
      <c r="C32" s="491"/>
      <c r="D32" s="492">
        <f>SUM('B. Summ of Reqs -SLLEA '!F127,'B. Summ of Reqs -SLLEA '!F123)</f>
        <v>107684.2</v>
      </c>
      <c r="E32" s="493"/>
      <c r="F32" s="491"/>
      <c r="G32" s="492">
        <v>73000</v>
      </c>
      <c r="H32" s="493"/>
      <c r="I32" s="491"/>
      <c r="J32" s="492">
        <f>(SUM('B. Summ of Reqs -SLLEA '!O127,'B. Summ of Reqs -SLLEA '!O123))-2637</f>
        <v>70363</v>
      </c>
      <c r="K32" s="491"/>
      <c r="L32" s="494">
        <f>'C. Increases Offsets - SLLEA'!F19+'C. Increases Offsets - SLLEA'!F20</f>
        <v>28000</v>
      </c>
      <c r="M32" s="491"/>
      <c r="N32" s="492">
        <f>'C. Increases Offsets - SLLEA'!G40</f>
        <v>-2000</v>
      </c>
      <c r="O32" s="491"/>
      <c r="P32" s="492">
        <f>G32+L32+N32</f>
        <v>99000</v>
      </c>
      <c r="Q32" s="476" t="s">
        <v>0</v>
      </c>
      <c r="R32" s="496"/>
      <c r="S32" s="496"/>
      <c r="T32" s="476"/>
    </row>
    <row r="33" spans="1:20" ht="25.5">
      <c r="A33" s="306" t="s">
        <v>186</v>
      </c>
      <c r="B33" s="480"/>
      <c r="C33" s="491"/>
      <c r="D33" s="492"/>
      <c r="E33" s="493"/>
      <c r="F33" s="491"/>
      <c r="G33" s="492"/>
      <c r="H33" s="493"/>
      <c r="I33" s="523"/>
      <c r="J33" s="524"/>
      <c r="K33" s="491"/>
      <c r="L33" s="494"/>
      <c r="M33" s="491"/>
      <c r="N33" s="492"/>
      <c r="O33" s="491"/>
      <c r="P33" s="492"/>
      <c r="Q33" s="476" t="s">
        <v>0</v>
      </c>
      <c r="R33" s="496"/>
      <c r="S33" s="496"/>
      <c r="T33" s="476"/>
    </row>
    <row r="34" spans="1:20">
      <c r="A34" s="507" t="s">
        <v>134</v>
      </c>
      <c r="B34" s="508"/>
      <c r="C34" s="509">
        <f>SUM(C30:C33)</f>
        <v>0</v>
      </c>
      <c r="D34" s="510">
        <f>SUM(D30:D33)</f>
        <v>1107490.5799999998</v>
      </c>
      <c r="E34" s="511"/>
      <c r="F34" s="509">
        <f>SUM(F30:F33)</f>
        <v>0</v>
      </c>
      <c r="G34" s="510">
        <f>SUM(G30:G33)</f>
        <v>1152000</v>
      </c>
      <c r="H34" s="512"/>
      <c r="I34" s="509">
        <f t="shared" ref="I34:O34" si="3">SUM(I30:I33)</f>
        <v>0</v>
      </c>
      <c r="J34" s="510">
        <f>SUM(J30,J32)</f>
        <v>1110380</v>
      </c>
      <c r="K34" s="509">
        <f t="shared" si="3"/>
        <v>0</v>
      </c>
      <c r="L34" s="522">
        <f t="shared" si="3"/>
        <v>171000</v>
      </c>
      <c r="M34" s="509">
        <f t="shared" si="3"/>
        <v>0</v>
      </c>
      <c r="N34" s="510">
        <f>SUM(N30:N33)</f>
        <v>-541500</v>
      </c>
      <c r="O34" s="509">
        <f t="shared" si="3"/>
        <v>0</v>
      </c>
      <c r="P34" s="510">
        <f>SUM(P30:P33)</f>
        <v>781500</v>
      </c>
      <c r="Q34" s="476" t="s">
        <v>0</v>
      </c>
      <c r="R34" s="513"/>
      <c r="S34" s="513"/>
      <c r="T34" s="476"/>
    </row>
    <row r="35" spans="1:20">
      <c r="A35" s="1289" t="s">
        <v>249</v>
      </c>
      <c r="B35" s="531"/>
      <c r="C35" s="509">
        <f>SUM(C18,C27,C34)</f>
        <v>0</v>
      </c>
      <c r="D35" s="510">
        <f>SUM(D18,D27,D34)</f>
        <v>1117844.8299999998</v>
      </c>
      <c r="E35" s="1290"/>
      <c r="F35" s="509">
        <f>SUM(F18,F27,F34)</f>
        <v>0</v>
      </c>
      <c r="G35" s="510">
        <f>SUM(G18,G27,G34)</f>
        <v>1162500</v>
      </c>
      <c r="H35" s="1290"/>
      <c r="I35" s="509">
        <f t="shared" ref="I35:O35" si="4">SUM(I18,I27,I34)</f>
        <v>0</v>
      </c>
      <c r="J35" s="510">
        <f>SUM(J18,J27,J34)</f>
        <v>1120500</v>
      </c>
      <c r="K35" s="509">
        <f t="shared" si="4"/>
        <v>0</v>
      </c>
      <c r="L35" s="510">
        <f t="shared" si="4"/>
        <v>171000</v>
      </c>
      <c r="M35" s="509">
        <f t="shared" si="4"/>
        <v>0</v>
      </c>
      <c r="N35" s="510">
        <f t="shared" si="4"/>
        <v>-552000</v>
      </c>
      <c r="O35" s="509">
        <f t="shared" si="4"/>
        <v>0</v>
      </c>
      <c r="P35" s="510">
        <f>SUM(P18,P27,P34)</f>
        <v>781500</v>
      </c>
      <c r="Q35" s="476" t="s">
        <v>0</v>
      </c>
      <c r="R35" s="476"/>
      <c r="S35" s="513"/>
      <c r="T35" s="476"/>
    </row>
    <row r="36" spans="1:20">
      <c r="A36" s="530" t="s">
        <v>109</v>
      </c>
      <c r="B36" s="496"/>
      <c r="C36" s="730"/>
      <c r="D36" s="731">
        <v>-25817.11076</v>
      </c>
      <c r="E36" s="732"/>
      <c r="F36" s="730"/>
      <c r="G36" s="731">
        <v>-42000</v>
      </c>
      <c r="H36" s="732"/>
      <c r="I36" s="730"/>
      <c r="J36" s="731">
        <v>42000</v>
      </c>
      <c r="K36" s="730"/>
      <c r="L36" s="731"/>
      <c r="M36" s="730"/>
      <c r="N36" s="731">
        <v>-32000</v>
      </c>
      <c r="O36" s="730"/>
      <c r="P36" s="731">
        <v>-32000</v>
      </c>
      <c r="Q36" s="476" t="s">
        <v>0</v>
      </c>
      <c r="R36" s="476"/>
      <c r="S36" s="513"/>
      <c r="T36" s="476"/>
    </row>
    <row r="37" spans="1:20">
      <c r="A37" s="530" t="s">
        <v>29</v>
      </c>
      <c r="B37" s="496"/>
      <c r="C37" s="730"/>
      <c r="D37" s="731">
        <f>SUM('[4]B. Summ of Reqs -SLLEA '!E141:F142)</f>
        <v>171147</v>
      </c>
      <c r="E37" s="732"/>
      <c r="F37" s="730"/>
      <c r="G37" s="731"/>
      <c r="H37" s="732"/>
      <c r="I37" s="730"/>
      <c r="J37" s="731"/>
      <c r="K37" s="730"/>
      <c r="L37" s="731"/>
      <c r="M37" s="730"/>
      <c r="N37" s="731"/>
      <c r="O37" s="730"/>
      <c r="P37" s="731"/>
      <c r="Q37" s="476" t="s">
        <v>0</v>
      </c>
      <c r="R37" s="476"/>
      <c r="S37" s="513"/>
      <c r="T37" s="476"/>
    </row>
    <row r="38" spans="1:20">
      <c r="A38" s="530" t="s">
        <v>205</v>
      </c>
      <c r="B38" s="496"/>
      <c r="C38" s="730"/>
      <c r="D38" s="731">
        <f>'B. Summ of Reqs -SLLEA '!F149</f>
        <v>-31230</v>
      </c>
      <c r="E38" s="732"/>
      <c r="F38" s="730"/>
      <c r="G38" s="731"/>
      <c r="H38" s="732"/>
      <c r="I38" s="730"/>
      <c r="J38" s="731"/>
      <c r="K38" s="730"/>
      <c r="L38" s="731"/>
      <c r="M38" s="730"/>
      <c r="N38" s="731"/>
      <c r="O38" s="730"/>
      <c r="P38" s="731"/>
      <c r="Q38" s="476" t="s">
        <v>0</v>
      </c>
      <c r="R38" s="476"/>
      <c r="S38" s="513"/>
      <c r="T38" s="476"/>
    </row>
    <row r="39" spans="1:20" ht="13.5" thickBot="1">
      <c r="A39" s="480"/>
      <c r="B39" s="480"/>
      <c r="C39" s="480"/>
      <c r="D39" s="480"/>
      <c r="E39" s="480"/>
      <c r="F39" s="480"/>
      <c r="G39" s="480"/>
      <c r="H39" s="480"/>
      <c r="I39" s="480"/>
      <c r="J39" s="480"/>
      <c r="K39" s="733"/>
      <c r="L39" s="733"/>
      <c r="M39" s="734"/>
      <c r="N39" s="480"/>
      <c r="O39" s="480"/>
      <c r="P39" s="480"/>
      <c r="Q39" s="476" t="s">
        <v>0</v>
      </c>
      <c r="R39" s="496"/>
      <c r="S39" s="496"/>
      <c r="T39" s="476"/>
    </row>
    <row r="40" spans="1:20" s="542" customFormat="1" ht="18.75" customHeight="1" thickBot="1">
      <c r="A40" s="535" t="s">
        <v>135</v>
      </c>
      <c r="B40" s="536"/>
      <c r="C40" s="537">
        <f>SUM(C35:C38)</f>
        <v>0</v>
      </c>
      <c r="D40" s="538">
        <f>SUM(D35:D38)</f>
        <v>1231944.7192399998</v>
      </c>
      <c r="E40" s="539"/>
      <c r="F40" s="537">
        <f>F18+F27+F34</f>
        <v>0</v>
      </c>
      <c r="G40" s="538">
        <f>SUM(G35:G38)</f>
        <v>1120500</v>
      </c>
      <c r="H40" s="539"/>
      <c r="I40" s="537">
        <f t="shared" ref="I40:O40" si="5">I18+I27+I34</f>
        <v>0</v>
      </c>
      <c r="J40" s="538">
        <f>SUM(J35:J38)</f>
        <v>1162500</v>
      </c>
      <c r="K40" s="537">
        <f t="shared" si="5"/>
        <v>0</v>
      </c>
      <c r="L40" s="538">
        <f>SUM(L35:L38)</f>
        <v>171000</v>
      </c>
      <c r="M40" s="537">
        <f t="shared" si="5"/>
        <v>0</v>
      </c>
      <c r="N40" s="538">
        <f>SUM(N35:N38)</f>
        <v>-584000</v>
      </c>
      <c r="O40" s="537">
        <f t="shared" si="5"/>
        <v>0</v>
      </c>
      <c r="P40" s="538">
        <f>SUM(P35:P38)</f>
        <v>749500</v>
      </c>
      <c r="Q40" s="476" t="s">
        <v>0</v>
      </c>
      <c r="R40" s="540"/>
      <c r="S40" s="541"/>
      <c r="T40" s="476"/>
    </row>
    <row r="41" spans="1:20">
      <c r="A41" s="1291"/>
      <c r="B41" s="1291"/>
      <c r="C41" s="1292"/>
      <c r="D41" s="1293"/>
      <c r="E41" s="1291"/>
      <c r="F41" s="1292"/>
      <c r="G41" s="1293"/>
      <c r="H41" s="1291"/>
      <c r="I41" s="1292"/>
      <c r="J41" s="1293"/>
      <c r="K41" s="1297"/>
      <c r="L41" s="1297"/>
      <c r="M41" s="1297"/>
      <c r="N41" s="1297"/>
      <c r="O41" s="1297"/>
      <c r="P41" s="1298"/>
      <c r="Q41" s="476" t="s">
        <v>0</v>
      </c>
      <c r="R41" s="1294"/>
      <c r="S41" s="1294"/>
      <c r="T41" s="476"/>
    </row>
    <row r="42" spans="1:20">
      <c r="A42" s="1291" t="s">
        <v>641</v>
      </c>
      <c r="B42" s="1291"/>
      <c r="C42" s="1292"/>
      <c r="D42" s="1293"/>
      <c r="E42" s="1291"/>
      <c r="F42" s="1292"/>
      <c r="G42" s="1293"/>
      <c r="H42" s="1291"/>
      <c r="I42" s="1292"/>
      <c r="J42" s="1293"/>
      <c r="K42" s="1297"/>
      <c r="L42" s="1297"/>
      <c r="M42" s="1297"/>
      <c r="N42" s="1297"/>
      <c r="O42" s="1297"/>
      <c r="P42" s="1297"/>
      <c r="Q42" s="476" t="s">
        <v>0</v>
      </c>
      <c r="R42" s="1294"/>
      <c r="S42" s="1294"/>
      <c r="T42" s="476"/>
    </row>
    <row r="43" spans="1:20" ht="25.5">
      <c r="A43" s="1262" t="s">
        <v>182</v>
      </c>
      <c r="B43" s="1291"/>
      <c r="C43" s="1300"/>
      <c r="D43" s="1301"/>
      <c r="E43" s="1302"/>
      <c r="F43" s="1300"/>
      <c r="G43" s="1301"/>
      <c r="H43" s="1302"/>
      <c r="I43" s="1300"/>
      <c r="J43" s="1301"/>
      <c r="K43" s="1300"/>
      <c r="L43" s="1303">
        <v>10500</v>
      </c>
      <c r="M43" s="1300"/>
      <c r="N43" s="1304"/>
      <c r="O43" s="1303"/>
      <c r="P43" s="1304">
        <f t="shared" ref="P43:P44" si="6">G43+L43+N43</f>
        <v>10500</v>
      </c>
      <c r="Q43" s="476" t="s">
        <v>0</v>
      </c>
      <c r="R43" s="1294"/>
      <c r="S43" s="1294"/>
    </row>
    <row r="44" spans="1:20" ht="27.75" customHeight="1">
      <c r="A44" s="910" t="s">
        <v>183</v>
      </c>
      <c r="B44" s="1299"/>
      <c r="C44" s="1305"/>
      <c r="D44" s="1306"/>
      <c r="E44" s="1307"/>
      <c r="F44" s="1308"/>
      <c r="G44" s="1309"/>
      <c r="H44" s="1307"/>
      <c r="I44" s="1308"/>
      <c r="J44" s="1309"/>
      <c r="K44" s="1308"/>
      <c r="L44" s="1310">
        <v>210000</v>
      </c>
      <c r="M44" s="1308"/>
      <c r="N44" s="1309"/>
      <c r="O44" s="1310"/>
      <c r="P44" s="1309">
        <f t="shared" si="6"/>
        <v>210000</v>
      </c>
      <c r="Q44" s="476" t="s">
        <v>0</v>
      </c>
      <c r="R44" s="1295"/>
      <c r="S44" s="1295"/>
    </row>
    <row r="45" spans="1:20" ht="15" customHeight="1">
      <c r="A45" s="1291"/>
      <c r="B45" s="1260"/>
      <c r="C45" s="1311"/>
      <c r="D45" s="1311"/>
      <c r="E45" s="1311"/>
      <c r="F45" s="1311"/>
      <c r="G45" s="1311"/>
      <c r="H45" s="1311"/>
      <c r="I45" s="1311"/>
      <c r="J45" s="1311"/>
      <c r="K45" s="1311"/>
      <c r="L45" s="1311"/>
      <c r="M45" s="1311"/>
      <c r="N45" s="1311"/>
      <c r="O45" s="1311"/>
      <c r="P45" s="1311"/>
      <c r="Q45" s="476" t="s">
        <v>0</v>
      </c>
      <c r="R45" s="45"/>
      <c r="S45" s="45"/>
    </row>
    <row r="46" spans="1:20" ht="15" customHeight="1" thickBot="1">
      <c r="A46" s="1291"/>
      <c r="B46" s="1299"/>
      <c r="C46" s="1312"/>
      <c r="D46" s="1312"/>
      <c r="E46" s="1312"/>
      <c r="F46" s="1312"/>
      <c r="G46" s="1312"/>
      <c r="H46" s="1312"/>
      <c r="I46" s="1312"/>
      <c r="J46" s="1312"/>
      <c r="K46" s="1312"/>
      <c r="L46" s="1312"/>
      <c r="M46" s="1312"/>
      <c r="N46" s="1312"/>
      <c r="O46" s="1312"/>
      <c r="P46" s="1312"/>
      <c r="Q46" s="476" t="s">
        <v>0</v>
      </c>
      <c r="R46" s="548"/>
      <c r="S46" s="548"/>
    </row>
    <row r="47" spans="1:20" ht="15" customHeight="1" thickBot="1">
      <c r="A47" s="1296" t="s">
        <v>135</v>
      </c>
      <c r="B47" s="1314"/>
      <c r="C47" s="537">
        <f t="shared" ref="C47:D47" si="7">SUM(C40,C43,C44)</f>
        <v>0</v>
      </c>
      <c r="D47" s="538">
        <f t="shared" si="7"/>
        <v>1231944.7192399998</v>
      </c>
      <c r="E47" s="1313"/>
      <c r="F47" s="537">
        <f t="shared" ref="F47:G47" si="8">SUM(F40,F43,F44)</f>
        <v>0</v>
      </c>
      <c r="G47" s="538">
        <f t="shared" si="8"/>
        <v>1120500</v>
      </c>
      <c r="H47" s="1313"/>
      <c r="I47" s="537">
        <f t="shared" ref="I47:N47" si="9">SUM(I40,I43,I44)</f>
        <v>0</v>
      </c>
      <c r="J47" s="538">
        <f t="shared" si="9"/>
        <v>1162500</v>
      </c>
      <c r="K47" s="537">
        <f t="shared" si="9"/>
        <v>0</v>
      </c>
      <c r="L47" s="538">
        <f t="shared" si="9"/>
        <v>391500</v>
      </c>
      <c r="M47" s="537">
        <f t="shared" si="9"/>
        <v>0</v>
      </c>
      <c r="N47" s="538">
        <f t="shared" si="9"/>
        <v>-584000</v>
      </c>
      <c r="O47" s="537">
        <f>SUM(O40,O43,O44)</f>
        <v>0</v>
      </c>
      <c r="P47" s="538">
        <f>SUM(P40,P43,P44)</f>
        <v>970000</v>
      </c>
      <c r="Q47" s="476" t="s">
        <v>0</v>
      </c>
      <c r="R47" s="1221"/>
      <c r="S47" s="1221"/>
    </row>
    <row r="48" spans="1:20" ht="15" customHeight="1">
      <c r="A48" s="2003"/>
      <c r="B48" s="1619"/>
      <c r="C48" s="1619"/>
      <c r="D48" s="1619"/>
      <c r="E48" s="1619"/>
      <c r="F48" s="1619"/>
      <c r="G48" s="1619"/>
      <c r="H48" s="1220"/>
      <c r="I48" s="1220"/>
      <c r="J48" s="1221"/>
      <c r="K48" s="1221"/>
      <c r="L48" s="1221"/>
      <c r="M48" s="1221"/>
      <c r="N48" s="1221"/>
      <c r="O48" s="1221"/>
      <c r="P48" s="1221"/>
      <c r="Q48" s="476" t="s">
        <v>0</v>
      </c>
      <c r="R48" s="1221"/>
      <c r="S48" s="1221"/>
    </row>
    <row r="49" spans="1:19" ht="15" customHeight="1">
      <c r="A49" s="1198"/>
      <c r="B49" s="1199"/>
      <c r="C49" s="1199"/>
      <c r="D49" s="1199"/>
      <c r="E49" s="1199"/>
      <c r="F49" s="1199"/>
      <c r="G49" s="1199"/>
      <c r="H49" s="1199"/>
      <c r="I49" s="1199"/>
      <c r="J49" s="1200"/>
      <c r="K49" s="1200"/>
      <c r="L49" s="1200"/>
      <c r="M49" s="1200"/>
      <c r="N49" s="1200"/>
      <c r="O49" s="1200"/>
      <c r="P49" s="1315"/>
      <c r="Q49" s="476" t="s">
        <v>13</v>
      </c>
      <c r="R49" s="1200"/>
      <c r="S49" s="1200"/>
    </row>
    <row r="50" spans="1:19" ht="15" customHeight="1">
      <c r="S50" s="476"/>
    </row>
    <row r="51" spans="1:19" ht="15" customHeight="1"/>
    <row r="52" spans="1:19" ht="15" customHeight="1"/>
    <row r="53" spans="1:19" ht="15" customHeight="1"/>
    <row r="54" spans="1:19" ht="15" customHeight="1"/>
    <row r="55" spans="1:19" ht="15" customHeight="1"/>
    <row r="56" spans="1:19" ht="15" customHeight="1"/>
    <row r="57" spans="1:19" ht="15" customHeight="1"/>
    <row r="58" spans="1:19" ht="15" customHeight="1"/>
    <row r="59" spans="1:19" ht="15" customHeight="1"/>
    <row r="60" spans="1:19" ht="15" customHeight="1"/>
    <row r="61" spans="1:19" ht="15" customHeight="1"/>
    <row r="62" spans="1:19" ht="15" customHeight="1"/>
    <row r="63" spans="1:19" ht="15" customHeight="1"/>
    <row r="64" spans="1:19" ht="15" customHeight="1"/>
    <row r="65" ht="15" customHeight="1"/>
    <row r="66" ht="15" customHeight="1"/>
    <row r="67" ht="15" customHeight="1"/>
    <row r="68" ht="15" customHeight="1"/>
    <row r="69" ht="15" customHeight="1"/>
    <row r="70" ht="15" customHeight="1"/>
    <row r="71" ht="15" customHeight="1"/>
    <row r="72" ht="15" customHeight="1"/>
  </sheetData>
  <customSheetViews>
    <customSheetView guid="{DA38F665-F06D-4DFB-B852-747D93BB00EF}" scale="70" showPageBreaks="1" printArea="1" hiddenRows="1" view="pageBreakPreview" topLeftCell="B25">
      <selection activeCell="B210" sqref="B210"/>
      <pageMargins left="0.75" right="0.75" top="1" bottom="0.79" header="0.5" footer="0.5"/>
      <printOptions horizontalCentered="1"/>
      <pageSetup scale="54" orientation="landscape" r:id="rId1"/>
      <headerFooter alignWithMargins="0">
        <oddFooter>&amp;C&amp;"Times New Roman,Regular"Exhibit D - Resources by DOJ Strategic Goals &amp; Strategic Objectives</oddFooter>
      </headerFooter>
    </customSheetView>
    <customSheetView guid="{4D0F9E3D-0229-48CC-A08B-F132802E9D7B}" scale="70" showPageBreaks="1" printArea="1" hiddenRows="1" view="pageBreakPreview" topLeftCell="B27">
      <selection activeCell="O36" sqref="O36"/>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oddFooter>
      </headerFooter>
    </customSheetView>
    <customSheetView guid="{F6772377-6B25-4EEA-B255-4C2F62B37855}" scale="70" showPageBreaks="1" printArea="1" hiddenRows="1" view="pageBreakPreview" topLeftCell="A25">
      <selection activeCell="A30" sqref="A30"/>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oddFooter>
      </headerFooter>
    </customSheetView>
    <customSheetView guid="{27B9C207-C13F-4981-9CED-E69585BBD779}" scale="70" showPageBreaks="1" printArea="1" hiddenRows="1" view="pageBreakPreview" topLeftCell="A28">
      <selection activeCell="P47" sqref="P47"/>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Objectives&amp;R&amp;"Times New Roman,Regular"State and Local Law Enforcement Assistance</oddFooter>
      </headerFooter>
    </customSheetView>
  </customSheetViews>
  <mergeCells count="14">
    <mergeCell ref="O9:P10"/>
    <mergeCell ref="A1:P1"/>
    <mergeCell ref="A3:P3"/>
    <mergeCell ref="A4:P4"/>
    <mergeCell ref="A5:P5"/>
    <mergeCell ref="A6:P6"/>
    <mergeCell ref="K10:L10"/>
    <mergeCell ref="M10:N10"/>
    <mergeCell ref="K9:N9"/>
    <mergeCell ref="A11:A12"/>
    <mergeCell ref="A48:G48"/>
    <mergeCell ref="C9:D10"/>
    <mergeCell ref="F9:G10"/>
    <mergeCell ref="I9:J10"/>
  </mergeCells>
  <printOptions horizontalCentered="1"/>
  <pageMargins left="0.75" right="0.75" top="1" bottom="0.79" header="0.5" footer="0.5"/>
  <pageSetup scale="54" orientation="landscape" r:id="rId5"/>
  <headerFooter alignWithMargins="0">
    <oddFooter>&amp;C&amp;"Times New Roman,Regular"Exhibit D - Resources by DOJ Strategic Goals &amp; Strategic Objectives&amp;R&amp;"Times New Roman,Regular"State and Local Law Enforcement Assistance</oddFooter>
  </headerFooter>
</worksheet>
</file>

<file path=xl/worksheets/sheet21.xml><?xml version="1.0" encoding="utf-8"?>
<worksheet xmlns="http://schemas.openxmlformats.org/spreadsheetml/2006/main" xmlns:r="http://schemas.openxmlformats.org/officeDocument/2006/relationships">
  <dimension ref="A1:AC107"/>
  <sheetViews>
    <sheetView showGridLines="0" showOutlineSymbols="0" view="pageBreakPreview" topLeftCell="A82" zoomScaleNormal="75" zoomScaleSheetLayoutView="100" workbookViewId="0">
      <selection activeCell="A93" sqref="A93"/>
    </sheetView>
  </sheetViews>
  <sheetFormatPr defaultColWidth="8.88671875" defaultRowHeight="15.75"/>
  <cols>
    <col min="1" max="1" width="80.77734375" style="18" customWidth="1"/>
    <col min="2" max="2" width="7.5546875" style="18" customWidth="1"/>
    <col min="3" max="3" width="6.77734375" style="18" customWidth="1"/>
    <col min="4" max="4" width="10.88671875" style="18" customWidth="1"/>
    <col min="5" max="5" width="5.77734375" style="18" customWidth="1"/>
    <col min="6" max="6" width="5.6640625" style="18" customWidth="1"/>
    <col min="7" max="7" width="8.88671875" style="18" customWidth="1"/>
    <col min="8" max="8" width="6.88671875" style="18" customWidth="1"/>
    <col min="9" max="9" width="5.6640625" style="18" customWidth="1"/>
    <col min="10" max="10" width="9.77734375" style="18" customWidth="1"/>
    <col min="11" max="11" width="8.77734375" style="18" customWidth="1"/>
    <col min="12" max="12" width="10" style="18" customWidth="1"/>
    <col min="13" max="13" width="7.5546875" style="18" bestFit="1" customWidth="1"/>
    <col min="14" max="14" width="6.77734375" style="18" customWidth="1"/>
    <col min="15" max="15" width="10.88671875" style="18" bestFit="1" customWidth="1"/>
    <col min="16" max="16" width="7.21875" style="182" customWidth="1"/>
    <col min="17" max="16384" width="8.88671875" style="18"/>
  </cols>
  <sheetData>
    <row r="1" spans="1:16" ht="20.25">
      <c r="A1" s="1692" t="s">
        <v>156</v>
      </c>
      <c r="B1" s="1693"/>
      <c r="C1" s="1693"/>
      <c r="D1" s="1693"/>
      <c r="E1" s="1693"/>
      <c r="F1" s="1693"/>
      <c r="G1" s="1693"/>
      <c r="H1" s="1693"/>
      <c r="I1" s="1693"/>
      <c r="J1" s="1693"/>
      <c r="K1" s="1693"/>
      <c r="L1" s="1693"/>
      <c r="M1" s="1693"/>
      <c r="N1" s="1693"/>
      <c r="O1" s="1693"/>
      <c r="P1" s="181" t="s">
        <v>0</v>
      </c>
    </row>
    <row r="2" spans="1:16" ht="16.5" customHeight="1">
      <c r="A2" s="1901"/>
      <c r="B2" s="1901"/>
      <c r="C2" s="1901"/>
      <c r="D2" s="1901"/>
      <c r="E2" s="1901"/>
      <c r="F2" s="1901"/>
      <c r="G2" s="1901"/>
      <c r="H2" s="1901"/>
      <c r="I2" s="1901"/>
      <c r="J2" s="1901"/>
      <c r="K2" s="1901"/>
      <c r="L2" s="1901"/>
      <c r="M2" s="1901"/>
      <c r="N2" s="1901"/>
      <c r="O2" s="1901"/>
      <c r="P2" s="181" t="s">
        <v>0</v>
      </c>
    </row>
    <row r="3" spans="1:16" ht="16.5" customHeight="1">
      <c r="A3" s="1694" t="s">
        <v>136</v>
      </c>
      <c r="B3" s="1914"/>
      <c r="C3" s="1914"/>
      <c r="D3" s="1914"/>
      <c r="E3" s="1914"/>
      <c r="F3" s="1914"/>
      <c r="G3" s="1914"/>
      <c r="H3" s="1914"/>
      <c r="I3" s="1914"/>
      <c r="J3" s="1914"/>
      <c r="K3" s="1914"/>
      <c r="L3" s="1914"/>
      <c r="M3" s="1914"/>
      <c r="N3" s="1914"/>
      <c r="O3" s="1914"/>
      <c r="P3" s="181" t="s">
        <v>0</v>
      </c>
    </row>
    <row r="4" spans="1:16" ht="16.5" customHeight="1">
      <c r="A4" s="1696" t="str">
        <f>+'[4]B. Summ of Reqs -SLLEA '!A4</f>
        <v>Office of Justice Programs</v>
      </c>
      <c r="B4" s="1913"/>
      <c r="C4" s="1913"/>
      <c r="D4" s="1913"/>
      <c r="E4" s="1913"/>
      <c r="F4" s="1913"/>
      <c r="G4" s="1913"/>
      <c r="H4" s="1913"/>
      <c r="I4" s="1913"/>
      <c r="J4" s="1913"/>
      <c r="K4" s="1913"/>
      <c r="L4" s="1913"/>
      <c r="M4" s="1913"/>
      <c r="N4" s="1913"/>
      <c r="O4" s="1913"/>
      <c r="P4" s="181" t="s">
        <v>0</v>
      </c>
    </row>
    <row r="5" spans="1:16" ht="16.5" customHeight="1">
      <c r="A5" s="1696" t="str">
        <f>+'[4]B. Summ of Reqs -SLLEA '!A5</f>
        <v>State and Local Law Enforcement Assistance</v>
      </c>
      <c r="B5" s="1914"/>
      <c r="C5" s="1914"/>
      <c r="D5" s="1914"/>
      <c r="E5" s="1914"/>
      <c r="F5" s="1914"/>
      <c r="G5" s="1914"/>
      <c r="H5" s="1914"/>
      <c r="I5" s="1914"/>
      <c r="J5" s="1914"/>
      <c r="K5" s="1914"/>
      <c r="L5" s="1914"/>
      <c r="M5" s="1914"/>
      <c r="N5" s="1914"/>
      <c r="O5" s="1914"/>
      <c r="P5" s="181" t="s">
        <v>0</v>
      </c>
    </row>
    <row r="6" spans="1:16" ht="16.5" customHeight="1">
      <c r="A6" s="1690" t="s">
        <v>98</v>
      </c>
      <c r="B6" s="1913"/>
      <c r="C6" s="1913"/>
      <c r="D6" s="1913"/>
      <c r="E6" s="1913"/>
      <c r="F6" s="1913"/>
      <c r="G6" s="1913"/>
      <c r="H6" s="1913"/>
      <c r="I6" s="1913"/>
      <c r="J6" s="1913"/>
      <c r="K6" s="1913"/>
      <c r="L6" s="1913"/>
      <c r="M6" s="1913"/>
      <c r="N6" s="1913"/>
      <c r="O6" s="1913"/>
      <c r="P6" s="181" t="s">
        <v>0</v>
      </c>
    </row>
    <row r="7" spans="1:16" ht="16.5" customHeight="1">
      <c r="A7" s="1901"/>
      <c r="B7" s="1901"/>
      <c r="C7" s="1901"/>
      <c r="D7" s="1901"/>
      <c r="E7" s="1901"/>
      <c r="F7" s="1901"/>
      <c r="G7" s="1901"/>
      <c r="H7" s="1901"/>
      <c r="I7" s="1901"/>
      <c r="J7" s="1901"/>
      <c r="K7" s="1901"/>
      <c r="L7" s="1901"/>
      <c r="M7" s="1901"/>
      <c r="N7" s="1901"/>
      <c r="O7" s="1901"/>
      <c r="P7" s="181" t="s">
        <v>0</v>
      </c>
    </row>
    <row r="8" spans="1:16" ht="16.5" customHeight="1">
      <c r="A8" s="1682" t="s">
        <v>23</v>
      </c>
      <c r="B8" s="1664" t="s">
        <v>592</v>
      </c>
      <c r="C8" s="1903"/>
      <c r="D8" s="1904"/>
      <c r="E8" s="1676" t="s">
        <v>109</v>
      </c>
      <c r="F8" s="1908"/>
      <c r="G8" s="1909"/>
      <c r="H8" s="1664" t="s">
        <v>12</v>
      </c>
      <c r="I8" s="1903"/>
      <c r="J8" s="1903"/>
      <c r="K8" s="1674" t="s">
        <v>141</v>
      </c>
      <c r="L8" s="1674" t="s">
        <v>142</v>
      </c>
      <c r="M8" s="1664" t="s">
        <v>137</v>
      </c>
      <c r="N8" s="1903"/>
      <c r="O8" s="1904"/>
      <c r="P8" s="181" t="s">
        <v>0</v>
      </c>
    </row>
    <row r="9" spans="1:16" ht="16.5" customHeight="1">
      <c r="A9" s="1683"/>
      <c r="B9" s="1905"/>
      <c r="C9" s="1906"/>
      <c r="D9" s="1907"/>
      <c r="E9" s="1910"/>
      <c r="F9" s="1911"/>
      <c r="G9" s="1912"/>
      <c r="H9" s="1905"/>
      <c r="I9" s="1906"/>
      <c r="J9" s="1906"/>
      <c r="K9" s="1675"/>
      <c r="L9" s="1675"/>
      <c r="M9" s="1905"/>
      <c r="N9" s="1906"/>
      <c r="O9" s="1907"/>
      <c r="P9" s="181" t="s">
        <v>0</v>
      </c>
    </row>
    <row r="10" spans="1:16" ht="16.5" customHeight="1" thickBot="1">
      <c r="A10" s="1684"/>
      <c r="B10" s="156" t="s">
        <v>115</v>
      </c>
      <c r="C10" s="157" t="s">
        <v>25</v>
      </c>
      <c r="D10" s="157" t="s">
        <v>117</v>
      </c>
      <c r="E10" s="156" t="s">
        <v>115</v>
      </c>
      <c r="F10" s="157" t="s">
        <v>25</v>
      </c>
      <c r="G10" s="157" t="s">
        <v>117</v>
      </c>
      <c r="H10" s="156" t="s">
        <v>115</v>
      </c>
      <c r="I10" s="157" t="s">
        <v>25</v>
      </c>
      <c r="J10" s="157" t="s">
        <v>117</v>
      </c>
      <c r="K10" s="265" t="s">
        <v>117</v>
      </c>
      <c r="L10" s="266" t="s">
        <v>117</v>
      </c>
      <c r="M10" s="156" t="s">
        <v>115</v>
      </c>
      <c r="N10" s="157" t="s">
        <v>25</v>
      </c>
      <c r="O10" s="158" t="s">
        <v>117</v>
      </c>
      <c r="P10" s="181" t="s">
        <v>0</v>
      </c>
    </row>
    <row r="11" spans="1:16" ht="16.5" customHeight="1">
      <c r="A11" s="370" t="s">
        <v>308</v>
      </c>
      <c r="B11" s="556"/>
      <c r="C11" s="557"/>
      <c r="D11" s="557" t="s">
        <v>218</v>
      </c>
      <c r="E11" s="556"/>
      <c r="F11" s="557"/>
      <c r="G11" s="1317">
        <v>-3322.2697899999998</v>
      </c>
      <c r="H11" s="556"/>
      <c r="I11" s="557"/>
      <c r="J11" s="557">
        <v>23776.644711984041</v>
      </c>
      <c r="K11" s="424">
        <v>6327</v>
      </c>
      <c r="L11" s="557"/>
      <c r="M11" s="556"/>
      <c r="N11" s="557"/>
      <c r="O11" s="558">
        <f>G11+J11+K11+L11</f>
        <v>26781.374921984043</v>
      </c>
      <c r="P11" s="181" t="s">
        <v>0</v>
      </c>
    </row>
    <row r="12" spans="1:16" ht="16.5" customHeight="1">
      <c r="A12" s="370" t="s">
        <v>310</v>
      </c>
      <c r="B12" s="556"/>
      <c r="C12" s="557"/>
      <c r="D12" s="557">
        <v>33133.599999999999</v>
      </c>
      <c r="E12" s="556"/>
      <c r="F12" s="557"/>
      <c r="G12" s="1317">
        <f>-111.72606</f>
        <v>-111.72606</v>
      </c>
      <c r="H12" s="556"/>
      <c r="I12" s="557"/>
      <c r="J12" s="557">
        <v>-759.47771735461106</v>
      </c>
      <c r="K12" s="424">
        <v>342</v>
      </c>
      <c r="L12" s="557"/>
      <c r="M12" s="556"/>
      <c r="N12" s="557"/>
      <c r="O12" s="558">
        <f t="shared" ref="O12:O72" si="0">D12+G12+J12+K12+L12</f>
        <v>32604.396222645388</v>
      </c>
      <c r="P12" s="181" t="s">
        <v>0</v>
      </c>
    </row>
    <row r="13" spans="1:16" ht="16.5" customHeight="1">
      <c r="A13" s="370" t="s">
        <v>312</v>
      </c>
      <c r="B13" s="556"/>
      <c r="C13" s="557"/>
      <c r="D13" s="557">
        <v>4555.87</v>
      </c>
      <c r="E13" s="556"/>
      <c r="F13" s="557"/>
      <c r="G13" s="1317">
        <f>-173.65341-17.61013</f>
        <v>-191.26354000000001</v>
      </c>
      <c r="H13" s="556"/>
      <c r="I13" s="557"/>
      <c r="J13" s="557">
        <v>-104.428136136259</v>
      </c>
      <c r="K13" s="424">
        <v>211</v>
      </c>
      <c r="L13" s="557">
        <v>269</v>
      </c>
      <c r="M13" s="556"/>
      <c r="N13" s="557"/>
      <c r="O13" s="558">
        <f>D13+G13+J13+K13+L13</f>
        <v>4740.1783238637408</v>
      </c>
      <c r="P13" s="181" t="s">
        <v>0</v>
      </c>
    </row>
    <row r="14" spans="1:16" ht="16.5" customHeight="1">
      <c r="A14" s="554" t="s">
        <v>313</v>
      </c>
      <c r="B14" s="737"/>
      <c r="C14" s="680"/>
      <c r="D14" s="680">
        <v>2485.02</v>
      </c>
      <c r="E14" s="737"/>
      <c r="F14" s="680"/>
      <c r="G14" s="1316">
        <f>-17.61013</f>
        <v>-17.610130000000002</v>
      </c>
      <c r="H14" s="737"/>
      <c r="I14" s="680"/>
      <c r="J14" s="680">
        <v>-56.9605288015958</v>
      </c>
      <c r="K14" s="424">
        <v>234</v>
      </c>
      <c r="L14" s="557">
        <v>116</v>
      </c>
      <c r="M14" s="556"/>
      <c r="N14" s="557"/>
      <c r="O14" s="681">
        <f t="shared" si="0"/>
        <v>2760.449341198404</v>
      </c>
      <c r="P14" s="181" t="s">
        <v>0</v>
      </c>
    </row>
    <row r="15" spans="1:16" ht="16.5" customHeight="1">
      <c r="A15" s="885" t="s">
        <v>462</v>
      </c>
      <c r="B15" s="556"/>
      <c r="C15" s="557"/>
      <c r="D15" s="557">
        <v>2070.85</v>
      </c>
      <c r="E15" s="556"/>
      <c r="F15" s="557"/>
      <c r="G15" s="1317"/>
      <c r="H15" s="556"/>
      <c r="I15" s="557"/>
      <c r="J15" s="557">
        <v>-45.529607334663197</v>
      </c>
      <c r="K15" s="424">
        <v>28</v>
      </c>
      <c r="L15" s="738"/>
      <c r="M15" s="556"/>
      <c r="N15" s="557"/>
      <c r="O15" s="558">
        <f t="shared" si="0"/>
        <v>2053.3203926653368</v>
      </c>
      <c r="P15" s="181" t="s">
        <v>0</v>
      </c>
    </row>
    <row r="16" spans="1:16" ht="16.5" customHeight="1">
      <c r="A16" s="1037" t="s">
        <v>581</v>
      </c>
      <c r="B16" s="556"/>
      <c r="C16" s="557"/>
      <c r="D16" s="557"/>
      <c r="E16" s="556"/>
      <c r="F16" s="557"/>
      <c r="G16" s="1317"/>
      <c r="H16" s="556"/>
      <c r="I16" s="557"/>
      <c r="J16" s="557"/>
      <c r="K16" s="424"/>
      <c r="L16" s="1044"/>
      <c r="M16" s="556"/>
      <c r="N16" s="557"/>
      <c r="O16" s="558"/>
      <c r="P16" s="181"/>
    </row>
    <row r="17" spans="1:16" ht="16.5" customHeight="1">
      <c r="A17" s="554" t="s">
        <v>315</v>
      </c>
      <c r="B17" s="556"/>
      <c r="C17" s="557"/>
      <c r="D17" s="557" t="s">
        <v>218</v>
      </c>
      <c r="E17" s="556"/>
      <c r="F17" s="557"/>
      <c r="G17" s="1317"/>
      <c r="H17" s="556"/>
      <c r="I17" s="557"/>
      <c r="J17" s="557">
        <v>809.78815706613466</v>
      </c>
      <c r="K17" s="424">
        <v>30</v>
      </c>
      <c r="L17" s="557"/>
      <c r="M17" s="556"/>
      <c r="N17" s="557"/>
      <c r="O17" s="558">
        <f>G17+J17+K17+L17</f>
        <v>839.78815706613466</v>
      </c>
      <c r="P17" s="181" t="s">
        <v>0</v>
      </c>
    </row>
    <row r="18" spans="1:16" ht="16.5" customHeight="1">
      <c r="A18" s="554" t="s">
        <v>316</v>
      </c>
      <c r="B18" s="556"/>
      <c r="C18" s="557"/>
      <c r="D18" s="557"/>
      <c r="E18" s="556"/>
      <c r="F18" s="557"/>
      <c r="G18" s="1317"/>
      <c r="H18" s="556"/>
      <c r="I18" s="557"/>
      <c r="J18" s="557">
        <v>8911.6697277274816</v>
      </c>
      <c r="K18" s="424">
        <v>172</v>
      </c>
      <c r="L18" s="557"/>
      <c r="M18" s="556"/>
      <c r="N18" s="557"/>
      <c r="O18" s="558">
        <f>D18+G18+J18+K18+L18</f>
        <v>9083.6697277274816</v>
      </c>
      <c r="P18" s="181" t="s">
        <v>0</v>
      </c>
    </row>
    <row r="19" spans="1:16" ht="16.5" customHeight="1">
      <c r="A19" s="885" t="s">
        <v>391</v>
      </c>
      <c r="B19" s="556"/>
      <c r="C19" s="557"/>
      <c r="D19" s="557">
        <v>12425.1</v>
      </c>
      <c r="E19" s="556"/>
      <c r="F19" s="557"/>
      <c r="G19" s="1317"/>
      <c r="H19" s="556"/>
      <c r="I19" s="557"/>
      <c r="J19" s="557">
        <v>-273.17764400797898</v>
      </c>
      <c r="K19" s="424">
        <v>119</v>
      </c>
      <c r="L19" s="557"/>
      <c r="M19" s="556"/>
      <c r="N19" s="557"/>
      <c r="O19" s="558">
        <f t="shared" si="0"/>
        <v>12270.922355992021</v>
      </c>
      <c r="P19" s="181" t="s">
        <v>0</v>
      </c>
    </row>
    <row r="20" spans="1:16" ht="16.5" customHeight="1">
      <c r="A20" s="885" t="s">
        <v>464</v>
      </c>
      <c r="B20" s="556"/>
      <c r="C20" s="557"/>
      <c r="D20" s="557" t="s">
        <v>218</v>
      </c>
      <c r="E20" s="556"/>
      <c r="F20" s="557"/>
      <c r="G20" s="1317">
        <v>-3360.0859399999999</v>
      </c>
      <c r="H20" s="556"/>
      <c r="I20" s="557"/>
      <c r="J20" s="557">
        <v>130060.63328764768</v>
      </c>
      <c r="K20" s="424"/>
      <c r="L20" s="557">
        <v>2800</v>
      </c>
      <c r="M20" s="556"/>
      <c r="N20" s="557"/>
      <c r="O20" s="558">
        <f>G20+J20+K20+L20</f>
        <v>129500.54734764768</v>
      </c>
      <c r="P20" s="181" t="s">
        <v>0</v>
      </c>
    </row>
    <row r="21" spans="1:16" ht="16.5" customHeight="1">
      <c r="A21" s="554" t="s">
        <v>220</v>
      </c>
      <c r="B21" s="737"/>
      <c r="C21" s="680"/>
      <c r="D21" s="680"/>
      <c r="E21" s="737"/>
      <c r="F21" s="680"/>
      <c r="G21" s="1316"/>
      <c r="H21" s="737"/>
      <c r="I21" s="680"/>
      <c r="J21" s="680">
        <v>121959.35171698633</v>
      </c>
      <c r="K21" s="424">
        <v>6012</v>
      </c>
      <c r="L21" s="557"/>
      <c r="M21" s="556"/>
      <c r="N21" s="557"/>
      <c r="O21" s="681">
        <f t="shared" si="0"/>
        <v>127971.35171698633</v>
      </c>
      <c r="P21" s="181" t="s">
        <v>0</v>
      </c>
    </row>
    <row r="22" spans="1:16" ht="16.5" customHeight="1">
      <c r="A22" s="554" t="s">
        <v>253</v>
      </c>
      <c r="B22" s="737"/>
      <c r="C22" s="680"/>
      <c r="D22" s="680"/>
      <c r="E22" s="737"/>
      <c r="F22" s="680"/>
      <c r="G22" s="1316"/>
      <c r="H22" s="737"/>
      <c r="I22" s="680"/>
      <c r="J22" s="680">
        <v>4050.6407853306732</v>
      </c>
      <c r="K22" s="424">
        <v>3441</v>
      </c>
      <c r="L22" s="557"/>
      <c r="M22" s="556"/>
      <c r="N22" s="557"/>
      <c r="O22" s="681">
        <f t="shared" si="0"/>
        <v>7491.6407853306737</v>
      </c>
      <c r="P22" s="181" t="s">
        <v>0</v>
      </c>
    </row>
    <row r="23" spans="1:16" ht="16.5" customHeight="1">
      <c r="A23" s="554" t="s">
        <v>219</v>
      </c>
      <c r="B23" s="737"/>
      <c r="C23" s="680"/>
      <c r="D23" s="680"/>
      <c r="E23" s="737"/>
      <c r="F23" s="680"/>
      <c r="G23" s="1316"/>
      <c r="H23" s="737"/>
      <c r="I23" s="680"/>
      <c r="J23" s="680">
        <v>4050.6407853306732</v>
      </c>
      <c r="K23" s="424">
        <v>2525</v>
      </c>
      <c r="L23" s="557"/>
      <c r="M23" s="556"/>
      <c r="N23" s="557"/>
      <c r="O23" s="681">
        <f t="shared" si="0"/>
        <v>6575.6407853306737</v>
      </c>
      <c r="P23" s="181" t="s">
        <v>0</v>
      </c>
    </row>
    <row r="24" spans="1:16" ht="16.5" customHeight="1">
      <c r="A24" s="370" t="s">
        <v>318</v>
      </c>
      <c r="B24" s="556"/>
      <c r="C24" s="557"/>
      <c r="D24" s="557">
        <v>37275.300000000003</v>
      </c>
      <c r="E24" s="556"/>
      <c r="F24" s="557"/>
      <c r="G24" s="1317">
        <f>-1038.35109</f>
        <v>-1038.3510900000001</v>
      </c>
      <c r="H24" s="556"/>
      <c r="I24" s="557"/>
      <c r="J24" s="557">
        <v>-854.41193202393697</v>
      </c>
      <c r="K24" s="424">
        <v>763</v>
      </c>
      <c r="L24" s="557">
        <v>1165</v>
      </c>
      <c r="M24" s="556"/>
      <c r="N24" s="557"/>
      <c r="O24" s="558">
        <f t="shared" si="0"/>
        <v>37310.536977976066</v>
      </c>
      <c r="P24" s="181" t="s">
        <v>0</v>
      </c>
    </row>
    <row r="25" spans="1:16" ht="16.5" customHeight="1">
      <c r="A25" s="370" t="s">
        <v>319</v>
      </c>
      <c r="B25" s="556"/>
      <c r="C25" s="557"/>
      <c r="D25" s="557">
        <v>16566.8</v>
      </c>
      <c r="E25" s="556"/>
      <c r="F25" s="557"/>
      <c r="G25" s="1317">
        <f>-81.88785</f>
        <v>-81.88785</v>
      </c>
      <c r="H25" s="556"/>
      <c r="I25" s="557"/>
      <c r="J25" s="557">
        <v>-379.73885867730598</v>
      </c>
      <c r="K25" s="424">
        <v>397</v>
      </c>
      <c r="L25" s="557">
        <v>180</v>
      </c>
      <c r="M25" s="556"/>
      <c r="N25" s="557"/>
      <c r="O25" s="558">
        <f t="shared" si="0"/>
        <v>16682.173291322695</v>
      </c>
      <c r="P25" s="181" t="s">
        <v>0</v>
      </c>
    </row>
    <row r="26" spans="1:16" ht="16.5" customHeight="1">
      <c r="A26" s="885" t="s">
        <v>472</v>
      </c>
      <c r="B26" s="556"/>
      <c r="C26" s="557"/>
      <c r="D26" s="557">
        <v>828.34</v>
      </c>
      <c r="E26" s="556"/>
      <c r="F26" s="557"/>
      <c r="G26" s="1317">
        <f>-27.9989</f>
        <v>-27.998899999999999</v>
      </c>
      <c r="H26" s="556"/>
      <c r="I26" s="557"/>
      <c r="J26" s="557">
        <v>-18.986842933865297</v>
      </c>
      <c r="K26" s="424">
        <v>224</v>
      </c>
      <c r="L26" s="557"/>
      <c r="M26" s="556"/>
      <c r="N26" s="557"/>
      <c r="O26" s="558">
        <f t="shared" si="0"/>
        <v>1005.3542570661347</v>
      </c>
      <c r="P26" s="181" t="s">
        <v>0</v>
      </c>
    </row>
    <row r="27" spans="1:16" ht="16.5" customHeight="1">
      <c r="A27" s="370" t="s">
        <v>320</v>
      </c>
      <c r="B27" s="556"/>
      <c r="C27" s="557"/>
      <c r="D27" s="557"/>
      <c r="E27" s="556"/>
      <c r="F27" s="557"/>
      <c r="G27" s="1317">
        <v>-193.2337</v>
      </c>
      <c r="H27" s="556"/>
      <c r="I27" s="557"/>
      <c r="J27" s="557"/>
      <c r="K27" s="424"/>
      <c r="L27" s="557">
        <v>291</v>
      </c>
      <c r="M27" s="556"/>
      <c r="N27" s="557"/>
      <c r="O27" s="558">
        <f t="shared" si="0"/>
        <v>97.766300000000001</v>
      </c>
      <c r="P27" s="181" t="s">
        <v>0</v>
      </c>
    </row>
    <row r="28" spans="1:16" ht="16.5" customHeight="1">
      <c r="A28" s="885" t="s">
        <v>473</v>
      </c>
      <c r="B28" s="556"/>
      <c r="C28" s="557"/>
      <c r="D28" s="739">
        <v>41417</v>
      </c>
      <c r="E28" s="556"/>
      <c r="F28" s="557"/>
      <c r="G28" s="1317">
        <f>-331.92317-271.8956-601.53872</f>
        <v>-1205.3574900000001</v>
      </c>
      <c r="H28" s="556"/>
      <c r="I28" s="557"/>
      <c r="J28" s="557">
        <v>-1099.3471466932638</v>
      </c>
      <c r="K28" s="424"/>
      <c r="L28" s="557"/>
      <c r="M28" s="556"/>
      <c r="N28" s="557"/>
      <c r="O28" s="558">
        <f t="shared" si="0"/>
        <v>39112.295363306737</v>
      </c>
      <c r="P28" s="181" t="s">
        <v>0</v>
      </c>
    </row>
    <row r="29" spans="1:16" ht="16.5" customHeight="1">
      <c r="A29" s="554" t="s">
        <v>321</v>
      </c>
      <c r="B29" s="737"/>
      <c r="C29" s="680"/>
      <c r="D29" s="740">
        <v>9940.08</v>
      </c>
      <c r="E29" s="737"/>
      <c r="F29" s="680"/>
      <c r="G29" s="1316">
        <f>-331.92317</f>
        <v>-331.92317000000003</v>
      </c>
      <c r="H29" s="737"/>
      <c r="I29" s="680"/>
      <c r="J29" s="680">
        <v>-227.84311520638298</v>
      </c>
      <c r="K29" s="424">
        <v>740</v>
      </c>
      <c r="L29" s="557">
        <v>457</v>
      </c>
      <c r="M29" s="556"/>
      <c r="N29" s="557"/>
      <c r="O29" s="681">
        <f t="shared" si="0"/>
        <v>10577.313714793618</v>
      </c>
      <c r="P29" s="181" t="s">
        <v>0</v>
      </c>
    </row>
    <row r="30" spans="1:16" ht="16.5" customHeight="1">
      <c r="A30" s="554" t="s">
        <v>322</v>
      </c>
      <c r="B30" s="737"/>
      <c r="C30" s="680"/>
      <c r="D30" s="740">
        <v>8283.4</v>
      </c>
      <c r="E30" s="737"/>
      <c r="F30" s="680"/>
      <c r="G30" s="1316">
        <f>-271.8956</f>
        <v>-271.8956</v>
      </c>
      <c r="H30" s="737"/>
      <c r="I30" s="680"/>
      <c r="J30" s="680">
        <v>-339.87042933865303</v>
      </c>
      <c r="K30" s="424">
        <v>1534</v>
      </c>
      <c r="L30" s="557">
        <v>391</v>
      </c>
      <c r="M30" s="556"/>
      <c r="N30" s="557"/>
      <c r="O30" s="681">
        <f t="shared" si="0"/>
        <v>9596.6339706613471</v>
      </c>
      <c r="P30" s="181" t="s">
        <v>0</v>
      </c>
    </row>
    <row r="31" spans="1:16" ht="16.5" customHeight="1">
      <c r="A31" s="554" t="s">
        <v>323</v>
      </c>
      <c r="B31" s="737"/>
      <c r="C31" s="680"/>
      <c r="D31" s="740">
        <v>2485.02</v>
      </c>
      <c r="E31" s="737"/>
      <c r="F31" s="680"/>
      <c r="G31" s="1316"/>
      <c r="H31" s="737"/>
      <c r="I31" s="680"/>
      <c r="J31" s="680">
        <v>-56.9605288015958</v>
      </c>
      <c r="K31" s="424"/>
      <c r="L31" s="557"/>
      <c r="M31" s="556"/>
      <c r="N31" s="557"/>
      <c r="O31" s="681">
        <f t="shared" si="0"/>
        <v>2428.059471198404</v>
      </c>
      <c r="P31" s="181" t="s">
        <v>0</v>
      </c>
    </row>
    <row r="32" spans="1:16" ht="16.5" customHeight="1">
      <c r="A32" s="554" t="s">
        <v>324</v>
      </c>
      <c r="B32" s="737"/>
      <c r="C32" s="680"/>
      <c r="D32" s="740">
        <v>20708.5</v>
      </c>
      <c r="E32" s="737"/>
      <c r="F32" s="680"/>
      <c r="G32" s="1316">
        <f>-601.53872</f>
        <v>-601.53872000000001</v>
      </c>
      <c r="H32" s="737"/>
      <c r="I32" s="680"/>
      <c r="J32" s="680">
        <v>-474.67307334663201</v>
      </c>
      <c r="K32" s="424">
        <v>367</v>
      </c>
      <c r="L32" s="557">
        <v>681</v>
      </c>
      <c r="M32" s="556"/>
      <c r="N32" s="557"/>
      <c r="O32" s="681">
        <f t="shared" si="0"/>
        <v>20680.288206653368</v>
      </c>
      <c r="P32" s="181" t="s">
        <v>0</v>
      </c>
    </row>
    <row r="33" spans="1:16" ht="16.5" customHeight="1">
      <c r="A33" s="370" t="s">
        <v>325</v>
      </c>
      <c r="B33" s="556"/>
      <c r="C33" s="557"/>
      <c r="D33" s="557">
        <v>8283.4</v>
      </c>
      <c r="E33" s="556"/>
      <c r="F33" s="557"/>
      <c r="G33" s="1317"/>
      <c r="H33" s="556"/>
      <c r="I33" s="557"/>
      <c r="J33" s="557">
        <v>-189.86942933865299</v>
      </c>
      <c r="K33" s="424"/>
      <c r="L33" s="557"/>
      <c r="M33" s="556"/>
      <c r="N33" s="557"/>
      <c r="O33" s="558">
        <f t="shared" si="0"/>
        <v>8093.5305706613462</v>
      </c>
      <c r="P33" s="181" t="s">
        <v>0</v>
      </c>
    </row>
    <row r="34" spans="1:16" ht="16.5" customHeight="1">
      <c r="A34" s="370" t="s">
        <v>326</v>
      </c>
      <c r="B34" s="556"/>
      <c r="C34" s="557"/>
      <c r="D34" s="557">
        <v>429908.46</v>
      </c>
      <c r="E34" s="556"/>
      <c r="F34" s="557"/>
      <c r="G34" s="1317">
        <f>-51.83456-756.93821-206.70053</f>
        <v>-1015.4733</v>
      </c>
      <c r="H34" s="556"/>
      <c r="I34" s="557"/>
      <c r="J34" s="557">
        <v>-9850.3454826760826</v>
      </c>
      <c r="K34" s="424">
        <v>3007</v>
      </c>
      <c r="L34" s="557">
        <v>2592</v>
      </c>
      <c r="M34" s="556"/>
      <c r="N34" s="557"/>
      <c r="O34" s="558">
        <f t="shared" si="0"/>
        <v>424641.64121732395</v>
      </c>
      <c r="P34" s="181" t="s">
        <v>0</v>
      </c>
    </row>
    <row r="35" spans="1:16" ht="16.5" customHeight="1">
      <c r="A35" s="554" t="s">
        <v>328</v>
      </c>
      <c r="B35" s="737"/>
      <c r="C35" s="680"/>
      <c r="D35" s="680">
        <v>4141.7</v>
      </c>
      <c r="E35" s="737"/>
      <c r="F35" s="680"/>
      <c r="G35" s="1316">
        <f>-206.70053</f>
        <v>-206.70052999999999</v>
      </c>
      <c r="H35" s="556"/>
      <c r="I35" s="557"/>
      <c r="J35" s="680">
        <v>-91.059214669326394</v>
      </c>
      <c r="K35" s="424">
        <v>24</v>
      </c>
      <c r="L35" s="741">
        <v>309</v>
      </c>
      <c r="M35" s="556"/>
      <c r="N35" s="557"/>
      <c r="O35" s="681">
        <f t="shared" si="0"/>
        <v>4176.9402553306736</v>
      </c>
      <c r="P35" s="181" t="s">
        <v>0</v>
      </c>
    </row>
    <row r="36" spans="1:16" ht="16.5" customHeight="1">
      <c r="A36" s="554" t="s">
        <v>329</v>
      </c>
      <c r="B36" s="737"/>
      <c r="C36" s="680"/>
      <c r="D36" s="680">
        <v>2485.02</v>
      </c>
      <c r="E36" s="737"/>
      <c r="F36" s="680"/>
      <c r="G36" s="1316"/>
      <c r="H36" s="556"/>
      <c r="I36" s="557"/>
      <c r="J36" s="680">
        <v>-56.9605288015958</v>
      </c>
      <c r="K36" s="424">
        <v>-31</v>
      </c>
      <c r="L36" s="557"/>
      <c r="M36" s="556"/>
      <c r="N36" s="557"/>
      <c r="O36" s="681">
        <f t="shared" si="0"/>
        <v>2397.059471198404</v>
      </c>
      <c r="P36" s="181" t="s">
        <v>0</v>
      </c>
    </row>
    <row r="37" spans="1:16" ht="16.5" customHeight="1">
      <c r="A37" s="370" t="s">
        <v>335</v>
      </c>
      <c r="B37" s="556"/>
      <c r="C37" s="557"/>
      <c r="D37" s="557">
        <v>9940.08</v>
      </c>
      <c r="E37" s="556"/>
      <c r="F37" s="557"/>
      <c r="G37" s="1317">
        <f>-123.06608</f>
        <v>-123.06608</v>
      </c>
      <c r="H37" s="556"/>
      <c r="I37" s="557"/>
      <c r="J37" s="557">
        <v>-227.84311520638298</v>
      </c>
      <c r="K37" s="424">
        <v>103</v>
      </c>
      <c r="L37" s="557">
        <v>393</v>
      </c>
      <c r="M37" s="556"/>
      <c r="N37" s="557"/>
      <c r="O37" s="558">
        <f t="shared" si="0"/>
        <v>10085.170804793617</v>
      </c>
      <c r="P37" s="181" t="s">
        <v>0</v>
      </c>
    </row>
    <row r="38" spans="1:16" ht="16.5" customHeight="1">
      <c r="A38" s="370" t="s">
        <v>336</v>
      </c>
      <c r="B38" s="556"/>
      <c r="C38" s="557"/>
      <c r="D38" s="557">
        <v>1656.68</v>
      </c>
      <c r="E38" s="556"/>
      <c r="F38" s="557"/>
      <c r="G38" s="1317"/>
      <c r="H38" s="556"/>
      <c r="I38" s="557"/>
      <c r="J38" s="557">
        <v>-37.973685867730495</v>
      </c>
      <c r="K38" s="424">
        <v>221</v>
      </c>
      <c r="L38" s="557"/>
      <c r="M38" s="556"/>
      <c r="N38" s="557"/>
      <c r="O38" s="558">
        <f t="shared" si="0"/>
        <v>1839.7063141322697</v>
      </c>
      <c r="P38" s="181" t="s">
        <v>0</v>
      </c>
    </row>
    <row r="39" spans="1:16" ht="16.5" customHeight="1">
      <c r="A39" s="885" t="s">
        <v>466</v>
      </c>
      <c r="B39" s="556"/>
      <c r="C39" s="557"/>
      <c r="D39" s="557">
        <v>9525.91</v>
      </c>
      <c r="E39" s="556"/>
      <c r="F39" s="557"/>
      <c r="G39" s="1317">
        <f>-291.15787</f>
        <v>-291.15787</v>
      </c>
      <c r="H39" s="556"/>
      <c r="I39" s="557"/>
      <c r="J39" s="557">
        <v>-209.436193739451</v>
      </c>
      <c r="K39" s="424">
        <v>603</v>
      </c>
      <c r="L39" s="557">
        <v>389</v>
      </c>
      <c r="M39" s="556"/>
      <c r="N39" s="557"/>
      <c r="O39" s="558">
        <f t="shared" si="0"/>
        <v>10017.315936260549</v>
      </c>
      <c r="P39" s="181" t="s">
        <v>0</v>
      </c>
    </row>
    <row r="40" spans="1:16" ht="16.5" customHeight="1">
      <c r="A40" s="885" t="s">
        <v>362</v>
      </c>
      <c r="B40" s="556"/>
      <c r="C40" s="557"/>
      <c r="D40" s="557">
        <v>16566.8</v>
      </c>
      <c r="E40" s="556"/>
      <c r="F40" s="557"/>
      <c r="G40" s="1317"/>
      <c r="H40" s="556"/>
      <c r="I40" s="557"/>
      <c r="J40" s="557">
        <v>-364.23685867730597</v>
      </c>
      <c r="K40" s="424">
        <v>10316</v>
      </c>
      <c r="L40" s="557"/>
      <c r="M40" s="556"/>
      <c r="N40" s="557"/>
      <c r="O40" s="558">
        <f t="shared" si="0"/>
        <v>26518.563141322695</v>
      </c>
      <c r="P40" s="181" t="s">
        <v>0</v>
      </c>
    </row>
    <row r="41" spans="1:16" ht="16.5" customHeight="1">
      <c r="A41" s="370" t="s">
        <v>337</v>
      </c>
      <c r="B41" s="556"/>
      <c r="C41" s="557"/>
      <c r="D41" s="557">
        <v>2485.02</v>
      </c>
      <c r="E41" s="556"/>
      <c r="F41" s="557"/>
      <c r="G41" s="1317"/>
      <c r="H41" s="556"/>
      <c r="I41" s="557"/>
      <c r="J41" s="557">
        <v>-466.96052880159579</v>
      </c>
      <c r="K41" s="424">
        <v>205</v>
      </c>
      <c r="L41" s="557"/>
      <c r="M41" s="556"/>
      <c r="N41" s="557"/>
      <c r="O41" s="558">
        <f t="shared" si="0"/>
        <v>2223.059471198404</v>
      </c>
      <c r="P41" s="181" t="s">
        <v>0</v>
      </c>
    </row>
    <row r="42" spans="1:16" ht="16.5" customHeight="1">
      <c r="A42" s="885" t="s">
        <v>216</v>
      </c>
      <c r="B42" s="556"/>
      <c r="C42" s="557"/>
      <c r="D42" s="557">
        <v>28991.9</v>
      </c>
      <c r="E42" s="556"/>
      <c r="F42" s="557"/>
      <c r="G42" s="1317">
        <f>-460.21861</f>
        <v>-460.21861000000001</v>
      </c>
      <c r="H42" s="556"/>
      <c r="I42" s="557"/>
      <c r="J42" s="557">
        <v>-637.41450268528502</v>
      </c>
      <c r="K42" s="424">
        <v>1602</v>
      </c>
      <c r="L42" s="557">
        <v>558</v>
      </c>
      <c r="M42" s="556"/>
      <c r="N42" s="557"/>
      <c r="O42" s="558">
        <f t="shared" si="0"/>
        <v>30054.266887314716</v>
      </c>
      <c r="P42" s="181" t="s">
        <v>0</v>
      </c>
    </row>
    <row r="43" spans="1:16" ht="16.5" customHeight="1">
      <c r="A43" s="370" t="s">
        <v>338</v>
      </c>
      <c r="B43" s="556"/>
      <c r="C43" s="557"/>
      <c r="D43" s="557">
        <v>5798.38</v>
      </c>
      <c r="E43" s="556"/>
      <c r="F43" s="557"/>
      <c r="G43" s="1317">
        <f>-609.44164</f>
        <v>-609.44164000000001</v>
      </c>
      <c r="H43" s="556"/>
      <c r="I43" s="557"/>
      <c r="J43" s="557">
        <v>-132.90890053705701</v>
      </c>
      <c r="K43" s="424">
        <v>402</v>
      </c>
      <c r="L43" s="557">
        <v>594</v>
      </c>
      <c r="M43" s="556"/>
      <c r="N43" s="557"/>
      <c r="O43" s="558">
        <f t="shared" si="0"/>
        <v>6052.0294594629431</v>
      </c>
      <c r="P43" s="181" t="s">
        <v>0</v>
      </c>
    </row>
    <row r="44" spans="1:16" ht="16.5" customHeight="1">
      <c r="A44" s="370" t="s">
        <v>339</v>
      </c>
      <c r="B44" s="556"/>
      <c r="C44" s="557"/>
      <c r="D44" s="557">
        <v>12425.1</v>
      </c>
      <c r="E44" s="556"/>
      <c r="F44" s="557"/>
      <c r="G44" s="1317">
        <f>-179.67301</f>
        <v>-179.67301</v>
      </c>
      <c r="H44" s="556"/>
      <c r="I44" s="557"/>
      <c r="J44" s="557">
        <v>-534.80464400797905</v>
      </c>
      <c r="K44" s="424"/>
      <c r="L44" s="557">
        <v>269</v>
      </c>
      <c r="M44" s="556"/>
      <c r="N44" s="557"/>
      <c r="O44" s="558">
        <f t="shared" si="0"/>
        <v>11979.62234599202</v>
      </c>
      <c r="P44" s="181" t="s">
        <v>0</v>
      </c>
    </row>
    <row r="45" spans="1:16" ht="16.5" customHeight="1">
      <c r="A45" s="885" t="s">
        <v>474</v>
      </c>
      <c r="B45" s="556"/>
      <c r="C45" s="557"/>
      <c r="D45" s="557">
        <v>828.34</v>
      </c>
      <c r="E45" s="556"/>
      <c r="F45" s="557"/>
      <c r="G45" s="1317"/>
      <c r="H45" s="556"/>
      <c r="I45" s="557"/>
      <c r="J45" s="557">
        <v>-18.211842933865299</v>
      </c>
      <c r="K45" s="424">
        <v>931</v>
      </c>
      <c r="L45" s="557"/>
      <c r="M45" s="556"/>
      <c r="N45" s="557"/>
      <c r="O45" s="558">
        <f t="shared" si="0"/>
        <v>1741.1281570661347</v>
      </c>
      <c r="P45" s="181" t="s">
        <v>0</v>
      </c>
    </row>
    <row r="46" spans="1:16" ht="16.5" customHeight="1">
      <c r="A46" s="370" t="s">
        <v>341</v>
      </c>
      <c r="B46" s="556"/>
      <c r="C46" s="557"/>
      <c r="D46" s="557">
        <v>24850.2</v>
      </c>
      <c r="E46" s="556"/>
      <c r="F46" s="557"/>
      <c r="G46" s="1317">
        <f>-277.4981</f>
        <v>-277.49810000000002</v>
      </c>
      <c r="H46" s="556"/>
      <c r="I46" s="557"/>
      <c r="J46" s="557">
        <v>-569.60828801595801</v>
      </c>
      <c r="K46" s="424">
        <v>235</v>
      </c>
      <c r="L46" s="557">
        <v>304</v>
      </c>
      <c r="M46" s="556"/>
      <c r="N46" s="557"/>
      <c r="O46" s="558">
        <f t="shared" si="0"/>
        <v>24542.093611984041</v>
      </c>
      <c r="P46" s="181" t="s">
        <v>0</v>
      </c>
    </row>
    <row r="47" spans="1:16" ht="16.5" customHeight="1">
      <c r="A47" s="885" t="s">
        <v>357</v>
      </c>
      <c r="B47" s="556"/>
      <c r="C47" s="557"/>
      <c r="D47" s="557">
        <v>82834</v>
      </c>
      <c r="E47" s="556"/>
      <c r="F47" s="557"/>
      <c r="G47" s="1317">
        <f>-99.4128</f>
        <v>-99.412800000000004</v>
      </c>
      <c r="H47" s="556"/>
      <c r="I47" s="557"/>
      <c r="J47" s="557">
        <v>-1898.6932933865285</v>
      </c>
      <c r="K47" s="424">
        <v>66</v>
      </c>
      <c r="L47" s="557">
        <v>154</v>
      </c>
      <c r="M47" s="556"/>
      <c r="N47" s="557"/>
      <c r="O47" s="558">
        <f t="shared" si="0"/>
        <v>81055.893906613463</v>
      </c>
      <c r="P47" s="181" t="s">
        <v>0</v>
      </c>
    </row>
    <row r="48" spans="1:16" ht="16.5" customHeight="1">
      <c r="A48" s="554" t="s">
        <v>342</v>
      </c>
      <c r="B48" s="556"/>
      <c r="C48" s="557"/>
      <c r="D48" s="680">
        <v>30648.58</v>
      </c>
      <c r="E48" s="737"/>
      <c r="F48" s="680"/>
      <c r="G48" s="1316"/>
      <c r="H48" s="737"/>
      <c r="I48" s="680"/>
      <c r="J48" s="680">
        <v>-702.51718855301499</v>
      </c>
      <c r="K48" s="424">
        <v>-142</v>
      </c>
      <c r="L48" s="557"/>
      <c r="M48" s="556"/>
      <c r="N48" s="557"/>
      <c r="O48" s="681">
        <f t="shared" si="0"/>
        <v>29804.062811446987</v>
      </c>
      <c r="P48" s="181" t="s">
        <v>0</v>
      </c>
    </row>
    <row r="49" spans="1:16" ht="16.5" customHeight="1">
      <c r="A49" s="554" t="s">
        <v>343</v>
      </c>
      <c r="B49" s="556"/>
      <c r="C49" s="557"/>
      <c r="D49" s="680">
        <v>2070.85</v>
      </c>
      <c r="E49" s="737"/>
      <c r="F49" s="680"/>
      <c r="G49" s="1316"/>
      <c r="H49" s="737"/>
      <c r="I49" s="680"/>
      <c r="J49" s="680">
        <v>-47.467607334663199</v>
      </c>
      <c r="K49" s="424">
        <v>26</v>
      </c>
      <c r="L49" s="557"/>
      <c r="M49" s="556"/>
      <c r="N49" s="557"/>
      <c r="O49" s="681">
        <f t="shared" si="0"/>
        <v>2049.3823926653367</v>
      </c>
      <c r="P49" s="181" t="s">
        <v>0</v>
      </c>
    </row>
    <row r="50" spans="1:16" ht="16.5" customHeight="1">
      <c r="A50" s="554" t="s">
        <v>344</v>
      </c>
      <c r="B50" s="556"/>
      <c r="C50" s="557"/>
      <c r="D50" s="680">
        <v>6212.55</v>
      </c>
      <c r="E50" s="737"/>
      <c r="F50" s="680"/>
      <c r="G50" s="1316"/>
      <c r="H50" s="737"/>
      <c r="I50" s="680"/>
      <c r="J50" s="680">
        <v>-142.40182200398999</v>
      </c>
      <c r="K50" s="424">
        <v>78</v>
      </c>
      <c r="L50" s="557"/>
      <c r="M50" s="556"/>
      <c r="N50" s="557"/>
      <c r="O50" s="681">
        <f t="shared" si="0"/>
        <v>6148.1481779960104</v>
      </c>
      <c r="P50" s="181" t="s">
        <v>0</v>
      </c>
    </row>
    <row r="51" spans="1:16" ht="16.5" customHeight="1">
      <c r="A51" s="554" t="s">
        <v>345</v>
      </c>
      <c r="B51" s="556"/>
      <c r="C51" s="557"/>
      <c r="D51" s="680">
        <v>12425.1</v>
      </c>
      <c r="E51" s="737"/>
      <c r="F51" s="680"/>
      <c r="G51" s="1316"/>
      <c r="H51" s="737"/>
      <c r="I51" s="680"/>
      <c r="J51" s="680">
        <v>-284.80364400797896</v>
      </c>
      <c r="K51" s="424">
        <v>336</v>
      </c>
      <c r="L51" s="557">
        <v>1.3999999999999999E-4</v>
      </c>
      <c r="M51" s="556"/>
      <c r="N51" s="557"/>
      <c r="O51" s="681">
        <f t="shared" si="0"/>
        <v>12476.296495992021</v>
      </c>
      <c r="P51" s="181" t="s">
        <v>0</v>
      </c>
    </row>
    <row r="52" spans="1:16" ht="16.5" customHeight="1">
      <c r="A52" s="554" t="s">
        <v>346</v>
      </c>
      <c r="B52" s="556"/>
      <c r="C52" s="557"/>
      <c r="D52" s="680">
        <v>10768.42</v>
      </c>
      <c r="E52" s="737"/>
      <c r="F52" s="680"/>
      <c r="G52" s="1316"/>
      <c r="H52" s="737"/>
      <c r="I52" s="680"/>
      <c r="J52" s="680">
        <v>-246.829958140249</v>
      </c>
      <c r="K52" s="424">
        <v>135</v>
      </c>
      <c r="L52" s="557"/>
      <c r="M52" s="556"/>
      <c r="N52" s="557"/>
      <c r="O52" s="681">
        <f t="shared" si="0"/>
        <v>10656.59004185975</v>
      </c>
      <c r="P52" s="181" t="s">
        <v>0</v>
      </c>
    </row>
    <row r="53" spans="1:16" ht="16.5" customHeight="1">
      <c r="A53" s="554" t="s">
        <v>348</v>
      </c>
      <c r="B53" s="742"/>
      <c r="C53" s="743"/>
      <c r="D53" s="743">
        <v>8283.4</v>
      </c>
      <c r="E53" s="742"/>
      <c r="F53" s="743"/>
      <c r="G53" s="1318"/>
      <c r="H53" s="742"/>
      <c r="I53" s="743"/>
      <c r="J53" s="743">
        <v>-189.86942933865299</v>
      </c>
      <c r="K53" s="744">
        <v>173</v>
      </c>
      <c r="L53" s="745"/>
      <c r="M53" s="556"/>
      <c r="N53" s="557"/>
      <c r="O53" s="681">
        <f t="shared" si="0"/>
        <v>8266.5305706613472</v>
      </c>
      <c r="P53" s="181" t="s">
        <v>0</v>
      </c>
    </row>
    <row r="54" spans="1:16" ht="16.5" customHeight="1">
      <c r="A54" s="554" t="s">
        <v>349</v>
      </c>
      <c r="B54" s="742"/>
      <c r="C54" s="743"/>
      <c r="D54" s="743">
        <v>8283.4</v>
      </c>
      <c r="E54" s="742"/>
      <c r="F54" s="743"/>
      <c r="G54" s="1318"/>
      <c r="H54" s="742"/>
      <c r="I54" s="743"/>
      <c r="J54" s="743">
        <v>-189.86942933865299</v>
      </c>
      <c r="K54" s="744">
        <v>6814</v>
      </c>
      <c r="L54" s="745"/>
      <c r="M54" s="556"/>
      <c r="N54" s="557"/>
      <c r="O54" s="681">
        <f t="shared" si="0"/>
        <v>14907.530570661347</v>
      </c>
      <c r="P54" s="181" t="s">
        <v>0</v>
      </c>
    </row>
    <row r="55" spans="1:16" ht="16.5" customHeight="1">
      <c r="A55" s="746" t="s">
        <v>351</v>
      </c>
      <c r="B55" s="747"/>
      <c r="C55" s="671"/>
      <c r="D55" s="748">
        <v>4141.7</v>
      </c>
      <c r="E55" s="749"/>
      <c r="F55" s="748"/>
      <c r="G55" s="1319"/>
      <c r="H55" s="749"/>
      <c r="I55" s="748"/>
      <c r="J55" s="748">
        <v>-94.934214669326394</v>
      </c>
      <c r="K55" s="423">
        <v>52</v>
      </c>
      <c r="L55" s="671"/>
      <c r="M55" s="747"/>
      <c r="N55" s="671"/>
      <c r="O55" s="750">
        <f t="shared" si="0"/>
        <v>4098.7657853306737</v>
      </c>
      <c r="P55" s="181" t="s">
        <v>0</v>
      </c>
    </row>
    <row r="56" spans="1:16" ht="16.5" customHeight="1">
      <c r="A56" s="751" t="s">
        <v>352</v>
      </c>
      <c r="B56" s="752"/>
      <c r="C56" s="697"/>
      <c r="D56" s="697">
        <v>25678.54</v>
      </c>
      <c r="E56" s="752"/>
      <c r="F56" s="697"/>
      <c r="G56" s="1320">
        <f>-4951.72421</f>
        <v>-4951.7242100000003</v>
      </c>
      <c r="H56" s="752"/>
      <c r="I56" s="697"/>
      <c r="J56" s="697">
        <v>-998.59513094982401</v>
      </c>
      <c r="K56" s="753">
        <v>7374</v>
      </c>
      <c r="L56" s="697">
        <v>2775</v>
      </c>
      <c r="M56" s="752"/>
      <c r="N56" s="697"/>
      <c r="O56" s="698">
        <f t="shared" si="0"/>
        <v>29877.220659050177</v>
      </c>
      <c r="P56" s="181" t="s">
        <v>0</v>
      </c>
    </row>
    <row r="57" spans="1:16" ht="16.5" customHeight="1">
      <c r="A57" s="885" t="s">
        <v>469</v>
      </c>
      <c r="B57" s="556"/>
      <c r="C57" s="557"/>
      <c r="D57" s="557">
        <v>12425.1</v>
      </c>
      <c r="E57" s="556"/>
      <c r="F57" s="557"/>
      <c r="G57" s="1317"/>
      <c r="H57" s="556"/>
      <c r="I57" s="557"/>
      <c r="J57" s="557">
        <v>-284.80364400797896</v>
      </c>
      <c r="K57" s="424">
        <v>785</v>
      </c>
      <c r="L57" s="557">
        <v>601</v>
      </c>
      <c r="M57" s="556"/>
      <c r="N57" s="557"/>
      <c r="O57" s="558">
        <f t="shared" si="0"/>
        <v>13526.296355992021</v>
      </c>
      <c r="P57" s="181" t="s">
        <v>0</v>
      </c>
    </row>
    <row r="58" spans="1:16" ht="16.5" customHeight="1">
      <c r="A58" s="370" t="s">
        <v>353</v>
      </c>
      <c r="B58" s="556"/>
      <c r="C58" s="557"/>
      <c r="D58" s="557">
        <v>273352.2</v>
      </c>
      <c r="E58" s="556"/>
      <c r="F58" s="557"/>
      <c r="G58" s="1317"/>
      <c r="H58" s="556"/>
      <c r="I58" s="557"/>
      <c r="J58" s="557">
        <v>-6272.99016817554</v>
      </c>
      <c r="K58" s="424">
        <v>5924</v>
      </c>
      <c r="L58" s="557"/>
      <c r="M58" s="556"/>
      <c r="N58" s="557"/>
      <c r="O58" s="558">
        <f t="shared" si="0"/>
        <v>273003.20983182447</v>
      </c>
      <c r="P58" s="181" t="s">
        <v>0</v>
      </c>
    </row>
    <row r="59" spans="1:16" ht="16.5" customHeight="1">
      <c r="A59" s="370" t="s">
        <v>354</v>
      </c>
      <c r="B59" s="556"/>
      <c r="C59" s="557"/>
      <c r="D59" s="557">
        <v>8283.4</v>
      </c>
      <c r="E59" s="556"/>
      <c r="F59" s="557"/>
      <c r="G59" s="1317"/>
      <c r="H59" s="556"/>
      <c r="I59" s="557"/>
      <c r="J59" s="557">
        <v>-189.86942933865299</v>
      </c>
      <c r="K59" s="424"/>
      <c r="L59" s="557"/>
      <c r="M59" s="556"/>
      <c r="N59" s="557"/>
      <c r="O59" s="558">
        <f t="shared" si="0"/>
        <v>8093.5305706613462</v>
      </c>
      <c r="P59" s="181" t="s">
        <v>0</v>
      </c>
    </row>
    <row r="60" spans="1:16" ht="16.5" customHeight="1">
      <c r="A60" s="885" t="s">
        <v>475</v>
      </c>
      <c r="B60" s="556"/>
      <c r="C60" s="557"/>
      <c r="D60" s="557">
        <v>2899.19</v>
      </c>
      <c r="E60" s="556"/>
      <c r="F60" s="557"/>
      <c r="G60" s="1317">
        <f>-16.39165</f>
        <v>-16.391649999999998</v>
      </c>
      <c r="H60" s="556"/>
      <c r="I60" s="557"/>
      <c r="J60" s="557">
        <v>-63.741450268528503</v>
      </c>
      <c r="K60" s="424">
        <v>389</v>
      </c>
      <c r="L60" s="557"/>
      <c r="M60" s="556"/>
      <c r="N60" s="557"/>
      <c r="O60" s="558">
        <f t="shared" si="0"/>
        <v>3208.0568997314717</v>
      </c>
      <c r="P60" s="181" t="s">
        <v>0</v>
      </c>
    </row>
    <row r="61" spans="1:16" ht="16.5" customHeight="1">
      <c r="A61" s="885" t="s">
        <v>471</v>
      </c>
      <c r="B61" s="556"/>
      <c r="C61" s="557"/>
      <c r="D61" s="557">
        <v>2485.02</v>
      </c>
      <c r="E61" s="556"/>
      <c r="F61" s="557"/>
      <c r="G61" s="1317">
        <f>-3585.25484</f>
        <v>-3585.2548400000001</v>
      </c>
      <c r="H61" s="556"/>
      <c r="I61" s="557"/>
      <c r="J61" s="557">
        <v>-54.635528801595797</v>
      </c>
      <c r="K61" s="424">
        <v>4446</v>
      </c>
      <c r="L61" s="557">
        <v>99</v>
      </c>
      <c r="M61" s="556"/>
      <c r="N61" s="557"/>
      <c r="O61" s="558">
        <f t="shared" si="0"/>
        <v>3390.1296311984042</v>
      </c>
      <c r="P61" s="181" t="s">
        <v>0</v>
      </c>
    </row>
    <row r="62" spans="1:16" ht="16.5" customHeight="1">
      <c r="A62" s="370" t="s">
        <v>355</v>
      </c>
      <c r="B62" s="556"/>
      <c r="C62" s="557"/>
      <c r="D62" s="557">
        <v>10354.25</v>
      </c>
      <c r="E62" s="556"/>
      <c r="F62" s="557"/>
      <c r="G62" s="1317">
        <f>-588.93082</f>
        <v>-588.93082000000004</v>
      </c>
      <c r="H62" s="556"/>
      <c r="I62" s="557"/>
      <c r="J62" s="557">
        <v>-32.447000000000003</v>
      </c>
      <c r="K62" s="424">
        <v>783</v>
      </c>
      <c r="L62" s="557">
        <v>814</v>
      </c>
      <c r="M62" s="556"/>
      <c r="N62" s="557"/>
      <c r="O62" s="558">
        <f t="shared" si="0"/>
        <v>11329.87218</v>
      </c>
      <c r="P62" s="181" t="s">
        <v>0</v>
      </c>
    </row>
    <row r="63" spans="1:16" ht="16.5" customHeight="1">
      <c r="A63" s="370" t="s">
        <v>364</v>
      </c>
      <c r="B63" s="556"/>
      <c r="C63" s="557"/>
      <c r="D63" s="557"/>
      <c r="E63" s="556"/>
      <c r="F63" s="557"/>
      <c r="G63" s="1317"/>
      <c r="H63" s="556"/>
      <c r="I63" s="557"/>
      <c r="J63" s="557">
        <v>2928.1740616848242</v>
      </c>
      <c r="K63" s="424">
        <v>87</v>
      </c>
      <c r="L63" s="557"/>
      <c r="M63" s="556"/>
      <c r="N63" s="557"/>
      <c r="O63" s="558">
        <f t="shared" si="0"/>
        <v>3015.1740616848242</v>
      </c>
      <c r="P63" s="181" t="s">
        <v>0</v>
      </c>
    </row>
    <row r="64" spans="1:16" ht="16.5" customHeight="1">
      <c r="A64" s="370" t="s">
        <v>365</v>
      </c>
      <c r="B64" s="556"/>
      <c r="C64" s="557"/>
      <c r="D64" s="557"/>
      <c r="E64" s="556"/>
      <c r="F64" s="557"/>
      <c r="G64" s="1317"/>
      <c r="H64" s="556"/>
      <c r="I64" s="557"/>
      <c r="J64" s="557"/>
      <c r="K64" s="424">
        <v>11313</v>
      </c>
      <c r="L64" s="557">
        <v>5866</v>
      </c>
      <c r="M64" s="556"/>
      <c r="N64" s="557"/>
      <c r="O64" s="558">
        <f t="shared" si="0"/>
        <v>17179</v>
      </c>
      <c r="P64" s="181" t="s">
        <v>0</v>
      </c>
    </row>
    <row r="65" spans="1:16" ht="16.5" customHeight="1">
      <c r="A65" s="370" t="s">
        <v>366</v>
      </c>
      <c r="B65" s="556"/>
      <c r="C65" s="557"/>
      <c r="D65" s="557"/>
      <c r="E65" s="556"/>
      <c r="F65" s="557"/>
      <c r="G65" s="1317">
        <v>-62.772300000000001</v>
      </c>
      <c r="H65" s="556"/>
      <c r="I65" s="557"/>
      <c r="J65" s="557"/>
      <c r="K65" s="424">
        <v>116</v>
      </c>
      <c r="L65" s="557">
        <v>402</v>
      </c>
      <c r="M65" s="556"/>
      <c r="N65" s="557"/>
      <c r="O65" s="558">
        <f t="shared" si="0"/>
        <v>455.22770000000003</v>
      </c>
      <c r="P65" s="181" t="s">
        <v>0</v>
      </c>
    </row>
    <row r="66" spans="1:16" ht="16.5" customHeight="1">
      <c r="A66" s="370" t="s">
        <v>367</v>
      </c>
      <c r="B66" s="556"/>
      <c r="C66" s="557"/>
      <c r="D66" s="557"/>
      <c r="E66" s="556"/>
      <c r="F66" s="557"/>
      <c r="G66" s="1317">
        <v>-157.57210000000001</v>
      </c>
      <c r="H66" s="556"/>
      <c r="I66" s="557"/>
      <c r="J66" s="557"/>
      <c r="K66" s="424">
        <v>154</v>
      </c>
      <c r="L66" s="557"/>
      <c r="M66" s="556"/>
      <c r="N66" s="557"/>
      <c r="O66" s="558">
        <f t="shared" si="0"/>
        <v>-3.572100000000006</v>
      </c>
      <c r="P66" s="181" t="s">
        <v>0</v>
      </c>
    </row>
    <row r="67" spans="1:16" ht="16.5" customHeight="1">
      <c r="A67" s="370" t="s">
        <v>368</v>
      </c>
      <c r="B67" s="556"/>
      <c r="C67" s="557"/>
      <c r="D67" s="557"/>
      <c r="E67" s="556"/>
      <c r="F67" s="557"/>
      <c r="G67" s="1317">
        <v>-0.26800000000000002</v>
      </c>
      <c r="H67" s="556"/>
      <c r="I67" s="557"/>
      <c r="J67" s="557"/>
      <c r="K67" s="424"/>
      <c r="L67" s="557"/>
      <c r="M67" s="556"/>
      <c r="N67" s="557"/>
      <c r="O67" s="558">
        <f t="shared" si="0"/>
        <v>-0.26800000000000002</v>
      </c>
      <c r="P67" s="181" t="s">
        <v>0</v>
      </c>
    </row>
    <row r="68" spans="1:16" ht="16.5" customHeight="1">
      <c r="A68" s="370" t="s">
        <v>369</v>
      </c>
      <c r="B68" s="556"/>
      <c r="C68" s="557"/>
      <c r="D68" s="557"/>
      <c r="E68" s="556"/>
      <c r="F68" s="557"/>
      <c r="G68" s="1317"/>
      <c r="H68" s="556"/>
      <c r="I68" s="557"/>
      <c r="J68" s="557"/>
      <c r="K68" s="424">
        <v>192</v>
      </c>
      <c r="L68" s="557"/>
      <c r="M68" s="556"/>
      <c r="N68" s="557"/>
      <c r="O68" s="558">
        <f t="shared" si="0"/>
        <v>192</v>
      </c>
      <c r="P68" s="181" t="s">
        <v>0</v>
      </c>
    </row>
    <row r="69" spans="1:16" ht="16.5" customHeight="1">
      <c r="A69" s="370" t="s">
        <v>370</v>
      </c>
      <c r="B69" s="556"/>
      <c r="C69" s="557"/>
      <c r="D69" s="557"/>
      <c r="E69" s="556"/>
      <c r="F69" s="557"/>
      <c r="G69" s="1317">
        <v>-108.88851</v>
      </c>
      <c r="H69" s="556"/>
      <c r="I69" s="557"/>
      <c r="J69" s="557"/>
      <c r="K69" s="424">
        <v>134</v>
      </c>
      <c r="L69" s="557"/>
      <c r="M69" s="556"/>
      <c r="N69" s="557"/>
      <c r="O69" s="558">
        <f t="shared" si="0"/>
        <v>25.111490000000003</v>
      </c>
      <c r="P69" s="181" t="s">
        <v>0</v>
      </c>
    </row>
    <row r="70" spans="1:16" ht="16.5" customHeight="1">
      <c r="A70" s="370" t="s">
        <v>371</v>
      </c>
      <c r="B70" s="556"/>
      <c r="C70" s="557"/>
      <c r="D70" s="557"/>
      <c r="E70" s="556"/>
      <c r="F70" s="557"/>
      <c r="G70" s="1317">
        <v>-60.231090000000002</v>
      </c>
      <c r="H70" s="556"/>
      <c r="I70" s="557"/>
      <c r="J70" s="557"/>
      <c r="K70" s="424"/>
      <c r="L70" s="557"/>
      <c r="M70" s="556"/>
      <c r="N70" s="557"/>
      <c r="O70" s="558">
        <f t="shared" si="0"/>
        <v>-60.231090000000002</v>
      </c>
      <c r="P70" s="181" t="s">
        <v>0</v>
      </c>
    </row>
    <row r="71" spans="1:16" ht="16.5" customHeight="1">
      <c r="A71" s="370" t="s">
        <v>372</v>
      </c>
      <c r="B71" s="556"/>
      <c r="C71" s="557"/>
      <c r="D71" s="557"/>
      <c r="E71" s="556"/>
      <c r="F71" s="557"/>
      <c r="G71" s="1317">
        <f>-13.96705-180.19412</f>
        <v>-194.16117</v>
      </c>
      <c r="H71" s="556"/>
      <c r="I71" s="557"/>
      <c r="J71" s="557"/>
      <c r="K71" s="424">
        <v>-27</v>
      </c>
      <c r="L71" s="557">
        <v>710</v>
      </c>
      <c r="M71" s="556"/>
      <c r="N71" s="557"/>
      <c r="O71" s="558">
        <f t="shared" si="0"/>
        <v>488.83883000000003</v>
      </c>
      <c r="P71" s="181" t="s">
        <v>0</v>
      </c>
    </row>
    <row r="72" spans="1:16" ht="16.5" customHeight="1">
      <c r="A72" s="370" t="s">
        <v>373</v>
      </c>
      <c r="B72" s="556"/>
      <c r="C72" s="557"/>
      <c r="D72" s="557"/>
      <c r="E72" s="556"/>
      <c r="F72" s="557"/>
      <c r="G72" s="1317">
        <v>-11.1013</v>
      </c>
      <c r="H72" s="556"/>
      <c r="I72" s="557"/>
      <c r="J72" s="557"/>
      <c r="K72" s="424"/>
      <c r="L72" s="557">
        <v>109</v>
      </c>
      <c r="M72" s="556"/>
      <c r="N72" s="557"/>
      <c r="O72" s="558">
        <f t="shared" si="0"/>
        <v>97.898700000000005</v>
      </c>
      <c r="P72" s="181" t="s">
        <v>0</v>
      </c>
    </row>
    <row r="73" spans="1:16" ht="16.5" customHeight="1">
      <c r="A73" s="370" t="s">
        <v>374</v>
      </c>
      <c r="B73" s="556"/>
      <c r="C73" s="557"/>
      <c r="D73" s="557"/>
      <c r="E73" s="556"/>
      <c r="F73" s="557"/>
      <c r="G73" s="1317">
        <v>-39.750070000000001</v>
      </c>
      <c r="H73" s="556"/>
      <c r="I73" s="557"/>
      <c r="J73" s="557"/>
      <c r="K73" s="424"/>
      <c r="L73" s="557">
        <v>138</v>
      </c>
      <c r="M73" s="556"/>
      <c r="N73" s="557"/>
      <c r="O73" s="558">
        <f t="shared" ref="O73:O82" si="1">D73+G73+J73+K73+L73</f>
        <v>98.249930000000006</v>
      </c>
      <c r="P73" s="181" t="s">
        <v>0</v>
      </c>
    </row>
    <row r="74" spans="1:16" ht="16.5" customHeight="1">
      <c r="A74" s="370" t="s">
        <v>375</v>
      </c>
      <c r="B74" s="556"/>
      <c r="C74" s="557"/>
      <c r="D74" s="557"/>
      <c r="E74" s="556"/>
      <c r="F74" s="557"/>
      <c r="G74" s="1317">
        <v>-43.0717</v>
      </c>
      <c r="H74" s="556"/>
      <c r="I74" s="557"/>
      <c r="J74" s="557"/>
      <c r="K74" s="424"/>
      <c r="L74" s="557">
        <v>141</v>
      </c>
      <c r="M74" s="556"/>
      <c r="N74" s="557"/>
      <c r="O74" s="558">
        <f t="shared" si="1"/>
        <v>97.928300000000007</v>
      </c>
      <c r="P74" s="181" t="s">
        <v>0</v>
      </c>
    </row>
    <row r="75" spans="1:16" ht="16.5" customHeight="1">
      <c r="A75" s="370" t="s">
        <v>376</v>
      </c>
      <c r="B75" s="556"/>
      <c r="C75" s="557"/>
      <c r="D75" s="557"/>
      <c r="E75" s="556"/>
      <c r="F75" s="557"/>
      <c r="G75" s="1317">
        <v>-0.51700000000000002</v>
      </c>
      <c r="H75" s="556"/>
      <c r="I75" s="557"/>
      <c r="J75" s="557"/>
      <c r="K75" s="424">
        <v>1</v>
      </c>
      <c r="L75" s="557"/>
      <c r="M75" s="556"/>
      <c r="N75" s="557"/>
      <c r="O75" s="558">
        <f t="shared" si="1"/>
        <v>0.48299999999999998</v>
      </c>
      <c r="P75" s="181" t="s">
        <v>0</v>
      </c>
    </row>
    <row r="76" spans="1:16" ht="16.5" customHeight="1">
      <c r="A76" s="370" t="s">
        <v>377</v>
      </c>
      <c r="B76" s="556"/>
      <c r="C76" s="557"/>
      <c r="D76" s="557"/>
      <c r="E76" s="556"/>
      <c r="F76" s="557"/>
      <c r="G76" s="1317">
        <v>-4.3112599999999999</v>
      </c>
      <c r="H76" s="556"/>
      <c r="I76" s="557"/>
      <c r="J76" s="557"/>
      <c r="K76" s="424">
        <v>4</v>
      </c>
      <c r="L76" s="557"/>
      <c r="M76" s="556"/>
      <c r="N76" s="557"/>
      <c r="O76" s="558">
        <f t="shared" si="1"/>
        <v>-0.31125999999999987</v>
      </c>
      <c r="P76" s="181" t="s">
        <v>0</v>
      </c>
    </row>
    <row r="77" spans="1:16" ht="16.5" customHeight="1">
      <c r="A77" s="370" t="s">
        <v>378</v>
      </c>
      <c r="B77" s="556"/>
      <c r="C77" s="557"/>
      <c r="D77" s="557"/>
      <c r="E77" s="556"/>
      <c r="F77" s="557"/>
      <c r="G77" s="1317">
        <f>-42.97523-401.6108</f>
        <v>-444.58602999999999</v>
      </c>
      <c r="H77" s="556"/>
      <c r="I77" s="557"/>
      <c r="J77" s="557"/>
      <c r="K77" s="424">
        <v>338</v>
      </c>
      <c r="L77" s="557">
        <v>207</v>
      </c>
      <c r="M77" s="556"/>
      <c r="N77" s="557"/>
      <c r="O77" s="558">
        <f t="shared" si="1"/>
        <v>100.41397000000001</v>
      </c>
      <c r="P77" s="181" t="s">
        <v>0</v>
      </c>
    </row>
    <row r="78" spans="1:16" ht="16.5" customHeight="1">
      <c r="A78" s="370" t="s">
        <v>379</v>
      </c>
      <c r="B78" s="556"/>
      <c r="C78" s="557"/>
      <c r="D78" s="557"/>
      <c r="E78" s="556"/>
      <c r="F78" s="557"/>
      <c r="G78" s="1317">
        <v>-61.54027</v>
      </c>
      <c r="H78" s="556"/>
      <c r="I78" s="557"/>
      <c r="J78" s="557"/>
      <c r="K78" s="424">
        <v>62</v>
      </c>
      <c r="L78" s="557"/>
      <c r="M78" s="556"/>
      <c r="N78" s="557"/>
      <c r="O78" s="558">
        <f t="shared" si="1"/>
        <v>0.45973000000000042</v>
      </c>
      <c r="P78" s="181" t="s">
        <v>0</v>
      </c>
    </row>
    <row r="79" spans="1:16" ht="16.5" customHeight="1">
      <c r="A79" s="370" t="s">
        <v>380</v>
      </c>
      <c r="B79" s="556"/>
      <c r="C79" s="557"/>
      <c r="D79" s="557"/>
      <c r="E79" s="556"/>
      <c r="F79" s="557"/>
      <c r="G79" s="1317">
        <v>-13.33323</v>
      </c>
      <c r="H79" s="556"/>
      <c r="I79" s="557"/>
      <c r="J79" s="557"/>
      <c r="K79" s="424"/>
      <c r="L79" s="557">
        <v>111</v>
      </c>
      <c r="M79" s="556"/>
      <c r="N79" s="557"/>
      <c r="O79" s="558">
        <f t="shared" si="1"/>
        <v>97.66677</v>
      </c>
      <c r="P79" s="181" t="s">
        <v>0</v>
      </c>
    </row>
    <row r="80" spans="1:16" ht="16.5" customHeight="1">
      <c r="A80" s="370" t="s">
        <v>381</v>
      </c>
      <c r="B80" s="556"/>
      <c r="C80" s="557"/>
      <c r="D80" s="557"/>
      <c r="E80" s="556"/>
      <c r="F80" s="557"/>
      <c r="G80" s="1317">
        <f>-1.18-2453.6041-21.02329</f>
        <v>-2475.8073899999999</v>
      </c>
      <c r="H80" s="556"/>
      <c r="I80" s="557"/>
      <c r="J80" s="557"/>
      <c r="K80" s="424">
        <v>1</v>
      </c>
      <c r="L80" s="557">
        <v>2661</v>
      </c>
      <c r="M80" s="556"/>
      <c r="N80" s="557"/>
      <c r="O80" s="558">
        <f t="shared" si="1"/>
        <v>186.19261000000006</v>
      </c>
      <c r="P80" s="181" t="s">
        <v>0</v>
      </c>
    </row>
    <row r="81" spans="1:29" ht="16.5" customHeight="1">
      <c r="A81" s="370" t="s">
        <v>382</v>
      </c>
      <c r="B81" s="556"/>
      <c r="C81" s="557"/>
      <c r="D81" s="557"/>
      <c r="E81" s="556"/>
      <c r="F81" s="557"/>
      <c r="G81" s="1317"/>
      <c r="H81" s="556"/>
      <c r="I81" s="557"/>
      <c r="J81" s="557"/>
      <c r="K81" s="424">
        <v>1301</v>
      </c>
      <c r="L81" s="557"/>
      <c r="M81" s="556"/>
      <c r="N81" s="557"/>
      <c r="O81" s="558">
        <f t="shared" si="1"/>
        <v>1301</v>
      </c>
      <c r="P81" s="181" t="s">
        <v>0</v>
      </c>
    </row>
    <row r="82" spans="1:29" ht="16.5" customHeight="1">
      <c r="A82" s="371" t="s">
        <v>261</v>
      </c>
      <c r="B82" s="747"/>
      <c r="C82" s="671"/>
      <c r="D82" s="671"/>
      <c r="E82" s="747"/>
      <c r="F82" s="671"/>
      <c r="G82" s="757">
        <f>-408.78205</f>
        <v>-408.78205000000003</v>
      </c>
      <c r="H82" s="747"/>
      <c r="I82" s="671"/>
      <c r="J82" s="671"/>
      <c r="K82" s="423">
        <v>-7362</v>
      </c>
      <c r="L82" s="671"/>
      <c r="M82" s="747"/>
      <c r="N82" s="671"/>
      <c r="O82" s="672">
        <f t="shared" si="1"/>
        <v>-7770.7820499999998</v>
      </c>
      <c r="P82" s="181" t="s">
        <v>0</v>
      </c>
    </row>
    <row r="83" spans="1:29" ht="16.5" customHeight="1">
      <c r="A83" s="162" t="s">
        <v>124</v>
      </c>
      <c r="B83" s="267">
        <f>SUM(B11:B82)</f>
        <v>0</v>
      </c>
      <c r="C83" s="268">
        <f>SUM(C11:C82)</f>
        <v>0</v>
      </c>
      <c r="D83" s="166">
        <f>SUM(D11:D11,D12:D13,D15,D17:D20,D24:D25,D26:D28,D33:D34,D37:D47,D56:D57,D58:D82)</f>
        <v>1117844.8299999998</v>
      </c>
      <c r="E83" s="267">
        <f>SUM(E11:E82)</f>
        <v>0</v>
      </c>
      <c r="F83" s="268">
        <f>SUM(F11:F82)</f>
        <v>0</v>
      </c>
      <c r="G83" s="166">
        <f>SUM(G11:G11,G12:G13,G15,G17:G20,G24:G25,G26:G28,G33:G34,G37:G47,G56:G57,G58:G82)</f>
        <v>-25817.11076000001</v>
      </c>
      <c r="H83" s="267">
        <f>SUM(H11:H82)</f>
        <v>0</v>
      </c>
      <c r="I83" s="268">
        <f>SUM(I11:I82)</f>
        <v>0</v>
      </c>
      <c r="J83" s="166">
        <f>SUM(J11:J11,J12:J13,J15,J17:J20,J24:J25,J26:J28,J33:J34,J37:J47,J56:J57,J58:J82)</f>
        <v>139916.42294353223</v>
      </c>
      <c r="K83" s="754">
        <f>SUM(K11:K82)</f>
        <v>74637</v>
      </c>
      <c r="L83" s="166">
        <f>SUM(L11:L82)</f>
        <v>26546.00014</v>
      </c>
      <c r="M83" s="267">
        <f>SUM(M11:M82)</f>
        <v>0</v>
      </c>
      <c r="N83" s="268">
        <f>SUM(N11:N82)</f>
        <v>0</v>
      </c>
      <c r="O83" s="755">
        <f>SUM(O11:O11,O12:O13,O15,O17:O20,O24:O25,O26:O28,O33:O34,O37:O47,O56:O57,O58:O82)+SUM(K48:K55,L48:L55,K35:K36,L35:L36,K29:K32,L29:L32,K21:K23,L21:L23,K14,L14)</f>
        <v>1333127.1423235326</v>
      </c>
      <c r="P83" s="181" t="s">
        <v>0</v>
      </c>
    </row>
    <row r="84" spans="1:29" ht="16.5" customHeight="1">
      <c r="A84" s="359" t="s">
        <v>103</v>
      </c>
      <c r="B84" s="381" t="s">
        <v>116</v>
      </c>
      <c r="C84" s="382"/>
      <c r="D84" s="382"/>
      <c r="E84" s="381"/>
      <c r="F84" s="382"/>
      <c r="G84" s="382"/>
      <c r="H84" s="381"/>
      <c r="I84" s="382"/>
      <c r="J84" s="382"/>
      <c r="K84" s="421"/>
      <c r="L84" s="382"/>
      <c r="M84" s="381"/>
      <c r="N84" s="382"/>
      <c r="O84" s="379"/>
      <c r="P84" s="181" t="s">
        <v>0</v>
      </c>
      <c r="Q84" s="559"/>
      <c r="R84" s="559"/>
      <c r="S84" s="559"/>
      <c r="T84" s="559"/>
      <c r="U84" s="559"/>
      <c r="V84" s="559"/>
      <c r="W84" s="559"/>
      <c r="X84" s="559"/>
      <c r="Y84" s="559"/>
      <c r="Z84" s="559"/>
      <c r="AA84" s="559"/>
      <c r="AB84" s="559"/>
      <c r="AC84" s="559"/>
    </row>
    <row r="85" spans="1:29" ht="16.5" customHeight="1">
      <c r="A85" s="359" t="s">
        <v>102</v>
      </c>
      <c r="B85" s="560"/>
      <c r="C85" s="407">
        <f>SUM(C83:C84)</f>
        <v>0</v>
      </c>
      <c r="D85" s="407"/>
      <c r="E85" s="560"/>
      <c r="F85" s="407">
        <f>+F83+F84</f>
        <v>0</v>
      </c>
      <c r="G85" s="407"/>
      <c r="H85" s="560"/>
      <c r="I85" s="407">
        <f>+I83+I84</f>
        <v>0</v>
      </c>
      <c r="J85" s="407"/>
      <c r="K85" s="561"/>
      <c r="L85" s="407"/>
      <c r="M85" s="560"/>
      <c r="N85" s="407">
        <f>SUM(N83:N84)</f>
        <v>0</v>
      </c>
      <c r="O85" s="408"/>
      <c r="P85" s="181" t="s">
        <v>0</v>
      </c>
    </row>
    <row r="86" spans="1:29" ht="16.5" customHeight="1">
      <c r="A86" s="562" t="s">
        <v>104</v>
      </c>
      <c r="B86" s="390"/>
      <c r="C86" s="391"/>
      <c r="D86" s="391"/>
      <c r="E86" s="390"/>
      <c r="F86" s="391"/>
      <c r="G86" s="391"/>
      <c r="H86" s="390"/>
      <c r="I86" s="391"/>
      <c r="J86" s="391"/>
      <c r="K86" s="425"/>
      <c r="L86" s="391"/>
      <c r="M86" s="390"/>
      <c r="N86" s="391"/>
      <c r="O86" s="388"/>
      <c r="P86" s="181" t="s">
        <v>0</v>
      </c>
    </row>
    <row r="87" spans="1:29" ht="16.5" customHeight="1">
      <c r="A87" s="563" t="s">
        <v>31</v>
      </c>
      <c r="B87" s="390"/>
      <c r="C87" s="391"/>
      <c r="D87" s="391"/>
      <c r="E87" s="390"/>
      <c r="F87" s="391"/>
      <c r="G87" s="391"/>
      <c r="H87" s="390"/>
      <c r="I87" s="391"/>
      <c r="J87" s="391"/>
      <c r="K87" s="425"/>
      <c r="L87" s="391"/>
      <c r="M87" s="390"/>
      <c r="N87" s="391"/>
      <c r="O87" s="388"/>
      <c r="P87" s="181" t="s">
        <v>0</v>
      </c>
    </row>
    <row r="88" spans="1:29" ht="16.5" customHeight="1">
      <c r="A88" s="564" t="s">
        <v>60</v>
      </c>
      <c r="B88" s="381"/>
      <c r="C88" s="382"/>
      <c r="D88" s="382"/>
      <c r="E88" s="381"/>
      <c r="F88" s="382"/>
      <c r="G88" s="382"/>
      <c r="H88" s="381"/>
      <c r="I88" s="382"/>
      <c r="J88" s="382"/>
      <c r="K88" s="421"/>
      <c r="L88" s="382"/>
      <c r="M88" s="381"/>
      <c r="N88" s="382"/>
      <c r="O88" s="379"/>
      <c r="P88" s="181" t="s">
        <v>0</v>
      </c>
    </row>
    <row r="89" spans="1:29" ht="16.5" customHeight="1">
      <c r="A89" s="359"/>
      <c r="B89" s="381"/>
      <c r="C89" s="382">
        <f>C88+C87+C85</f>
        <v>0</v>
      </c>
      <c r="D89" s="565"/>
      <c r="E89" s="381"/>
      <c r="F89" s="382">
        <f>F88+F87+F85</f>
        <v>0</v>
      </c>
      <c r="G89" s="565"/>
      <c r="H89" s="381"/>
      <c r="I89" s="382">
        <f>I88+I87+I85</f>
        <v>0</v>
      </c>
      <c r="J89" s="565"/>
      <c r="K89" s="566"/>
      <c r="L89" s="565"/>
      <c r="M89" s="381"/>
      <c r="N89" s="382">
        <f>N88+N87+N85</f>
        <v>0</v>
      </c>
      <c r="O89" s="567"/>
      <c r="P89" s="181" t="s">
        <v>0</v>
      </c>
    </row>
    <row r="90" spans="1:29" ht="16.5" customHeight="1">
      <c r="A90" s="1389"/>
      <c r="B90" s="399"/>
      <c r="C90" s="399"/>
      <c r="D90" s="805"/>
      <c r="E90" s="399"/>
      <c r="F90" s="399"/>
      <c r="G90" s="805"/>
      <c r="H90" s="399"/>
      <c r="I90" s="399"/>
      <c r="J90" s="805"/>
      <c r="K90" s="805"/>
      <c r="L90" s="805"/>
      <c r="M90" s="399"/>
      <c r="N90" s="399"/>
      <c r="O90" s="805"/>
      <c r="P90" s="181" t="s">
        <v>0</v>
      </c>
    </row>
    <row r="91" spans="1:29" ht="16.5" customHeight="1">
      <c r="A91" s="18" t="s">
        <v>665</v>
      </c>
      <c r="J91" s="1"/>
      <c r="K91" s="1"/>
      <c r="L91" s="1"/>
      <c r="M91" s="1"/>
      <c r="N91" s="1"/>
      <c r="O91" s="1"/>
      <c r="P91" s="181" t="s">
        <v>0</v>
      </c>
    </row>
    <row r="92" spans="1:29" ht="16.5" customHeight="1">
      <c r="A92" s="18" t="s">
        <v>677</v>
      </c>
      <c r="J92" s="1"/>
      <c r="K92" s="1"/>
      <c r="L92" s="1"/>
      <c r="M92" s="1"/>
      <c r="N92" s="1"/>
      <c r="O92" s="1"/>
      <c r="P92" s="181" t="s">
        <v>0</v>
      </c>
    </row>
    <row r="93" spans="1:29" ht="16.5" customHeight="1">
      <c r="A93" s="1351" t="s">
        <v>682</v>
      </c>
      <c r="B93" s="1352"/>
      <c r="C93" s="1352"/>
      <c r="D93" s="1352"/>
      <c r="E93" s="1352"/>
      <c r="F93" s="1352"/>
      <c r="G93" s="1352"/>
      <c r="H93" s="1352"/>
      <c r="I93" s="1352"/>
      <c r="J93" s="367"/>
      <c r="K93" s="367"/>
      <c r="L93" s="367"/>
      <c r="M93" s="1"/>
      <c r="N93" s="1"/>
      <c r="O93" s="1"/>
      <c r="P93" s="568" t="s">
        <v>13</v>
      </c>
    </row>
    <row r="94" spans="1:29" ht="16.5" customHeight="1">
      <c r="A94" s="151"/>
      <c r="B94" s="1"/>
      <c r="C94" s="1"/>
      <c r="D94" s="1"/>
      <c r="E94" s="1"/>
      <c r="F94" s="1"/>
      <c r="G94" s="1"/>
      <c r="H94" s="1"/>
      <c r="I94" s="1"/>
      <c r="J94" s="1"/>
      <c r="K94" s="1"/>
      <c r="L94" s="1"/>
      <c r="M94" s="1"/>
      <c r="N94" s="1"/>
      <c r="O94" s="1"/>
    </row>
    <row r="95" spans="1:29" ht="16.5" customHeight="1">
      <c r="A95" s="26"/>
      <c r="B95" s="26"/>
      <c r="C95" s="26"/>
      <c r="D95" s="26"/>
      <c r="E95" s="26"/>
      <c r="F95" s="26"/>
      <c r="G95" s="26"/>
      <c r="H95" s="1"/>
      <c r="I95" s="1"/>
      <c r="J95" s="1"/>
      <c r="K95" s="1"/>
      <c r="L95" s="1"/>
      <c r="M95" s="1"/>
      <c r="N95" s="1"/>
      <c r="O95" s="1"/>
    </row>
    <row r="96" spans="1:29" ht="16.5" customHeight="1">
      <c r="A96" s="1672"/>
      <c r="B96" s="1663"/>
      <c r="C96" s="1663"/>
      <c r="D96" s="1663"/>
      <c r="E96" s="1663"/>
      <c r="F96" s="1663"/>
      <c r="G96" s="1663"/>
      <c r="H96" s="1663"/>
      <c r="I96" s="1663"/>
      <c r="J96" s="1663"/>
      <c r="K96" s="1663"/>
      <c r="L96" s="1663"/>
      <c r="M96" s="1663"/>
      <c r="N96" s="1663"/>
      <c r="O96" s="1663"/>
      <c r="P96" s="18"/>
    </row>
    <row r="97" spans="1:16" ht="16.5" customHeight="1">
      <c r="A97" s="1685"/>
      <c r="B97" s="1685"/>
      <c r="C97" s="1685"/>
      <c r="D97" s="1685"/>
      <c r="E97" s="1685"/>
      <c r="F97" s="1685"/>
      <c r="G97" s="1685"/>
      <c r="H97" s="1685"/>
      <c r="I97" s="1685"/>
      <c r="J97" s="1685"/>
      <c r="K97" s="1685"/>
      <c r="L97" s="1685"/>
      <c r="M97" s="1685"/>
      <c r="N97" s="1685"/>
      <c r="O97" s="1685"/>
      <c r="P97" s="18"/>
    </row>
    <row r="98" spans="1:16" ht="16.5" customHeight="1">
      <c r="A98" s="1670"/>
      <c r="B98" s="1671"/>
      <c r="C98" s="1671"/>
      <c r="D98" s="1671"/>
      <c r="E98" s="1671"/>
      <c r="F98" s="1671"/>
      <c r="G98" s="1671"/>
      <c r="H98" s="1671"/>
      <c r="I98" s="1671"/>
      <c r="J98" s="1671"/>
      <c r="K98" s="1671"/>
      <c r="L98" s="1671"/>
      <c r="M98" s="1671"/>
      <c r="N98" s="1671"/>
      <c r="O98" s="1671"/>
      <c r="P98" s="18"/>
    </row>
    <row r="99" spans="1:16" ht="16.5" customHeight="1">
      <c r="A99" s="259"/>
      <c r="B99" s="368"/>
      <c r="C99" s="368"/>
      <c r="D99" s="368"/>
      <c r="E99" s="368"/>
      <c r="F99" s="368"/>
      <c r="G99" s="368"/>
      <c r="H99" s="368"/>
      <c r="I99" s="368"/>
      <c r="J99" s="368"/>
      <c r="K99" s="368"/>
      <c r="L99" s="368"/>
      <c r="M99" s="368"/>
      <c r="N99" s="368"/>
      <c r="O99" s="368"/>
      <c r="P99" s="18"/>
    </row>
    <row r="100" spans="1:16" ht="35.25" customHeight="1">
      <c r="A100" s="1673"/>
      <c r="B100" s="1670"/>
      <c r="C100" s="1670"/>
      <c r="D100" s="1670"/>
      <c r="E100" s="1670"/>
      <c r="F100" s="1670"/>
      <c r="G100" s="1670"/>
      <c r="H100" s="1670"/>
      <c r="I100" s="1670"/>
      <c r="J100" s="1670"/>
      <c r="K100" s="1670"/>
      <c r="L100" s="1670"/>
      <c r="M100" s="1670"/>
      <c r="N100" s="1670"/>
      <c r="O100" s="1670"/>
      <c r="P100" s="18"/>
    </row>
    <row r="101" spans="1:16" ht="35.25" customHeight="1">
      <c r="A101" s="1670"/>
      <c r="B101" s="1670"/>
      <c r="C101" s="1670"/>
      <c r="D101" s="1670"/>
      <c r="E101" s="1670"/>
      <c r="F101" s="1670"/>
      <c r="G101" s="1670"/>
      <c r="H101" s="1670"/>
      <c r="I101" s="1670"/>
      <c r="J101" s="1670"/>
      <c r="K101" s="1670"/>
      <c r="L101" s="1670"/>
      <c r="M101" s="1670"/>
      <c r="N101" s="1670"/>
      <c r="O101" s="1670"/>
      <c r="P101" s="18"/>
    </row>
    <row r="102" spans="1:16" ht="16.5" customHeight="1">
      <c r="A102" s="1670"/>
      <c r="B102" s="1671"/>
      <c r="C102" s="1671"/>
      <c r="D102" s="1671"/>
      <c r="E102" s="1671"/>
      <c r="F102" s="1671"/>
      <c r="G102" s="1671"/>
      <c r="H102" s="1671"/>
      <c r="I102" s="1671"/>
      <c r="J102" s="1671"/>
      <c r="K102" s="1671"/>
      <c r="L102" s="1671"/>
      <c r="M102" s="1671"/>
      <c r="N102" s="1671"/>
      <c r="O102" s="1671"/>
      <c r="P102" s="18"/>
    </row>
    <row r="103" spans="1:16" ht="16.5" customHeight="1">
      <c r="A103" s="1662"/>
      <c r="B103" s="1663"/>
      <c r="C103" s="1663"/>
      <c r="D103" s="1663"/>
      <c r="E103" s="1663"/>
      <c r="F103" s="1663"/>
      <c r="G103" s="1663"/>
      <c r="H103" s="1663"/>
      <c r="I103" s="1663"/>
      <c r="J103" s="1663"/>
      <c r="K103" s="1663"/>
      <c r="L103" s="1663"/>
      <c r="M103" s="1663"/>
      <c r="N103" s="1663"/>
      <c r="O103" s="1663"/>
      <c r="P103" s="1663"/>
    </row>
    <row r="104" spans="1:16" ht="16.5" customHeight="1"/>
    <row r="105" spans="1:16" ht="16.5" customHeight="1"/>
    <row r="106" spans="1:16" ht="16.5" customHeight="1"/>
    <row r="107" spans="1:16" ht="16.5" customHeight="1"/>
  </sheetData>
  <customSheetViews>
    <customSheetView guid="{DA38F665-F06D-4DFB-B852-747D93BB00EF}" scale="80" showPageBreaks="1" showGridLines="0" outlineSymbols="0" printArea="1" view="pageBreakPreview" topLeftCell="B73">
      <selection activeCell="B210" sqref="B210"/>
      <rowBreaks count="1" manualBreakCount="1">
        <brk id="56" max="14" man="1"/>
      </rowBreaks>
      <pageMargins left="0.5" right="0.5" top="0.5" bottom="0.55000000000000004" header="0" footer="0"/>
      <printOptions horizontalCentered="1"/>
      <pageSetup scale="55" firstPageNumber="2" orientation="landscape" useFirstPageNumber="1" horizontalDpi="300" verticalDpi="300" r:id="rId1"/>
      <headerFooter alignWithMargins="0">
        <oddFooter>&amp;C&amp;"Times New Roman,Regular"Exhibit F - Crosswalk of 2011 Availability</oddFooter>
      </headerFooter>
    </customSheetView>
    <customSheetView guid="{4D0F9E3D-0229-48CC-A08B-F132802E9D7B}" showPageBreaks="1" showGridLines="0" outlineSymbols="0" printArea="1" view="pageBreakPreview" topLeftCell="A65">
      <selection activeCell="A97" sqref="A97:O97"/>
      <rowBreaks count="1" manualBreakCount="1">
        <brk id="56" max="14" man="1"/>
      </rowBreaks>
      <pageMargins left="0.5" right="0.5" top="0.5" bottom="0.55000000000000004" header="0" footer="0"/>
      <printOptions horizontalCentered="1"/>
      <pageSetup scale="55" firstPageNumber="2" orientation="landscape" useFirstPageNumber="1" horizontalDpi="300" verticalDpi="300" r:id="rId2"/>
      <headerFooter alignWithMargins="0">
        <oddFooter>&amp;C&amp;"Times New Roman,Regular"Exhibit F - Crosswalk of 2011 Availability</oddFooter>
      </headerFooter>
    </customSheetView>
    <customSheetView guid="{F6772377-6B25-4EEA-B255-4C2F62B37855}" scale="80" showPageBreaks="1" showGridLines="0" outlineSymbols="0" printArea="1" view="pageBreakPreview" topLeftCell="B73">
      <selection activeCell="C80" sqref="C80"/>
      <rowBreaks count="1" manualBreakCount="1">
        <brk id="55" max="14" man="1"/>
      </rowBreaks>
      <pageMargins left="0.5" right="0.5" top="0.5" bottom="0.55000000000000004" header="0" footer="0"/>
      <printOptions horizontalCentered="1"/>
      <pageSetup scale="55" firstPageNumber="2" orientation="landscape" useFirstPageNumber="1" horizontalDpi="300" verticalDpi="300" r:id="rId3"/>
      <headerFooter alignWithMargins="0">
        <oddFooter>&amp;C&amp;"Times New Roman,Regular"Exhibit F - Crosswalk of 2011 Availability</oddFooter>
      </headerFooter>
    </customSheetView>
    <customSheetView guid="{27B9C207-C13F-4981-9CED-E69585BBD779}" scale="75" showPageBreaks="1" showGridLines="0" outlineSymbols="0" printArea="1" view="pageBreakPreview">
      <selection activeCell="K84" sqref="K84"/>
      <rowBreaks count="1" manualBreakCount="1">
        <brk id="56" max="14" man="1"/>
      </rowBreaks>
      <pageMargins left="0.5" right="0.5" top="0.5" bottom="0.55000000000000004" header="0" footer="0"/>
      <printOptions horizontalCentered="1"/>
      <pageSetup scale="55" firstPageNumber="2" orientation="landscape" useFirstPageNumber="1" horizontalDpi="300" verticalDpi="300" r:id="rId4"/>
      <headerFooter alignWithMargins="0">
        <oddFooter>&amp;C&amp;"Times New Roman,Regular"Exhibit F - Crosswalk of 2011 Availability&amp;R&amp;"Times New Roman,Regular"State and Local Law Enforcement Assistance</oddFooter>
      </headerFooter>
    </customSheetView>
  </customSheetViews>
  <mergeCells count="21">
    <mergeCell ref="A6:O6"/>
    <mergeCell ref="A1:O1"/>
    <mergeCell ref="A2:O2"/>
    <mergeCell ref="A3:O3"/>
    <mergeCell ref="A4:O4"/>
    <mergeCell ref="A5:O5"/>
    <mergeCell ref="A7:O7"/>
    <mergeCell ref="A8:A10"/>
    <mergeCell ref="B8:D9"/>
    <mergeCell ref="E8:G9"/>
    <mergeCell ref="H8:J9"/>
    <mergeCell ref="K8:K9"/>
    <mergeCell ref="L8:L9"/>
    <mergeCell ref="M8:O9"/>
    <mergeCell ref="A103:P103"/>
    <mergeCell ref="A96:O96"/>
    <mergeCell ref="A97:O97"/>
    <mergeCell ref="A98:O98"/>
    <mergeCell ref="A100:O100"/>
    <mergeCell ref="A101:O101"/>
    <mergeCell ref="A102:O102"/>
  </mergeCells>
  <printOptions horizontalCentered="1"/>
  <pageMargins left="0.5" right="0.5" top="0.5" bottom="0.55000000000000004" header="0" footer="0"/>
  <pageSetup scale="55" firstPageNumber="2" orientation="landscape" useFirstPageNumber="1" horizontalDpi="300" verticalDpi="300" r:id="rId5"/>
  <headerFooter alignWithMargins="0">
    <oddFooter>&amp;C&amp;"Times New Roman,Regular"Exhibit F - Crosswalk of 2011 Availability&amp;R&amp;"Times New Roman,Regular"State and Local Law Enforcement Assistance</oddFooter>
  </headerFooter>
  <rowBreaks count="1" manualBreakCount="1">
    <brk id="55" max="14" man="1"/>
  </rowBreaks>
</worksheet>
</file>

<file path=xl/worksheets/sheet22.xml><?xml version="1.0" encoding="utf-8"?>
<worksheet xmlns="http://schemas.openxmlformats.org/spreadsheetml/2006/main" xmlns:r="http://schemas.openxmlformats.org/officeDocument/2006/relationships">
  <dimension ref="A1:T103"/>
  <sheetViews>
    <sheetView view="pageBreakPreview" topLeftCell="A85" zoomScaleNormal="100" zoomScaleSheetLayoutView="100" workbookViewId="0">
      <selection activeCell="A95" sqref="A95"/>
    </sheetView>
  </sheetViews>
  <sheetFormatPr defaultRowHeight="15.75"/>
  <cols>
    <col min="1" max="1" width="80.77734375" style="363" customWidth="1"/>
    <col min="2" max="3" width="8.88671875" style="363" customWidth="1"/>
    <col min="4" max="4" width="9.5546875" style="363" customWidth="1"/>
    <col min="5" max="7" width="8.88671875" style="363" customWidth="1"/>
    <col min="8" max="8" width="8.88671875" style="363" hidden="1" customWidth="1"/>
    <col min="9" max="9" width="8.88671875" style="236" hidden="1" customWidth="1"/>
    <col min="10" max="10" width="8.88671875" style="363" hidden="1" customWidth="1"/>
    <col min="11" max="13" width="8.88671875" style="363" customWidth="1"/>
    <col min="14" max="14" width="9.44140625" style="18" customWidth="1"/>
    <col min="15" max="15" width="10" style="18" customWidth="1"/>
    <col min="16" max="17" width="8.88671875" style="363"/>
    <col min="18" max="18" width="10.21875" style="363" customWidth="1"/>
    <col min="19" max="16384" width="8.88671875" style="363"/>
  </cols>
  <sheetData>
    <row r="1" spans="1:20" ht="20.25">
      <c r="A1" s="1692" t="s">
        <v>203</v>
      </c>
      <c r="B1" s="1693"/>
      <c r="C1" s="1693"/>
      <c r="D1" s="1693"/>
      <c r="E1" s="1693"/>
      <c r="F1" s="1693"/>
      <c r="G1" s="1693"/>
      <c r="H1" s="1693"/>
      <c r="I1" s="1693"/>
      <c r="J1" s="1693"/>
      <c r="K1" s="1693"/>
      <c r="L1" s="1693"/>
      <c r="M1" s="1693"/>
      <c r="N1" s="1693"/>
      <c r="O1" s="1693"/>
      <c r="P1" s="1693"/>
      <c r="Q1" s="1693"/>
      <c r="R1" s="1693"/>
      <c r="S1" s="181" t="s">
        <v>0</v>
      </c>
      <c r="T1" s="18"/>
    </row>
    <row r="2" spans="1:20">
      <c r="A2" s="1901"/>
      <c r="B2" s="1901"/>
      <c r="C2" s="1901"/>
      <c r="D2" s="1901"/>
      <c r="E2" s="1901"/>
      <c r="F2" s="1901"/>
      <c r="G2" s="1901"/>
      <c r="H2" s="1901"/>
      <c r="I2" s="1901"/>
      <c r="J2" s="1901"/>
      <c r="K2" s="1901"/>
      <c r="L2" s="1901"/>
      <c r="M2" s="1901"/>
      <c r="N2" s="1901"/>
      <c r="O2" s="1901"/>
      <c r="P2" s="1901"/>
      <c r="Q2" s="1901"/>
      <c r="R2" s="1901"/>
      <c r="S2" s="181" t="s">
        <v>0</v>
      </c>
      <c r="T2" s="18"/>
    </row>
    <row r="3" spans="1:20" ht="18.75">
      <c r="A3" s="1694" t="s">
        <v>158</v>
      </c>
      <c r="B3" s="1914"/>
      <c r="C3" s="1914"/>
      <c r="D3" s="1914"/>
      <c r="E3" s="1914"/>
      <c r="F3" s="1914"/>
      <c r="G3" s="1914"/>
      <c r="H3" s="1914"/>
      <c r="I3" s="1914"/>
      <c r="J3" s="1914"/>
      <c r="K3" s="1914"/>
      <c r="L3" s="1914"/>
      <c r="M3" s="1914"/>
      <c r="N3" s="1914"/>
      <c r="O3" s="1914"/>
      <c r="P3" s="1914"/>
      <c r="Q3" s="1914"/>
      <c r="R3" s="1914"/>
      <c r="S3" s="181" t="s">
        <v>0</v>
      </c>
      <c r="T3" s="18"/>
    </row>
    <row r="4" spans="1:20" ht="16.5">
      <c r="A4" s="1696" t="str">
        <f>+'[4]B. Summ of Reqs -SLLEA '!A4</f>
        <v>Office of Justice Programs</v>
      </c>
      <c r="B4" s="1913"/>
      <c r="C4" s="1913"/>
      <c r="D4" s="1913"/>
      <c r="E4" s="1913"/>
      <c r="F4" s="1913"/>
      <c r="G4" s="1913"/>
      <c r="H4" s="1913"/>
      <c r="I4" s="1913"/>
      <c r="J4" s="1913"/>
      <c r="K4" s="1913"/>
      <c r="L4" s="1913"/>
      <c r="M4" s="1913"/>
      <c r="N4" s="1913"/>
      <c r="O4" s="1913"/>
      <c r="P4" s="1913"/>
      <c r="Q4" s="1913"/>
      <c r="R4" s="1913"/>
      <c r="S4" s="181" t="s">
        <v>0</v>
      </c>
      <c r="T4" s="18"/>
    </row>
    <row r="5" spans="1:20" ht="16.5">
      <c r="A5" s="1696" t="str">
        <f>+'[4]B. Summ of Reqs -SLLEA '!A5</f>
        <v>State and Local Law Enforcement Assistance</v>
      </c>
      <c r="B5" s="1914"/>
      <c r="C5" s="1914"/>
      <c r="D5" s="1914"/>
      <c r="E5" s="1914"/>
      <c r="F5" s="1914"/>
      <c r="G5" s="1914"/>
      <c r="H5" s="1914"/>
      <c r="I5" s="1914"/>
      <c r="J5" s="1914"/>
      <c r="K5" s="1914"/>
      <c r="L5" s="1914"/>
      <c r="M5" s="1914"/>
      <c r="N5" s="1914"/>
      <c r="O5" s="1914"/>
      <c r="P5" s="1914"/>
      <c r="Q5" s="1914"/>
      <c r="R5" s="1914"/>
      <c r="S5" s="181" t="s">
        <v>0</v>
      </c>
      <c r="T5" s="18"/>
    </row>
    <row r="6" spans="1:20">
      <c r="A6" s="1690" t="s">
        <v>98</v>
      </c>
      <c r="B6" s="1913"/>
      <c r="C6" s="1913"/>
      <c r="D6" s="1913"/>
      <c r="E6" s="1913"/>
      <c r="F6" s="1913"/>
      <c r="G6" s="1913"/>
      <c r="H6" s="1913"/>
      <c r="I6" s="1913"/>
      <c r="J6" s="1913"/>
      <c r="K6" s="1913"/>
      <c r="L6" s="1913"/>
      <c r="M6" s="1913"/>
      <c r="N6" s="1913"/>
      <c r="O6" s="1913"/>
      <c r="P6" s="1913"/>
      <c r="Q6" s="1913"/>
      <c r="R6" s="1913"/>
      <c r="S6" s="181" t="s">
        <v>0</v>
      </c>
      <c r="T6" s="18"/>
    </row>
    <row r="7" spans="1:20">
      <c r="A7" s="1902"/>
      <c r="B7" s="1902"/>
      <c r="C7" s="1902"/>
      <c r="D7" s="1902"/>
      <c r="E7" s="1902"/>
      <c r="F7" s="1902"/>
      <c r="G7" s="1902"/>
      <c r="H7" s="1902"/>
      <c r="I7" s="1902"/>
      <c r="J7" s="1902"/>
      <c r="K7" s="1902"/>
      <c r="L7" s="1902"/>
      <c r="M7" s="1902"/>
      <c r="N7" s="1902"/>
      <c r="O7" s="1902"/>
      <c r="P7" s="1902"/>
      <c r="Q7" s="1902"/>
      <c r="R7" s="1902"/>
      <c r="S7" s="181" t="s">
        <v>0</v>
      </c>
      <c r="T7" s="18"/>
    </row>
    <row r="8" spans="1:20" ht="15.75" customHeight="1">
      <c r="A8" s="1682" t="s">
        <v>23</v>
      </c>
      <c r="B8" s="1664" t="s">
        <v>645</v>
      </c>
      <c r="C8" s="1903"/>
      <c r="D8" s="1904"/>
      <c r="E8" s="1676" t="s">
        <v>109</v>
      </c>
      <c r="F8" s="1908"/>
      <c r="G8" s="1909"/>
      <c r="H8" s="1676" t="s">
        <v>110</v>
      </c>
      <c r="I8" s="1908"/>
      <c r="J8" s="1909"/>
      <c r="K8" s="1664" t="s">
        <v>12</v>
      </c>
      <c r="L8" s="1903"/>
      <c r="M8" s="1904"/>
      <c r="N8" s="1674" t="s">
        <v>141</v>
      </c>
      <c r="O8" s="1697" t="s">
        <v>142</v>
      </c>
      <c r="P8" s="1664" t="s">
        <v>157</v>
      </c>
      <c r="Q8" s="1903"/>
      <c r="R8" s="1904"/>
      <c r="S8" s="181" t="s">
        <v>0</v>
      </c>
      <c r="T8" s="18"/>
    </row>
    <row r="9" spans="1:20">
      <c r="A9" s="1683"/>
      <c r="B9" s="1905"/>
      <c r="C9" s="1906"/>
      <c r="D9" s="1907"/>
      <c r="E9" s="1910"/>
      <c r="F9" s="1911"/>
      <c r="G9" s="1912"/>
      <c r="H9" s="1910"/>
      <c r="I9" s="1911"/>
      <c r="J9" s="1912"/>
      <c r="K9" s="1905"/>
      <c r="L9" s="1906"/>
      <c r="M9" s="1907"/>
      <c r="N9" s="1675"/>
      <c r="O9" s="1698"/>
      <c r="P9" s="1905"/>
      <c r="Q9" s="1906"/>
      <c r="R9" s="1907"/>
      <c r="S9" s="181" t="s">
        <v>0</v>
      </c>
      <c r="T9" s="18"/>
    </row>
    <row r="10" spans="1:20" ht="16.5" thickBot="1">
      <c r="A10" s="1684"/>
      <c r="B10" s="156" t="s">
        <v>115</v>
      </c>
      <c r="C10" s="157" t="s">
        <v>25</v>
      </c>
      <c r="D10" s="157" t="s">
        <v>117</v>
      </c>
      <c r="E10" s="156" t="s">
        <v>115</v>
      </c>
      <c r="F10" s="157" t="s">
        <v>25</v>
      </c>
      <c r="G10" s="157" t="s">
        <v>117</v>
      </c>
      <c r="H10" s="156" t="s">
        <v>115</v>
      </c>
      <c r="I10" s="157" t="s">
        <v>25</v>
      </c>
      <c r="J10" s="157" t="s">
        <v>117</v>
      </c>
      <c r="K10" s="156" t="s">
        <v>115</v>
      </c>
      <c r="L10" s="157" t="s">
        <v>25</v>
      </c>
      <c r="M10" s="157" t="s">
        <v>117</v>
      </c>
      <c r="N10" s="265" t="s">
        <v>117</v>
      </c>
      <c r="O10" s="266" t="s">
        <v>117</v>
      </c>
      <c r="P10" s="156" t="s">
        <v>115</v>
      </c>
      <c r="Q10" s="157" t="s">
        <v>25</v>
      </c>
      <c r="R10" s="158" t="s">
        <v>117</v>
      </c>
      <c r="S10" s="181" t="s">
        <v>0</v>
      </c>
      <c r="T10" s="18"/>
    </row>
    <row r="11" spans="1:20">
      <c r="A11" s="373" t="s">
        <v>307</v>
      </c>
      <c r="B11" s="735"/>
      <c r="C11" s="676"/>
      <c r="D11" s="676">
        <v>10000</v>
      </c>
      <c r="E11" s="735"/>
      <c r="F11" s="676"/>
      <c r="G11" s="676"/>
      <c r="H11" s="735"/>
      <c r="I11" s="676"/>
      <c r="J11" s="676"/>
      <c r="K11" s="735"/>
      <c r="L11" s="676"/>
      <c r="M11" s="676"/>
      <c r="N11" s="736"/>
      <c r="O11" s="676"/>
      <c r="P11" s="735">
        <f>B11+E11+H11+K11</f>
        <v>0</v>
      </c>
      <c r="Q11" s="676">
        <f>C11+F11+I11+L11</f>
        <v>0</v>
      </c>
      <c r="R11" s="677">
        <f>D11+G11+J11+M11+N11+O11</f>
        <v>10000</v>
      </c>
      <c r="S11" s="181" t="s">
        <v>0</v>
      </c>
      <c r="T11" s="18"/>
    </row>
    <row r="12" spans="1:20">
      <c r="A12" s="553" t="s">
        <v>308</v>
      </c>
      <c r="B12" s="390"/>
      <c r="C12" s="391"/>
      <c r="D12" s="391">
        <v>24000</v>
      </c>
      <c r="E12" s="390"/>
      <c r="F12" s="391"/>
      <c r="G12" s="391"/>
      <c r="H12" s="390"/>
      <c r="I12" s="391"/>
      <c r="J12" s="391"/>
      <c r="K12" s="390"/>
      <c r="L12" s="391"/>
      <c r="M12" s="391"/>
      <c r="N12" s="425">
        <v>175.25197198404101</v>
      </c>
      <c r="O12" s="391">
        <f>14.03182</f>
        <v>14.03182</v>
      </c>
      <c r="P12" s="390"/>
      <c r="Q12" s="391"/>
      <c r="R12" s="388">
        <f t="shared" ref="R12:R71" si="0">D12+G12+J12+M12+N12+O12</f>
        <v>24189.283791984042</v>
      </c>
      <c r="S12" s="181" t="s">
        <v>0</v>
      </c>
      <c r="T12" s="18"/>
    </row>
    <row r="13" spans="1:20">
      <c r="A13" s="549" t="s">
        <v>309</v>
      </c>
      <c r="B13" s="551"/>
      <c r="C13" s="550"/>
      <c r="D13" s="550">
        <v>1500</v>
      </c>
      <c r="E13" s="551"/>
      <c r="F13" s="550"/>
      <c r="G13" s="550"/>
      <c r="H13" s="551"/>
      <c r="I13" s="550"/>
      <c r="J13" s="550"/>
      <c r="K13" s="551"/>
      <c r="L13" s="550"/>
      <c r="M13" s="550"/>
      <c r="N13" s="425">
        <v>473.075372645389</v>
      </c>
      <c r="O13" s="391"/>
      <c r="P13" s="551"/>
      <c r="Q13" s="550"/>
      <c r="R13" s="552">
        <f t="shared" si="0"/>
        <v>1973.0753726453891</v>
      </c>
      <c r="S13" s="181" t="s">
        <v>0</v>
      </c>
      <c r="T13" s="18"/>
    </row>
    <row r="14" spans="1:20">
      <c r="A14" s="553" t="s">
        <v>310</v>
      </c>
      <c r="B14" s="390"/>
      <c r="C14" s="391"/>
      <c r="D14" s="391">
        <v>15000</v>
      </c>
      <c r="E14" s="390"/>
      <c r="F14" s="391"/>
      <c r="G14" s="391"/>
      <c r="H14" s="390"/>
      <c r="I14" s="391"/>
      <c r="J14" s="391"/>
      <c r="K14" s="390"/>
      <c r="L14" s="391"/>
      <c r="M14" s="391"/>
      <c r="N14" s="425"/>
      <c r="O14" s="391">
        <v>812.69061999999997</v>
      </c>
      <c r="P14" s="390"/>
      <c r="Q14" s="391"/>
      <c r="R14" s="388">
        <f t="shared" si="0"/>
        <v>15812.690619999999</v>
      </c>
      <c r="S14" s="181" t="s">
        <v>0</v>
      </c>
      <c r="T14" s="18"/>
    </row>
    <row r="15" spans="1:20">
      <c r="A15" s="553" t="s">
        <v>311</v>
      </c>
      <c r="B15" s="390"/>
      <c r="C15" s="391"/>
      <c r="D15" s="391">
        <v>15000</v>
      </c>
      <c r="E15" s="390"/>
      <c r="F15" s="391"/>
      <c r="G15" s="391"/>
      <c r="H15" s="390"/>
      <c r="I15" s="391"/>
      <c r="J15" s="391"/>
      <c r="K15" s="390"/>
      <c r="L15" s="391"/>
      <c r="M15" s="391"/>
      <c r="N15" s="425"/>
      <c r="O15" s="391"/>
      <c r="P15" s="390"/>
      <c r="Q15" s="391"/>
      <c r="R15" s="388">
        <f t="shared" si="0"/>
        <v>15000</v>
      </c>
      <c r="S15" s="181" t="s">
        <v>0</v>
      </c>
      <c r="T15" s="18"/>
    </row>
    <row r="16" spans="1:20">
      <c r="A16" s="553" t="s">
        <v>312</v>
      </c>
      <c r="B16" s="390"/>
      <c r="C16" s="391"/>
      <c r="D16" s="391">
        <v>3000</v>
      </c>
      <c r="E16" s="390"/>
      <c r="F16" s="391"/>
      <c r="G16" s="391"/>
      <c r="H16" s="390"/>
      <c r="I16" s="391"/>
      <c r="J16" s="391"/>
      <c r="K16" s="390"/>
      <c r="L16" s="391"/>
      <c r="M16" s="391"/>
      <c r="N16" s="425">
        <v>421.71241266533701</v>
      </c>
      <c r="O16" s="391">
        <v>130.75604000000001</v>
      </c>
      <c r="P16" s="390"/>
      <c r="Q16" s="391"/>
      <c r="R16" s="388">
        <f t="shared" si="0"/>
        <v>3552.4684526653373</v>
      </c>
      <c r="S16" s="181" t="s">
        <v>0</v>
      </c>
      <c r="T16" s="18"/>
    </row>
    <row r="17" spans="1:20">
      <c r="A17" s="549" t="s">
        <v>313</v>
      </c>
      <c r="B17" s="551"/>
      <c r="C17" s="550"/>
      <c r="D17" s="550"/>
      <c r="E17" s="551"/>
      <c r="F17" s="550"/>
      <c r="G17" s="550"/>
      <c r="H17" s="551"/>
      <c r="I17" s="550"/>
      <c r="J17" s="550"/>
      <c r="K17" s="551"/>
      <c r="L17" s="550"/>
      <c r="M17" s="550"/>
      <c r="N17" s="425">
        <v>260.003961198404</v>
      </c>
      <c r="O17" s="391">
        <v>14.69617</v>
      </c>
      <c r="P17" s="551"/>
      <c r="Q17" s="550"/>
      <c r="R17" s="552">
        <f t="shared" si="0"/>
        <v>274.70013119840399</v>
      </c>
      <c r="S17" s="181" t="s">
        <v>0</v>
      </c>
      <c r="T17" s="18"/>
    </row>
    <row r="18" spans="1:20">
      <c r="A18" s="553" t="s">
        <v>462</v>
      </c>
      <c r="B18" s="551"/>
      <c r="C18" s="550"/>
      <c r="D18" s="550"/>
      <c r="E18" s="551"/>
      <c r="F18" s="550"/>
      <c r="G18" s="550"/>
      <c r="H18" s="551"/>
      <c r="I18" s="550"/>
      <c r="J18" s="550"/>
      <c r="K18" s="551"/>
      <c r="L18" s="550"/>
      <c r="M18" s="550"/>
      <c r="N18" s="425">
        <v>28.2506826653368</v>
      </c>
      <c r="O18" s="391"/>
      <c r="P18" s="551"/>
      <c r="Q18" s="550"/>
      <c r="R18" s="552">
        <f t="shared" si="0"/>
        <v>28.2506826653368</v>
      </c>
      <c r="S18" s="181" t="s">
        <v>0</v>
      </c>
      <c r="T18" s="18"/>
    </row>
    <row r="19" spans="1:20" s="1033" customFormat="1">
      <c r="A19" s="553" t="s">
        <v>581</v>
      </c>
      <c r="B19" s="551"/>
      <c r="C19" s="550"/>
      <c r="D19" s="550"/>
      <c r="E19" s="551"/>
      <c r="F19" s="550"/>
      <c r="G19" s="550"/>
      <c r="H19" s="551"/>
      <c r="I19" s="550"/>
      <c r="J19" s="550"/>
      <c r="K19" s="551"/>
      <c r="L19" s="550"/>
      <c r="M19" s="550"/>
      <c r="N19" s="425"/>
      <c r="O19" s="391"/>
      <c r="P19" s="551"/>
      <c r="Q19" s="550"/>
      <c r="R19" s="552"/>
      <c r="S19" s="181"/>
      <c r="T19" s="18"/>
    </row>
    <row r="20" spans="1:20">
      <c r="A20" s="549" t="s">
        <v>315</v>
      </c>
      <c r="B20" s="390"/>
      <c r="C20" s="391"/>
      <c r="D20" s="391">
        <v>1000</v>
      </c>
      <c r="E20" s="390"/>
      <c r="F20" s="391"/>
      <c r="G20" s="391"/>
      <c r="H20" s="390"/>
      <c r="I20" s="391"/>
      <c r="J20" s="391"/>
      <c r="K20" s="390"/>
      <c r="L20" s="391"/>
      <c r="M20" s="391"/>
      <c r="N20" s="425">
        <v>36.517677066134702</v>
      </c>
      <c r="O20" s="391"/>
      <c r="P20" s="390"/>
      <c r="Q20" s="391"/>
      <c r="R20" s="388">
        <f t="shared" si="0"/>
        <v>1036.5176770661346</v>
      </c>
      <c r="S20" s="181" t="s">
        <v>0</v>
      </c>
      <c r="T20" s="18"/>
    </row>
    <row r="21" spans="1:20">
      <c r="A21" s="549" t="s">
        <v>316</v>
      </c>
      <c r="B21" s="390"/>
      <c r="C21" s="391"/>
      <c r="D21" s="391"/>
      <c r="E21" s="390"/>
      <c r="F21" s="391"/>
      <c r="G21" s="391"/>
      <c r="H21" s="390"/>
      <c r="I21" s="391"/>
      <c r="J21" s="391"/>
      <c r="K21" s="390"/>
      <c r="L21" s="391"/>
      <c r="M21" s="391"/>
      <c r="N21" s="425">
        <v>418.03687772748202</v>
      </c>
      <c r="O21" s="391"/>
      <c r="P21" s="390"/>
      <c r="Q21" s="391"/>
      <c r="R21" s="388">
        <f t="shared" si="0"/>
        <v>418.03687772748202</v>
      </c>
      <c r="S21" s="181" t="s">
        <v>0</v>
      </c>
      <c r="T21" s="18"/>
    </row>
    <row r="22" spans="1:20">
      <c r="A22" s="553" t="s">
        <v>463</v>
      </c>
      <c r="B22" s="390"/>
      <c r="C22" s="391"/>
      <c r="D22" s="391">
        <v>10000</v>
      </c>
      <c r="E22" s="390"/>
      <c r="F22" s="391"/>
      <c r="G22" s="391"/>
      <c r="H22" s="390"/>
      <c r="I22" s="391"/>
      <c r="J22" s="391"/>
      <c r="K22" s="390"/>
      <c r="L22" s="391"/>
      <c r="M22" s="391"/>
      <c r="N22" s="425"/>
      <c r="O22" s="391"/>
      <c r="P22" s="390"/>
      <c r="Q22" s="391"/>
      <c r="R22" s="388">
        <f t="shared" si="0"/>
        <v>10000</v>
      </c>
      <c r="S22" s="181" t="s">
        <v>0</v>
      </c>
      <c r="T22" s="18"/>
    </row>
    <row r="23" spans="1:20">
      <c r="A23" s="553" t="s">
        <v>391</v>
      </c>
      <c r="B23" s="390"/>
      <c r="C23" s="391"/>
      <c r="D23" s="391">
        <v>4500</v>
      </c>
      <c r="E23" s="390"/>
      <c r="F23" s="391"/>
      <c r="G23" s="391"/>
      <c r="H23" s="390"/>
      <c r="I23" s="391"/>
      <c r="J23" s="391"/>
      <c r="K23" s="390"/>
      <c r="L23" s="391"/>
      <c r="M23" s="391"/>
      <c r="N23" s="425">
        <v>119.153305992021</v>
      </c>
      <c r="O23" s="391"/>
      <c r="P23" s="390"/>
      <c r="Q23" s="391"/>
      <c r="R23" s="388">
        <f t="shared" si="0"/>
        <v>4619.1533059920212</v>
      </c>
      <c r="S23" s="181" t="s">
        <v>0</v>
      </c>
      <c r="T23" s="18"/>
    </row>
    <row r="24" spans="1:20">
      <c r="A24" s="553" t="s">
        <v>464</v>
      </c>
      <c r="B24" s="390"/>
      <c r="C24" s="391"/>
      <c r="D24" s="391">
        <v>125000</v>
      </c>
      <c r="E24" s="390"/>
      <c r="F24" s="391"/>
      <c r="G24" s="391"/>
      <c r="H24" s="390"/>
      <c r="I24" s="391"/>
      <c r="J24" s="391"/>
      <c r="K24" s="390"/>
      <c r="L24" s="391"/>
      <c r="M24" s="391"/>
      <c r="N24" s="425"/>
      <c r="O24" s="391"/>
      <c r="P24" s="390"/>
      <c r="Q24" s="391"/>
      <c r="R24" s="388">
        <f t="shared" si="0"/>
        <v>125000</v>
      </c>
      <c r="S24" s="181" t="s">
        <v>0</v>
      </c>
      <c r="T24" s="18"/>
    </row>
    <row r="25" spans="1:20">
      <c r="A25" s="549" t="s">
        <v>220</v>
      </c>
      <c r="B25" s="551"/>
      <c r="C25" s="550"/>
      <c r="D25" s="550">
        <v>117000</v>
      </c>
      <c r="E25" s="551"/>
      <c r="F25" s="550"/>
      <c r="G25" s="550"/>
      <c r="H25" s="551"/>
      <c r="I25" s="550"/>
      <c r="J25" s="550"/>
      <c r="K25" s="551"/>
      <c r="L25" s="550"/>
      <c r="M25" s="550"/>
      <c r="N25" s="425">
        <v>2746.6010969863401</v>
      </c>
      <c r="O25" s="391">
        <v>403.47440999999998</v>
      </c>
      <c r="P25" s="551"/>
      <c r="Q25" s="550"/>
      <c r="R25" s="552">
        <f t="shared" si="0"/>
        <v>120150.07550698634</v>
      </c>
      <c r="S25" s="181" t="s">
        <v>0</v>
      </c>
      <c r="T25" s="18"/>
    </row>
    <row r="26" spans="1:20">
      <c r="A26" s="549" t="s">
        <v>253</v>
      </c>
      <c r="B26" s="551"/>
      <c r="C26" s="550"/>
      <c r="D26" s="550">
        <v>4000</v>
      </c>
      <c r="E26" s="551"/>
      <c r="F26" s="550"/>
      <c r="G26" s="550"/>
      <c r="H26" s="551"/>
      <c r="I26" s="550"/>
      <c r="J26" s="550"/>
      <c r="K26" s="551"/>
      <c r="L26" s="550"/>
      <c r="M26" s="550"/>
      <c r="N26" s="425">
        <v>368.075455330674</v>
      </c>
      <c r="O26" s="391"/>
      <c r="P26" s="551"/>
      <c r="Q26" s="550"/>
      <c r="R26" s="552">
        <f t="shared" si="0"/>
        <v>4368.0754553306742</v>
      </c>
      <c r="S26" s="181" t="s">
        <v>0</v>
      </c>
      <c r="T26" s="18"/>
    </row>
    <row r="27" spans="1:20">
      <c r="A27" s="549" t="s">
        <v>219</v>
      </c>
      <c r="B27" s="551"/>
      <c r="C27" s="550"/>
      <c r="D27" s="550">
        <v>4000</v>
      </c>
      <c r="E27" s="551"/>
      <c r="F27" s="550"/>
      <c r="G27" s="550"/>
      <c r="H27" s="551"/>
      <c r="I27" s="550"/>
      <c r="J27" s="550"/>
      <c r="K27" s="551"/>
      <c r="L27" s="550"/>
      <c r="M27" s="550"/>
      <c r="N27" s="425">
        <v>1572.66376533067</v>
      </c>
      <c r="O27" s="391"/>
      <c r="P27" s="551"/>
      <c r="Q27" s="550"/>
      <c r="R27" s="552">
        <f t="shared" si="0"/>
        <v>5572.6637653306698</v>
      </c>
      <c r="S27" s="181" t="s">
        <v>0</v>
      </c>
      <c r="T27" s="18"/>
    </row>
    <row r="28" spans="1:20">
      <c r="A28" s="553" t="s">
        <v>318</v>
      </c>
      <c r="B28" s="390"/>
      <c r="C28" s="391"/>
      <c r="D28" s="391">
        <v>35000</v>
      </c>
      <c r="E28" s="390"/>
      <c r="F28" s="391"/>
      <c r="G28" s="391"/>
      <c r="H28" s="390"/>
      <c r="I28" s="391"/>
      <c r="J28" s="391"/>
      <c r="K28" s="390"/>
      <c r="L28" s="391"/>
      <c r="M28" s="391"/>
      <c r="N28" s="425">
        <v>1266.0672379760599</v>
      </c>
      <c r="O28" s="391">
        <v>329.29874000000001</v>
      </c>
      <c r="P28" s="390"/>
      <c r="Q28" s="391"/>
      <c r="R28" s="388">
        <f t="shared" si="0"/>
        <v>36595.365977976056</v>
      </c>
      <c r="S28" s="181" t="s">
        <v>0</v>
      </c>
      <c r="T28" s="18"/>
    </row>
    <row r="29" spans="1:20">
      <c r="A29" s="553" t="s">
        <v>319</v>
      </c>
      <c r="B29" s="390"/>
      <c r="C29" s="391"/>
      <c r="D29" s="391">
        <v>7000</v>
      </c>
      <c r="E29" s="390"/>
      <c r="F29" s="391"/>
      <c r="G29" s="391"/>
      <c r="H29" s="390"/>
      <c r="I29" s="391"/>
      <c r="J29" s="391"/>
      <c r="K29" s="390"/>
      <c r="L29" s="391"/>
      <c r="M29" s="391"/>
      <c r="N29" s="425">
        <v>476.15204132269503</v>
      </c>
      <c r="O29" s="391"/>
      <c r="P29" s="390"/>
      <c r="Q29" s="391"/>
      <c r="R29" s="388">
        <f t="shared" si="0"/>
        <v>7476.1520413226954</v>
      </c>
      <c r="S29" s="181" t="s">
        <v>0</v>
      </c>
      <c r="T29" s="18"/>
    </row>
    <row r="30" spans="1:20">
      <c r="A30" s="553" t="s">
        <v>465</v>
      </c>
      <c r="B30" s="390"/>
      <c r="C30" s="391"/>
      <c r="D30" s="391">
        <v>0</v>
      </c>
      <c r="E30" s="390"/>
      <c r="F30" s="391"/>
      <c r="G30" s="391"/>
      <c r="H30" s="390"/>
      <c r="I30" s="391"/>
      <c r="J30" s="391"/>
      <c r="K30" s="390"/>
      <c r="L30" s="391"/>
      <c r="M30" s="391"/>
      <c r="N30" s="425">
        <v>250.94337706613501</v>
      </c>
      <c r="O30" s="391"/>
      <c r="P30" s="390"/>
      <c r="Q30" s="391"/>
      <c r="R30" s="388">
        <f t="shared" si="0"/>
        <v>250.94337706613501</v>
      </c>
      <c r="S30" s="181" t="s">
        <v>0</v>
      </c>
      <c r="T30" s="18"/>
    </row>
    <row r="31" spans="1:20">
      <c r="A31" s="553" t="s">
        <v>320</v>
      </c>
      <c r="B31" s="390"/>
      <c r="C31" s="391"/>
      <c r="D31" s="391">
        <v>20000</v>
      </c>
      <c r="E31" s="390"/>
      <c r="F31" s="391"/>
      <c r="G31" s="391"/>
      <c r="H31" s="390"/>
      <c r="I31" s="391"/>
      <c r="J31" s="391"/>
      <c r="K31" s="390"/>
      <c r="L31" s="391"/>
      <c r="M31" s="391"/>
      <c r="N31" s="425"/>
      <c r="O31" s="391">
        <v>62.083030000000001</v>
      </c>
      <c r="P31" s="390"/>
      <c r="Q31" s="391"/>
      <c r="R31" s="388">
        <f t="shared" si="0"/>
        <v>20062.083030000002</v>
      </c>
      <c r="S31" s="181" t="s">
        <v>0</v>
      </c>
      <c r="T31" s="18"/>
    </row>
    <row r="32" spans="1:20">
      <c r="A32" s="553" t="s">
        <v>473</v>
      </c>
      <c r="B32" s="390"/>
      <c r="C32" s="391"/>
      <c r="D32" s="391">
        <v>38000</v>
      </c>
      <c r="E32" s="390"/>
      <c r="F32" s="391"/>
      <c r="G32" s="391"/>
      <c r="H32" s="390"/>
      <c r="I32" s="391"/>
      <c r="J32" s="391"/>
      <c r="K32" s="390"/>
      <c r="L32" s="391"/>
      <c r="M32" s="391"/>
      <c r="N32" s="425"/>
      <c r="O32" s="391"/>
      <c r="P32" s="390"/>
      <c r="Q32" s="391"/>
      <c r="R32" s="388">
        <f t="shared" si="0"/>
        <v>38000</v>
      </c>
      <c r="S32" s="181" t="s">
        <v>0</v>
      </c>
      <c r="T32" s="18"/>
    </row>
    <row r="33" spans="1:20">
      <c r="A33" s="549" t="s">
        <v>321</v>
      </c>
      <c r="B33" s="551"/>
      <c r="C33" s="550"/>
      <c r="D33" s="550"/>
      <c r="E33" s="551"/>
      <c r="F33" s="550"/>
      <c r="G33" s="550"/>
      <c r="H33" s="551"/>
      <c r="I33" s="550"/>
      <c r="J33" s="550"/>
      <c r="K33" s="551"/>
      <c r="L33" s="550"/>
      <c r="M33" s="550"/>
      <c r="N33" s="425">
        <v>657.20813479361698</v>
      </c>
      <c r="O33" s="391"/>
      <c r="P33" s="551"/>
      <c r="Q33" s="550"/>
      <c r="R33" s="552">
        <f t="shared" si="0"/>
        <v>657.20813479361698</v>
      </c>
      <c r="S33" s="181" t="s">
        <v>0</v>
      </c>
      <c r="T33" s="18"/>
    </row>
    <row r="34" spans="1:20">
      <c r="A34" s="549" t="s">
        <v>322</v>
      </c>
      <c r="B34" s="551"/>
      <c r="C34" s="550"/>
      <c r="D34" s="550"/>
      <c r="E34" s="551"/>
      <c r="F34" s="550"/>
      <c r="G34" s="550"/>
      <c r="H34" s="551"/>
      <c r="I34" s="550"/>
      <c r="J34" s="550"/>
      <c r="K34" s="551"/>
      <c r="L34" s="550"/>
      <c r="M34" s="550"/>
      <c r="N34" s="425">
        <v>1286.92309066135</v>
      </c>
      <c r="O34" s="391">
        <v>24.382809999999999</v>
      </c>
      <c r="P34" s="551"/>
      <c r="Q34" s="550"/>
      <c r="R34" s="552">
        <f t="shared" si="0"/>
        <v>1311.3059006613501</v>
      </c>
      <c r="S34" s="181" t="s">
        <v>0</v>
      </c>
      <c r="T34" s="18"/>
    </row>
    <row r="35" spans="1:20">
      <c r="A35" s="549" t="s">
        <v>323</v>
      </c>
      <c r="B35" s="551"/>
      <c r="C35" s="550"/>
      <c r="D35" s="550"/>
      <c r="E35" s="551"/>
      <c r="F35" s="550"/>
      <c r="G35" s="550"/>
      <c r="H35" s="551"/>
      <c r="I35" s="550"/>
      <c r="J35" s="550"/>
      <c r="K35" s="551"/>
      <c r="L35" s="550"/>
      <c r="M35" s="550"/>
      <c r="N35" s="425">
        <v>2.09760119840421</v>
      </c>
      <c r="O35" s="391"/>
      <c r="P35" s="551"/>
      <c r="Q35" s="550"/>
      <c r="R35" s="552">
        <f t="shared" si="0"/>
        <v>2.09760119840421</v>
      </c>
      <c r="S35" s="181" t="s">
        <v>0</v>
      </c>
      <c r="T35" s="18"/>
    </row>
    <row r="36" spans="1:20">
      <c r="A36" s="549" t="s">
        <v>324</v>
      </c>
      <c r="B36" s="551"/>
      <c r="C36" s="550"/>
      <c r="D36" s="550"/>
      <c r="E36" s="551"/>
      <c r="F36" s="550"/>
      <c r="G36" s="550"/>
      <c r="H36" s="551"/>
      <c r="I36" s="550"/>
      <c r="J36" s="550"/>
      <c r="K36" s="551"/>
      <c r="L36" s="550"/>
      <c r="M36" s="550"/>
      <c r="N36" s="425">
        <v>966.415746653366</v>
      </c>
      <c r="O36" s="391">
        <v>69.700360000000003</v>
      </c>
      <c r="P36" s="551"/>
      <c r="Q36" s="550"/>
      <c r="R36" s="552">
        <f t="shared" si="0"/>
        <v>1036.1161066533659</v>
      </c>
      <c r="S36" s="181" t="s">
        <v>0</v>
      </c>
      <c r="T36" s="18"/>
    </row>
    <row r="37" spans="1:20">
      <c r="A37" s="553" t="s">
        <v>325</v>
      </c>
      <c r="B37" s="390"/>
      <c r="C37" s="391"/>
      <c r="D37" s="391">
        <v>4000</v>
      </c>
      <c r="E37" s="390"/>
      <c r="F37" s="391"/>
      <c r="G37" s="391"/>
      <c r="H37" s="390"/>
      <c r="I37" s="391"/>
      <c r="J37" s="391"/>
      <c r="K37" s="390"/>
      <c r="L37" s="391"/>
      <c r="M37" s="391"/>
      <c r="N37" s="425">
        <v>63.109310661347401</v>
      </c>
      <c r="O37" s="391">
        <v>59.171500000000002</v>
      </c>
      <c r="P37" s="390"/>
      <c r="Q37" s="391"/>
      <c r="R37" s="388">
        <f t="shared" si="0"/>
        <v>4122.2808106613475</v>
      </c>
      <c r="S37" s="181" t="s">
        <v>0</v>
      </c>
      <c r="T37" s="18"/>
    </row>
    <row r="38" spans="1:20">
      <c r="A38" s="553" t="s">
        <v>326</v>
      </c>
      <c r="B38" s="390"/>
      <c r="C38" s="391"/>
      <c r="D38" s="391">
        <f>470000-100000</f>
        <v>370000</v>
      </c>
      <c r="E38" s="390"/>
      <c r="F38" s="391"/>
      <c r="G38" s="391"/>
      <c r="H38" s="390"/>
      <c r="I38" s="391"/>
      <c r="J38" s="391"/>
      <c r="K38" s="390"/>
      <c r="L38" s="391"/>
      <c r="M38" s="391"/>
      <c r="N38" s="425">
        <f>2662.53520079484+127.012270000001+684.58578+27.6897653306648</f>
        <v>3501.8230161255055</v>
      </c>
      <c r="O38" s="391">
        <v>122.9615</v>
      </c>
      <c r="P38" s="390"/>
      <c r="Q38" s="391"/>
      <c r="R38" s="388">
        <f t="shared" si="0"/>
        <v>373624.78451612551</v>
      </c>
      <c r="S38" s="181" t="s">
        <v>0</v>
      </c>
      <c r="T38" s="18"/>
    </row>
    <row r="39" spans="1:20">
      <c r="A39" s="549" t="s">
        <v>327</v>
      </c>
      <c r="B39" s="551"/>
      <c r="C39" s="550"/>
      <c r="D39" s="550">
        <v>6000</v>
      </c>
      <c r="E39" s="551"/>
      <c r="F39" s="550"/>
      <c r="G39" s="550"/>
      <c r="H39" s="551"/>
      <c r="I39" s="550"/>
      <c r="J39" s="550"/>
      <c r="K39" s="551"/>
      <c r="L39" s="550"/>
      <c r="M39" s="550"/>
      <c r="N39" s="425"/>
      <c r="O39" s="391"/>
      <c r="P39" s="551"/>
      <c r="Q39" s="550"/>
      <c r="R39" s="552">
        <f t="shared" si="0"/>
        <v>6000</v>
      </c>
      <c r="S39" s="181" t="s">
        <v>0</v>
      </c>
      <c r="T39" s="18"/>
    </row>
    <row r="40" spans="1:20">
      <c r="A40" s="549" t="s">
        <v>329</v>
      </c>
      <c r="B40" s="551"/>
      <c r="C40" s="550"/>
      <c r="D40" s="550">
        <v>2000</v>
      </c>
      <c r="E40" s="551"/>
      <c r="F40" s="550"/>
      <c r="G40" s="550"/>
      <c r="H40" s="551"/>
      <c r="I40" s="550"/>
      <c r="J40" s="550"/>
      <c r="K40" s="551"/>
      <c r="L40" s="550"/>
      <c r="M40" s="550"/>
      <c r="N40" s="425">
        <f>722.1197+24.77565</f>
        <v>746.89535000000001</v>
      </c>
      <c r="O40" s="391"/>
      <c r="P40" s="551"/>
      <c r="Q40" s="550"/>
      <c r="R40" s="552">
        <f t="shared" si="0"/>
        <v>2746.8953499999998</v>
      </c>
      <c r="S40" s="181" t="s">
        <v>0</v>
      </c>
      <c r="T40" s="18"/>
    </row>
    <row r="41" spans="1:20">
      <c r="A41" s="549" t="s">
        <v>328</v>
      </c>
      <c r="B41" s="551"/>
      <c r="C41" s="550"/>
      <c r="D41" s="550"/>
      <c r="E41" s="551"/>
      <c r="F41" s="550"/>
      <c r="G41" s="550"/>
      <c r="H41" s="551"/>
      <c r="I41" s="550"/>
      <c r="J41" s="550"/>
      <c r="K41" s="551"/>
      <c r="L41" s="550"/>
      <c r="M41" s="550"/>
      <c r="N41" s="425">
        <f>231.730195330674+41.20991</f>
        <v>272.94010533067399</v>
      </c>
      <c r="O41" s="391"/>
      <c r="P41" s="551"/>
      <c r="Q41" s="550"/>
      <c r="R41" s="552">
        <f t="shared" si="0"/>
        <v>272.94010533067399</v>
      </c>
      <c r="S41" s="181" t="s">
        <v>0</v>
      </c>
      <c r="T41" s="18"/>
    </row>
    <row r="42" spans="1:20">
      <c r="A42" s="549" t="s">
        <v>330</v>
      </c>
      <c r="B42" s="551"/>
      <c r="C42" s="550"/>
      <c r="D42" s="550">
        <v>4000</v>
      </c>
      <c r="E42" s="551"/>
      <c r="F42" s="550"/>
      <c r="G42" s="550"/>
      <c r="H42" s="551"/>
      <c r="I42" s="550"/>
      <c r="J42" s="550"/>
      <c r="K42" s="551"/>
      <c r="L42" s="550"/>
      <c r="M42" s="550"/>
      <c r="N42" s="425"/>
      <c r="O42" s="391"/>
      <c r="P42" s="551"/>
      <c r="Q42" s="550"/>
      <c r="R42" s="552">
        <f t="shared" si="0"/>
        <v>4000</v>
      </c>
      <c r="S42" s="181" t="s">
        <v>0</v>
      </c>
      <c r="T42" s="18"/>
    </row>
    <row r="43" spans="1:20">
      <c r="A43" s="549" t="s">
        <v>332</v>
      </c>
      <c r="B43" s="551"/>
      <c r="C43" s="550"/>
      <c r="D43" s="550">
        <v>4000</v>
      </c>
      <c r="E43" s="551"/>
      <c r="F43" s="550"/>
      <c r="G43" s="550"/>
      <c r="H43" s="551"/>
      <c r="I43" s="550"/>
      <c r="J43" s="550"/>
      <c r="K43" s="551"/>
      <c r="L43" s="550"/>
      <c r="M43" s="550"/>
      <c r="N43" s="425"/>
      <c r="O43" s="391"/>
      <c r="P43" s="551"/>
      <c r="Q43" s="550"/>
      <c r="R43" s="552">
        <f t="shared" si="0"/>
        <v>4000</v>
      </c>
      <c r="S43" s="181" t="s">
        <v>0</v>
      </c>
      <c r="T43" s="18"/>
    </row>
    <row r="44" spans="1:20">
      <c r="A44" s="549" t="s">
        <v>333</v>
      </c>
      <c r="B44" s="551"/>
      <c r="C44" s="550"/>
      <c r="D44" s="550">
        <v>2000</v>
      </c>
      <c r="E44" s="551"/>
      <c r="F44" s="550"/>
      <c r="G44" s="550"/>
      <c r="H44" s="551"/>
      <c r="I44" s="550"/>
      <c r="J44" s="550"/>
      <c r="K44" s="551"/>
      <c r="L44" s="550"/>
      <c r="M44" s="550"/>
      <c r="N44" s="425"/>
      <c r="O44" s="391"/>
      <c r="P44" s="551"/>
      <c r="Q44" s="550"/>
      <c r="R44" s="552">
        <f t="shared" si="0"/>
        <v>2000</v>
      </c>
      <c r="S44" s="181" t="s">
        <v>0</v>
      </c>
      <c r="T44" s="18"/>
    </row>
    <row r="45" spans="1:20" s="1432" customFormat="1">
      <c r="A45" s="553" t="s">
        <v>331</v>
      </c>
      <c r="B45" s="390"/>
      <c r="C45" s="391"/>
      <c r="D45" s="391">
        <v>100000</v>
      </c>
      <c r="E45" s="390"/>
      <c r="F45" s="391"/>
      <c r="G45" s="391"/>
      <c r="H45" s="390"/>
      <c r="I45" s="391"/>
      <c r="J45" s="391"/>
      <c r="K45" s="390"/>
      <c r="L45" s="391"/>
      <c r="M45" s="391"/>
      <c r="N45" s="425"/>
      <c r="O45" s="391"/>
      <c r="P45" s="390"/>
      <c r="Q45" s="391"/>
      <c r="R45" s="388">
        <f t="shared" ref="R45" si="1">D45+G45+J45+M45+N45+O45</f>
        <v>100000</v>
      </c>
      <c r="S45" s="181"/>
      <c r="T45" s="18"/>
    </row>
    <row r="46" spans="1:20">
      <c r="A46" s="553" t="s">
        <v>335</v>
      </c>
      <c r="B46" s="390"/>
      <c r="C46" s="391"/>
      <c r="D46" s="391">
        <v>9000</v>
      </c>
      <c r="E46" s="390"/>
      <c r="F46" s="391"/>
      <c r="G46" s="391"/>
      <c r="H46" s="390"/>
      <c r="I46" s="391"/>
      <c r="J46" s="391"/>
      <c r="K46" s="390"/>
      <c r="L46" s="391"/>
      <c r="M46" s="391"/>
      <c r="N46" s="425">
        <v>465.88984479361699</v>
      </c>
      <c r="O46" s="391"/>
      <c r="P46" s="390"/>
      <c r="Q46" s="391"/>
      <c r="R46" s="388">
        <f t="shared" si="0"/>
        <v>9465.8898447936172</v>
      </c>
      <c r="S46" s="181" t="s">
        <v>0</v>
      </c>
      <c r="T46" s="18"/>
    </row>
    <row r="47" spans="1:20">
      <c r="A47" s="553" t="s">
        <v>336</v>
      </c>
      <c r="B47" s="390"/>
      <c r="C47" s="391"/>
      <c r="D47" s="391">
        <v>1000</v>
      </c>
      <c r="E47" s="390"/>
      <c r="F47" s="391"/>
      <c r="G47" s="391"/>
      <c r="H47" s="390"/>
      <c r="I47" s="391"/>
      <c r="J47" s="391"/>
      <c r="K47" s="390"/>
      <c r="L47" s="391"/>
      <c r="M47" s="391"/>
      <c r="N47" s="425">
        <v>221.06306413226901</v>
      </c>
      <c r="O47" s="391"/>
      <c r="P47" s="390"/>
      <c r="Q47" s="391"/>
      <c r="R47" s="388">
        <f t="shared" si="0"/>
        <v>1221.0630641322691</v>
      </c>
      <c r="S47" s="181" t="s">
        <v>0</v>
      </c>
      <c r="T47" s="18"/>
    </row>
    <row r="48" spans="1:20">
      <c r="A48" s="553" t="s">
        <v>466</v>
      </c>
      <c r="B48" s="390"/>
      <c r="C48" s="391"/>
      <c r="D48" s="391">
        <v>6000</v>
      </c>
      <c r="E48" s="390"/>
      <c r="F48" s="391"/>
      <c r="G48" s="391"/>
      <c r="H48" s="390"/>
      <c r="I48" s="391"/>
      <c r="J48" s="391"/>
      <c r="K48" s="390"/>
      <c r="L48" s="391"/>
      <c r="M48" s="391"/>
      <c r="N48" s="425">
        <v>1433.04674626055</v>
      </c>
      <c r="O48" s="391">
        <v>12.218400000000001</v>
      </c>
      <c r="P48" s="390"/>
      <c r="Q48" s="391"/>
      <c r="R48" s="388">
        <f t="shared" si="0"/>
        <v>7445.26514626055</v>
      </c>
      <c r="S48" s="181" t="s">
        <v>0</v>
      </c>
      <c r="T48" s="18"/>
    </row>
    <row r="49" spans="1:20">
      <c r="A49" s="553" t="s">
        <v>362</v>
      </c>
      <c r="B49" s="390"/>
      <c r="C49" s="391"/>
      <c r="D49" s="391">
        <v>5000</v>
      </c>
      <c r="E49" s="390"/>
      <c r="F49" s="391"/>
      <c r="G49" s="391"/>
      <c r="H49" s="390"/>
      <c r="I49" s="391"/>
      <c r="J49" s="391"/>
      <c r="K49" s="390"/>
      <c r="L49" s="391"/>
      <c r="M49" s="391"/>
      <c r="N49" s="425">
        <v>6883.8763313227</v>
      </c>
      <c r="O49" s="391"/>
      <c r="P49" s="390"/>
      <c r="Q49" s="391"/>
      <c r="R49" s="388">
        <f t="shared" si="0"/>
        <v>11883.876331322699</v>
      </c>
      <c r="S49" s="181" t="s">
        <v>0</v>
      </c>
      <c r="T49" s="18"/>
    </row>
    <row r="50" spans="1:20">
      <c r="A50" s="553" t="s">
        <v>337</v>
      </c>
      <c r="B50" s="390"/>
      <c r="C50" s="391"/>
      <c r="D50" s="391"/>
      <c r="E50" s="390"/>
      <c r="F50" s="391"/>
      <c r="G50" s="391"/>
      <c r="H50" s="390"/>
      <c r="I50" s="391"/>
      <c r="J50" s="391"/>
      <c r="K50" s="390"/>
      <c r="L50" s="391"/>
      <c r="M50" s="391"/>
      <c r="N50" s="425">
        <v>204.24648119840401</v>
      </c>
      <c r="O50" s="391"/>
      <c r="P50" s="390"/>
      <c r="Q50" s="391"/>
      <c r="R50" s="388">
        <f t="shared" si="0"/>
        <v>204.24648119840401</v>
      </c>
      <c r="S50" s="181" t="s">
        <v>0</v>
      </c>
      <c r="T50" s="18"/>
    </row>
    <row r="51" spans="1:20">
      <c r="A51" s="553" t="s">
        <v>363</v>
      </c>
      <c r="B51" s="390"/>
      <c r="C51" s="391"/>
      <c r="D51" s="391">
        <v>12000</v>
      </c>
      <c r="E51" s="390"/>
      <c r="F51" s="391"/>
      <c r="G51" s="391"/>
      <c r="H51" s="390"/>
      <c r="I51" s="391"/>
      <c r="J51" s="391"/>
      <c r="K51" s="390"/>
      <c r="L51" s="391"/>
      <c r="M51" s="391"/>
      <c r="N51" s="425">
        <v>2369.4841273147099</v>
      </c>
      <c r="O51" s="391">
        <v>127.78285</v>
      </c>
      <c r="P51" s="390"/>
      <c r="Q51" s="391"/>
      <c r="R51" s="388">
        <f t="shared" si="0"/>
        <v>14497.26697731471</v>
      </c>
      <c r="S51" s="181" t="s">
        <v>0</v>
      </c>
      <c r="T51" s="18"/>
    </row>
    <row r="52" spans="1:20">
      <c r="A52" s="553" t="s">
        <v>338</v>
      </c>
      <c r="B52" s="390"/>
      <c r="C52" s="391"/>
      <c r="D52" s="391">
        <v>7000</v>
      </c>
      <c r="E52" s="390"/>
      <c r="F52" s="391"/>
      <c r="G52" s="391"/>
      <c r="H52" s="390"/>
      <c r="I52" s="391"/>
      <c r="J52" s="391"/>
      <c r="K52" s="390"/>
      <c r="L52" s="391"/>
      <c r="M52" s="391"/>
      <c r="N52" s="425">
        <v>1003.17566946294</v>
      </c>
      <c r="O52" s="391">
        <v>29.033349999999999</v>
      </c>
      <c r="P52" s="390"/>
      <c r="Q52" s="391"/>
      <c r="R52" s="388">
        <f t="shared" si="0"/>
        <v>8032.20901946294</v>
      </c>
      <c r="S52" s="181" t="s">
        <v>0</v>
      </c>
      <c r="T52" s="18"/>
    </row>
    <row r="53" spans="1:20">
      <c r="A53" s="553" t="s">
        <v>339</v>
      </c>
      <c r="B53" s="390"/>
      <c r="C53" s="391"/>
      <c r="D53" s="391">
        <v>12500</v>
      </c>
      <c r="E53" s="390"/>
      <c r="F53" s="391"/>
      <c r="G53" s="391"/>
      <c r="H53" s="390"/>
      <c r="I53" s="391"/>
      <c r="J53" s="391"/>
      <c r="K53" s="390"/>
      <c r="L53" s="391"/>
      <c r="M53" s="391"/>
      <c r="N53" s="425">
        <v>2149.68764599202</v>
      </c>
      <c r="O53" s="391">
        <v>585.81925999999999</v>
      </c>
      <c r="P53" s="390"/>
      <c r="Q53" s="391"/>
      <c r="R53" s="388">
        <f t="shared" si="0"/>
        <v>15235.506905992021</v>
      </c>
      <c r="S53" s="181" t="s">
        <v>0</v>
      </c>
      <c r="T53" s="18"/>
    </row>
    <row r="54" spans="1:20">
      <c r="A54" s="553" t="s">
        <v>467</v>
      </c>
      <c r="B54" s="390"/>
      <c r="C54" s="391"/>
      <c r="D54" s="391"/>
      <c r="E54" s="390"/>
      <c r="F54" s="391"/>
      <c r="G54" s="391"/>
      <c r="H54" s="390"/>
      <c r="I54" s="391"/>
      <c r="J54" s="391"/>
      <c r="K54" s="390"/>
      <c r="L54" s="391"/>
      <c r="M54" s="391"/>
      <c r="N54" s="425">
        <v>1706.2180270661299</v>
      </c>
      <c r="O54" s="391"/>
      <c r="P54" s="390"/>
      <c r="Q54" s="391"/>
      <c r="R54" s="388">
        <f t="shared" si="0"/>
        <v>1706.2180270661299</v>
      </c>
      <c r="S54" s="181" t="s">
        <v>0</v>
      </c>
      <c r="T54" s="18"/>
    </row>
    <row r="55" spans="1:20">
      <c r="A55" s="371" t="s">
        <v>341</v>
      </c>
      <c r="B55" s="747"/>
      <c r="C55" s="671"/>
      <c r="D55" s="671">
        <v>10000</v>
      </c>
      <c r="E55" s="747"/>
      <c r="F55" s="671"/>
      <c r="G55" s="671"/>
      <c r="H55" s="747"/>
      <c r="I55" s="671"/>
      <c r="J55" s="671"/>
      <c r="K55" s="747"/>
      <c r="L55" s="671"/>
      <c r="M55" s="671"/>
      <c r="N55" s="423">
        <v>823.81689198404194</v>
      </c>
      <c r="O55" s="671">
        <v>11.49714</v>
      </c>
      <c r="P55" s="747"/>
      <c r="Q55" s="671"/>
      <c r="R55" s="672">
        <f t="shared" si="0"/>
        <v>10835.314031984042</v>
      </c>
      <c r="S55" s="181" t="s">
        <v>0</v>
      </c>
      <c r="T55" s="18"/>
    </row>
    <row r="56" spans="1:20">
      <c r="A56" s="553" t="s">
        <v>468</v>
      </c>
      <c r="B56" s="390"/>
      <c r="C56" s="391"/>
      <c r="D56" s="391">
        <v>63000</v>
      </c>
      <c r="E56" s="390"/>
      <c r="F56" s="391"/>
      <c r="G56" s="391"/>
      <c r="H56" s="390"/>
      <c r="I56" s="391"/>
      <c r="J56" s="391"/>
      <c r="K56" s="390"/>
      <c r="L56" s="391"/>
      <c r="M56" s="391"/>
      <c r="N56" s="425">
        <v>66.18974</v>
      </c>
      <c r="O56" s="391">
        <v>509.43412000000001</v>
      </c>
      <c r="P56" s="390"/>
      <c r="Q56" s="391"/>
      <c r="R56" s="388">
        <f t="shared" si="0"/>
        <v>63575.62386</v>
      </c>
      <c r="S56" s="181" t="s">
        <v>0</v>
      </c>
      <c r="T56" s="18"/>
    </row>
    <row r="57" spans="1:20">
      <c r="A57" s="554" t="s">
        <v>342</v>
      </c>
      <c r="B57" s="737"/>
      <c r="C57" s="680"/>
      <c r="D57" s="680"/>
      <c r="E57" s="737"/>
      <c r="F57" s="680"/>
      <c r="G57" s="680"/>
      <c r="H57" s="737"/>
      <c r="I57" s="680"/>
      <c r="J57" s="680"/>
      <c r="K57" s="737"/>
      <c r="L57" s="680"/>
      <c r="M57" s="680"/>
      <c r="N57" s="424">
        <v>437.41286144698302</v>
      </c>
      <c r="O57" s="557">
        <v>104.37729</v>
      </c>
      <c r="P57" s="737"/>
      <c r="Q57" s="680"/>
      <c r="R57" s="681">
        <f t="shared" si="0"/>
        <v>541.79015144698303</v>
      </c>
      <c r="S57" s="181" t="s">
        <v>0</v>
      </c>
      <c r="T57" s="18"/>
    </row>
    <row r="58" spans="1:20">
      <c r="A58" s="554" t="s">
        <v>343</v>
      </c>
      <c r="B58" s="737"/>
      <c r="C58" s="680"/>
      <c r="D58" s="680"/>
      <c r="E58" s="737"/>
      <c r="F58" s="680"/>
      <c r="G58" s="680"/>
      <c r="H58" s="737"/>
      <c r="I58" s="680"/>
      <c r="J58" s="680"/>
      <c r="K58" s="737"/>
      <c r="L58" s="680"/>
      <c r="M58" s="680"/>
      <c r="N58" s="424">
        <v>6.9273926653368303</v>
      </c>
      <c r="O58" s="557"/>
      <c r="P58" s="737"/>
      <c r="Q58" s="680"/>
      <c r="R58" s="681">
        <f t="shared" si="0"/>
        <v>6.9273926653368303</v>
      </c>
      <c r="S58" s="181" t="s">
        <v>0</v>
      </c>
      <c r="T58" s="18"/>
    </row>
    <row r="59" spans="1:20">
      <c r="A59" s="554" t="s">
        <v>345</v>
      </c>
      <c r="B59" s="737"/>
      <c r="C59" s="680"/>
      <c r="D59" s="680"/>
      <c r="E59" s="737"/>
      <c r="F59" s="680"/>
      <c r="G59" s="680"/>
      <c r="H59" s="737"/>
      <c r="I59" s="680"/>
      <c r="J59" s="680"/>
      <c r="K59" s="737"/>
      <c r="L59" s="680"/>
      <c r="M59" s="680"/>
      <c r="N59" s="424">
        <v>259.78071599202099</v>
      </c>
      <c r="O59" s="557">
        <v>74.888000000000005</v>
      </c>
      <c r="P59" s="737"/>
      <c r="Q59" s="680"/>
      <c r="R59" s="681">
        <f t="shared" si="0"/>
        <v>334.66871599202102</v>
      </c>
      <c r="S59" s="181" t="s">
        <v>0</v>
      </c>
      <c r="T59" s="18"/>
    </row>
    <row r="60" spans="1:20">
      <c r="A60" s="554" t="s">
        <v>346</v>
      </c>
      <c r="B60" s="737"/>
      <c r="C60" s="680"/>
      <c r="D60" s="680"/>
      <c r="E60" s="737"/>
      <c r="F60" s="680"/>
      <c r="G60" s="680"/>
      <c r="H60" s="737"/>
      <c r="I60" s="680"/>
      <c r="J60" s="680"/>
      <c r="K60" s="737"/>
      <c r="L60" s="680"/>
      <c r="M60" s="680"/>
      <c r="N60" s="424">
        <v>30.408921859751601</v>
      </c>
      <c r="O60" s="557"/>
      <c r="P60" s="737"/>
      <c r="Q60" s="680"/>
      <c r="R60" s="681">
        <f t="shared" si="0"/>
        <v>30.408921859751601</v>
      </c>
      <c r="S60" s="181" t="s">
        <v>0</v>
      </c>
      <c r="T60" s="18"/>
    </row>
    <row r="61" spans="1:20">
      <c r="A61" s="554" t="s">
        <v>348</v>
      </c>
      <c r="B61" s="737"/>
      <c r="C61" s="680"/>
      <c r="D61" s="680"/>
      <c r="E61" s="737"/>
      <c r="F61" s="680"/>
      <c r="G61" s="680"/>
      <c r="H61" s="737"/>
      <c r="I61" s="680"/>
      <c r="J61" s="680"/>
      <c r="K61" s="737"/>
      <c r="L61" s="680"/>
      <c r="M61" s="680"/>
      <c r="N61" s="424">
        <v>69.7395706613474</v>
      </c>
      <c r="O61" s="557"/>
      <c r="P61" s="737"/>
      <c r="Q61" s="680"/>
      <c r="R61" s="681">
        <f t="shared" si="0"/>
        <v>69.7395706613474</v>
      </c>
      <c r="S61" s="181" t="s">
        <v>0</v>
      </c>
      <c r="T61" s="18"/>
    </row>
    <row r="62" spans="1:20">
      <c r="A62" s="554" t="s">
        <v>349</v>
      </c>
      <c r="B62" s="737"/>
      <c r="C62" s="680"/>
      <c r="D62" s="680"/>
      <c r="E62" s="737"/>
      <c r="F62" s="680"/>
      <c r="G62" s="680"/>
      <c r="H62" s="737"/>
      <c r="I62" s="680"/>
      <c r="J62" s="680"/>
      <c r="K62" s="737"/>
      <c r="L62" s="680"/>
      <c r="M62" s="680"/>
      <c r="N62" s="424">
        <v>2305.8010406613498</v>
      </c>
      <c r="O62" s="557"/>
      <c r="P62" s="737"/>
      <c r="Q62" s="680"/>
      <c r="R62" s="681">
        <f t="shared" si="0"/>
        <v>2305.8010406613498</v>
      </c>
      <c r="S62" s="181" t="s">
        <v>0</v>
      </c>
      <c r="T62" s="18"/>
    </row>
    <row r="63" spans="1:20">
      <c r="A63" s="554" t="s">
        <v>350</v>
      </c>
      <c r="B63" s="737"/>
      <c r="C63" s="680"/>
      <c r="D63" s="680">
        <v>4000</v>
      </c>
      <c r="E63" s="737"/>
      <c r="F63" s="680"/>
      <c r="G63" s="680"/>
      <c r="H63" s="737"/>
      <c r="I63" s="680"/>
      <c r="J63" s="680"/>
      <c r="K63" s="737"/>
      <c r="L63" s="680"/>
      <c r="M63" s="680"/>
      <c r="N63" s="424"/>
      <c r="O63" s="557"/>
      <c r="P63" s="737"/>
      <c r="Q63" s="680"/>
      <c r="R63" s="681">
        <f t="shared" si="0"/>
        <v>4000</v>
      </c>
      <c r="S63" s="181" t="s">
        <v>0</v>
      </c>
      <c r="T63" s="18"/>
    </row>
    <row r="64" spans="1:20">
      <c r="A64" s="370" t="s">
        <v>352</v>
      </c>
      <c r="B64" s="556"/>
      <c r="C64" s="557"/>
      <c r="D64" s="557"/>
      <c r="E64" s="556"/>
      <c r="F64" s="557"/>
      <c r="G64" s="557"/>
      <c r="H64" s="556"/>
      <c r="I64" s="557"/>
      <c r="J64" s="557"/>
      <c r="K64" s="556"/>
      <c r="L64" s="557"/>
      <c r="M64" s="557"/>
      <c r="N64" s="424">
        <v>2984.25140905017</v>
      </c>
      <c r="O64" s="557">
        <v>15.531129999999999</v>
      </c>
      <c r="P64" s="556"/>
      <c r="Q64" s="557"/>
      <c r="R64" s="558">
        <f t="shared" si="0"/>
        <v>2999.7825390501698</v>
      </c>
      <c r="S64" s="181" t="s">
        <v>0</v>
      </c>
      <c r="T64" s="18"/>
    </row>
    <row r="65" spans="1:20">
      <c r="A65" s="885" t="s">
        <v>469</v>
      </c>
      <c r="B65" s="556"/>
      <c r="C65" s="557"/>
      <c r="D65" s="557">
        <v>5000</v>
      </c>
      <c r="E65" s="556"/>
      <c r="F65" s="557"/>
      <c r="G65" s="557"/>
      <c r="H65" s="556"/>
      <c r="I65" s="557"/>
      <c r="J65" s="557"/>
      <c r="K65" s="556"/>
      <c r="L65" s="557"/>
      <c r="M65" s="557"/>
      <c r="N65" s="424">
        <v>781.15859599202099</v>
      </c>
      <c r="O65" s="557">
        <v>162.99529000000001</v>
      </c>
      <c r="P65" s="556"/>
      <c r="Q65" s="557"/>
      <c r="R65" s="558">
        <f t="shared" si="0"/>
        <v>5944.1538859920211</v>
      </c>
      <c r="S65" s="181" t="s">
        <v>0</v>
      </c>
      <c r="T65" s="18"/>
    </row>
    <row r="66" spans="1:20">
      <c r="A66" s="370" t="s">
        <v>353</v>
      </c>
      <c r="B66" s="556"/>
      <c r="C66" s="557"/>
      <c r="D66" s="557">
        <v>240000</v>
      </c>
      <c r="E66" s="556"/>
      <c r="F66" s="557"/>
      <c r="G66" s="557"/>
      <c r="H66" s="556"/>
      <c r="I66" s="557"/>
      <c r="J66" s="557"/>
      <c r="K66" s="556"/>
      <c r="L66" s="557"/>
      <c r="M66" s="557"/>
      <c r="N66" s="424">
        <v>131.37515182445199</v>
      </c>
      <c r="O66" s="557">
        <v>31.673999999999999</v>
      </c>
      <c r="P66" s="556"/>
      <c r="Q66" s="557"/>
      <c r="R66" s="558">
        <f t="shared" si="0"/>
        <v>240163.04915182444</v>
      </c>
      <c r="S66" s="181" t="s">
        <v>0</v>
      </c>
      <c r="T66" s="18"/>
    </row>
    <row r="67" spans="1:20">
      <c r="A67" s="370" t="s">
        <v>354</v>
      </c>
      <c r="B67" s="556"/>
      <c r="C67" s="557"/>
      <c r="D67" s="557"/>
      <c r="E67" s="556"/>
      <c r="F67" s="557"/>
      <c r="G67" s="557"/>
      <c r="H67" s="556"/>
      <c r="I67" s="557"/>
      <c r="J67" s="557"/>
      <c r="K67" s="556"/>
      <c r="L67" s="557"/>
      <c r="M67" s="557"/>
      <c r="N67" s="424">
        <v>3.0617206613473602</v>
      </c>
      <c r="O67" s="557"/>
      <c r="P67" s="556"/>
      <c r="Q67" s="557"/>
      <c r="R67" s="558">
        <f t="shared" si="0"/>
        <v>3.0617206613473602</v>
      </c>
      <c r="S67" s="181" t="s">
        <v>0</v>
      </c>
      <c r="T67" s="18"/>
    </row>
    <row r="68" spans="1:20">
      <c r="A68" s="885" t="s">
        <v>470</v>
      </c>
      <c r="B68" s="556"/>
      <c r="C68" s="557"/>
      <c r="D68" s="557"/>
      <c r="E68" s="556"/>
      <c r="F68" s="557"/>
      <c r="G68" s="557"/>
      <c r="H68" s="556"/>
      <c r="I68" s="557"/>
      <c r="J68" s="557"/>
      <c r="K68" s="556"/>
      <c r="L68" s="557"/>
      <c r="M68" s="557"/>
      <c r="N68" s="424">
        <v>426.91576973147198</v>
      </c>
      <c r="O68" s="557">
        <v>93.327179999999998</v>
      </c>
      <c r="P68" s="556"/>
      <c r="Q68" s="557"/>
      <c r="R68" s="558">
        <f t="shared" si="0"/>
        <v>520.24294973147198</v>
      </c>
      <c r="S68" s="181" t="s">
        <v>0</v>
      </c>
      <c r="T68" s="18"/>
    </row>
    <row r="69" spans="1:20">
      <c r="A69" s="885" t="s">
        <v>476</v>
      </c>
      <c r="B69" s="556"/>
      <c r="C69" s="557"/>
      <c r="D69" s="557"/>
      <c r="E69" s="556"/>
      <c r="F69" s="557"/>
      <c r="G69" s="557"/>
      <c r="H69" s="556"/>
      <c r="I69" s="557"/>
      <c r="J69" s="557"/>
      <c r="K69" s="556"/>
      <c r="L69" s="557"/>
      <c r="M69" s="557"/>
      <c r="N69" s="424">
        <v>1776.6813111984</v>
      </c>
      <c r="O69" s="557">
        <v>46.943049999999999</v>
      </c>
      <c r="P69" s="556"/>
      <c r="Q69" s="557"/>
      <c r="R69" s="558">
        <f t="shared" si="0"/>
        <v>1823.6243611984</v>
      </c>
      <c r="S69" s="181" t="s">
        <v>0</v>
      </c>
      <c r="T69" s="18"/>
    </row>
    <row r="70" spans="1:20">
      <c r="A70" s="370" t="s">
        <v>355</v>
      </c>
      <c r="B70" s="556"/>
      <c r="C70" s="557"/>
      <c r="D70" s="557">
        <v>10500</v>
      </c>
      <c r="E70" s="556"/>
      <c r="F70" s="557"/>
      <c r="G70" s="557"/>
      <c r="H70" s="556"/>
      <c r="I70" s="557"/>
      <c r="J70" s="557"/>
      <c r="K70" s="556"/>
      <c r="L70" s="557"/>
      <c r="M70" s="557"/>
      <c r="N70" s="424">
        <v>1579.1022399999999</v>
      </c>
      <c r="O70" s="557">
        <v>137.83211</v>
      </c>
      <c r="P70" s="556"/>
      <c r="Q70" s="557"/>
      <c r="R70" s="558">
        <f t="shared" si="0"/>
        <v>12216.93435</v>
      </c>
      <c r="S70" s="181" t="s">
        <v>0</v>
      </c>
      <c r="T70" s="18"/>
    </row>
    <row r="71" spans="1:20">
      <c r="A71" s="370" t="s">
        <v>364</v>
      </c>
      <c r="B71" s="556"/>
      <c r="C71" s="557"/>
      <c r="D71" s="557"/>
      <c r="E71" s="556"/>
      <c r="F71" s="557"/>
      <c r="G71" s="557"/>
      <c r="H71" s="556"/>
      <c r="I71" s="557"/>
      <c r="J71" s="557"/>
      <c r="K71" s="556"/>
      <c r="L71" s="557"/>
      <c r="M71" s="557"/>
      <c r="N71" s="424">
        <v>193.574031684825</v>
      </c>
      <c r="O71" s="557"/>
      <c r="P71" s="556"/>
      <c r="Q71" s="557"/>
      <c r="R71" s="558">
        <f t="shared" si="0"/>
        <v>193.574031684825</v>
      </c>
      <c r="S71" s="181" t="s">
        <v>0</v>
      </c>
      <c r="T71" s="18"/>
    </row>
    <row r="72" spans="1:20">
      <c r="A72" s="370" t="s">
        <v>365</v>
      </c>
      <c r="B72" s="556"/>
      <c r="C72" s="557"/>
      <c r="D72" s="557"/>
      <c r="E72" s="556"/>
      <c r="F72" s="557"/>
      <c r="G72" s="557"/>
      <c r="H72" s="556"/>
      <c r="I72" s="557"/>
      <c r="J72" s="557"/>
      <c r="K72" s="556"/>
      <c r="L72" s="557"/>
      <c r="M72" s="557"/>
      <c r="N72" s="424"/>
      <c r="O72" s="557">
        <f>201.43819+1856.70437+165</f>
        <v>2223.1425599999998</v>
      </c>
      <c r="P72" s="556"/>
      <c r="Q72" s="557"/>
      <c r="R72" s="558">
        <f>D72+G72+J72+M72+N72+O72</f>
        <v>2223.1425599999998</v>
      </c>
      <c r="S72" s="181" t="s">
        <v>0</v>
      </c>
      <c r="T72" s="18"/>
    </row>
    <row r="73" spans="1:20">
      <c r="A73" s="370" t="s">
        <v>366</v>
      </c>
      <c r="B73" s="556"/>
      <c r="C73" s="557"/>
      <c r="D73" s="557"/>
      <c r="E73" s="556"/>
      <c r="F73" s="557"/>
      <c r="G73" s="557"/>
      <c r="H73" s="556"/>
      <c r="I73" s="557"/>
      <c r="J73" s="557"/>
      <c r="K73" s="556"/>
      <c r="L73" s="557"/>
      <c r="M73" s="557"/>
      <c r="N73" s="424">
        <v>169.09473</v>
      </c>
      <c r="O73" s="557"/>
      <c r="P73" s="556"/>
      <c r="Q73" s="557"/>
      <c r="R73" s="558">
        <f t="shared" ref="R73:R85" si="2">D73+G73+J73+M73+N73+O73</f>
        <v>169.09473</v>
      </c>
      <c r="S73" s="181" t="s">
        <v>0</v>
      </c>
      <c r="T73" s="18"/>
    </row>
    <row r="74" spans="1:20">
      <c r="A74" s="370" t="s">
        <v>367</v>
      </c>
      <c r="B74" s="556"/>
      <c r="C74" s="557"/>
      <c r="D74" s="557"/>
      <c r="E74" s="556"/>
      <c r="F74" s="557"/>
      <c r="G74" s="557"/>
      <c r="H74" s="556"/>
      <c r="I74" s="557"/>
      <c r="J74" s="557"/>
      <c r="K74" s="556"/>
      <c r="L74" s="557"/>
      <c r="M74" s="557"/>
      <c r="N74" s="424">
        <v>310.61862000000002</v>
      </c>
      <c r="O74" s="557"/>
      <c r="P74" s="556"/>
      <c r="Q74" s="557"/>
      <c r="R74" s="558">
        <f t="shared" si="2"/>
        <v>310.61862000000002</v>
      </c>
      <c r="S74" s="181" t="s">
        <v>0</v>
      </c>
      <c r="T74" s="18"/>
    </row>
    <row r="75" spans="1:20">
      <c r="A75" s="370" t="s">
        <v>368</v>
      </c>
      <c r="B75" s="556"/>
      <c r="C75" s="557"/>
      <c r="D75" s="557"/>
      <c r="E75" s="556"/>
      <c r="F75" s="557"/>
      <c r="G75" s="557"/>
      <c r="H75" s="556"/>
      <c r="I75" s="557"/>
      <c r="J75" s="557"/>
      <c r="K75" s="556"/>
      <c r="L75" s="557"/>
      <c r="M75" s="557"/>
      <c r="N75" s="424">
        <v>0.53600000000000003</v>
      </c>
      <c r="O75" s="557"/>
      <c r="P75" s="556"/>
      <c r="Q75" s="557"/>
      <c r="R75" s="558">
        <f t="shared" si="2"/>
        <v>0.53600000000000003</v>
      </c>
      <c r="S75" s="181" t="s">
        <v>0</v>
      </c>
      <c r="T75" s="18"/>
    </row>
    <row r="76" spans="1:20">
      <c r="A76" s="370" t="s">
        <v>369</v>
      </c>
      <c r="B76" s="556"/>
      <c r="C76" s="557"/>
      <c r="D76" s="557"/>
      <c r="E76" s="556"/>
      <c r="F76" s="557"/>
      <c r="G76" s="557"/>
      <c r="H76" s="556"/>
      <c r="I76" s="557"/>
      <c r="J76" s="557"/>
      <c r="K76" s="556"/>
      <c r="L76" s="557"/>
      <c r="M76" s="557"/>
      <c r="N76" s="424">
        <v>191.36314999999999</v>
      </c>
      <c r="O76" s="557">
        <v>66.758420000000001</v>
      </c>
      <c r="P76" s="556"/>
      <c r="Q76" s="557"/>
      <c r="R76" s="558">
        <f t="shared" si="2"/>
        <v>258.12157000000002</v>
      </c>
      <c r="S76" s="181" t="s">
        <v>0</v>
      </c>
      <c r="T76" s="18"/>
    </row>
    <row r="77" spans="1:20">
      <c r="A77" s="370" t="s">
        <v>370</v>
      </c>
      <c r="B77" s="556"/>
      <c r="C77" s="557"/>
      <c r="D77" s="557"/>
      <c r="E77" s="556"/>
      <c r="F77" s="557"/>
      <c r="G77" s="557"/>
      <c r="H77" s="556"/>
      <c r="I77" s="557"/>
      <c r="J77" s="557"/>
      <c r="K77" s="556"/>
      <c r="L77" s="557"/>
      <c r="M77" s="557"/>
      <c r="N77" s="424">
        <v>215.54507000000001</v>
      </c>
      <c r="O77" s="557"/>
      <c r="P77" s="556"/>
      <c r="Q77" s="557"/>
      <c r="R77" s="558">
        <f t="shared" si="2"/>
        <v>215.54507000000001</v>
      </c>
      <c r="S77" s="181" t="s">
        <v>0</v>
      </c>
      <c r="T77" s="18"/>
    </row>
    <row r="78" spans="1:20">
      <c r="A78" s="370" t="s">
        <v>376</v>
      </c>
      <c r="B78" s="556"/>
      <c r="C78" s="557"/>
      <c r="D78" s="557"/>
      <c r="E78" s="556"/>
      <c r="F78" s="557"/>
      <c r="G78" s="557"/>
      <c r="H78" s="556"/>
      <c r="I78" s="557"/>
      <c r="J78" s="557"/>
      <c r="K78" s="556"/>
      <c r="L78" s="557"/>
      <c r="M78" s="557"/>
      <c r="N78" s="424">
        <v>1.034</v>
      </c>
      <c r="O78" s="557"/>
      <c r="P78" s="556"/>
      <c r="Q78" s="557"/>
      <c r="R78" s="558">
        <f t="shared" si="2"/>
        <v>1.034</v>
      </c>
      <c r="S78" s="181" t="s">
        <v>0</v>
      </c>
      <c r="T78" s="18"/>
    </row>
    <row r="79" spans="1:20">
      <c r="A79" s="370" t="s">
        <v>377</v>
      </c>
      <c r="B79" s="556"/>
      <c r="C79" s="557"/>
      <c r="D79" s="557"/>
      <c r="E79" s="556"/>
      <c r="F79" s="557"/>
      <c r="G79" s="557"/>
      <c r="H79" s="556"/>
      <c r="I79" s="557"/>
      <c r="J79" s="557"/>
      <c r="K79" s="556"/>
      <c r="L79" s="557"/>
      <c r="M79" s="557"/>
      <c r="N79" s="424">
        <v>8.6225199999999997</v>
      </c>
      <c r="O79" s="557"/>
      <c r="P79" s="556"/>
      <c r="Q79" s="557"/>
      <c r="R79" s="558">
        <f t="shared" si="2"/>
        <v>8.6225199999999997</v>
      </c>
      <c r="S79" s="181" t="s">
        <v>0</v>
      </c>
      <c r="T79" s="18"/>
    </row>
    <row r="80" spans="1:20">
      <c r="A80" s="370" t="s">
        <v>378</v>
      </c>
      <c r="B80" s="556"/>
      <c r="C80" s="557"/>
      <c r="D80" s="557"/>
      <c r="E80" s="556"/>
      <c r="F80" s="557"/>
      <c r="G80" s="557"/>
      <c r="H80" s="556"/>
      <c r="I80" s="557"/>
      <c r="J80" s="557"/>
      <c r="K80" s="556"/>
      <c r="L80" s="557"/>
      <c r="M80" s="557"/>
      <c r="N80" s="424">
        <f>427.37308+309.02873</f>
        <v>736.40181000000007</v>
      </c>
      <c r="O80" s="557">
        <f>103.25353+105.10702</f>
        <v>208.36054999999999</v>
      </c>
      <c r="P80" s="556"/>
      <c r="Q80" s="557"/>
      <c r="R80" s="558">
        <f t="shared" si="2"/>
        <v>944.76236000000006</v>
      </c>
      <c r="S80" s="181" t="s">
        <v>0</v>
      </c>
      <c r="T80" s="18"/>
    </row>
    <row r="81" spans="1:20">
      <c r="A81" s="370" t="s">
        <v>379</v>
      </c>
      <c r="B81" s="556"/>
      <c r="C81" s="557"/>
      <c r="D81" s="557"/>
      <c r="E81" s="556"/>
      <c r="F81" s="557"/>
      <c r="G81" s="557"/>
      <c r="H81" s="556"/>
      <c r="I81" s="557"/>
      <c r="J81" s="557"/>
      <c r="K81" s="556"/>
      <c r="L81" s="557"/>
      <c r="M81" s="557"/>
      <c r="N81" s="424">
        <v>104.41098</v>
      </c>
      <c r="O81" s="557"/>
      <c r="P81" s="556"/>
      <c r="Q81" s="557"/>
      <c r="R81" s="558">
        <f t="shared" si="2"/>
        <v>104.41098</v>
      </c>
      <c r="S81" s="181" t="s">
        <v>0</v>
      </c>
      <c r="T81" s="18"/>
    </row>
    <row r="82" spans="1:20">
      <c r="A82" s="370" t="s">
        <v>380</v>
      </c>
      <c r="B82" s="556"/>
      <c r="C82" s="557"/>
      <c r="D82" s="557"/>
      <c r="E82" s="556"/>
      <c r="F82" s="557"/>
      <c r="G82" s="557"/>
      <c r="H82" s="556"/>
      <c r="I82" s="557"/>
      <c r="J82" s="557"/>
      <c r="K82" s="556"/>
      <c r="L82" s="557"/>
      <c r="M82" s="557"/>
      <c r="N82" s="424">
        <v>13.33323</v>
      </c>
      <c r="O82" s="557"/>
      <c r="P82" s="556"/>
      <c r="Q82" s="557"/>
      <c r="R82" s="558">
        <f t="shared" si="2"/>
        <v>13.33323</v>
      </c>
      <c r="S82" s="181" t="s">
        <v>0</v>
      </c>
      <c r="T82" s="18"/>
    </row>
    <row r="83" spans="1:20">
      <c r="A83" s="370" t="s">
        <v>381</v>
      </c>
      <c r="B83" s="556"/>
      <c r="C83" s="557"/>
      <c r="D83" s="557"/>
      <c r="E83" s="556"/>
      <c r="F83" s="557"/>
      <c r="G83" s="557"/>
      <c r="H83" s="556"/>
      <c r="I83" s="557"/>
      <c r="J83" s="557"/>
      <c r="K83" s="556"/>
      <c r="L83" s="557"/>
      <c r="M83" s="557"/>
      <c r="N83" s="424">
        <v>2.36</v>
      </c>
      <c r="O83" s="557"/>
      <c r="P83" s="556"/>
      <c r="Q83" s="557"/>
      <c r="R83" s="558">
        <f t="shared" si="2"/>
        <v>2.36</v>
      </c>
      <c r="S83" s="181" t="s">
        <v>0</v>
      </c>
      <c r="T83" s="18"/>
    </row>
    <row r="84" spans="1:20">
      <c r="A84" s="370" t="s">
        <v>261</v>
      </c>
      <c r="B84" s="556"/>
      <c r="C84" s="557"/>
      <c r="D84" s="557"/>
      <c r="E84" s="556"/>
      <c r="F84" s="557"/>
      <c r="G84" s="557"/>
      <c r="H84" s="556"/>
      <c r="I84" s="557"/>
      <c r="J84" s="557"/>
      <c r="K84" s="556"/>
      <c r="L84" s="557"/>
      <c r="M84" s="557"/>
      <c r="N84" s="424">
        <f>404.69423+1.001</f>
        <v>405.69522999999998</v>
      </c>
      <c r="O84" s="557">
        <f>289.94527+0.00057+42.28109</f>
        <v>332.22692999999998</v>
      </c>
      <c r="P84" s="556"/>
      <c r="Q84" s="557"/>
      <c r="R84" s="558">
        <f t="shared" si="2"/>
        <v>737.92215999999996</v>
      </c>
      <c r="S84" s="181" t="s">
        <v>0</v>
      </c>
      <c r="T84" s="18"/>
    </row>
    <row r="85" spans="1:20">
      <c r="A85" s="371" t="s">
        <v>384</v>
      </c>
      <c r="B85" s="756"/>
      <c r="C85" s="757"/>
      <c r="D85" s="757"/>
      <c r="E85" s="756"/>
      <c r="F85" s="757"/>
      <c r="G85" s="757">
        <f>'[4]B. Summ of Reqs -SLLEA '!X17</f>
        <v>-42000</v>
      </c>
      <c r="H85" s="756"/>
      <c r="I85" s="757"/>
      <c r="J85" s="757"/>
      <c r="K85" s="756"/>
      <c r="L85" s="757"/>
      <c r="M85" s="757"/>
      <c r="N85" s="758"/>
      <c r="O85" s="757"/>
      <c r="P85" s="756"/>
      <c r="Q85" s="757"/>
      <c r="R85" s="672">
        <f t="shared" si="2"/>
        <v>-42000</v>
      </c>
      <c r="S85" s="181" t="s">
        <v>0</v>
      </c>
      <c r="T85" s="18"/>
    </row>
    <row r="86" spans="1:20">
      <c r="A86" s="162" t="s">
        <v>124</v>
      </c>
      <c r="B86" s="163">
        <f>SUM(B11:B85)</f>
        <v>0</v>
      </c>
      <c r="C86" s="164">
        <f>SUM(C11:C85)</f>
        <v>0</v>
      </c>
      <c r="D86" s="165">
        <f>SUM(D11:D12,D14:D16,D20:D24,D28:D29,D30:D32,D37:D38,D46:D56,D64:D65,D66:D85,D45)</f>
        <v>1162500</v>
      </c>
      <c r="E86" s="163">
        <f t="shared" ref="E86:Q86" si="3">SUM(E11:E85)</f>
        <v>0</v>
      </c>
      <c r="F86" s="164">
        <f t="shared" si="3"/>
        <v>0</v>
      </c>
      <c r="G86" s="166">
        <f t="shared" si="3"/>
        <v>-42000</v>
      </c>
      <c r="H86" s="163">
        <f t="shared" si="3"/>
        <v>0</v>
      </c>
      <c r="I86" s="164">
        <f t="shared" si="3"/>
        <v>0</v>
      </c>
      <c r="J86" s="165">
        <f t="shared" si="3"/>
        <v>0</v>
      </c>
      <c r="K86" s="163">
        <f t="shared" si="3"/>
        <v>0</v>
      </c>
      <c r="L86" s="164">
        <f t="shared" si="3"/>
        <v>0</v>
      </c>
      <c r="M86" s="165">
        <f t="shared" si="3"/>
        <v>0</v>
      </c>
      <c r="N86" s="262">
        <f t="shared" si="3"/>
        <v>46581.818234337828</v>
      </c>
      <c r="O86" s="165">
        <f t="shared" si="3"/>
        <v>6817.0886299999993</v>
      </c>
      <c r="P86" s="267">
        <f t="shared" si="3"/>
        <v>0</v>
      </c>
      <c r="Q86" s="268">
        <f t="shared" si="3"/>
        <v>0</v>
      </c>
      <c r="R86" s="755">
        <f>SUM(R11:R12,R14:R16,R20:R24,R28:R29,R30:R32,R37:R38,R46:R56,R64:R65,R66:R85,R45)+SUM(O57:O63,N57:N63,O39:O44,N39:N44,O33:O36,N33:N36,O25:O27,N25:N27,O17,N17,O13,N13,N18)</f>
        <v>1173898.9068643379</v>
      </c>
      <c r="S86" s="181" t="s">
        <v>0</v>
      </c>
      <c r="T86" s="18"/>
    </row>
    <row r="87" spans="1:20">
      <c r="A87" s="359" t="s">
        <v>103</v>
      </c>
      <c r="B87" s="381" t="s">
        <v>116</v>
      </c>
      <c r="C87" s="382"/>
      <c r="D87" s="382"/>
      <c r="E87" s="381"/>
      <c r="F87" s="382"/>
      <c r="G87" s="382"/>
      <c r="H87" s="381"/>
      <c r="I87" s="382"/>
      <c r="J87" s="382"/>
      <c r="K87" s="381"/>
      <c r="L87" s="382"/>
      <c r="M87" s="382"/>
      <c r="N87" s="421"/>
      <c r="O87" s="382"/>
      <c r="P87" s="381"/>
      <c r="Q87" s="382"/>
      <c r="R87" s="379"/>
      <c r="S87" s="181" t="s">
        <v>0</v>
      </c>
      <c r="T87" s="559"/>
    </row>
    <row r="88" spans="1:20">
      <c r="A88" s="359" t="s">
        <v>102</v>
      </c>
      <c r="B88" s="560"/>
      <c r="C88" s="407">
        <f>SUM(C86:C87)</f>
        <v>0</v>
      </c>
      <c r="D88" s="407"/>
      <c r="E88" s="560"/>
      <c r="F88" s="407">
        <f>+F86+F87</f>
        <v>0</v>
      </c>
      <c r="G88" s="407"/>
      <c r="H88" s="560"/>
      <c r="I88" s="407">
        <f>+I86+I87</f>
        <v>0</v>
      </c>
      <c r="J88" s="407"/>
      <c r="K88" s="560"/>
      <c r="L88" s="407">
        <f>+L86+L87</f>
        <v>0</v>
      </c>
      <c r="M88" s="407"/>
      <c r="N88" s="561"/>
      <c r="O88" s="407"/>
      <c r="P88" s="560"/>
      <c r="Q88" s="407">
        <f>SUM(Q86:Q87)</f>
        <v>0</v>
      </c>
      <c r="R88" s="408"/>
      <c r="S88" s="181" t="s">
        <v>0</v>
      </c>
      <c r="T88" s="18"/>
    </row>
    <row r="89" spans="1:20">
      <c r="A89" s="562" t="s">
        <v>104</v>
      </c>
      <c r="B89" s="390"/>
      <c r="C89" s="391"/>
      <c r="D89" s="391"/>
      <c r="E89" s="390"/>
      <c r="F89" s="391"/>
      <c r="G89" s="391"/>
      <c r="H89" s="390"/>
      <c r="I89" s="391"/>
      <c r="J89" s="391"/>
      <c r="K89" s="390"/>
      <c r="L89" s="391"/>
      <c r="M89" s="391"/>
      <c r="N89" s="425"/>
      <c r="O89" s="391"/>
      <c r="P89" s="390"/>
      <c r="Q89" s="391"/>
      <c r="R89" s="388"/>
      <c r="S89" s="181" t="s">
        <v>0</v>
      </c>
      <c r="T89" s="18"/>
    </row>
    <row r="90" spans="1:20">
      <c r="A90" s="563" t="s">
        <v>31</v>
      </c>
      <c r="B90" s="390"/>
      <c r="C90" s="391"/>
      <c r="D90" s="391"/>
      <c r="E90" s="390"/>
      <c r="F90" s="391"/>
      <c r="G90" s="391"/>
      <c r="H90" s="390"/>
      <c r="I90" s="391"/>
      <c r="J90" s="391"/>
      <c r="K90" s="390"/>
      <c r="L90" s="391"/>
      <c r="M90" s="391"/>
      <c r="N90" s="425"/>
      <c r="O90" s="391"/>
      <c r="P90" s="390"/>
      <c r="Q90" s="391"/>
      <c r="R90" s="388"/>
      <c r="S90" s="181" t="s">
        <v>0</v>
      </c>
      <c r="T90" s="18"/>
    </row>
    <row r="91" spans="1:20">
      <c r="A91" s="564" t="s">
        <v>60</v>
      </c>
      <c r="B91" s="381"/>
      <c r="C91" s="382"/>
      <c r="D91" s="382"/>
      <c r="E91" s="381"/>
      <c r="F91" s="382"/>
      <c r="G91" s="382"/>
      <c r="H91" s="381"/>
      <c r="I91" s="382"/>
      <c r="J91" s="382"/>
      <c r="K91" s="381"/>
      <c r="L91" s="382"/>
      <c r="M91" s="382"/>
      <c r="N91" s="421"/>
      <c r="O91" s="382"/>
      <c r="P91" s="381"/>
      <c r="Q91" s="382"/>
      <c r="R91" s="379"/>
      <c r="S91" s="181" t="s">
        <v>0</v>
      </c>
      <c r="T91" s="18"/>
    </row>
    <row r="92" spans="1:20">
      <c r="A92" s="359" t="s">
        <v>105</v>
      </c>
      <c r="B92" s="381"/>
      <c r="C92" s="382">
        <f>C91+C90+C88</f>
        <v>0</v>
      </c>
      <c r="D92" s="565"/>
      <c r="E92" s="381"/>
      <c r="F92" s="382">
        <f>F91+F90+F88</f>
        <v>0</v>
      </c>
      <c r="G92" s="565"/>
      <c r="H92" s="381"/>
      <c r="I92" s="382">
        <f>I91+I90+I88</f>
        <v>0</v>
      </c>
      <c r="J92" s="565"/>
      <c r="K92" s="381"/>
      <c r="L92" s="382">
        <f>L91+L90+L88</f>
        <v>0</v>
      </c>
      <c r="M92" s="565"/>
      <c r="N92" s="566"/>
      <c r="O92" s="565"/>
      <c r="P92" s="381"/>
      <c r="Q92" s="382">
        <f>Q91+Q90+Q88</f>
        <v>0</v>
      </c>
      <c r="R92" s="567"/>
      <c r="S92" s="181" t="s">
        <v>0</v>
      </c>
      <c r="T92" s="18"/>
    </row>
    <row r="93" spans="1:20" s="1386" customFormat="1">
      <c r="A93" s="1389"/>
      <c r="B93" s="399"/>
      <c r="C93" s="399"/>
      <c r="D93" s="805"/>
      <c r="E93" s="399"/>
      <c r="F93" s="399"/>
      <c r="G93" s="805"/>
      <c r="H93" s="399"/>
      <c r="I93" s="399"/>
      <c r="J93" s="805"/>
      <c r="K93" s="399"/>
      <c r="L93" s="399"/>
      <c r="M93" s="805"/>
      <c r="N93" s="805"/>
      <c r="O93" s="805"/>
      <c r="P93" s="399"/>
      <c r="Q93" s="399"/>
      <c r="R93" s="805"/>
      <c r="S93" s="181" t="s">
        <v>0</v>
      </c>
      <c r="T93" s="18"/>
    </row>
    <row r="94" spans="1:20">
      <c r="A94" s="18" t="s">
        <v>477</v>
      </c>
      <c r="B94" s="18"/>
      <c r="C94" s="18"/>
      <c r="D94" s="18"/>
      <c r="E94" s="18"/>
      <c r="F94" s="18"/>
      <c r="G94" s="18"/>
      <c r="H94" s="18"/>
      <c r="I94" s="18"/>
      <c r="J94" s="18"/>
      <c r="K94" s="18"/>
      <c r="L94" s="18"/>
      <c r="M94" s="1"/>
      <c r="O94" s="1"/>
      <c r="P94" s="18"/>
      <c r="Q94" s="1"/>
      <c r="R94" s="18"/>
      <c r="S94" s="181" t="s">
        <v>0</v>
      </c>
      <c r="T94" s="18"/>
    </row>
    <row r="95" spans="1:20">
      <c r="A95" s="1353" t="s">
        <v>683</v>
      </c>
      <c r="B95" s="18"/>
      <c r="C95" s="1"/>
      <c r="D95" s="1"/>
      <c r="E95" s="1"/>
      <c r="F95" s="1"/>
      <c r="G95" s="18"/>
      <c r="H95" s="18"/>
      <c r="I95" s="18"/>
      <c r="J95" s="18"/>
      <c r="K95" s="18"/>
      <c r="L95" s="18"/>
      <c r="M95" s="1"/>
      <c r="O95" s="1"/>
      <c r="P95" s="18"/>
      <c r="Q95" s="1"/>
      <c r="R95" s="18"/>
      <c r="S95" s="181" t="s">
        <v>13</v>
      </c>
      <c r="T95" s="18"/>
    </row>
    <row r="96" spans="1:20" s="18" customFormat="1" ht="16.5" customHeight="1">
      <c r="A96" s="1685"/>
      <c r="B96" s="1685"/>
      <c r="C96" s="1685"/>
      <c r="D96" s="1685"/>
      <c r="E96" s="1685"/>
      <c r="F96" s="1685"/>
      <c r="G96" s="1685"/>
      <c r="H96" s="1685"/>
      <c r="I96" s="1685"/>
      <c r="J96" s="1685"/>
      <c r="K96" s="1685"/>
      <c r="L96" s="1685"/>
      <c r="M96" s="1685"/>
      <c r="N96" s="1685"/>
      <c r="O96" s="1685"/>
      <c r="P96" s="1685"/>
      <c r="Q96" s="1685"/>
      <c r="R96" s="1685"/>
    </row>
    <row r="97" spans="1:20" s="18" customFormat="1" ht="16.5" customHeight="1">
      <c r="A97" s="2006"/>
      <c r="B97" s="1671"/>
      <c r="C97" s="1671"/>
      <c r="D97" s="1671"/>
      <c r="E97" s="1671"/>
      <c r="F97" s="1671"/>
      <c r="G97" s="1671"/>
      <c r="H97" s="1671"/>
      <c r="I97" s="1671"/>
      <c r="J97" s="1671"/>
      <c r="K97" s="1671"/>
      <c r="L97" s="1671"/>
      <c r="M97" s="1671"/>
      <c r="N97" s="1671"/>
      <c r="O97" s="1671"/>
      <c r="P97" s="1671"/>
      <c r="Q97" s="1671"/>
      <c r="R97" s="1671"/>
    </row>
    <row r="98" spans="1:20" s="18" customFormat="1" ht="16.5" customHeight="1">
      <c r="A98" s="259"/>
      <c r="B98" s="368"/>
      <c r="C98" s="368"/>
      <c r="D98" s="368"/>
      <c r="E98" s="368"/>
      <c r="F98" s="368"/>
      <c r="G98" s="368"/>
      <c r="H98" s="368"/>
      <c r="I98" s="368"/>
      <c r="J98" s="368"/>
      <c r="K98" s="368"/>
      <c r="L98" s="368"/>
      <c r="M98" s="368"/>
      <c r="N98" s="368"/>
      <c r="O98" s="368"/>
      <c r="P98" s="368"/>
      <c r="Q98" s="368"/>
      <c r="R98" s="368"/>
    </row>
    <row r="99" spans="1:20" s="18" customFormat="1" ht="16.5" customHeight="1">
      <c r="A99" s="1673"/>
      <c r="B99" s="1670"/>
      <c r="C99" s="1670"/>
      <c r="D99" s="1670"/>
      <c r="E99" s="1670"/>
      <c r="F99" s="1670"/>
      <c r="G99" s="1670"/>
      <c r="H99" s="1670"/>
      <c r="I99" s="1670"/>
      <c r="J99" s="1670"/>
      <c r="K99" s="1670"/>
      <c r="L99" s="1670"/>
      <c r="M99" s="1670"/>
      <c r="N99" s="1670"/>
      <c r="O99" s="1670"/>
      <c r="P99" s="1670"/>
      <c r="Q99" s="1670"/>
      <c r="R99" s="1670"/>
    </row>
    <row r="100" spans="1:20" s="18" customFormat="1" ht="16.5" customHeight="1">
      <c r="A100" s="1670"/>
      <c r="B100" s="1670"/>
      <c r="C100" s="1670"/>
      <c r="D100" s="1670"/>
      <c r="E100" s="1670"/>
      <c r="F100" s="1670"/>
      <c r="G100" s="1670"/>
      <c r="H100" s="1670"/>
      <c r="I100" s="1670"/>
      <c r="J100" s="1670"/>
      <c r="K100" s="1670"/>
      <c r="L100" s="1670"/>
      <c r="M100" s="1670"/>
      <c r="N100" s="1670"/>
      <c r="O100" s="1670"/>
      <c r="P100" s="1670"/>
      <c r="Q100" s="1670"/>
      <c r="R100" s="1670"/>
    </row>
    <row r="101" spans="1:20" s="18" customFormat="1" ht="16.5" customHeight="1">
      <c r="A101" s="1670"/>
      <c r="B101" s="1671"/>
      <c r="C101" s="1671"/>
      <c r="D101" s="1671"/>
      <c r="E101" s="1671"/>
      <c r="F101" s="1671"/>
      <c r="G101" s="1671"/>
      <c r="H101" s="1671"/>
      <c r="I101" s="1671"/>
      <c r="J101" s="1671"/>
      <c r="K101" s="1671"/>
      <c r="L101" s="1671"/>
      <c r="M101" s="1671"/>
      <c r="N101" s="1671"/>
      <c r="O101" s="1671"/>
      <c r="P101" s="1671"/>
      <c r="Q101" s="1671"/>
      <c r="R101" s="1671"/>
    </row>
    <row r="102" spans="1:20" s="18" customFormat="1" ht="16.5" customHeight="1">
      <c r="A102" s="1662"/>
      <c r="B102" s="1663"/>
      <c r="C102" s="1663"/>
      <c r="D102" s="1663"/>
      <c r="E102" s="1663"/>
      <c r="F102" s="1663"/>
      <c r="G102" s="1663"/>
      <c r="H102" s="1663"/>
      <c r="I102" s="1663"/>
      <c r="J102" s="1663"/>
      <c r="K102" s="1663"/>
      <c r="L102" s="1663"/>
      <c r="M102" s="1663"/>
      <c r="N102" s="1663"/>
      <c r="O102" s="1663"/>
      <c r="P102" s="1663"/>
      <c r="Q102" s="1663"/>
      <c r="R102" s="1663"/>
      <c r="S102" s="1663"/>
    </row>
    <row r="103" spans="1:20" ht="18">
      <c r="A103" s="571"/>
      <c r="B103" s="18"/>
      <c r="C103" s="18"/>
      <c r="D103" s="18"/>
      <c r="E103" s="18"/>
      <c r="F103" s="18"/>
      <c r="G103" s="18"/>
      <c r="H103" s="18"/>
      <c r="I103" s="18"/>
      <c r="J103" s="18"/>
      <c r="K103" s="18"/>
      <c r="L103" s="18"/>
      <c r="M103" s="18"/>
      <c r="P103" s="18"/>
      <c r="Q103" s="18"/>
      <c r="R103" s="18"/>
      <c r="S103" s="18"/>
      <c r="T103" s="182"/>
    </row>
  </sheetData>
  <customSheetViews>
    <customSheetView guid="{DA38F665-F06D-4DFB-B852-747D93BB00EF}" showPageBreaks="1" printArea="1" hiddenColumns="1" view="pageBreakPreview" topLeftCell="A13">
      <selection activeCell="B210" sqref="B210"/>
      <rowBreaks count="1" manualBreakCount="1">
        <brk id="55" max="17" man="1"/>
      </rowBreaks>
      <pageMargins left="0.75" right="0.75" top="1" bottom="1" header="0.5" footer="0.5"/>
      <printOptions horizontalCentered="1"/>
      <pageSetup scale="48" orientation="landscape" r:id="rId1"/>
      <headerFooter alignWithMargins="0">
        <oddFooter>&amp;C&amp;"Times New Roman,Regular"Exhibit G:  Crosswalk of 2012 Availability</oddFooter>
      </headerFooter>
    </customSheetView>
    <customSheetView guid="{4D0F9E3D-0229-48CC-A08B-F132802E9D7B}" showPageBreaks="1" printArea="1" hiddenColumns="1" view="pageBreakPreview">
      <selection activeCell="A96" sqref="A96"/>
      <rowBreaks count="1" manualBreakCount="1">
        <brk id="55" max="17" man="1"/>
      </rowBreaks>
      <pageMargins left="0.75" right="0.75" top="1" bottom="1" header="0.5" footer="0.5"/>
      <printOptions horizontalCentered="1"/>
      <pageSetup scale="48" orientation="landscape" r:id="rId2"/>
      <headerFooter alignWithMargins="0">
        <oddFooter>&amp;C&amp;"Times New Roman,Regular"Exhibit G:  Crosswalk of 2012 Availability</oddFooter>
      </headerFooter>
    </customSheetView>
    <customSheetView guid="{F6772377-6B25-4EEA-B255-4C2F62B37855}" showPageBreaks="1" printArea="1" hiddenColumns="1" view="pageBreakPreview" topLeftCell="A69">
      <selection activeCell="A20" sqref="A20"/>
      <rowBreaks count="1" manualBreakCount="1">
        <brk id="54" max="17" man="1"/>
      </rowBreaks>
      <pageMargins left="0.75" right="0.75" top="1" bottom="1" header="0.5" footer="0.5"/>
      <printOptions horizontalCentered="1"/>
      <pageSetup scale="48" orientation="landscape" r:id="rId3"/>
      <headerFooter alignWithMargins="0">
        <oddFooter>&amp;C&amp;"Times New Roman,Regular"Exhibit G:  Crosswalk of 2012 Availability</oddFooter>
      </headerFooter>
    </customSheetView>
    <customSheetView guid="{27B9C207-C13F-4981-9CED-E69585BBD779}" scale="75" showPageBreaks="1" printArea="1" hiddenColumns="1" view="pageBreakPreview" topLeftCell="A73">
      <selection activeCell="A86" sqref="A86"/>
      <rowBreaks count="1" manualBreakCount="1">
        <brk id="55" max="17" man="1"/>
      </rowBreaks>
      <pageMargins left="0.75" right="0.75" top="1" bottom="1" header="0.5" footer="0.5"/>
      <printOptions horizontalCentered="1"/>
      <pageSetup scale="48" orientation="landscape" r:id="rId4"/>
      <headerFooter alignWithMargins="0">
        <oddFooter>&amp;C&amp;"Times New Roman,Regular"Exhibit G:  Crosswalk of 2012 Availability&amp;R&amp;"Times New Roman,Regular"State and Local Law Enforcement Assistance</oddFooter>
      </headerFooter>
    </customSheetView>
  </customSheetViews>
  <mergeCells count="21">
    <mergeCell ref="A6:R6"/>
    <mergeCell ref="A1:R1"/>
    <mergeCell ref="A2:R2"/>
    <mergeCell ref="A3:R3"/>
    <mergeCell ref="A4:R4"/>
    <mergeCell ref="A5:R5"/>
    <mergeCell ref="A102:S102"/>
    <mergeCell ref="A7:R7"/>
    <mergeCell ref="A8:A10"/>
    <mergeCell ref="B8:D9"/>
    <mergeCell ref="E8:G9"/>
    <mergeCell ref="H8:J9"/>
    <mergeCell ref="K8:M9"/>
    <mergeCell ref="N8:N9"/>
    <mergeCell ref="O8:O9"/>
    <mergeCell ref="P8:R9"/>
    <mergeCell ref="A96:R96"/>
    <mergeCell ref="A97:R97"/>
    <mergeCell ref="A99:R99"/>
    <mergeCell ref="A100:R100"/>
    <mergeCell ref="A101:R101"/>
  </mergeCells>
  <printOptions horizontalCentered="1"/>
  <pageMargins left="0.75" right="0.75" top="1" bottom="1" header="0.5" footer="0.5"/>
  <pageSetup scale="48" orientation="landscape" r:id="rId5"/>
  <headerFooter alignWithMargins="0">
    <oddFooter>&amp;C&amp;"Times New Roman,Regular"Exhibit G:  Crosswalk of 2012 Availability&amp;R&amp;"Times New Roman,Regular"State and Local Law Enforcement Assistance</oddFooter>
  </headerFooter>
  <rowBreaks count="1" manualBreakCount="1">
    <brk id="55" max="17" man="1"/>
  </rowBreaks>
</worksheet>
</file>

<file path=xl/worksheets/sheet23.xml><?xml version="1.0" encoding="utf-8"?>
<worksheet xmlns="http://schemas.openxmlformats.org/spreadsheetml/2006/main" xmlns:r="http://schemas.openxmlformats.org/officeDocument/2006/relationships">
  <sheetPr>
    <pageSetUpPr fitToPage="1"/>
  </sheetPr>
  <dimension ref="A1:AF35"/>
  <sheetViews>
    <sheetView showGridLines="0" showOutlineSymbols="0" view="pageBreakPreview" topLeftCell="A7" zoomScale="75" zoomScaleNormal="75" workbookViewId="0">
      <selection activeCell="E12" sqref="E12"/>
    </sheetView>
  </sheetViews>
  <sheetFormatPr defaultColWidth="9.6640625" defaultRowHeight="15.75"/>
  <cols>
    <col min="1" max="1" width="4.44140625" style="18" customWidth="1"/>
    <col min="2" max="2" width="45.6640625" style="18" customWidth="1"/>
    <col min="3" max="3" width="6.5546875" style="18" customWidth="1"/>
    <col min="4" max="4" width="5.6640625" style="18" customWidth="1"/>
    <col min="5" max="5" width="10.44140625" style="18" bestFit="1" customWidth="1"/>
    <col min="6" max="7" width="5.6640625" style="18" customWidth="1"/>
    <col min="8" max="8" width="11.77734375" style="18" customWidth="1"/>
    <col min="9" max="10" width="5.6640625" style="18" customWidth="1"/>
    <col min="11" max="11" width="10.44140625" style="18" bestFit="1" customWidth="1"/>
    <col min="12" max="13" width="5.6640625" style="18" customWidth="1"/>
    <col min="14" max="14" width="7.6640625" style="18" customWidth="1"/>
    <col min="15" max="15" width="1.21875" style="61" customWidth="1"/>
    <col min="16" max="16" width="27.5546875" style="18" customWidth="1"/>
    <col min="17" max="20" width="7.6640625" style="18" customWidth="1"/>
    <col min="21" max="21" width="3.6640625" style="18" customWidth="1"/>
    <col min="22" max="24" width="7.6640625" style="18" customWidth="1"/>
    <col min="25" max="25" width="3.6640625" style="18" customWidth="1"/>
    <col min="26" max="28" width="7.6640625" style="18" customWidth="1"/>
    <col min="29" max="29" width="3.6640625" style="18" customWidth="1"/>
    <col min="30" max="32" width="7.6640625" style="18" customWidth="1"/>
    <col min="33" max="16384" width="9.6640625" style="18"/>
  </cols>
  <sheetData>
    <row r="1" spans="1:21" ht="20.25">
      <c r="A1" s="1592" t="s">
        <v>147</v>
      </c>
      <c r="B1" s="1699"/>
      <c r="C1" s="1699"/>
      <c r="D1" s="1699"/>
      <c r="E1" s="1699"/>
      <c r="F1" s="1699"/>
      <c r="G1" s="1699"/>
      <c r="H1" s="1699"/>
      <c r="I1" s="1699"/>
      <c r="J1" s="1699"/>
      <c r="K1" s="1699"/>
      <c r="L1" s="1699"/>
      <c r="M1" s="1699"/>
      <c r="N1" s="1699"/>
      <c r="O1" s="60" t="s">
        <v>0</v>
      </c>
      <c r="P1" s="1"/>
      <c r="Q1" s="1"/>
      <c r="R1" s="1"/>
      <c r="S1" s="1"/>
      <c r="T1" s="1"/>
      <c r="U1" s="1"/>
    </row>
    <row r="2" spans="1:21" ht="13.9" customHeight="1">
      <c r="A2" s="364"/>
      <c r="O2" s="60" t="s">
        <v>0</v>
      </c>
      <c r="P2" s="1"/>
      <c r="Q2" s="1"/>
      <c r="R2" s="1"/>
      <c r="S2" s="1"/>
      <c r="T2" s="1"/>
      <c r="U2" s="1"/>
    </row>
    <row r="3" spans="1:21" ht="18.75">
      <c r="A3" s="1700" t="s">
        <v>55</v>
      </c>
      <c r="B3" s="1916"/>
      <c r="C3" s="1916"/>
      <c r="D3" s="1916"/>
      <c r="E3" s="1916"/>
      <c r="F3" s="1916"/>
      <c r="G3" s="1916"/>
      <c r="H3" s="1916"/>
      <c r="I3" s="1916"/>
      <c r="J3" s="1916"/>
      <c r="K3" s="1916"/>
      <c r="L3" s="1916"/>
      <c r="M3" s="1916"/>
      <c r="N3" s="1916"/>
      <c r="O3" s="60" t="s">
        <v>0</v>
      </c>
      <c r="P3" s="1"/>
      <c r="Q3" s="1"/>
      <c r="R3" s="1"/>
      <c r="S3" s="1"/>
      <c r="T3" s="1"/>
      <c r="U3" s="1"/>
    </row>
    <row r="4" spans="1:21" ht="16.5">
      <c r="A4" s="1702" t="str">
        <f>+'[4]B. Summ of Reqs -SLLEA '!A4</f>
        <v>Office of Justice Programs</v>
      </c>
      <c r="B4" s="1917"/>
      <c r="C4" s="1917"/>
      <c r="D4" s="1917"/>
      <c r="E4" s="1917"/>
      <c r="F4" s="1917"/>
      <c r="G4" s="1917"/>
      <c r="H4" s="1917"/>
      <c r="I4" s="1917"/>
      <c r="J4" s="1917"/>
      <c r="K4" s="1917"/>
      <c r="L4" s="1917"/>
      <c r="M4" s="1917"/>
      <c r="N4" s="1917"/>
      <c r="O4" s="60" t="s">
        <v>0</v>
      </c>
      <c r="P4" s="1"/>
      <c r="Q4" s="1"/>
      <c r="R4" s="1"/>
      <c r="S4" s="1"/>
      <c r="T4" s="1"/>
      <c r="U4" s="1"/>
    </row>
    <row r="5" spans="1:21" ht="16.5">
      <c r="A5" s="1702" t="str">
        <f>+'[4]B. Summ of Reqs -SLLEA '!A5</f>
        <v>State and Local Law Enforcement Assistance</v>
      </c>
      <c r="B5" s="1916"/>
      <c r="C5" s="1916"/>
      <c r="D5" s="1916"/>
      <c r="E5" s="1916"/>
      <c r="F5" s="1916"/>
      <c r="G5" s="1916"/>
      <c r="H5" s="1916"/>
      <c r="I5" s="1916"/>
      <c r="J5" s="1916"/>
      <c r="K5" s="1916"/>
      <c r="L5" s="1916"/>
      <c r="M5" s="1916"/>
      <c r="N5" s="1916"/>
      <c r="O5" s="60" t="s">
        <v>0</v>
      </c>
      <c r="P5" s="1"/>
      <c r="Q5" s="1"/>
      <c r="R5" s="1"/>
      <c r="S5" s="1"/>
      <c r="T5" s="1"/>
      <c r="U5" s="1"/>
    </row>
    <row r="6" spans="1:21">
      <c r="A6" s="1704" t="s">
        <v>98</v>
      </c>
      <c r="B6" s="1917"/>
      <c r="C6" s="1917"/>
      <c r="D6" s="1917"/>
      <c r="E6" s="1917"/>
      <c r="F6" s="1917"/>
      <c r="G6" s="1917"/>
      <c r="H6" s="1917"/>
      <c r="I6" s="1917"/>
      <c r="J6" s="1917"/>
      <c r="K6" s="1917"/>
      <c r="L6" s="1917"/>
      <c r="M6" s="1917"/>
      <c r="N6" s="1917"/>
      <c r="O6" s="60" t="s">
        <v>0</v>
      </c>
      <c r="P6" s="1"/>
      <c r="Q6" s="1"/>
      <c r="R6" s="1"/>
      <c r="S6" s="1"/>
      <c r="T6" s="1"/>
      <c r="U6" s="1"/>
    </row>
    <row r="7" spans="1:21">
      <c r="F7" s="572"/>
      <c r="G7" s="572"/>
      <c r="H7" s="572"/>
      <c r="O7" s="60" t="s">
        <v>0</v>
      </c>
      <c r="P7" s="1"/>
      <c r="Q7" s="1"/>
      <c r="R7" s="1"/>
      <c r="S7" s="1"/>
      <c r="T7" s="1"/>
      <c r="U7" s="1"/>
    </row>
    <row r="8" spans="1:21">
      <c r="A8" s="1569" t="s">
        <v>112</v>
      </c>
      <c r="B8" s="1918"/>
      <c r="C8" s="1708" t="s">
        <v>167</v>
      </c>
      <c r="D8" s="1921"/>
      <c r="E8" s="1922"/>
      <c r="F8" s="1708" t="s">
        <v>159</v>
      </c>
      <c r="G8" s="1921"/>
      <c r="H8" s="1922"/>
      <c r="I8" s="1708" t="s">
        <v>154</v>
      </c>
      <c r="J8" s="1921"/>
      <c r="K8" s="1922"/>
      <c r="L8" s="1708" t="s">
        <v>22</v>
      </c>
      <c r="M8" s="1921"/>
      <c r="N8" s="1922"/>
      <c r="O8" s="60" t="s">
        <v>0</v>
      </c>
      <c r="P8" s="1"/>
      <c r="Q8" s="1"/>
      <c r="R8" s="1"/>
      <c r="S8" s="1"/>
      <c r="T8" s="1"/>
      <c r="U8" s="1"/>
    </row>
    <row r="9" spans="1:21" ht="16.5" thickBot="1">
      <c r="A9" s="1919"/>
      <c r="B9" s="1920"/>
      <c r="C9" s="156" t="s">
        <v>115</v>
      </c>
      <c r="D9" s="157" t="s">
        <v>25</v>
      </c>
      <c r="E9" s="158" t="s">
        <v>117</v>
      </c>
      <c r="F9" s="156" t="s">
        <v>115</v>
      </c>
      <c r="G9" s="157" t="s">
        <v>25</v>
      </c>
      <c r="H9" s="157" t="s">
        <v>117</v>
      </c>
      <c r="I9" s="156" t="s">
        <v>115</v>
      </c>
      <c r="J9" s="157" t="s">
        <v>25</v>
      </c>
      <c r="K9" s="157" t="s">
        <v>117</v>
      </c>
      <c r="L9" s="156" t="s">
        <v>115</v>
      </c>
      <c r="M9" s="157" t="s">
        <v>25</v>
      </c>
      <c r="N9" s="158" t="s">
        <v>117</v>
      </c>
      <c r="O9" s="60" t="s">
        <v>0</v>
      </c>
      <c r="P9" s="1"/>
      <c r="Q9" s="1"/>
      <c r="R9" s="1"/>
      <c r="S9" s="1"/>
      <c r="T9" s="1"/>
      <c r="U9" s="1"/>
    </row>
    <row r="10" spans="1:21">
      <c r="A10" s="1720" t="s">
        <v>385</v>
      </c>
      <c r="B10" s="1923"/>
      <c r="C10" s="390"/>
      <c r="D10" s="391"/>
      <c r="E10" s="388">
        <f>1000+1725+150</f>
        <v>2875</v>
      </c>
      <c r="F10" s="759"/>
      <c r="G10" s="391"/>
      <c r="H10" s="391">
        <f>12000*(E10/$E$18)</f>
        <v>3054.4763060310979</v>
      </c>
      <c r="I10" s="390"/>
      <c r="J10" s="391"/>
      <c r="K10" s="391">
        <f>H10</f>
        <v>3054.4763060310979</v>
      </c>
      <c r="L10" s="390"/>
      <c r="M10" s="391"/>
      <c r="N10" s="388">
        <f>K10-H10</f>
        <v>0</v>
      </c>
      <c r="O10" s="60" t="s">
        <v>0</v>
      </c>
      <c r="P10" s="1"/>
      <c r="Q10" s="1"/>
      <c r="R10" s="1"/>
      <c r="S10" s="1"/>
      <c r="T10" s="1"/>
      <c r="U10" s="1"/>
    </row>
    <row r="11" spans="1:21">
      <c r="A11" s="1713" t="s">
        <v>386</v>
      </c>
      <c r="B11" s="1924"/>
      <c r="C11" s="390"/>
      <c r="D11" s="391"/>
      <c r="E11" s="388">
        <v>100</v>
      </c>
      <c r="F11" s="390"/>
      <c r="G11" s="391"/>
      <c r="H11" s="391">
        <f t="shared" ref="H11:H16" si="0">12000*(E11/$E$18)</f>
        <v>106.24265412282078</v>
      </c>
      <c r="I11" s="390"/>
      <c r="J11" s="391"/>
      <c r="K11" s="391">
        <f t="shared" ref="K11:K16" si="1">H11</f>
        <v>106.24265412282078</v>
      </c>
      <c r="L11" s="390"/>
      <c r="M11" s="391"/>
      <c r="N11" s="388">
        <f t="shared" ref="N11:N16" si="2">K11-H11</f>
        <v>0</v>
      </c>
      <c r="O11" s="60" t="s">
        <v>0</v>
      </c>
      <c r="P11" s="1"/>
      <c r="Q11" s="1"/>
      <c r="R11" s="1"/>
      <c r="S11" s="1"/>
      <c r="T11" s="1"/>
      <c r="U11" s="1"/>
    </row>
    <row r="12" spans="1:21">
      <c r="A12" s="370" t="s">
        <v>387</v>
      </c>
      <c r="B12" s="760"/>
      <c r="C12" s="390"/>
      <c r="D12" s="391"/>
      <c r="E12" s="388">
        <f>60+400+745+250</f>
        <v>1455</v>
      </c>
      <c r="F12" s="390"/>
      <c r="G12" s="391"/>
      <c r="H12" s="391">
        <f t="shared" si="0"/>
        <v>1545.8306174870422</v>
      </c>
      <c r="I12" s="390"/>
      <c r="J12" s="391"/>
      <c r="K12" s="391">
        <f t="shared" si="1"/>
        <v>1545.8306174870422</v>
      </c>
      <c r="L12" s="390"/>
      <c r="M12" s="391"/>
      <c r="N12" s="388">
        <f t="shared" si="2"/>
        <v>0</v>
      </c>
      <c r="O12" s="60" t="s">
        <v>0</v>
      </c>
      <c r="P12" s="1"/>
      <c r="Q12" s="1"/>
      <c r="R12" s="1"/>
      <c r="S12" s="1"/>
      <c r="T12" s="1"/>
      <c r="U12" s="1"/>
    </row>
    <row r="13" spans="1:21">
      <c r="A13" s="370" t="s">
        <v>388</v>
      </c>
      <c r="B13" s="760"/>
      <c r="C13" s="390"/>
      <c r="D13" s="391"/>
      <c r="E13" s="388">
        <f>1045+1000+520</f>
        <v>2565</v>
      </c>
      <c r="F13" s="390"/>
      <c r="G13" s="391"/>
      <c r="H13" s="391">
        <f t="shared" si="0"/>
        <v>2725.1240782503533</v>
      </c>
      <c r="I13" s="390"/>
      <c r="J13" s="391"/>
      <c r="K13" s="391">
        <f t="shared" si="1"/>
        <v>2725.1240782503533</v>
      </c>
      <c r="L13" s="390"/>
      <c r="M13" s="391"/>
      <c r="N13" s="388">
        <f t="shared" si="2"/>
        <v>0</v>
      </c>
      <c r="O13" s="60" t="s">
        <v>0</v>
      </c>
      <c r="P13" s="1"/>
      <c r="Q13" s="1"/>
      <c r="R13" s="1"/>
      <c r="S13" s="1"/>
      <c r="T13" s="1"/>
      <c r="U13" s="1"/>
    </row>
    <row r="14" spans="1:21">
      <c r="A14" s="370" t="s">
        <v>389</v>
      </c>
      <c r="B14" s="760"/>
      <c r="C14" s="390"/>
      <c r="D14" s="391"/>
      <c r="E14" s="388">
        <v>1000</v>
      </c>
      <c r="F14" s="390"/>
      <c r="G14" s="391"/>
      <c r="H14" s="391">
        <f t="shared" si="0"/>
        <v>1062.4265412282077</v>
      </c>
      <c r="I14" s="390"/>
      <c r="J14" s="391"/>
      <c r="K14" s="391">
        <f t="shared" si="1"/>
        <v>1062.4265412282077</v>
      </c>
      <c r="L14" s="390"/>
      <c r="M14" s="391"/>
      <c r="N14" s="388">
        <f t="shared" si="2"/>
        <v>0</v>
      </c>
      <c r="O14" s="60" t="s">
        <v>0</v>
      </c>
      <c r="P14" s="1"/>
      <c r="Q14" s="1"/>
      <c r="R14" s="1"/>
      <c r="S14" s="1"/>
      <c r="T14" s="1"/>
      <c r="U14" s="1"/>
    </row>
    <row r="15" spans="1:21">
      <c r="A15" s="1713" t="s">
        <v>390</v>
      </c>
      <c r="B15" s="1924"/>
      <c r="C15" s="390"/>
      <c r="D15" s="391"/>
      <c r="E15" s="388">
        <v>250</v>
      </c>
      <c r="F15" s="390"/>
      <c r="G15" s="391"/>
      <c r="H15" s="391">
        <f t="shared" si="0"/>
        <v>265.60663530705193</v>
      </c>
      <c r="I15" s="390"/>
      <c r="J15" s="391"/>
      <c r="K15" s="391">
        <f t="shared" si="1"/>
        <v>265.60663530705193</v>
      </c>
      <c r="L15" s="390"/>
      <c r="M15" s="391"/>
      <c r="N15" s="388">
        <f t="shared" si="2"/>
        <v>0</v>
      </c>
      <c r="O15" s="60" t="s">
        <v>0</v>
      </c>
      <c r="P15" s="1"/>
      <c r="Q15" s="1"/>
      <c r="R15" s="1"/>
      <c r="S15" s="1"/>
      <c r="T15" s="1"/>
      <c r="U15" s="1"/>
    </row>
    <row r="16" spans="1:21">
      <c r="A16" s="555" t="s">
        <v>195</v>
      </c>
      <c r="B16" s="761"/>
      <c r="C16" s="747"/>
      <c r="D16" s="671"/>
      <c r="E16" s="672">
        <f>80+1767.937+256.64055+75+150+720.321</f>
        <v>3049.8985499999999</v>
      </c>
      <c r="F16" s="747"/>
      <c r="G16" s="671"/>
      <c r="H16" s="671">
        <f t="shared" si="0"/>
        <v>3240.2931675734262</v>
      </c>
      <c r="I16" s="747"/>
      <c r="J16" s="671"/>
      <c r="K16" s="671">
        <f t="shared" si="1"/>
        <v>3240.2931675734262</v>
      </c>
      <c r="L16" s="747"/>
      <c r="M16" s="671"/>
      <c r="N16" s="672">
        <f t="shared" si="2"/>
        <v>0</v>
      </c>
      <c r="O16" s="60" t="s">
        <v>0</v>
      </c>
      <c r="P16" s="1"/>
      <c r="Q16" s="1"/>
      <c r="R16" s="1"/>
      <c r="S16" s="1"/>
      <c r="T16" s="1"/>
      <c r="U16" s="1"/>
    </row>
    <row r="17" spans="1:32">
      <c r="A17" s="1925"/>
      <c r="B17" s="1926"/>
      <c r="C17" s="184"/>
      <c r="D17" s="185"/>
      <c r="E17" s="186"/>
      <c r="F17" s="184"/>
      <c r="G17" s="187"/>
      <c r="H17" s="187"/>
      <c r="I17" s="184"/>
      <c r="J17" s="187"/>
      <c r="K17" s="187"/>
      <c r="L17" s="184"/>
      <c r="M17" s="187"/>
      <c r="N17" s="186"/>
      <c r="O17" s="60" t="s">
        <v>0</v>
      </c>
      <c r="P17" s="1"/>
      <c r="Q17" s="1"/>
      <c r="R17" s="1"/>
      <c r="S17" s="1"/>
      <c r="T17" s="1"/>
      <c r="U17" s="1"/>
    </row>
    <row r="18" spans="1:32">
      <c r="A18" s="1718" t="s">
        <v>113</v>
      </c>
      <c r="B18" s="1719"/>
      <c r="C18" s="163">
        <f t="shared" ref="C18:N18" si="3">SUM(C10:C17)</f>
        <v>0</v>
      </c>
      <c r="D18" s="164">
        <f t="shared" si="3"/>
        <v>0</v>
      </c>
      <c r="E18" s="167">
        <f t="shared" si="3"/>
        <v>11294.89855</v>
      </c>
      <c r="F18" s="163">
        <f t="shared" si="3"/>
        <v>0</v>
      </c>
      <c r="G18" s="164">
        <f t="shared" si="3"/>
        <v>0</v>
      </c>
      <c r="H18" s="165">
        <f t="shared" si="3"/>
        <v>12000</v>
      </c>
      <c r="I18" s="163">
        <f t="shared" si="3"/>
        <v>0</v>
      </c>
      <c r="J18" s="164">
        <f t="shared" si="3"/>
        <v>0</v>
      </c>
      <c r="K18" s="165">
        <f t="shared" si="3"/>
        <v>12000</v>
      </c>
      <c r="L18" s="163">
        <f t="shared" si="3"/>
        <v>0</v>
      </c>
      <c r="M18" s="164">
        <f t="shared" si="3"/>
        <v>0</v>
      </c>
      <c r="N18" s="167">
        <f t="shared" si="3"/>
        <v>0</v>
      </c>
      <c r="O18" s="60" t="s">
        <v>13</v>
      </c>
      <c r="P18" s="1"/>
      <c r="Q18" s="1"/>
      <c r="R18" s="1"/>
      <c r="S18" s="1"/>
      <c r="T18" s="1"/>
      <c r="U18" s="1"/>
    </row>
    <row r="19" spans="1:32">
      <c r="A19" s="178"/>
      <c r="B19" s="178"/>
      <c r="C19" s="179"/>
      <c r="D19" s="179"/>
      <c r="E19" s="180"/>
      <c r="F19" s="179"/>
      <c r="G19" s="179"/>
      <c r="H19" s="180"/>
      <c r="I19" s="179"/>
      <c r="J19" s="179"/>
      <c r="K19" s="180"/>
      <c r="L19" s="179"/>
      <c r="M19" s="179"/>
      <c r="N19" s="180"/>
      <c r="O19" s="1717"/>
      <c r="P19" s="1717"/>
      <c r="Q19" s="1"/>
      <c r="R19" s="1"/>
      <c r="S19" s="1"/>
      <c r="T19" s="1"/>
      <c r="U19" s="1"/>
    </row>
    <row r="20" spans="1:32">
      <c r="A20" s="178"/>
      <c r="B20" s="178"/>
      <c r="C20" s="179"/>
      <c r="D20" s="179"/>
      <c r="E20" s="180"/>
      <c r="F20" s="179"/>
      <c r="G20" s="179"/>
      <c r="H20" s="180"/>
      <c r="I20" s="179"/>
      <c r="J20" s="179"/>
      <c r="K20" s="180"/>
      <c r="L20" s="179"/>
      <c r="M20" s="179"/>
      <c r="N20" s="180"/>
      <c r="O20" s="1717"/>
      <c r="P20" s="1717"/>
      <c r="Q20" s="1"/>
      <c r="R20" s="1"/>
      <c r="S20" s="1"/>
      <c r="T20" s="1"/>
      <c r="U20" s="1"/>
    </row>
    <row r="21" spans="1:32">
      <c r="A21" s="2007"/>
      <c r="B21" s="2007"/>
      <c r="C21" s="2007"/>
      <c r="D21" s="2007"/>
      <c r="E21" s="2007"/>
      <c r="F21" s="2007"/>
      <c r="G21" s="2007"/>
      <c r="H21" s="2007"/>
      <c r="I21" s="2007"/>
      <c r="J21" s="2007"/>
      <c r="K21" s="2007"/>
      <c r="L21" s="2007"/>
      <c r="M21" s="2007"/>
      <c r="N21" s="2007"/>
      <c r="O21" s="1717"/>
      <c r="P21" s="1717"/>
      <c r="Q21" s="19"/>
      <c r="R21" s="19"/>
      <c r="S21" s="19"/>
      <c r="T21" s="19"/>
      <c r="U21" s="19"/>
      <c r="V21" s="19"/>
      <c r="W21" s="19"/>
      <c r="X21" s="19"/>
      <c r="Y21" s="19"/>
      <c r="Z21" s="19"/>
      <c r="AA21" s="19"/>
      <c r="AB21" s="19"/>
      <c r="AC21" s="19"/>
      <c r="AD21" s="19"/>
      <c r="AE21" s="19"/>
      <c r="AF21" s="19"/>
    </row>
    <row r="22" spans="1:32">
      <c r="A22" s="1"/>
      <c r="B22" s="1"/>
      <c r="C22" s="2"/>
      <c r="D22" s="2"/>
      <c r="E22" s="2"/>
      <c r="F22" s="2"/>
      <c r="G22" s="2"/>
      <c r="H22" s="2"/>
      <c r="I22" s="2"/>
      <c r="J22" s="2"/>
      <c r="K22" s="2"/>
      <c r="L22" s="2"/>
      <c r="M22" s="2"/>
      <c r="N22" s="2"/>
      <c r="P22" s="19"/>
      <c r="Q22" s="19"/>
      <c r="R22" s="19"/>
      <c r="S22" s="19"/>
      <c r="T22" s="19"/>
      <c r="U22" s="19"/>
      <c r="V22" s="19"/>
      <c r="W22" s="19"/>
      <c r="X22" s="19"/>
      <c r="Y22" s="19"/>
      <c r="Z22" s="19"/>
      <c r="AA22" s="19"/>
      <c r="AB22" s="19"/>
      <c r="AC22" s="19"/>
      <c r="AD22" s="19"/>
      <c r="AE22" s="19"/>
      <c r="AF22" s="19"/>
    </row>
    <row r="23" spans="1:32">
      <c r="A23" s="23"/>
      <c r="B23" s="23"/>
      <c r="C23" s="55"/>
      <c r="D23" s="55"/>
      <c r="E23" s="55"/>
      <c r="F23" s="55"/>
      <c r="G23" s="55"/>
      <c r="H23" s="55"/>
      <c r="I23" s="55"/>
      <c r="J23" s="55"/>
      <c r="K23" s="55"/>
      <c r="L23" s="55"/>
      <c r="M23" s="55"/>
      <c r="N23" s="55"/>
      <c r="P23" s="19"/>
      <c r="Q23" s="19"/>
      <c r="R23" s="19"/>
      <c r="S23" s="19"/>
      <c r="T23" s="19"/>
      <c r="U23" s="19"/>
      <c r="V23" s="19"/>
      <c r="W23" s="19"/>
      <c r="X23" s="19"/>
      <c r="Y23" s="19"/>
      <c r="Z23" s="19"/>
      <c r="AA23" s="19"/>
      <c r="AB23" s="19"/>
      <c r="AC23" s="19"/>
      <c r="AD23" s="19"/>
      <c r="AE23" s="19"/>
      <c r="AF23" s="19"/>
    </row>
    <row r="24" spans="1:32">
      <c r="A24" s="26"/>
      <c r="B24" s="26"/>
      <c r="C24" s="26"/>
      <c r="D24" s="26"/>
      <c r="E24" s="26"/>
      <c r="F24" s="26"/>
      <c r="G24" s="26"/>
      <c r="H24" s="26"/>
      <c r="I24" s="26"/>
      <c r="J24" s="26"/>
      <c r="K24" s="26"/>
      <c r="L24" s="26"/>
      <c r="M24" s="26"/>
      <c r="N24" s="26"/>
      <c r="P24" s="19"/>
      <c r="Q24" s="19"/>
      <c r="R24" s="19"/>
      <c r="S24" s="19"/>
      <c r="T24" s="19"/>
      <c r="U24" s="19"/>
      <c r="V24" s="19"/>
      <c r="W24" s="19"/>
      <c r="X24" s="19"/>
      <c r="Y24" s="19"/>
      <c r="Z24" s="19"/>
      <c r="AA24" s="19"/>
      <c r="AB24" s="19"/>
      <c r="AC24" s="19"/>
      <c r="AD24" s="19"/>
      <c r="AE24" s="19"/>
      <c r="AF24" s="19"/>
    </row>
    <row r="25" spans="1:32" ht="18">
      <c r="A25" s="42"/>
      <c r="B25" s="46"/>
      <c r="C25" s="46"/>
      <c r="D25" s="46"/>
      <c r="E25" s="46"/>
      <c r="F25" s="46"/>
      <c r="G25" s="46"/>
      <c r="H25" s="46"/>
      <c r="I25" s="46"/>
      <c r="J25" s="46"/>
      <c r="K25" s="46"/>
      <c r="L25" s="46"/>
      <c r="M25" s="46"/>
      <c r="N25" s="46"/>
      <c r="P25" s="20"/>
      <c r="Q25" s="21"/>
      <c r="R25" s="21"/>
      <c r="S25" s="21"/>
      <c r="T25" s="21"/>
      <c r="U25" s="21"/>
      <c r="V25" s="21"/>
      <c r="W25" s="21"/>
      <c r="X25" s="21"/>
      <c r="Y25" s="21"/>
      <c r="Z25" s="21"/>
      <c r="AA25" s="21"/>
      <c r="AB25" s="21"/>
      <c r="AC25" s="21"/>
      <c r="AD25" s="21"/>
      <c r="AE25" s="21"/>
      <c r="AF25" s="21"/>
    </row>
    <row r="26" spans="1:32" ht="42.75" customHeight="1">
      <c r="A26" s="1722"/>
      <c r="B26" s="1722"/>
      <c r="C26" s="1722"/>
      <c r="D26" s="1722"/>
      <c r="E26" s="1722"/>
      <c r="F26" s="1722"/>
      <c r="G26" s="1722"/>
      <c r="H26" s="1722"/>
      <c r="I26" s="1722"/>
      <c r="J26" s="1722"/>
      <c r="K26" s="1722"/>
      <c r="L26" s="1722"/>
      <c r="M26" s="1722"/>
      <c r="N26" s="1722"/>
      <c r="P26" s="20"/>
      <c r="Q26" s="21"/>
      <c r="R26" s="21"/>
      <c r="S26" s="21"/>
      <c r="T26" s="21"/>
      <c r="U26" s="21"/>
      <c r="V26" s="21"/>
      <c r="W26" s="21"/>
      <c r="X26" s="21"/>
      <c r="Y26" s="21"/>
      <c r="Z26" s="21"/>
      <c r="AA26" s="21"/>
      <c r="AB26" s="21"/>
      <c r="AC26" s="21"/>
      <c r="AD26" s="21"/>
      <c r="AE26" s="21"/>
      <c r="AF26" s="21"/>
    </row>
    <row r="27" spans="1:32">
      <c r="A27" s="41"/>
      <c r="B27" s="41"/>
      <c r="C27" s="41"/>
      <c r="D27" s="41"/>
      <c r="E27" s="41"/>
      <c r="F27" s="41"/>
      <c r="G27" s="41"/>
      <c r="H27" s="41"/>
      <c r="I27" s="41"/>
      <c r="J27" s="41"/>
      <c r="K27" s="41"/>
      <c r="L27" s="41"/>
      <c r="M27" s="41"/>
      <c r="N27" s="41"/>
      <c r="P27" s="19"/>
      <c r="Q27" s="19"/>
      <c r="R27" s="19"/>
      <c r="S27" s="19"/>
      <c r="T27" s="19"/>
      <c r="U27" s="19"/>
      <c r="V27" s="19"/>
      <c r="W27" s="19"/>
      <c r="X27" s="19"/>
      <c r="Y27" s="19"/>
      <c r="Z27" s="19"/>
      <c r="AA27" s="19"/>
      <c r="AB27" s="19"/>
      <c r="AC27" s="19"/>
      <c r="AD27" s="19"/>
      <c r="AE27" s="19"/>
      <c r="AF27" s="19"/>
    </row>
    <row r="28" spans="1:32" ht="96.75" customHeight="1">
      <c r="A28" s="1727"/>
      <c r="B28" s="1727"/>
      <c r="C28" s="1727"/>
      <c r="D28" s="1727"/>
      <c r="E28" s="1727"/>
      <c r="F28" s="1727"/>
      <c r="G28" s="1727"/>
      <c r="H28" s="1727"/>
      <c r="I28" s="1727"/>
      <c r="J28" s="1727"/>
      <c r="K28" s="1727"/>
      <c r="L28" s="1727"/>
      <c r="M28" s="1727"/>
      <c r="N28" s="1727"/>
      <c r="P28" s="19"/>
      <c r="Q28" s="19"/>
      <c r="R28" s="19"/>
      <c r="S28" s="19"/>
      <c r="T28" s="19"/>
      <c r="U28" s="19"/>
      <c r="V28" s="19"/>
      <c r="W28" s="19"/>
      <c r="X28" s="19"/>
      <c r="Y28" s="19"/>
      <c r="Z28" s="19"/>
      <c r="AA28" s="19"/>
      <c r="AB28" s="19"/>
      <c r="AC28" s="19"/>
      <c r="AD28" s="19"/>
      <c r="AE28" s="19"/>
      <c r="AF28" s="19"/>
    </row>
    <row r="29" spans="1:32" ht="18.75" customHeight="1">
      <c r="A29" s="372"/>
      <c r="B29" s="372"/>
      <c r="C29" s="372"/>
      <c r="D29" s="372"/>
      <c r="E29" s="372"/>
      <c r="F29" s="372"/>
      <c r="G29" s="372"/>
      <c r="H29" s="372"/>
      <c r="I29" s="372"/>
      <c r="J29" s="372"/>
      <c r="K29" s="372"/>
      <c r="L29" s="372"/>
      <c r="M29" s="372"/>
      <c r="N29" s="372"/>
      <c r="P29" s="19"/>
      <c r="Q29" s="19"/>
      <c r="R29" s="19"/>
      <c r="S29" s="19"/>
      <c r="T29" s="19"/>
      <c r="U29" s="19"/>
      <c r="V29" s="19"/>
      <c r="W29" s="19"/>
      <c r="X29" s="19"/>
      <c r="Y29" s="19"/>
      <c r="Z29" s="19"/>
      <c r="AA29" s="19"/>
      <c r="AB29" s="19"/>
      <c r="AC29" s="19"/>
      <c r="AD29" s="19"/>
      <c r="AE29" s="19"/>
      <c r="AF29" s="19"/>
    </row>
    <row r="30" spans="1:32" ht="15.75" customHeight="1">
      <c r="A30" s="1725"/>
      <c r="B30" s="1725"/>
      <c r="C30" s="1725"/>
      <c r="D30" s="1725"/>
      <c r="E30" s="1725"/>
      <c r="F30" s="1725"/>
      <c r="G30" s="1725"/>
      <c r="H30" s="1725"/>
      <c r="I30" s="1725"/>
      <c r="J30" s="1725"/>
      <c r="K30" s="1725"/>
      <c r="L30" s="1725"/>
      <c r="M30" s="1725"/>
      <c r="N30" s="1725"/>
      <c r="P30" s="19"/>
      <c r="Q30" s="19"/>
      <c r="R30" s="19"/>
      <c r="S30" s="19"/>
      <c r="T30" s="19"/>
      <c r="U30" s="19"/>
      <c r="V30" s="19"/>
      <c r="W30" s="19"/>
      <c r="X30" s="19"/>
      <c r="Y30" s="19"/>
      <c r="Z30" s="19"/>
      <c r="AA30" s="19"/>
      <c r="AB30" s="19"/>
      <c r="AC30" s="19"/>
      <c r="AD30" s="19"/>
      <c r="AE30" s="19"/>
      <c r="AF30" s="19"/>
    </row>
    <row r="31" spans="1:32" ht="24" customHeight="1">
      <c r="A31" s="1725"/>
      <c r="B31" s="1725"/>
      <c r="C31" s="1725"/>
      <c r="D31" s="1725"/>
      <c r="E31" s="1725"/>
      <c r="F31" s="1725"/>
      <c r="G31" s="1725"/>
      <c r="H31" s="1725"/>
      <c r="I31" s="1725"/>
      <c r="J31" s="1725"/>
      <c r="K31" s="1725"/>
      <c r="L31" s="1725"/>
      <c r="M31" s="1725"/>
      <c r="N31" s="1725"/>
      <c r="P31" s="19"/>
      <c r="Q31" s="19"/>
      <c r="R31" s="19"/>
      <c r="S31" s="19"/>
      <c r="T31" s="19"/>
      <c r="U31" s="19"/>
      <c r="V31" s="19"/>
      <c r="W31" s="19"/>
      <c r="X31" s="19"/>
      <c r="Y31" s="19"/>
      <c r="Z31" s="19"/>
      <c r="AA31" s="19"/>
      <c r="AB31" s="19"/>
      <c r="AC31" s="19"/>
      <c r="AD31" s="19"/>
      <c r="AE31" s="19"/>
      <c r="AF31" s="19"/>
    </row>
    <row r="32" spans="1:32" ht="15.75" customHeight="1">
      <c r="A32" s="41"/>
      <c r="B32" s="41"/>
      <c r="C32" s="41"/>
      <c r="D32" s="41"/>
      <c r="E32" s="41"/>
      <c r="F32" s="41"/>
      <c r="G32" s="41"/>
      <c r="H32" s="41"/>
      <c r="I32" s="41"/>
      <c r="J32" s="41"/>
      <c r="K32" s="41"/>
      <c r="L32" s="41"/>
      <c r="M32" s="41"/>
      <c r="N32" s="41"/>
      <c r="P32" s="19"/>
      <c r="Q32" s="19"/>
      <c r="R32" s="19"/>
      <c r="S32" s="19"/>
      <c r="T32" s="19"/>
      <c r="U32" s="19"/>
      <c r="V32" s="19"/>
      <c r="W32" s="19"/>
      <c r="X32" s="19"/>
      <c r="Y32" s="19"/>
      <c r="Z32" s="19"/>
      <c r="AA32" s="19"/>
      <c r="AB32" s="19"/>
      <c r="AC32" s="19"/>
      <c r="AD32" s="19"/>
      <c r="AE32" s="19"/>
      <c r="AF32" s="19"/>
    </row>
    <row r="33" spans="1:32" ht="18" customHeight="1">
      <c r="A33" s="1722"/>
      <c r="B33" s="1722"/>
      <c r="C33" s="1722"/>
      <c r="D33" s="1722"/>
      <c r="E33" s="1722"/>
      <c r="F33" s="1722"/>
      <c r="G33" s="1722"/>
      <c r="H33" s="1722"/>
      <c r="I33" s="1722"/>
      <c r="J33" s="1722"/>
      <c r="K33" s="1722"/>
      <c r="L33" s="1722"/>
      <c r="M33" s="1722"/>
      <c r="N33" s="1722"/>
      <c r="P33" s="19"/>
      <c r="Q33" s="19"/>
      <c r="R33" s="19"/>
      <c r="S33" s="19"/>
      <c r="T33" s="19"/>
      <c r="U33" s="19"/>
      <c r="V33" s="19"/>
      <c r="W33" s="19"/>
      <c r="X33" s="19"/>
      <c r="Y33" s="19"/>
      <c r="Z33" s="19"/>
      <c r="AA33" s="19"/>
      <c r="AB33" s="19"/>
      <c r="AC33" s="19"/>
      <c r="AD33" s="19"/>
      <c r="AE33" s="19"/>
      <c r="AF33" s="19"/>
    </row>
    <row r="34" spans="1:32">
      <c r="A34" s="1"/>
      <c r="B34" s="1"/>
      <c r="C34" s="1"/>
      <c r="D34" s="1"/>
      <c r="E34" s="1"/>
      <c r="F34" s="1"/>
      <c r="G34" s="1"/>
      <c r="H34" s="1"/>
      <c r="I34" s="1"/>
      <c r="J34" s="1"/>
      <c r="K34" s="1"/>
      <c r="L34" s="1"/>
      <c r="M34" s="1"/>
      <c r="N34" s="1"/>
      <c r="P34" s="19"/>
      <c r="Q34" s="19"/>
      <c r="R34" s="19"/>
      <c r="S34" s="19"/>
      <c r="T34" s="19"/>
      <c r="U34" s="19"/>
      <c r="V34" s="19"/>
      <c r="W34" s="19"/>
      <c r="X34" s="19"/>
      <c r="Y34" s="19"/>
      <c r="Z34" s="19"/>
      <c r="AA34" s="19"/>
      <c r="AB34" s="19"/>
      <c r="AC34" s="19"/>
      <c r="AD34" s="19"/>
      <c r="AE34" s="19"/>
      <c r="AF34" s="19"/>
    </row>
    <row r="35" spans="1:32" ht="18" customHeight="1">
      <c r="A35" s="1722"/>
      <c r="B35" s="1722"/>
      <c r="C35" s="1722"/>
      <c r="D35" s="1722"/>
      <c r="E35" s="1722"/>
      <c r="F35" s="1722"/>
      <c r="G35" s="1722"/>
      <c r="H35" s="1722"/>
      <c r="I35" s="1722"/>
      <c r="J35" s="1722"/>
      <c r="K35" s="1722"/>
      <c r="L35" s="1722"/>
      <c r="M35" s="1722"/>
      <c r="N35" s="1722"/>
      <c r="P35" s="19"/>
      <c r="Q35" s="19"/>
      <c r="R35" s="19"/>
      <c r="S35" s="19"/>
      <c r="T35" s="19"/>
      <c r="U35" s="19"/>
      <c r="V35" s="19"/>
      <c r="W35" s="19"/>
      <c r="X35" s="19"/>
      <c r="Y35" s="19"/>
      <c r="Z35" s="19"/>
      <c r="AA35" s="19"/>
      <c r="AB35" s="19"/>
      <c r="AC35" s="19"/>
      <c r="AD35" s="19"/>
      <c r="AE35" s="19"/>
      <c r="AF35" s="19"/>
    </row>
  </sheetData>
  <customSheetViews>
    <customSheetView guid="{DA38F665-F06D-4DFB-B852-747D93BB00EF}" scale="75" showPageBreaks="1" showGridLines="0" outlineSymbols="0" fitToPage="1" printArea="1" view="pageBreakPreview">
      <selection activeCell="B210" sqref="B210"/>
      <pageMargins left="1" right="1" top="0.5" bottom="0.55000000000000004" header="0" footer="0"/>
      <printOptions horizontalCentered="1"/>
      <pageSetup scale="70" orientation="landscape" horizontalDpi="300" verticalDpi="300" r:id="rId1"/>
      <headerFooter alignWithMargins="0">
        <oddFooter>&amp;C&amp;"Times New Roman,Regular"Exhibit H - Summary of Reimbursable Resources</oddFooter>
      </headerFooter>
    </customSheetView>
    <customSheetView guid="{4D0F9E3D-0229-48CC-A08B-F132802E9D7B}" scale="75" showPageBreaks="1" showGridLines="0" outlineSymbols="0" fitToPage="1" printArea="1" view="pageBreakPreview" topLeftCell="A4">
      <selection activeCell="K16" sqref="K16"/>
      <pageMargins left="1" right="1" top="0.5" bottom="0.55000000000000004" header="0" footer="0"/>
      <printOptions horizontalCentered="1"/>
      <pageSetup scale="70" orientation="landscape" horizontalDpi="300" verticalDpi="300" r:id="rId2"/>
      <headerFooter alignWithMargins="0">
        <oddFooter>&amp;C&amp;"Times New Roman,Regular"Exhibit H - Summary of Reimbursable Resources</oddFooter>
      </headerFooter>
    </customSheetView>
    <customSheetView guid="{F6772377-6B25-4EEA-B255-4C2F62B37855}" scale="75" showPageBreaks="1" showGridLines="0" outlineSymbols="0" fitToPage="1" printArea="1" view="pageBreakPreview">
      <selection activeCell="A19" sqref="A19"/>
      <pageMargins left="1" right="1" top="0.5" bottom="0.55000000000000004" header="0" footer="0"/>
      <printOptions horizontalCentered="1"/>
      <pageSetup scale="70" orientation="landscape" horizontalDpi="300" verticalDpi="300" r:id="rId3"/>
      <headerFooter alignWithMargins="0">
        <oddFooter>&amp;C&amp;"Times New Roman,Regular"Exhibit H - Summary of Reimbursable Resources</oddFooter>
      </headerFooter>
    </customSheetView>
    <customSheetView guid="{27B9C207-C13F-4981-9CED-E69585BBD779}" scale="75" showPageBreaks="1" showGridLines="0" outlineSymbols="0" fitToPage="1" printArea="1" view="pageBreakPreview">
      <selection activeCell="E12" sqref="E12"/>
      <pageMargins left="1" right="1" top="0.5" bottom="0.55000000000000004" header="0" footer="0"/>
      <printOptions horizontalCentered="1"/>
      <pageSetup scale="70" orientation="landscape" horizontalDpi="300" verticalDpi="300" r:id="rId4"/>
      <headerFooter alignWithMargins="0">
        <oddFooter>&amp;C&amp;"Times New Roman,Regular"Exhibit H - Summary of Reimbursable Resources&amp;R&amp;"Times New Roman,Regular"State and Local Law Enforcement Assistance</oddFooter>
      </headerFooter>
    </customSheetView>
  </customSheetViews>
  <mergeCells count="22">
    <mergeCell ref="O19:P21"/>
    <mergeCell ref="A21:N21"/>
    <mergeCell ref="A1:N1"/>
    <mergeCell ref="A3:N3"/>
    <mergeCell ref="A4:N4"/>
    <mergeCell ref="A5:N5"/>
    <mergeCell ref="A6:N6"/>
    <mergeCell ref="A8:B9"/>
    <mergeCell ref="C8:E8"/>
    <mergeCell ref="F8:H8"/>
    <mergeCell ref="I8:K8"/>
    <mergeCell ref="L8:N8"/>
    <mergeCell ref="A10:B10"/>
    <mergeCell ref="A11:B11"/>
    <mergeCell ref="A15:B15"/>
    <mergeCell ref="A17:B17"/>
    <mergeCell ref="A35:N35"/>
    <mergeCell ref="A18:B18"/>
    <mergeCell ref="A26:N26"/>
    <mergeCell ref="A28:N28"/>
    <mergeCell ref="A30:N31"/>
    <mergeCell ref="A33:N33"/>
  </mergeCells>
  <printOptions horizontalCentered="1"/>
  <pageMargins left="1" right="1" top="0.5" bottom="0.55000000000000004" header="0" footer="0"/>
  <pageSetup scale="70" orientation="landscape" horizontalDpi="300" verticalDpi="300" r:id="rId5"/>
  <headerFooter alignWithMargins="0">
    <oddFooter>&amp;C&amp;"Times New Roman,Regular"Exhibit H - Summary of Reimbursable Resources&amp;R&amp;"Times New Roman,Regular"State and Local Law Enforcement Assistance</oddFooter>
  </headerFooter>
</worksheet>
</file>

<file path=xl/worksheets/sheet24.xml><?xml version="1.0" encoding="utf-8"?>
<worksheet xmlns="http://schemas.openxmlformats.org/spreadsheetml/2006/main" xmlns:r="http://schemas.openxmlformats.org/officeDocument/2006/relationships">
  <dimension ref="A1:AD61"/>
  <sheetViews>
    <sheetView view="pageBreakPreview" topLeftCell="B49" zoomScaleNormal="100" zoomScaleSheetLayoutView="100" workbookViewId="0">
      <selection activeCell="A50" sqref="A50:A53"/>
    </sheetView>
  </sheetViews>
  <sheetFormatPr defaultRowHeight="15"/>
  <cols>
    <col min="1" max="1" width="49.44140625" style="363" customWidth="1"/>
    <col min="2" max="2" width="6.21875" style="363" customWidth="1"/>
    <col min="3" max="3" width="9.21875" style="321" customWidth="1"/>
    <col min="4" max="4" width="6.21875" style="363" customWidth="1"/>
    <col min="5" max="5" width="11.77734375" style="321" customWidth="1"/>
    <col min="6" max="6" width="6.21875" style="363" customWidth="1"/>
    <col min="7" max="7" width="9.77734375" style="321" customWidth="1"/>
    <col min="8" max="8" width="6.21875" style="363" customWidth="1"/>
    <col min="9" max="9" width="11.88671875" style="321" customWidth="1"/>
    <col min="10" max="10" width="6.21875" style="363" customWidth="1"/>
    <col min="11" max="11" width="11.6640625" style="321" customWidth="1"/>
    <col min="12" max="12" width="6.21875" style="363" customWidth="1"/>
    <col min="13" max="13" width="12.44140625" style="321" customWidth="1"/>
    <col min="14" max="14" width="6.21875" style="363" customWidth="1"/>
    <col min="15" max="15" width="11.5546875" style="321" customWidth="1"/>
    <col min="16" max="16" width="10.6640625" style="62" customWidth="1"/>
    <col min="17" max="16384" width="8.88671875" style="363"/>
  </cols>
  <sheetData>
    <row r="1" spans="1:16" ht="20.25">
      <c r="A1" s="374" t="s">
        <v>263</v>
      </c>
      <c r="B1" s="573"/>
      <c r="C1" s="574"/>
      <c r="D1" s="573"/>
      <c r="E1" s="574"/>
      <c r="F1" s="573"/>
      <c r="G1" s="574"/>
      <c r="H1" s="573"/>
      <c r="I1" s="574"/>
      <c r="J1" s="573"/>
      <c r="K1" s="574"/>
      <c r="L1" s="573"/>
      <c r="M1" s="574"/>
      <c r="N1" s="573"/>
      <c r="O1" s="574"/>
      <c r="P1" s="576" t="s">
        <v>0</v>
      </c>
    </row>
    <row r="2" spans="1:16" ht="13.15" customHeight="1">
      <c r="A2" s="1946"/>
      <c r="B2" s="1946"/>
      <c r="C2" s="1946"/>
      <c r="D2" s="1946"/>
      <c r="E2" s="1946"/>
      <c r="F2" s="1946"/>
      <c r="G2" s="1946"/>
      <c r="H2" s="1946"/>
      <c r="I2" s="1946"/>
      <c r="J2" s="1946"/>
      <c r="K2" s="1946"/>
      <c r="L2" s="1946"/>
      <c r="M2" s="1946"/>
      <c r="N2" s="1946"/>
      <c r="O2" s="1946"/>
      <c r="P2" s="576" t="s">
        <v>0</v>
      </c>
    </row>
    <row r="3" spans="1:16" ht="18.75">
      <c r="A3" s="1947" t="s">
        <v>264</v>
      </c>
      <c r="B3" s="1947"/>
      <c r="C3" s="1947"/>
      <c r="D3" s="1947"/>
      <c r="E3" s="1947"/>
      <c r="F3" s="1947"/>
      <c r="G3" s="1947"/>
      <c r="H3" s="1947"/>
      <c r="I3" s="1947"/>
      <c r="J3" s="1947"/>
      <c r="K3" s="1947"/>
      <c r="L3" s="1947"/>
      <c r="M3" s="1947"/>
      <c r="N3" s="1947"/>
      <c r="O3" s="1947"/>
      <c r="P3" s="576" t="s">
        <v>0</v>
      </c>
    </row>
    <row r="4" spans="1:16" ht="16.5">
      <c r="A4" s="1948" t="str">
        <f>+'[4]B. Summ of Reqs -SLLEA '!A4</f>
        <v>Office of Justice Programs</v>
      </c>
      <c r="B4" s="1948"/>
      <c r="C4" s="1948"/>
      <c r="D4" s="1948"/>
      <c r="E4" s="1948"/>
      <c r="F4" s="1948"/>
      <c r="G4" s="1948"/>
      <c r="H4" s="1948"/>
      <c r="I4" s="1948"/>
      <c r="J4" s="1948"/>
      <c r="K4" s="1948"/>
      <c r="L4" s="1948"/>
      <c r="M4" s="1948"/>
      <c r="N4" s="1948"/>
      <c r="O4" s="1948"/>
      <c r="P4" s="576" t="s">
        <v>0</v>
      </c>
    </row>
    <row r="5" spans="1:16" ht="16.5">
      <c r="A5" s="1948" t="str">
        <f>+'[4]B. Summ of Reqs -SLLEA '!A5</f>
        <v>State and Local Law Enforcement Assistance</v>
      </c>
      <c r="B5" s="1948"/>
      <c r="C5" s="1948"/>
      <c r="D5" s="1948"/>
      <c r="E5" s="1948"/>
      <c r="F5" s="1948"/>
      <c r="G5" s="1948"/>
      <c r="H5" s="1948"/>
      <c r="I5" s="1948"/>
      <c r="J5" s="1948"/>
      <c r="K5" s="1948"/>
      <c r="L5" s="1948"/>
      <c r="M5" s="1948"/>
      <c r="N5" s="1948"/>
      <c r="O5" s="1948"/>
      <c r="P5" s="576" t="s">
        <v>0</v>
      </c>
    </row>
    <row r="6" spans="1:16">
      <c r="A6" s="1949" t="s">
        <v>98</v>
      </c>
      <c r="B6" s="1949"/>
      <c r="C6" s="1949"/>
      <c r="D6" s="1949"/>
      <c r="E6" s="1949"/>
      <c r="F6" s="1949"/>
      <c r="G6" s="1949"/>
      <c r="H6" s="1949"/>
      <c r="I6" s="1949"/>
      <c r="J6" s="1949"/>
      <c r="K6" s="1949"/>
      <c r="L6" s="1949"/>
      <c r="M6" s="1949"/>
      <c r="N6" s="1949"/>
      <c r="O6" s="1949"/>
      <c r="P6" s="576" t="s">
        <v>0</v>
      </c>
    </row>
    <row r="7" spans="1:16">
      <c r="A7" s="2061"/>
      <c r="B7" s="1945"/>
      <c r="C7" s="1945"/>
      <c r="D7" s="1945"/>
      <c r="E7" s="1945"/>
      <c r="F7" s="1945"/>
      <c r="G7" s="1945"/>
      <c r="H7" s="1945"/>
      <c r="I7" s="1945"/>
      <c r="J7" s="1945"/>
      <c r="K7" s="1945"/>
      <c r="L7" s="1945"/>
      <c r="M7" s="1945"/>
      <c r="N7" s="1945"/>
      <c r="O7" s="1945"/>
      <c r="P7" s="576" t="s">
        <v>0</v>
      </c>
    </row>
    <row r="8" spans="1:16" ht="15.75" customHeight="1">
      <c r="A8" s="2055"/>
      <c r="B8" s="2065" t="s">
        <v>281</v>
      </c>
      <c r="C8" s="2066"/>
      <c r="D8" s="2066"/>
      <c r="E8" s="2066"/>
      <c r="F8" s="2066"/>
      <c r="G8" s="2066"/>
      <c r="H8" s="2066"/>
      <c r="I8" s="2066"/>
      <c r="J8" s="2066"/>
      <c r="K8" s="2066"/>
      <c r="L8" s="2066"/>
      <c r="M8" s="2066"/>
      <c r="N8" s="2066"/>
      <c r="O8" s="2067"/>
      <c r="P8" s="576" t="s">
        <v>0</v>
      </c>
    </row>
    <row r="9" spans="1:16" ht="15.75" customHeight="1">
      <c r="A9" s="2056"/>
      <c r="B9" s="2021" t="s">
        <v>265</v>
      </c>
      <c r="C9" s="2022"/>
      <c r="D9" s="2021" t="s">
        <v>265</v>
      </c>
      <c r="E9" s="2022"/>
      <c r="F9" s="2021" t="s">
        <v>265</v>
      </c>
      <c r="G9" s="2022"/>
      <c r="H9" s="2021" t="s">
        <v>265</v>
      </c>
      <c r="I9" s="2022"/>
      <c r="J9" s="2021" t="s">
        <v>265</v>
      </c>
      <c r="K9" s="2022"/>
      <c r="L9" s="2062" t="s">
        <v>265</v>
      </c>
      <c r="M9" s="2063"/>
      <c r="N9" s="2062" t="s">
        <v>265</v>
      </c>
      <c r="O9" s="2064"/>
      <c r="P9" s="576" t="s">
        <v>0</v>
      </c>
    </row>
    <row r="10" spans="1:16" ht="60.95" customHeight="1">
      <c r="A10" s="2057"/>
      <c r="B10" s="2050" t="s">
        <v>310</v>
      </c>
      <c r="C10" s="2051"/>
      <c r="D10" s="2008" t="s">
        <v>311</v>
      </c>
      <c r="E10" s="2052"/>
      <c r="F10" s="2043" t="s">
        <v>319</v>
      </c>
      <c r="G10" s="2042"/>
      <c r="H10" s="2050" t="s">
        <v>654</v>
      </c>
      <c r="I10" s="2051"/>
      <c r="J10" s="2050" t="s">
        <v>582</v>
      </c>
      <c r="K10" s="2051"/>
      <c r="L10" s="2008" t="s">
        <v>583</v>
      </c>
      <c r="M10" s="2009"/>
      <c r="N10" s="2008" t="s">
        <v>341</v>
      </c>
      <c r="O10" s="2020"/>
      <c r="P10" s="576" t="s">
        <v>0</v>
      </c>
    </row>
    <row r="11" spans="1:16" ht="22.5" customHeight="1" thickBot="1">
      <c r="A11" s="2060"/>
      <c r="B11" s="1394" t="s">
        <v>115</v>
      </c>
      <c r="C11" s="1395" t="s">
        <v>270</v>
      </c>
      <c r="D11" s="763" t="s">
        <v>115</v>
      </c>
      <c r="E11" s="1395" t="s">
        <v>270</v>
      </c>
      <c r="F11" s="763" t="s">
        <v>115</v>
      </c>
      <c r="G11" s="1395" t="s">
        <v>270</v>
      </c>
      <c r="H11" s="1394"/>
      <c r="I11" s="1395"/>
      <c r="J11" s="1394" t="s">
        <v>115</v>
      </c>
      <c r="K11" s="1395" t="s">
        <v>270</v>
      </c>
      <c r="L11" s="763" t="s">
        <v>115</v>
      </c>
      <c r="M11" s="1395" t="s">
        <v>270</v>
      </c>
      <c r="N11" s="763" t="s">
        <v>115</v>
      </c>
      <c r="O11" s="1396" t="s">
        <v>270</v>
      </c>
      <c r="P11" s="576" t="s">
        <v>0</v>
      </c>
    </row>
    <row r="12" spans="1:16" ht="15.75">
      <c r="A12" s="764" t="s">
        <v>271</v>
      </c>
      <c r="B12" s="765"/>
      <c r="C12" s="766">
        <f>'[4]C. Increases Offsets - SLLEA'!$G$13*('[4]L. Summ by Object Class - SLLEA'!$E$19/'[4]L. Summ by Object Class - SLLEA'!$E$34)</f>
        <v>0.57068089674645728</v>
      </c>
      <c r="D12" s="767"/>
      <c r="E12" s="768">
        <f>'[4]C. Increases Offsets - SLLEA'!$G$14*('[4]L. Summ by Object Class - SLLEA'!$E$19/'[4]L. Summ by Object Class - SLLEA'!$E$34)</f>
        <v>0.28534044837322864</v>
      </c>
      <c r="F12" s="767"/>
      <c r="G12" s="767">
        <f>'[4]C. Increases Offsets - SLLEA'!$G$15*('[4]L. Summ by Object Class - SLLEA'!$E$19/'[4]L. Summ by Object Class - SLLEA'!$E$34)</f>
        <v>0.45654471739716579</v>
      </c>
      <c r="H12" s="765"/>
      <c r="I12" s="769">
        <f>'[4]C. Increases Offsets - SLLEA'!$G$16*('[4]L. Summ by Object Class - SLLEA'!$E$19/'[4]L. Summ by Object Class - SLLEA'!$E$34)</f>
        <v>3.4240853804787434</v>
      </c>
      <c r="J12" s="765"/>
      <c r="K12" s="769">
        <f>'[4]C. Increases Offsets - SLLEA'!$G$17*('[4]L. Summ by Object Class - SLLEA'!$E$19/'[4]L. Summ by Object Class - SLLEA'!$E$34)</f>
        <v>0.45654471739716579</v>
      </c>
      <c r="L12" s="767"/>
      <c r="M12" s="768">
        <f>'[4]C. Increases Offsets - SLLEA'!$G$18*('[4]L. Summ by Object Class - SLLEA'!$E$19/'[4]L. Summ by Object Class - SLLEA'!$E$34)</f>
        <v>2.9675406630815777</v>
      </c>
      <c r="N12" s="767"/>
      <c r="O12" s="768">
        <f>'[4]C. Increases Offsets - SLLEA'!$G$18*('[4]L. Summ by Object Class - SLLEA'!$E$19/'[4]L. Summ by Object Class - SLLEA'!$E$34)</f>
        <v>0.62774898642110299</v>
      </c>
      <c r="P12" s="576" t="s">
        <v>0</v>
      </c>
    </row>
    <row r="13" spans="1:16" ht="15.75">
      <c r="A13" s="764" t="s">
        <v>272</v>
      </c>
      <c r="B13" s="765"/>
      <c r="C13" s="766">
        <f>'[4]C. Increases Offsets - SLLEA'!$G$13*('[4]L. Summ by Object Class - SLLEA'!$E$23/'[4]L. Summ by Object Class - SLLEA'!$E$34)</f>
        <v>2.4812212902019883E-2</v>
      </c>
      <c r="D13" s="767"/>
      <c r="E13" s="768">
        <f>'[4]C. Increases Offsets - SLLEA'!$G$14*('[4]L. Summ by Object Class - SLLEA'!$E$23/'[4]L. Summ by Object Class - SLLEA'!$E$34)</f>
        <v>1.2406106451009941E-2</v>
      </c>
      <c r="F13" s="767"/>
      <c r="G13" s="767">
        <f>'[4]C. Increases Offsets - SLLEA'!$G$15*('[4]L. Summ by Object Class - SLLEA'!$E$23/'[4]L. Summ by Object Class - SLLEA'!$E$34)</f>
        <v>1.9849770321615907E-2</v>
      </c>
      <c r="H13" s="765"/>
      <c r="I13" s="769">
        <f>'[4]C. Increases Offsets - SLLEA'!$G$16*('[4]L. Summ by Object Class - SLLEA'!$E$23/'[4]L. Summ by Object Class - SLLEA'!$E$34)</f>
        <v>0.14887327741211928</v>
      </c>
      <c r="J13" s="765"/>
      <c r="K13" s="769">
        <f>'[4]C. Increases Offsets - SLLEA'!$G$17*('[4]L. Summ by Object Class - SLLEA'!$E$23/'[4]L. Summ by Object Class - SLLEA'!$E$34)</f>
        <v>1.9849770321615907E-2</v>
      </c>
      <c r="L13" s="767"/>
      <c r="M13" s="768">
        <f>'[4]C. Increases Offsets - SLLEA'!$G$18*('[4]L. Summ by Object Class - SLLEA'!$E$23/'[4]L. Summ by Object Class - SLLEA'!$E$34)</f>
        <v>0.12902350709050339</v>
      </c>
      <c r="N13" s="767"/>
      <c r="O13" s="768">
        <f>'[4]C. Increases Offsets - SLLEA'!$G$18*('[4]L. Summ by Object Class - SLLEA'!$E$23/'[4]L. Summ by Object Class - SLLEA'!$E$34)</f>
        <v>2.7293434192221869E-2</v>
      </c>
      <c r="P13" s="576" t="s">
        <v>0</v>
      </c>
    </row>
    <row r="14" spans="1:16" ht="15.75">
      <c r="A14" s="764" t="s">
        <v>273</v>
      </c>
      <c r="B14" s="765"/>
      <c r="C14" s="766">
        <f>'[4]C. Increases Offsets - SLLEA'!$G$13*('[4]L. Summ by Object Class - SLLEA'!$E$24/'[4]L. Summ by Object Class - SLLEA'!$E$34)</f>
        <v>0.51278573330841082</v>
      </c>
      <c r="D14" s="767"/>
      <c r="E14" s="768">
        <f>'[4]C. Increases Offsets - SLLEA'!$G$14*('[4]L. Summ by Object Class - SLLEA'!$E$24/'[4]L. Summ by Object Class - SLLEA'!$E$34)</f>
        <v>0.25639286665420541</v>
      </c>
      <c r="F14" s="767"/>
      <c r="G14" s="767">
        <f>'[4]C. Increases Offsets - SLLEA'!$G$15*('[4]L. Summ by Object Class - SLLEA'!$E$24/'[4]L. Summ by Object Class - SLLEA'!$E$34)</f>
        <v>0.41022858664672862</v>
      </c>
      <c r="H14" s="765"/>
      <c r="I14" s="769">
        <f>'[4]C. Increases Offsets - SLLEA'!$G$16*('[4]L. Summ by Object Class - SLLEA'!$E$24/'[4]L. Summ by Object Class - SLLEA'!$E$34)</f>
        <v>3.0767143998504647</v>
      </c>
      <c r="J14" s="765"/>
      <c r="K14" s="769">
        <f>'[4]C. Increases Offsets - SLLEA'!$G$17*('[4]L. Summ by Object Class - SLLEA'!$E$24/'[4]L. Summ by Object Class - SLLEA'!$E$34)</f>
        <v>0.41022858664672862</v>
      </c>
      <c r="L14" s="767"/>
      <c r="M14" s="768">
        <f>'[4]C. Increases Offsets - SLLEA'!$G$18*('[4]L. Summ by Object Class - SLLEA'!$E$24/'[4]L. Summ by Object Class - SLLEA'!$E$34)</f>
        <v>2.6664858132037361</v>
      </c>
      <c r="N14" s="767"/>
      <c r="O14" s="768">
        <f>'[4]C. Increases Offsets - SLLEA'!$G$18*('[4]L. Summ by Object Class - SLLEA'!$E$24/'[4]L. Summ by Object Class - SLLEA'!$E$34)</f>
        <v>0.56406430663925189</v>
      </c>
      <c r="P14" s="576" t="s">
        <v>0</v>
      </c>
    </row>
    <row r="15" spans="1:16" ht="15.75">
      <c r="A15" s="764" t="s">
        <v>274</v>
      </c>
      <c r="B15" s="765"/>
      <c r="C15" s="766">
        <f>'[4]C. Increases Offsets - SLLEA'!$G$13*('[4]L. Summ by Object Class - SLLEA'!$E$25/'[4]L. Summ by Object Class - SLLEA'!$E$34)</f>
        <v>147.05371513263782</v>
      </c>
      <c r="D15" s="767"/>
      <c r="E15" s="768">
        <f>'[4]C. Increases Offsets - SLLEA'!$G$14*('[4]L. Summ by Object Class - SLLEA'!$E$25/'[4]L. Summ by Object Class - SLLEA'!$E$34)</f>
        <v>73.52685756631891</v>
      </c>
      <c r="F15" s="767"/>
      <c r="G15" s="767">
        <f>'[4]C. Increases Offsets - SLLEA'!$G$15*('[4]L. Summ by Object Class - SLLEA'!$E$25/'[4]L. Summ by Object Class - SLLEA'!$E$34)</f>
        <v>117.64297210611026</v>
      </c>
      <c r="H15" s="765"/>
      <c r="I15" s="769">
        <f>'[4]C. Increases Offsets - SLLEA'!$G$16*('[4]L. Summ by Object Class - SLLEA'!$E$25/'[4]L. Summ by Object Class - SLLEA'!$E$34)</f>
        <v>882.32229079582692</v>
      </c>
      <c r="J15" s="765"/>
      <c r="K15" s="769">
        <f>'[4]C. Increases Offsets - SLLEA'!$G$17*('[4]L. Summ by Object Class - SLLEA'!$E$25/'[4]L. Summ by Object Class - SLLEA'!$E$34)</f>
        <v>117.64297210611026</v>
      </c>
      <c r="L15" s="767"/>
      <c r="M15" s="768">
        <f>'[4]C. Increases Offsets - SLLEA'!$G$18*('[4]L. Summ by Object Class - SLLEA'!$E$25/'[4]L. Summ by Object Class - SLLEA'!$E$34)</f>
        <v>764.67931868971664</v>
      </c>
      <c r="N15" s="767"/>
      <c r="O15" s="768">
        <f>'[4]C. Increases Offsets - SLLEA'!$G$18*('[4]L. Summ by Object Class - SLLEA'!$E$25/'[4]L. Summ by Object Class - SLLEA'!$E$34)</f>
        <v>161.75908664590162</v>
      </c>
      <c r="P15" s="576" t="s">
        <v>0</v>
      </c>
    </row>
    <row r="16" spans="1:16" ht="15.75">
      <c r="A16" s="764" t="s">
        <v>275</v>
      </c>
      <c r="B16" s="765"/>
      <c r="C16" s="766">
        <f>'[4]C. Increases Offsets - SLLEA'!$G$13*('[4]L. Summ by Object Class - SLLEA'!$E$26/'[4]L. Summ by Object Class - SLLEA'!$E$34)</f>
        <v>21.710686289267397</v>
      </c>
      <c r="D16" s="767"/>
      <c r="E16" s="768">
        <f>'[4]C. Increases Offsets - SLLEA'!$G$14*('[4]L. Summ by Object Class - SLLEA'!$E$26/'[4]L. Summ by Object Class - SLLEA'!$E$34)</f>
        <v>10.855343144633698</v>
      </c>
      <c r="F16" s="767"/>
      <c r="G16" s="767">
        <f>'[4]C. Increases Offsets - SLLEA'!$G$15*('[4]L. Summ by Object Class - SLLEA'!$E$26/'[4]L. Summ by Object Class - SLLEA'!$E$34)</f>
        <v>17.368549031413917</v>
      </c>
      <c r="H16" s="765"/>
      <c r="I16" s="769">
        <f>'[4]C. Increases Offsets - SLLEA'!$G$16*('[4]L. Summ by Object Class - SLLEA'!$E$26/'[4]L. Summ by Object Class - SLLEA'!$E$34)</f>
        <v>130.26411773560437</v>
      </c>
      <c r="J16" s="765"/>
      <c r="K16" s="769">
        <f>'[4]C. Increases Offsets - SLLEA'!$G$17*('[4]L. Summ by Object Class - SLLEA'!$E$26/'[4]L. Summ by Object Class - SLLEA'!$E$34)</f>
        <v>17.368549031413917</v>
      </c>
      <c r="L16" s="767"/>
      <c r="M16" s="768">
        <f>'[4]C. Increases Offsets - SLLEA'!$G$18*('[4]L. Summ by Object Class - SLLEA'!$E$26/'[4]L. Summ by Object Class - SLLEA'!$E$34)</f>
        <v>112.89556870419047</v>
      </c>
      <c r="N16" s="767"/>
      <c r="O16" s="768">
        <f>'[4]C. Increases Offsets - SLLEA'!$G$18*('[4]L. Summ by Object Class - SLLEA'!$E$26/'[4]L. Summ by Object Class - SLLEA'!$E$34)</f>
        <v>23.881754918194137</v>
      </c>
      <c r="P16" s="576" t="s">
        <v>0</v>
      </c>
    </row>
    <row r="17" spans="1:30" ht="15.75">
      <c r="A17" s="764" t="s">
        <v>276</v>
      </c>
      <c r="B17" s="765"/>
      <c r="C17" s="766">
        <f>'[4]C. Increases Offsets - SLLEA'!$G$13*('[4]L. Summ by Object Class - SLLEA'!$E$27/'[4]L. Summ by Object Class - SLLEA'!$E$34)</f>
        <v>119.16478783076747</v>
      </c>
      <c r="D17" s="767"/>
      <c r="E17" s="768">
        <f>'[4]C. Increases Offsets - SLLEA'!$G$14*('[4]L. Summ by Object Class - SLLEA'!$E$27/'[4]L. Summ by Object Class - SLLEA'!$E$34)</f>
        <v>59.582393915383733</v>
      </c>
      <c r="F17" s="767"/>
      <c r="G17" s="767">
        <f>'[4]C. Increases Offsets - SLLEA'!$G$15*('[4]L. Summ by Object Class - SLLEA'!$E$27/'[4]L. Summ by Object Class - SLLEA'!$E$34)</f>
        <v>95.33183026461397</v>
      </c>
      <c r="H17" s="765"/>
      <c r="I17" s="769">
        <f>'[4]C. Increases Offsets - SLLEA'!$G$16*('[4]L. Summ by Object Class - SLLEA'!$E$27/'[4]L. Summ by Object Class - SLLEA'!$E$34)</f>
        <v>714.9887269846048</v>
      </c>
      <c r="J17" s="765"/>
      <c r="K17" s="769">
        <f>'[4]C. Increases Offsets - SLLEA'!$G$17*('[4]L. Summ by Object Class - SLLEA'!$E$27/'[4]L. Summ by Object Class - SLLEA'!$E$34)</f>
        <v>95.33183026461397</v>
      </c>
      <c r="L17" s="767"/>
      <c r="M17" s="768">
        <f>'[4]C. Increases Offsets - SLLEA'!$G$18*('[4]L. Summ by Object Class - SLLEA'!$E$27/'[4]L. Summ by Object Class - SLLEA'!$E$34)</f>
        <v>619.65689671999087</v>
      </c>
      <c r="N17" s="767"/>
      <c r="O17" s="768">
        <f>'[4]C. Increases Offsets - SLLEA'!$G$18*('[4]L. Summ by Object Class - SLLEA'!$E$27/'[4]L. Summ by Object Class - SLLEA'!$E$34)</f>
        <v>131.08126661384421</v>
      </c>
      <c r="P17" s="576" t="s">
        <v>0</v>
      </c>
    </row>
    <row r="18" spans="1:30" ht="15.75">
      <c r="A18" s="770" t="s">
        <v>393</v>
      </c>
      <c r="B18" s="771"/>
      <c r="C18" s="766">
        <f>'[4]C. Increases Offsets - SLLEA'!$G$13*('[4]L. Summ by Object Class - SLLEA'!$E$33/'[4]L. Summ by Object Class - SLLEA'!$E$34)</f>
        <v>9710.9625319043698</v>
      </c>
      <c r="D18" s="772"/>
      <c r="E18" s="773">
        <f>'[4]C. Increases Offsets - SLLEA'!$G$14*('[4]L. Summ by Object Class - SLLEA'!$E$33/'[4]L. Summ by Object Class - SLLEA'!$E$34)</f>
        <v>4855.4812659521849</v>
      </c>
      <c r="F18" s="772"/>
      <c r="G18" s="772">
        <f>'[4]C. Increases Offsets - SLLEA'!$G$15*('[4]L. Summ by Object Class - SLLEA'!$E$33/'[4]L. Summ by Object Class - SLLEA'!$E$34)</f>
        <v>7768.7700255234959</v>
      </c>
      <c r="H18" s="771"/>
      <c r="I18" s="774">
        <f>'[4]C. Increases Offsets - SLLEA'!$G$16*('[4]L. Summ by Object Class - SLLEA'!$E$33/'[4]L. Summ by Object Class - SLLEA'!$E$34)</f>
        <v>58265.775191426219</v>
      </c>
      <c r="J18" s="771"/>
      <c r="K18" s="774">
        <f>'[4]C. Increases Offsets - SLLEA'!$G$17*('[4]L. Summ by Object Class - SLLEA'!$E$33/'[4]L. Summ by Object Class - SLLEA'!$E$34)</f>
        <v>7768.7700255234959</v>
      </c>
      <c r="L18" s="772"/>
      <c r="M18" s="773">
        <f>'[4]C. Increases Offsets - SLLEA'!$G$18*('[4]L. Summ by Object Class - SLLEA'!$E$33/'[4]L. Summ by Object Class - SLLEA'!$E$34)</f>
        <v>50497.005165902723</v>
      </c>
      <c r="N18" s="772"/>
      <c r="O18" s="773">
        <f>'[4]C. Increases Offsets - SLLEA'!$G$18*('[4]L. Summ by Object Class - SLLEA'!$E$33/'[4]L. Summ by Object Class - SLLEA'!$E$34)</f>
        <v>10682.058785094807</v>
      </c>
      <c r="P18" s="576" t="s">
        <v>0</v>
      </c>
    </row>
    <row r="19" spans="1:30" s="778" customFormat="1" ht="15.75">
      <c r="A19" s="775" t="s">
        <v>278</v>
      </c>
      <c r="B19" s="1397">
        <f t="shared" ref="B19:I19" si="0">SUM(B12:B18)</f>
        <v>0</v>
      </c>
      <c r="C19" s="1398">
        <f t="shared" si="0"/>
        <v>10000</v>
      </c>
      <c r="D19" s="1399">
        <f t="shared" si="0"/>
        <v>0</v>
      </c>
      <c r="E19" s="1398">
        <f t="shared" si="0"/>
        <v>5000</v>
      </c>
      <c r="F19" s="1399">
        <f t="shared" si="0"/>
        <v>0</v>
      </c>
      <c r="G19" s="1400">
        <f t="shared" si="0"/>
        <v>8000</v>
      </c>
      <c r="H19" s="1397"/>
      <c r="I19" s="1398">
        <f t="shared" si="0"/>
        <v>60000</v>
      </c>
      <c r="J19" s="1397">
        <f t="shared" ref="J19:O19" si="1">SUM(J12:J18)</f>
        <v>0</v>
      </c>
      <c r="K19" s="1398">
        <f t="shared" si="1"/>
        <v>8000</v>
      </c>
      <c r="L19" s="1399">
        <f t="shared" si="1"/>
        <v>0</v>
      </c>
      <c r="M19" s="1398">
        <f t="shared" si="1"/>
        <v>52000</v>
      </c>
      <c r="N19" s="1399">
        <f t="shared" si="1"/>
        <v>0</v>
      </c>
      <c r="O19" s="1401">
        <f t="shared" si="1"/>
        <v>11000</v>
      </c>
      <c r="P19" s="576" t="s">
        <v>0</v>
      </c>
    </row>
    <row r="20" spans="1:30" s="780" customFormat="1">
      <c r="A20" s="2053"/>
      <c r="B20" s="2054"/>
      <c r="C20" s="2054"/>
      <c r="D20" s="2054"/>
      <c r="E20" s="2054"/>
      <c r="F20" s="2054"/>
      <c r="G20" s="2054"/>
      <c r="H20" s="2054"/>
      <c r="I20" s="2054"/>
      <c r="J20" s="2054"/>
      <c r="K20" s="2054"/>
      <c r="L20" s="2054"/>
      <c r="M20" s="2054"/>
      <c r="N20" s="2054"/>
      <c r="O20" s="2054"/>
      <c r="P20" s="576" t="s">
        <v>0</v>
      </c>
      <c r="Q20" s="779"/>
      <c r="R20" s="779"/>
      <c r="S20" s="779"/>
      <c r="T20" s="779"/>
      <c r="U20" s="779"/>
      <c r="V20" s="779"/>
      <c r="W20" s="779"/>
      <c r="X20" s="779"/>
      <c r="Y20" s="779"/>
      <c r="Z20" s="779"/>
      <c r="AA20" s="779"/>
      <c r="AB20" s="779"/>
      <c r="AC20" s="779"/>
      <c r="AD20" s="779"/>
    </row>
    <row r="21" spans="1:30" s="780" customFormat="1">
      <c r="A21" s="781"/>
      <c r="B21" s="781"/>
      <c r="C21" s="782"/>
      <c r="D21" s="781"/>
      <c r="E21" s="782"/>
      <c r="F21" s="781"/>
      <c r="G21" s="782"/>
      <c r="H21" s="781"/>
      <c r="I21" s="782"/>
      <c r="J21" s="781"/>
      <c r="K21" s="782"/>
      <c r="L21" s="781"/>
      <c r="M21" s="782"/>
      <c r="N21" s="781"/>
      <c r="O21" s="782"/>
      <c r="P21" s="576" t="s">
        <v>0</v>
      </c>
      <c r="Q21" s="779"/>
      <c r="R21" s="779"/>
      <c r="S21" s="779"/>
      <c r="T21" s="779"/>
      <c r="U21" s="779"/>
      <c r="V21" s="779"/>
      <c r="W21" s="779"/>
      <c r="X21" s="779"/>
      <c r="Y21" s="779"/>
      <c r="Z21" s="779"/>
      <c r="AA21" s="779"/>
      <c r="AB21" s="779"/>
      <c r="AC21" s="779"/>
      <c r="AD21" s="779"/>
    </row>
    <row r="22" spans="1:30" ht="15.75" customHeight="1">
      <c r="A22" s="2055"/>
      <c r="B22" s="2012" t="s">
        <v>281</v>
      </c>
      <c r="C22" s="2013"/>
      <c r="D22" s="2013"/>
      <c r="E22" s="2013"/>
      <c r="F22" s="2013"/>
      <c r="G22" s="2013"/>
      <c r="H22" s="2013"/>
      <c r="I22" s="2013"/>
      <c r="J22" s="2013"/>
      <c r="K22" s="2013"/>
      <c r="L22" s="2013"/>
      <c r="M22" s="2013"/>
      <c r="N22" s="2013"/>
      <c r="O22" s="2014"/>
      <c r="P22" s="576" t="s">
        <v>0</v>
      </c>
    </row>
    <row r="23" spans="1:30" ht="15.75" customHeight="1">
      <c r="A23" s="2056"/>
      <c r="B23" s="2021" t="s">
        <v>265</v>
      </c>
      <c r="C23" s="2022"/>
      <c r="D23" s="2010" t="s">
        <v>267</v>
      </c>
      <c r="E23" s="2031"/>
      <c r="F23" s="2010" t="s">
        <v>267</v>
      </c>
      <c r="G23" s="2011"/>
      <c r="H23" s="2010" t="s">
        <v>267</v>
      </c>
      <c r="I23" s="2011"/>
      <c r="J23" s="2010" t="s">
        <v>267</v>
      </c>
      <c r="K23" s="2011"/>
      <c r="L23" s="2010" t="s">
        <v>267</v>
      </c>
      <c r="M23" s="2011"/>
      <c r="N23" s="2010" t="s">
        <v>267</v>
      </c>
      <c r="O23" s="2011"/>
      <c r="P23" s="576" t="s">
        <v>0</v>
      </c>
    </row>
    <row r="24" spans="1:30" ht="60.95" customHeight="1">
      <c r="A24" s="2057"/>
      <c r="B24" s="2050" t="s">
        <v>357</v>
      </c>
      <c r="C24" s="2058"/>
      <c r="D24" s="2008" t="s">
        <v>307</v>
      </c>
      <c r="E24" s="2052"/>
      <c r="F24" s="2008" t="s">
        <v>312</v>
      </c>
      <c r="G24" s="2009"/>
      <c r="H24" s="2012" t="s">
        <v>358</v>
      </c>
      <c r="I24" s="2023"/>
      <c r="J24" s="2012" t="s">
        <v>391</v>
      </c>
      <c r="K24" s="2023"/>
      <c r="L24" s="2008" t="s">
        <v>360</v>
      </c>
      <c r="M24" s="2009"/>
      <c r="N24" s="2008" t="s">
        <v>392</v>
      </c>
      <c r="O24" s="2009"/>
      <c r="P24" s="576" t="s">
        <v>0</v>
      </c>
    </row>
    <row r="25" spans="1:30" ht="24" customHeight="1" thickBot="1">
      <c r="A25" s="2057"/>
      <c r="B25" s="1394" t="s">
        <v>115</v>
      </c>
      <c r="C25" s="1396" t="s">
        <v>270</v>
      </c>
      <c r="D25" s="763" t="s">
        <v>115</v>
      </c>
      <c r="E25" s="1395" t="s">
        <v>270</v>
      </c>
      <c r="F25" s="763" t="s">
        <v>115</v>
      </c>
      <c r="G25" s="1395" t="s">
        <v>270</v>
      </c>
      <c r="H25" s="1394" t="s">
        <v>115</v>
      </c>
      <c r="I25" s="1395" t="s">
        <v>270</v>
      </c>
      <c r="J25" s="1394" t="s">
        <v>115</v>
      </c>
      <c r="K25" s="1395" t="s">
        <v>270</v>
      </c>
      <c r="L25" s="763" t="s">
        <v>115</v>
      </c>
      <c r="M25" s="1395" t="s">
        <v>270</v>
      </c>
      <c r="N25" s="763" t="s">
        <v>115</v>
      </c>
      <c r="O25" s="1402" t="s">
        <v>270</v>
      </c>
      <c r="P25" s="576" t="s">
        <v>0</v>
      </c>
    </row>
    <row r="26" spans="1:30" ht="15.75">
      <c r="A26" s="900" t="s">
        <v>271</v>
      </c>
      <c r="B26" s="765"/>
      <c r="C26" s="768">
        <f>'[4]C. Increases Offsets - SLLEA'!$G$19*('[4]L. Summ by Object Class - SLLEA'!$E$19/'[4]L. Summ by Object Class - SLLEA'!$E$34)</f>
        <v>0.97015752446897729</v>
      </c>
      <c r="D26" s="767"/>
      <c r="E26" s="768">
        <f>'[4]C. Increases Offsets - SLLEA'!$G$26*('[4]L. Summ by Object Class - SLLEA'!$E$19/'[4]L. Summ by Object Class - SLLEA'!$E$34)</f>
        <v>-0.57068089674645728</v>
      </c>
      <c r="F26" s="767"/>
      <c r="G26" s="767">
        <f>'[4]C. Increases Offsets - SLLEA'!$G$27*('[4]L. Summ by Object Class - SLLEA'!$E$19/'[4]L. Summ by Object Class - SLLEA'!$E$34)</f>
        <v>-5.7068089674645724E-2</v>
      </c>
      <c r="H26" s="765"/>
      <c r="I26" s="769">
        <f>'[4]C. Increases Offsets - SLLEA'!$G$28*('[4]L. Summ by Object Class - SLLEA'!$E$19/'[4]L. Summ by Object Class - SLLEA'!$E$34)</f>
        <v>-0.57068089674645728</v>
      </c>
      <c r="J26" s="765"/>
      <c r="K26" s="769">
        <f>'[4]C. Increases Offsets - SLLEA'!$G$29*('[4]L. Summ by Object Class - SLLEA'!$E$19/'[4]L. Summ by Object Class - SLLEA'!$E$34)</f>
        <v>-0.25680640353590578</v>
      </c>
      <c r="L26" s="767"/>
      <c r="M26" s="768">
        <f>'[4]C. Increases Offsets - SLLEA'!$G$30*('[4]L. Summ by Object Class - SLLEA'!$E$19/'[4]L. Summ by Object Class - SLLEA'!$E$34)</f>
        <v>-7.1335112093307158</v>
      </c>
      <c r="N26" s="767"/>
      <c r="O26" s="769">
        <f>'[4]C. Increases Offsets - SLLEA'!$G$31*('[4]L. Summ by Object Class - SLLEA'!$E$19/'[4]L. Summ by Object Class - SLLEA'!$E$34)</f>
        <v>-1.9973831386126004</v>
      </c>
      <c r="P26" s="576" t="s">
        <v>0</v>
      </c>
    </row>
    <row r="27" spans="1:30" ht="15.75">
      <c r="A27" s="901" t="s">
        <v>272</v>
      </c>
      <c r="B27" s="765"/>
      <c r="C27" s="768">
        <f>'[4]C. Increases Offsets - SLLEA'!$G$19*('[4]L. Summ by Object Class - SLLEA'!$E$23/'[4]L. Summ by Object Class - SLLEA'!$E$34)</f>
        <v>4.21807619334338E-2</v>
      </c>
      <c r="D27" s="767"/>
      <c r="E27" s="768">
        <f>'[4]C. Increases Offsets - SLLEA'!$G$26*('[4]L. Summ by Object Class - SLLEA'!$E$23/'[4]L. Summ by Object Class - SLLEA'!$E$34)</f>
        <v>-2.4812212902019883E-2</v>
      </c>
      <c r="F27" s="767"/>
      <c r="G27" s="767">
        <f>'[4]C. Increases Offsets - SLLEA'!$G$27*('[4]L. Summ by Object Class - SLLEA'!$E$23/'[4]L. Summ by Object Class - SLLEA'!$E$34)</f>
        <v>-2.4812212902019883E-3</v>
      </c>
      <c r="H27" s="765"/>
      <c r="I27" s="769">
        <f>'[4]C. Increases Offsets - SLLEA'!$G$28*('[4]L. Summ by Object Class - SLLEA'!$E$23/'[4]L. Summ by Object Class - SLLEA'!$E$34)</f>
        <v>-2.4812212902019883E-2</v>
      </c>
      <c r="J27" s="765"/>
      <c r="K27" s="769">
        <f>'[4]C. Increases Offsets - SLLEA'!$G$29*('[4]L. Summ by Object Class - SLLEA'!$E$23/'[4]L. Summ by Object Class - SLLEA'!$E$34)</f>
        <v>-1.1165495805908946E-2</v>
      </c>
      <c r="L27" s="767"/>
      <c r="M27" s="768">
        <f>'[4]C. Increases Offsets - SLLEA'!$G$30*('[4]L. Summ by Object Class - SLLEA'!$E$23/'[4]L. Summ by Object Class - SLLEA'!$E$34)</f>
        <v>-0.31015266127524854</v>
      </c>
      <c r="N27" s="767"/>
      <c r="O27" s="769">
        <f>'[4]C. Increases Offsets - SLLEA'!$G$31*('[4]L. Summ by Object Class - SLLEA'!$E$23/'[4]L. Summ by Object Class - SLLEA'!$E$34)</f>
        <v>-8.6842745157069579E-2</v>
      </c>
      <c r="P27" s="576" t="s">
        <v>0</v>
      </c>
    </row>
    <row r="28" spans="1:30" ht="15.75">
      <c r="A28" s="901" t="s">
        <v>273</v>
      </c>
      <c r="B28" s="765"/>
      <c r="C28" s="768">
        <f>'[4]C. Increases Offsets - SLLEA'!$G$19*('[4]L. Summ by Object Class - SLLEA'!$E$24/'[4]L. Summ by Object Class - SLLEA'!$E$34)</f>
        <v>0.87173574662429842</v>
      </c>
      <c r="D28" s="767"/>
      <c r="E28" s="768">
        <f>'[4]C. Increases Offsets - SLLEA'!$G$26*('[4]L. Summ by Object Class - SLLEA'!$E$24/'[4]L. Summ by Object Class - SLLEA'!$E$34)</f>
        <v>-0.51278573330841082</v>
      </c>
      <c r="F28" s="767"/>
      <c r="G28" s="767">
        <f>'[4]C. Increases Offsets - SLLEA'!$G$27*('[4]L. Summ by Object Class - SLLEA'!$E$24/'[4]L. Summ by Object Class - SLLEA'!$E$34)</f>
        <v>-5.1278573330841078E-2</v>
      </c>
      <c r="H28" s="765"/>
      <c r="I28" s="769">
        <f>'[4]C. Increases Offsets - SLLEA'!$G$28*('[4]L. Summ by Object Class - SLLEA'!$E$24/'[4]L. Summ by Object Class - SLLEA'!$E$34)</f>
        <v>-0.51278573330841082</v>
      </c>
      <c r="J28" s="765"/>
      <c r="K28" s="769">
        <f>'[4]C. Increases Offsets - SLLEA'!$G$29*('[4]L. Summ by Object Class - SLLEA'!$E$24/'[4]L. Summ by Object Class - SLLEA'!$E$34)</f>
        <v>-0.23075357998878487</v>
      </c>
      <c r="L28" s="767"/>
      <c r="M28" s="768">
        <f>'[4]C. Increases Offsets - SLLEA'!$G$30*('[4]L. Summ by Object Class - SLLEA'!$E$24/'[4]L. Summ by Object Class - SLLEA'!$E$34)</f>
        <v>-6.4098216663551355</v>
      </c>
      <c r="N28" s="767"/>
      <c r="O28" s="769">
        <f>'[4]C. Increases Offsets - SLLEA'!$G$31*('[4]L. Summ by Object Class - SLLEA'!$E$24/'[4]L. Summ by Object Class - SLLEA'!$E$34)</f>
        <v>-1.7947500665794378</v>
      </c>
      <c r="P28" s="576" t="s">
        <v>0</v>
      </c>
    </row>
    <row r="29" spans="1:30" ht="15.75">
      <c r="A29" s="901" t="s">
        <v>274</v>
      </c>
      <c r="B29" s="765"/>
      <c r="C29" s="768">
        <f>'[4]C. Increases Offsets - SLLEA'!$G$19*('[4]L. Summ by Object Class - SLLEA'!$E$25/'[4]L. Summ by Object Class - SLLEA'!$E$34)</f>
        <v>249.9913157254843</v>
      </c>
      <c r="D29" s="767"/>
      <c r="E29" s="768">
        <f>'[4]C. Increases Offsets - SLLEA'!$G$26*('[4]L. Summ by Object Class - SLLEA'!$E$25/'[4]L. Summ by Object Class - SLLEA'!$E$34)</f>
        <v>-147.05371513263782</v>
      </c>
      <c r="F29" s="767"/>
      <c r="G29" s="767">
        <f>'[4]C. Increases Offsets - SLLEA'!$G$27*('[4]L. Summ by Object Class - SLLEA'!$E$25/'[4]L. Summ by Object Class - SLLEA'!$E$34)</f>
        <v>-14.705371513263783</v>
      </c>
      <c r="H29" s="765"/>
      <c r="I29" s="769">
        <f>'[4]C. Increases Offsets - SLLEA'!$G$28*('[4]L. Summ by Object Class - SLLEA'!$E$25/'[4]L. Summ by Object Class - SLLEA'!$E$34)</f>
        <v>-147.05371513263782</v>
      </c>
      <c r="J29" s="765"/>
      <c r="K29" s="769">
        <f>'[4]C. Increases Offsets - SLLEA'!$G$29*('[4]L. Summ by Object Class - SLLEA'!$E$25/'[4]L. Summ by Object Class - SLLEA'!$E$34)</f>
        <v>-66.174171809687024</v>
      </c>
      <c r="L29" s="767"/>
      <c r="M29" s="768">
        <f>'[4]C. Increases Offsets - SLLEA'!$G$30*('[4]L. Summ by Object Class - SLLEA'!$E$25/'[4]L. Summ by Object Class - SLLEA'!$E$34)</f>
        <v>-1838.1714391579728</v>
      </c>
      <c r="N29" s="767"/>
      <c r="O29" s="769">
        <f>'[4]C. Increases Offsets - SLLEA'!$G$31*('[4]L. Summ by Object Class - SLLEA'!$E$25/'[4]L. Summ by Object Class - SLLEA'!$E$34)</f>
        <v>-514.6880029642324</v>
      </c>
      <c r="P29" s="576" t="s">
        <v>0</v>
      </c>
    </row>
    <row r="30" spans="1:30" ht="15.75">
      <c r="A30" s="901" t="s">
        <v>275</v>
      </c>
      <c r="B30" s="765"/>
      <c r="C30" s="768">
        <f>'[4]C. Increases Offsets - SLLEA'!$G$19*('[4]L. Summ by Object Class - SLLEA'!$E$26/'[4]L. Summ by Object Class - SLLEA'!$E$34)</f>
        <v>36.908166691754573</v>
      </c>
      <c r="D30" s="767"/>
      <c r="E30" s="768">
        <f>'[4]C. Increases Offsets - SLLEA'!$G$26*('[4]L. Summ by Object Class - SLLEA'!$E$26/'[4]L. Summ by Object Class - SLLEA'!$E$34)</f>
        <v>-21.710686289267397</v>
      </c>
      <c r="F30" s="767"/>
      <c r="G30" s="767">
        <f>'[4]C. Increases Offsets - SLLEA'!$G$27*('[4]L. Summ by Object Class - SLLEA'!$E$26/'[4]L. Summ by Object Class - SLLEA'!$E$34)</f>
        <v>-2.1710686289267396</v>
      </c>
      <c r="H30" s="765"/>
      <c r="I30" s="769">
        <f>'[4]C. Increases Offsets - SLLEA'!$G$28*('[4]L. Summ by Object Class - SLLEA'!$E$26/'[4]L. Summ by Object Class - SLLEA'!$E$34)</f>
        <v>-21.710686289267397</v>
      </c>
      <c r="J30" s="765"/>
      <c r="K30" s="769">
        <f>'[4]C. Increases Offsets - SLLEA'!$G$29*('[4]L. Summ by Object Class - SLLEA'!$E$26/'[4]L. Summ by Object Class - SLLEA'!$E$34)</f>
        <v>-9.7698088301703283</v>
      </c>
      <c r="L30" s="767"/>
      <c r="M30" s="768">
        <f>'[4]C. Increases Offsets - SLLEA'!$G$30*('[4]L. Summ by Object Class - SLLEA'!$E$26/'[4]L. Summ by Object Class - SLLEA'!$E$34)</f>
        <v>-271.38357861584245</v>
      </c>
      <c r="N30" s="767"/>
      <c r="O30" s="769">
        <f>'[4]C. Increases Offsets - SLLEA'!$G$31*('[4]L. Summ by Object Class - SLLEA'!$E$26/'[4]L. Summ by Object Class - SLLEA'!$E$34)</f>
        <v>-75.987402012435894</v>
      </c>
      <c r="P30" s="576" t="s">
        <v>0</v>
      </c>
    </row>
    <row r="31" spans="1:30" ht="15.75">
      <c r="A31" s="901" t="s">
        <v>276</v>
      </c>
      <c r="B31" s="765"/>
      <c r="C31" s="768">
        <f>'[4]C. Increases Offsets - SLLEA'!$G$19*('[4]L. Summ by Object Class - SLLEA'!$E$27/'[4]L. Summ by Object Class - SLLEA'!$E$34)</f>
        <v>202.58013931230471</v>
      </c>
      <c r="D31" s="767"/>
      <c r="E31" s="768">
        <f>'[4]C. Increases Offsets - SLLEA'!$G$26*('[4]L. Summ by Object Class - SLLEA'!$E$27/'[4]L. Summ by Object Class - SLLEA'!$E$34)</f>
        <v>-119.16478783076747</v>
      </c>
      <c r="F31" s="767"/>
      <c r="G31" s="767">
        <f>'[4]C. Increases Offsets - SLLEA'!$G$27*('[4]L. Summ by Object Class - SLLEA'!$E$27/'[4]L. Summ by Object Class - SLLEA'!$E$34)</f>
        <v>-11.916478783076746</v>
      </c>
      <c r="H31" s="765"/>
      <c r="I31" s="769">
        <f>'[4]C. Increases Offsets - SLLEA'!$G$28*('[4]L. Summ by Object Class - SLLEA'!$E$27/'[4]L. Summ by Object Class - SLLEA'!$E$34)</f>
        <v>-119.16478783076747</v>
      </c>
      <c r="J31" s="765"/>
      <c r="K31" s="769">
        <f>'[4]C. Increases Offsets - SLLEA'!$G$29*('[4]L. Summ by Object Class - SLLEA'!$E$27/'[4]L. Summ by Object Class - SLLEA'!$E$34)</f>
        <v>-53.624154523845363</v>
      </c>
      <c r="L31" s="767"/>
      <c r="M31" s="768">
        <f>'[4]C. Increases Offsets - SLLEA'!$G$30*('[4]L. Summ by Object Class - SLLEA'!$E$27/'[4]L. Summ by Object Class - SLLEA'!$E$34)</f>
        <v>-1489.5598478845934</v>
      </c>
      <c r="N31" s="767"/>
      <c r="O31" s="769">
        <f>'[4]C. Increases Offsets - SLLEA'!$G$31*('[4]L. Summ by Object Class - SLLEA'!$E$27/'[4]L. Summ by Object Class - SLLEA'!$E$34)</f>
        <v>-417.07675740768616</v>
      </c>
      <c r="P31" s="576" t="s">
        <v>0</v>
      </c>
    </row>
    <row r="32" spans="1:30" ht="15.75">
      <c r="A32" s="902" t="s">
        <v>393</v>
      </c>
      <c r="B32" s="771"/>
      <c r="C32" s="773">
        <f>'[4]C. Increases Offsets - SLLEA'!$G$19*('[4]L. Summ by Object Class - SLLEA'!$E$33/'[4]L. Summ by Object Class - SLLEA'!$E$34)</f>
        <v>16508.636304237429</v>
      </c>
      <c r="D32" s="772"/>
      <c r="E32" s="773">
        <f>'[4]C. Increases Offsets - SLLEA'!$G$26*('[4]L. Summ by Object Class - SLLEA'!$E$33/'[4]L. Summ by Object Class - SLLEA'!$E$34)</f>
        <v>-9710.9625319043698</v>
      </c>
      <c r="F32" s="772"/>
      <c r="G32" s="772">
        <f>'[4]C. Increases Offsets - SLLEA'!$G$27*('[4]L. Summ by Object Class - SLLEA'!$E$33/'[4]L. Summ by Object Class - SLLEA'!$E$34)</f>
        <v>-971.09625319043698</v>
      </c>
      <c r="H32" s="771"/>
      <c r="I32" s="774">
        <f>'[4]C. Increases Offsets - SLLEA'!$G$28*('[4]L. Summ by Object Class - SLLEA'!$E$33/'[4]L. Summ by Object Class - SLLEA'!$E$34)</f>
        <v>-9710.9625319043698</v>
      </c>
      <c r="J32" s="771"/>
      <c r="K32" s="774">
        <f>'[4]C. Increases Offsets - SLLEA'!$G$29*('[4]L. Summ by Object Class - SLLEA'!$E$33/'[4]L. Summ by Object Class - SLLEA'!$E$34)</f>
        <v>-4369.9331393569664</v>
      </c>
      <c r="L32" s="772"/>
      <c r="M32" s="773">
        <f>'[4]C. Increases Offsets - SLLEA'!$G$30*('[4]L. Summ by Object Class - SLLEA'!$E$33/'[4]L. Summ by Object Class - SLLEA'!$E$34)</f>
        <v>-121387.03164880462</v>
      </c>
      <c r="N32" s="772"/>
      <c r="O32" s="774">
        <f>'[4]C. Increases Offsets - SLLEA'!$G$31*('[4]L. Summ by Object Class - SLLEA'!$E$33/'[4]L. Summ by Object Class - SLLEA'!$E$34)</f>
        <v>-33988.368861665294</v>
      </c>
      <c r="P32" s="576" t="s">
        <v>0</v>
      </c>
    </row>
    <row r="33" spans="1:16" s="778" customFormat="1" ht="15.75">
      <c r="A33" s="903" t="s">
        <v>278</v>
      </c>
      <c r="B33" s="1397">
        <f t="shared" ref="B33:C33" si="2">SUM(B26:B32)</f>
        <v>0</v>
      </c>
      <c r="C33" s="1401">
        <f t="shared" si="2"/>
        <v>17000</v>
      </c>
      <c r="D33" s="1399">
        <f t="shared" ref="D33:I33" si="3">SUM(D26:D32)</f>
        <v>0</v>
      </c>
      <c r="E33" s="1398">
        <f t="shared" si="3"/>
        <v>-10000</v>
      </c>
      <c r="F33" s="1399">
        <f t="shared" si="3"/>
        <v>0</v>
      </c>
      <c r="G33" s="1400">
        <f t="shared" si="3"/>
        <v>-1000</v>
      </c>
      <c r="H33" s="1397">
        <f t="shared" si="3"/>
        <v>0</v>
      </c>
      <c r="I33" s="1398">
        <f t="shared" si="3"/>
        <v>-10000</v>
      </c>
      <c r="J33" s="1397">
        <f t="shared" ref="J33:O33" si="4">SUM(J26:J32)</f>
        <v>0</v>
      </c>
      <c r="K33" s="1398">
        <f t="shared" si="4"/>
        <v>-4500</v>
      </c>
      <c r="L33" s="1399">
        <f t="shared" si="4"/>
        <v>0</v>
      </c>
      <c r="M33" s="1398">
        <f t="shared" si="4"/>
        <v>-125000</v>
      </c>
      <c r="N33" s="1399">
        <f t="shared" si="4"/>
        <v>0</v>
      </c>
      <c r="O33" s="1398">
        <f t="shared" si="4"/>
        <v>-35000</v>
      </c>
      <c r="P33" s="576" t="s">
        <v>0</v>
      </c>
    </row>
    <row r="34" spans="1:16">
      <c r="A34" s="780"/>
      <c r="B34" s="780"/>
      <c r="C34" s="789"/>
      <c r="D34" s="780"/>
      <c r="E34" s="789"/>
      <c r="F34" s="780"/>
      <c r="G34" s="789"/>
      <c r="H34" s="780"/>
      <c r="I34" s="789"/>
      <c r="J34" s="780"/>
      <c r="K34" s="789"/>
      <c r="L34" s="780"/>
      <c r="M34" s="789"/>
      <c r="N34" s="780"/>
      <c r="O34" s="789"/>
      <c r="P34" s="576" t="s">
        <v>0</v>
      </c>
    </row>
    <row r="35" spans="1:16">
      <c r="A35" s="780"/>
      <c r="B35" s="780"/>
      <c r="C35" s="789"/>
      <c r="D35" s="780"/>
      <c r="E35" s="789"/>
      <c r="F35" s="780"/>
      <c r="G35" s="789"/>
      <c r="H35" s="780"/>
      <c r="I35" s="789"/>
      <c r="J35" s="780"/>
      <c r="K35" s="789"/>
      <c r="L35" s="780"/>
      <c r="M35" s="789"/>
      <c r="N35" s="780"/>
      <c r="O35" s="789"/>
      <c r="P35" s="576" t="s">
        <v>0</v>
      </c>
    </row>
    <row r="36" spans="1:16" ht="15.75" customHeight="1">
      <c r="A36" s="2059"/>
      <c r="B36" s="2008" t="s">
        <v>281</v>
      </c>
      <c r="C36" s="2017"/>
      <c r="D36" s="2017"/>
      <c r="E36" s="2017"/>
      <c r="F36" s="2017"/>
      <c r="G36" s="2017"/>
      <c r="H36" s="2017"/>
      <c r="I36" s="2017"/>
      <c r="J36" s="2017"/>
      <c r="K36" s="2017"/>
      <c r="L36" s="2017"/>
      <c r="M36" s="2017"/>
      <c r="N36" s="2018"/>
      <c r="O36" s="2019"/>
      <c r="P36" s="576" t="s">
        <v>0</v>
      </c>
    </row>
    <row r="37" spans="1:16" ht="15.75">
      <c r="A37" s="2056"/>
      <c r="B37" s="2010" t="s">
        <v>267</v>
      </c>
      <c r="C37" s="2031"/>
      <c r="D37" s="2010" t="s">
        <v>267</v>
      </c>
      <c r="E37" s="2031"/>
      <c r="F37" s="2010" t="s">
        <v>267</v>
      </c>
      <c r="G37" s="2011"/>
      <c r="H37" s="2010" t="s">
        <v>267</v>
      </c>
      <c r="I37" s="2011"/>
      <c r="J37" s="2010" t="s">
        <v>267</v>
      </c>
      <c r="K37" s="2011"/>
      <c r="L37" s="2010" t="s">
        <v>267</v>
      </c>
      <c r="M37" s="2024"/>
      <c r="N37" s="2015" t="s">
        <v>267</v>
      </c>
      <c r="O37" s="2016"/>
      <c r="P37" s="576" t="s">
        <v>0</v>
      </c>
    </row>
    <row r="38" spans="1:16" ht="60.95" customHeight="1">
      <c r="A38" s="2057"/>
      <c r="B38" s="2041" t="s">
        <v>320</v>
      </c>
      <c r="C38" s="2042"/>
      <c r="D38" s="2043" t="s">
        <v>361</v>
      </c>
      <c r="E38" s="2042"/>
      <c r="F38" s="2008" t="s">
        <v>325</v>
      </c>
      <c r="G38" s="2009"/>
      <c r="H38" s="2012" t="s">
        <v>655</v>
      </c>
      <c r="I38" s="2023"/>
      <c r="J38" s="2008" t="s">
        <v>335</v>
      </c>
      <c r="K38" s="2009"/>
      <c r="L38" s="2008" t="s">
        <v>336</v>
      </c>
      <c r="M38" s="2020"/>
      <c r="N38" s="2008" t="s">
        <v>363</v>
      </c>
      <c r="O38" s="2009"/>
      <c r="P38" s="576" t="s">
        <v>0</v>
      </c>
    </row>
    <row r="39" spans="1:16" ht="27" customHeight="1" thickBot="1">
      <c r="A39" s="2060"/>
      <c r="B39" s="763" t="s">
        <v>115</v>
      </c>
      <c r="C39" s="1395" t="s">
        <v>270</v>
      </c>
      <c r="D39" s="763" t="s">
        <v>115</v>
      </c>
      <c r="E39" s="1395" t="s">
        <v>270</v>
      </c>
      <c r="F39" s="763" t="s">
        <v>115</v>
      </c>
      <c r="G39" s="1402" t="s">
        <v>270</v>
      </c>
      <c r="H39" s="1394" t="s">
        <v>115</v>
      </c>
      <c r="I39" s="1395" t="s">
        <v>270</v>
      </c>
      <c r="J39" s="763" t="s">
        <v>115</v>
      </c>
      <c r="K39" s="1395" t="s">
        <v>270</v>
      </c>
      <c r="L39" s="763" t="s">
        <v>115</v>
      </c>
      <c r="M39" s="1396" t="s">
        <v>270</v>
      </c>
      <c r="N39" s="763" t="s">
        <v>115</v>
      </c>
      <c r="O39" s="1402" t="s">
        <v>270</v>
      </c>
      <c r="P39" s="576" t="s">
        <v>0</v>
      </c>
    </row>
    <row r="40" spans="1:16" ht="15.75">
      <c r="A40" s="764" t="s">
        <v>271</v>
      </c>
      <c r="B40" s="783"/>
      <c r="C40" s="784">
        <f>'[4]C. Increases Offsets - SLLEA'!$G$32*('[4]L. Summ by Object Class - SLLEA'!$E$19/'[4]L. Summ by Object Class - SLLEA'!$E$34)</f>
        <v>-1.1413617934929146</v>
      </c>
      <c r="D40" s="767"/>
      <c r="E40" s="767">
        <f>'[4]C. Increases Offsets - SLLEA'!$G$33*('[4]L. Summ by Object Class - SLLEA'!$E$19/'[4]L. Summ by Object Class - SLLEA'!$E$34)</f>
        <v>-2.1685874076365375</v>
      </c>
      <c r="F40" s="785"/>
      <c r="G40" s="769">
        <f>'[4]C. Increases Offsets - SLLEA'!$G$34*('[4]L. Summ by Object Class - SLLEA'!$E$19/'[4]L. Summ by Object Class - SLLEA'!$E$34)</f>
        <v>-0.22827235869858289</v>
      </c>
      <c r="H40" s="765"/>
      <c r="I40" s="766">
        <f>'[4]C. Increases Offsets - SLLEA'!$G$36*('[4]L. Summ by Object Class - SLLEA'!$E$19/'[4]L. Summ by Object Class - SLLEA'!$E$34)</f>
        <v>-5.7068089674645721</v>
      </c>
      <c r="J40" s="767"/>
      <c r="K40" s="768">
        <f>'[4]C. Increases Offsets - SLLEA'!$G$36*('[4]L. Summ by Object Class - SLLEA'!$E$19/'[4]L. Summ by Object Class - SLLEA'!$E$34)</f>
        <v>-0.51361280707181156</v>
      </c>
      <c r="L40" s="767"/>
      <c r="M40" s="768">
        <f>'[4]C. Increases Offsets - SLLEA'!$G$37*('[4]L. Summ by Object Class - SLLEA'!$E$19/'[4]L. Summ by Object Class - SLLEA'!$E$34)</f>
        <v>-5.7068089674645724E-2</v>
      </c>
      <c r="N40" s="767"/>
      <c r="O40" s="769">
        <f>'[4]C. Increases Offsets - SLLEA'!$G$39*('[4]L. Summ by Object Class - SLLEA'!$E$19/'[4]L. Summ by Object Class - SLLEA'!$E$34)</f>
        <v>-0.68481707609574871</v>
      </c>
      <c r="P40" s="576" t="s">
        <v>0</v>
      </c>
    </row>
    <row r="41" spans="1:16" ht="15.75">
      <c r="A41" s="764" t="s">
        <v>272</v>
      </c>
      <c r="B41" s="785"/>
      <c r="C41" s="768">
        <f>'[4]C. Increases Offsets - SLLEA'!$G$32*('[4]L. Summ by Object Class - SLLEA'!$E$23/'[4]L. Summ by Object Class - SLLEA'!$E$34)</f>
        <v>-4.9624425804039765E-2</v>
      </c>
      <c r="D41" s="767"/>
      <c r="E41" s="767">
        <f>'[4]C. Increases Offsets - SLLEA'!$G$33*('[4]L. Summ by Object Class - SLLEA'!$E$23/'[4]L. Summ by Object Class - SLLEA'!$E$34)</f>
        <v>-9.4286409027675544E-2</v>
      </c>
      <c r="F41" s="785"/>
      <c r="G41" s="769">
        <f>'[4]C. Increases Offsets - SLLEA'!$G$34*('[4]L. Summ by Object Class - SLLEA'!$E$23/'[4]L. Summ by Object Class - SLLEA'!$E$34)</f>
        <v>-9.9248851608079534E-3</v>
      </c>
      <c r="H41" s="765"/>
      <c r="I41" s="769">
        <f>'[4]C. Increases Offsets - SLLEA'!$G$36*('[4]L. Summ by Object Class - SLLEA'!$E$23/'[4]L. Summ by Object Class - SLLEA'!$E$34)</f>
        <v>-0.24812212902019881</v>
      </c>
      <c r="J41" s="767"/>
      <c r="K41" s="768">
        <f>'[4]C. Increases Offsets - SLLEA'!$G$36*('[4]L. Summ by Object Class - SLLEA'!$E$23/'[4]L. Summ by Object Class - SLLEA'!$E$34)</f>
        <v>-2.2330991611817893E-2</v>
      </c>
      <c r="L41" s="767"/>
      <c r="M41" s="768">
        <f>'[4]C. Increases Offsets - SLLEA'!$G$37*('[4]L. Summ by Object Class - SLLEA'!$E$23/'[4]L. Summ by Object Class - SLLEA'!$E$34)</f>
        <v>-2.4812212902019883E-3</v>
      </c>
      <c r="N41" s="767"/>
      <c r="O41" s="769">
        <f>'[4]C. Increases Offsets - SLLEA'!$G$39*('[4]L. Summ by Object Class - SLLEA'!$E$23/'[4]L. Summ by Object Class - SLLEA'!$E$34)</f>
        <v>-2.9774655482423858E-2</v>
      </c>
      <c r="P41" s="576" t="s">
        <v>0</v>
      </c>
    </row>
    <row r="42" spans="1:16" ht="15.75">
      <c r="A42" s="764" t="s">
        <v>273</v>
      </c>
      <c r="B42" s="785"/>
      <c r="C42" s="768">
        <f>'[4]C. Increases Offsets - SLLEA'!$G$32*('[4]L. Summ by Object Class - SLLEA'!$E$24/'[4]L. Summ by Object Class - SLLEA'!$E$34)</f>
        <v>-1.0255714666168216</v>
      </c>
      <c r="D42" s="767"/>
      <c r="E42" s="767">
        <f>'[4]C. Increases Offsets - SLLEA'!$G$33*('[4]L. Summ by Object Class - SLLEA'!$E$24/'[4]L. Summ by Object Class - SLLEA'!$E$34)</f>
        <v>-1.9485857865719611</v>
      </c>
      <c r="F42" s="785"/>
      <c r="G42" s="769">
        <f>'[4]C. Increases Offsets - SLLEA'!$G$34*('[4]L. Summ by Object Class - SLLEA'!$E$24/'[4]L. Summ by Object Class - SLLEA'!$E$34)</f>
        <v>-0.20511429332336431</v>
      </c>
      <c r="H42" s="765"/>
      <c r="I42" s="769">
        <f>'[4]C. Increases Offsets - SLLEA'!$G$36*('[4]L. Summ by Object Class - SLLEA'!$E$24/'[4]L. Summ by Object Class - SLLEA'!$E$34)</f>
        <v>-5.1278573330841084</v>
      </c>
      <c r="J42" s="767"/>
      <c r="K42" s="768">
        <f>'[4]C. Increases Offsets - SLLEA'!$G$36*('[4]L. Summ by Object Class - SLLEA'!$E$24/'[4]L. Summ by Object Class - SLLEA'!$E$34)</f>
        <v>-0.46150715997756975</v>
      </c>
      <c r="L42" s="767"/>
      <c r="M42" s="768">
        <f>'[4]C. Increases Offsets - SLLEA'!$G$37*('[4]L. Summ by Object Class - SLLEA'!$E$24/'[4]L. Summ by Object Class - SLLEA'!$E$34)</f>
        <v>-5.1278573330841078E-2</v>
      </c>
      <c r="N42" s="767"/>
      <c r="O42" s="769">
        <f>'[4]C. Increases Offsets - SLLEA'!$G$39*('[4]L. Summ by Object Class - SLLEA'!$E$24/'[4]L. Summ by Object Class - SLLEA'!$E$34)</f>
        <v>-0.61534287997009296</v>
      </c>
      <c r="P42" s="576" t="s">
        <v>0</v>
      </c>
    </row>
    <row r="43" spans="1:16" ht="15.75">
      <c r="A43" s="764" t="s">
        <v>274</v>
      </c>
      <c r="B43" s="785"/>
      <c r="C43" s="768">
        <f>'[4]C. Increases Offsets - SLLEA'!$G$32*('[4]L. Summ by Object Class - SLLEA'!$E$25/'[4]L. Summ by Object Class - SLLEA'!$E$34)</f>
        <v>-294.10743026527564</v>
      </c>
      <c r="D43" s="767"/>
      <c r="E43" s="767">
        <f>'[4]C. Increases Offsets - SLLEA'!$G$33*('[4]L. Summ by Object Class - SLLEA'!$E$25/'[4]L. Summ by Object Class - SLLEA'!$E$34)</f>
        <v>-558.80411750402368</v>
      </c>
      <c r="F43" s="785"/>
      <c r="G43" s="769">
        <f>'[4]C. Increases Offsets - SLLEA'!$G$34*('[4]L. Summ by Object Class - SLLEA'!$E$25/'[4]L. Summ by Object Class - SLLEA'!$E$34)</f>
        <v>-58.821486053055132</v>
      </c>
      <c r="H43" s="765"/>
      <c r="I43" s="769">
        <f>'[4]C. Increases Offsets - SLLEA'!$G$36*('[4]L. Summ by Object Class - SLLEA'!$E$25/'[4]L. Summ by Object Class - SLLEA'!$E$34)</f>
        <v>-1470.5371513263783</v>
      </c>
      <c r="J43" s="767"/>
      <c r="K43" s="768">
        <f>'[4]C. Increases Offsets - SLLEA'!$G$36*('[4]L. Summ by Object Class - SLLEA'!$E$25/'[4]L. Summ by Object Class - SLLEA'!$E$34)</f>
        <v>-132.34834361937405</v>
      </c>
      <c r="L43" s="767"/>
      <c r="M43" s="768">
        <f>'[4]C. Increases Offsets - SLLEA'!$G$37*('[4]L. Summ by Object Class - SLLEA'!$E$25/'[4]L. Summ by Object Class - SLLEA'!$E$34)</f>
        <v>-14.705371513263783</v>
      </c>
      <c r="N43" s="767"/>
      <c r="O43" s="769">
        <f>'[4]C. Increases Offsets - SLLEA'!$G$39*('[4]L. Summ by Object Class - SLLEA'!$E$25/'[4]L. Summ by Object Class - SLLEA'!$E$34)</f>
        <v>-176.46445815916539</v>
      </c>
      <c r="P43" s="576" t="s">
        <v>0</v>
      </c>
    </row>
    <row r="44" spans="1:16" ht="15.75">
      <c r="A44" s="764" t="s">
        <v>275</v>
      </c>
      <c r="B44" s="785"/>
      <c r="C44" s="768">
        <f>'[4]C. Increases Offsets - SLLEA'!$G$32*('[4]L. Summ by Object Class - SLLEA'!$E$26/'[4]L. Summ by Object Class - SLLEA'!$E$34)</f>
        <v>-43.421372578534793</v>
      </c>
      <c r="D44" s="767"/>
      <c r="E44" s="767">
        <f>'[4]C. Increases Offsets - SLLEA'!$G$33*('[4]L. Summ by Object Class - SLLEA'!$E$26/'[4]L. Summ by Object Class - SLLEA'!$E$34)</f>
        <v>-82.500607899216106</v>
      </c>
      <c r="F44" s="785"/>
      <c r="G44" s="769">
        <f>'[4]C. Increases Offsets - SLLEA'!$G$34*('[4]L. Summ by Object Class - SLLEA'!$E$26/'[4]L. Summ by Object Class - SLLEA'!$E$34)</f>
        <v>-8.6842745157069583</v>
      </c>
      <c r="H44" s="765"/>
      <c r="I44" s="769">
        <f>'[4]C. Increases Offsets - SLLEA'!$G$36*('[4]L. Summ by Object Class - SLLEA'!$E$26/'[4]L. Summ by Object Class - SLLEA'!$E$34)</f>
        <v>-217.10686289267397</v>
      </c>
      <c r="J44" s="767"/>
      <c r="K44" s="768">
        <f>'[4]C. Increases Offsets - SLLEA'!$G$36*('[4]L. Summ by Object Class - SLLEA'!$E$26/'[4]L. Summ by Object Class - SLLEA'!$E$34)</f>
        <v>-19.539617660340657</v>
      </c>
      <c r="L44" s="767"/>
      <c r="M44" s="768">
        <f>'[4]C. Increases Offsets - SLLEA'!$G$37*('[4]L. Summ by Object Class - SLLEA'!$E$26/'[4]L. Summ by Object Class - SLLEA'!$E$34)</f>
        <v>-2.1710686289267396</v>
      </c>
      <c r="N44" s="767"/>
      <c r="O44" s="769">
        <f>'[4]C. Increases Offsets - SLLEA'!$G$39*('[4]L. Summ by Object Class - SLLEA'!$E$26/'[4]L. Summ by Object Class - SLLEA'!$E$34)</f>
        <v>-26.052823547120877</v>
      </c>
      <c r="P44" s="576" t="s">
        <v>0</v>
      </c>
    </row>
    <row r="45" spans="1:16" ht="15.75">
      <c r="A45" s="764" t="s">
        <v>276</v>
      </c>
      <c r="B45" s="785"/>
      <c r="C45" s="768">
        <f>'[4]C. Increases Offsets - SLLEA'!$G$32*('[4]L. Summ by Object Class - SLLEA'!$E$27/'[4]L. Summ by Object Class - SLLEA'!$E$34)</f>
        <v>-238.32957566153493</v>
      </c>
      <c r="D45" s="767"/>
      <c r="E45" s="767">
        <f>'[4]C. Increases Offsets - SLLEA'!$G$33*('[4]L. Summ by Object Class - SLLEA'!$E$27/'[4]L. Summ by Object Class - SLLEA'!$E$34)</f>
        <v>-452.82619375691638</v>
      </c>
      <c r="F45" s="785"/>
      <c r="G45" s="769">
        <f>'[4]C. Increases Offsets - SLLEA'!$G$34*('[4]L. Summ by Object Class - SLLEA'!$E$27/'[4]L. Summ by Object Class - SLLEA'!$E$34)</f>
        <v>-47.665915132306985</v>
      </c>
      <c r="H45" s="765"/>
      <c r="I45" s="769">
        <f>'[4]C. Increases Offsets - SLLEA'!$G$36*('[4]L. Summ by Object Class - SLLEA'!$E$27/'[4]L. Summ by Object Class - SLLEA'!$E$34)</f>
        <v>-1191.6478783076748</v>
      </c>
      <c r="J45" s="767"/>
      <c r="K45" s="768">
        <f>'[4]C. Increases Offsets - SLLEA'!$G$36*('[4]L. Summ by Object Class - SLLEA'!$E$27/'[4]L. Summ by Object Class - SLLEA'!$E$34)</f>
        <v>-107.24830904769073</v>
      </c>
      <c r="L45" s="767"/>
      <c r="M45" s="768">
        <f>'[4]C. Increases Offsets - SLLEA'!$G$37*('[4]L. Summ by Object Class - SLLEA'!$E$27/'[4]L. Summ by Object Class - SLLEA'!$E$34)</f>
        <v>-11.916478783076746</v>
      </c>
      <c r="N45" s="767"/>
      <c r="O45" s="769">
        <f>'[4]C. Increases Offsets - SLLEA'!$G$39*('[4]L. Summ by Object Class - SLLEA'!$E$27/'[4]L. Summ by Object Class - SLLEA'!$E$34)</f>
        <v>-142.99774539692098</v>
      </c>
      <c r="P45" s="576" t="s">
        <v>0</v>
      </c>
    </row>
    <row r="46" spans="1:16" ht="15.75">
      <c r="A46" s="786" t="s">
        <v>393</v>
      </c>
      <c r="B46" s="787"/>
      <c r="C46" s="773">
        <f>'[4]C. Increases Offsets - SLLEA'!$G$32*('[4]L. Summ by Object Class - SLLEA'!$E$33/'[4]L. Summ by Object Class - SLLEA'!$E$34)</f>
        <v>-19421.92506380874</v>
      </c>
      <c r="D46" s="772"/>
      <c r="E46" s="772">
        <f>'[4]C. Increases Offsets - SLLEA'!$G$33*('[4]L. Summ by Object Class - SLLEA'!$E$33/'[4]L. Summ by Object Class - SLLEA'!$E$34)</f>
        <v>-36901.657621236605</v>
      </c>
      <c r="F46" s="787"/>
      <c r="G46" s="774">
        <f>'[4]C. Increases Offsets - SLLEA'!$G$34*('[4]L. Summ by Object Class - SLLEA'!$E$33/'[4]L. Summ by Object Class - SLLEA'!$E$34)</f>
        <v>-3884.3850127617479</v>
      </c>
      <c r="H46" s="771"/>
      <c r="I46" s="774">
        <f>'[4]C. Increases Offsets - SLLEA'!$G$36*('[4]L. Summ by Object Class - SLLEA'!$E$33/'[4]L. Summ by Object Class - SLLEA'!$E$34)</f>
        <v>-97109.625319043698</v>
      </c>
      <c r="J46" s="772"/>
      <c r="K46" s="773">
        <f>'[4]C. Increases Offsets - SLLEA'!$G$36*('[4]L. Summ by Object Class - SLLEA'!$E$33/'[4]L. Summ by Object Class - SLLEA'!$E$34)</f>
        <v>-8739.8662787139328</v>
      </c>
      <c r="L46" s="772"/>
      <c r="M46" s="773">
        <f>'[4]C. Increases Offsets - SLLEA'!$G$37*('[4]L. Summ by Object Class - SLLEA'!$E$33/'[4]L. Summ by Object Class - SLLEA'!$E$34)</f>
        <v>-971.09625319043698</v>
      </c>
      <c r="N46" s="772"/>
      <c r="O46" s="774">
        <f>'[4]C. Increases Offsets - SLLEA'!$G$39*('[4]L. Summ by Object Class - SLLEA'!$E$33/'[4]L. Summ by Object Class - SLLEA'!$E$34)</f>
        <v>-11653.155038285244</v>
      </c>
      <c r="P46" s="576" t="s">
        <v>0</v>
      </c>
    </row>
    <row r="47" spans="1:16" ht="15.75">
      <c r="A47" s="775" t="s">
        <v>278</v>
      </c>
      <c r="B47" s="1403">
        <f>SUM(B40:B46)</f>
        <v>0</v>
      </c>
      <c r="C47" s="1401">
        <f>SUM(C40:C46)</f>
        <v>-20000</v>
      </c>
      <c r="D47" s="1399">
        <f>SUM(D40:D46)</f>
        <v>0</v>
      </c>
      <c r="E47" s="1398">
        <f>SUM(E40:E46)</f>
        <v>-38000</v>
      </c>
      <c r="F47" s="1399"/>
      <c r="G47" s="1400">
        <f>SUM(G40:G46)</f>
        <v>-4000</v>
      </c>
      <c r="H47" s="1397">
        <f t="shared" ref="H47:M47" si="5">SUM(H40:H46)</f>
        <v>0</v>
      </c>
      <c r="I47" s="1398">
        <f t="shared" si="5"/>
        <v>-100000</v>
      </c>
      <c r="J47" s="1399">
        <f t="shared" si="5"/>
        <v>0</v>
      </c>
      <c r="K47" s="1398">
        <f t="shared" si="5"/>
        <v>-9000</v>
      </c>
      <c r="L47" s="1399">
        <f t="shared" si="5"/>
        <v>0</v>
      </c>
      <c r="M47" s="1401">
        <f t="shared" si="5"/>
        <v>-1000</v>
      </c>
      <c r="N47" s="1399">
        <f t="shared" ref="N47:O47" si="6">SUM(N40:N46)</f>
        <v>0</v>
      </c>
      <c r="O47" s="1398">
        <f t="shared" si="6"/>
        <v>-12000</v>
      </c>
      <c r="P47" s="576" t="s">
        <v>0</v>
      </c>
    </row>
    <row r="48" spans="1:16" ht="15.75">
      <c r="A48" s="375"/>
      <c r="B48" s="790"/>
      <c r="C48" s="791"/>
      <c r="D48" s="790"/>
      <c r="E48" s="791"/>
      <c r="F48" s="790"/>
      <c r="G48" s="791"/>
      <c r="H48" s="790"/>
      <c r="I48" s="791"/>
      <c r="J48" s="790"/>
      <c r="K48" s="791"/>
      <c r="L48" s="790"/>
      <c r="M48" s="791"/>
      <c r="N48" s="790"/>
      <c r="O48" s="791"/>
      <c r="P48" s="576" t="s">
        <v>0</v>
      </c>
    </row>
    <row r="49" spans="1:16" s="895" customFormat="1" ht="15.75">
      <c r="A49" s="896"/>
      <c r="B49" s="790"/>
      <c r="C49" s="791"/>
      <c r="D49" s="790"/>
      <c r="E49" s="791"/>
      <c r="F49" s="790"/>
      <c r="G49" s="791"/>
      <c r="H49" s="790"/>
      <c r="I49" s="791"/>
      <c r="J49" s="790"/>
      <c r="K49" s="791"/>
      <c r="L49" s="791"/>
      <c r="M49" s="791"/>
      <c r="N49" s="791"/>
      <c r="O49" s="791"/>
      <c r="P49" s="576" t="s">
        <v>0</v>
      </c>
    </row>
    <row r="50" spans="1:16" ht="15.75">
      <c r="A50" s="2025"/>
      <c r="B50" s="2038" t="s">
        <v>281</v>
      </c>
      <c r="C50" s="2039"/>
      <c r="D50" s="2039"/>
      <c r="E50" s="2039"/>
      <c r="F50" s="2039"/>
      <c r="G50" s="2040"/>
      <c r="H50" s="2044" t="s">
        <v>62</v>
      </c>
      <c r="I50" s="2045"/>
      <c r="J50" s="791"/>
      <c r="K50" s="791"/>
      <c r="L50" s="791"/>
      <c r="M50" s="791"/>
      <c r="N50" s="791"/>
      <c r="O50" s="791"/>
      <c r="P50" s="576" t="s">
        <v>0</v>
      </c>
    </row>
    <row r="51" spans="1:16" ht="15.75">
      <c r="A51" s="2026"/>
      <c r="B51" s="2035" t="s">
        <v>267</v>
      </c>
      <c r="C51" s="2037"/>
      <c r="D51" s="2035" t="s">
        <v>267</v>
      </c>
      <c r="E51" s="2037"/>
      <c r="F51" s="2035" t="s">
        <v>267</v>
      </c>
      <c r="G51" s="2036"/>
      <c r="H51" s="2046"/>
      <c r="I51" s="2047"/>
      <c r="J51" s="791"/>
      <c r="K51" s="791"/>
      <c r="L51" s="791"/>
      <c r="M51" s="791"/>
      <c r="N51" s="791"/>
      <c r="O51" s="791"/>
      <c r="P51" s="576" t="s">
        <v>0</v>
      </c>
    </row>
    <row r="52" spans="1:16" ht="60.95" customHeight="1">
      <c r="A52" s="2027"/>
      <c r="B52" s="2033" t="s">
        <v>339</v>
      </c>
      <c r="C52" s="2034"/>
      <c r="D52" s="2029" t="s">
        <v>353</v>
      </c>
      <c r="E52" s="2030"/>
      <c r="F52" s="2029" t="s">
        <v>355</v>
      </c>
      <c r="G52" s="2032"/>
      <c r="H52" s="2048"/>
      <c r="I52" s="2049"/>
      <c r="J52" s="791"/>
      <c r="K52" s="791"/>
      <c r="L52" s="791"/>
      <c r="M52" s="791"/>
      <c r="N52" s="791"/>
      <c r="O52" s="791"/>
      <c r="P52" s="576" t="s">
        <v>0</v>
      </c>
    </row>
    <row r="53" spans="1:16" ht="16.5" thickBot="1">
      <c r="A53" s="2028"/>
      <c r="B53" s="763" t="s">
        <v>115</v>
      </c>
      <c r="C53" s="762" t="s">
        <v>270</v>
      </c>
      <c r="D53" s="578" t="s">
        <v>115</v>
      </c>
      <c r="E53" s="762" t="s">
        <v>270</v>
      </c>
      <c r="F53" s="578" t="s">
        <v>115</v>
      </c>
      <c r="G53" s="762" t="s">
        <v>270</v>
      </c>
      <c r="H53" s="577" t="s">
        <v>115</v>
      </c>
      <c r="I53" s="904" t="s">
        <v>270</v>
      </c>
      <c r="J53" s="791"/>
      <c r="K53" s="791"/>
      <c r="L53" s="791"/>
      <c r="M53" s="791"/>
      <c r="N53" s="791"/>
      <c r="O53" s="791"/>
      <c r="P53" s="576" t="s">
        <v>0</v>
      </c>
    </row>
    <row r="54" spans="1:16" ht="15.75">
      <c r="A54" s="901" t="s">
        <v>271</v>
      </c>
      <c r="B54" s="783"/>
      <c r="C54" s="768">
        <f>'C. Increases Offsets - SLLEA'!$G$40*('L. Summ by Object Class - SLLEA'!$E$19/'L. Summ by Object Class - SLLEA'!$E$34)</f>
        <v>-0.11413617934929145</v>
      </c>
      <c r="D54" s="765"/>
      <c r="E54" s="769">
        <f>'[4]C. Increases Offsets - SLLEA'!$G$41*('[4]L. Summ by Object Class - SLLEA'!$E$19/'[4]L. Summ by Object Class - SLLEA'!$E$34)</f>
        <v>-9.7015752446897725</v>
      </c>
      <c r="F54" s="765"/>
      <c r="G54" s="769">
        <f>'[4]C. Increases Offsets - SLLEA'!$G$42*('[4]L. Summ by Object Class - SLLEA'!$E$19/'[4]L. Summ by Object Class - SLLEA'!$E$34)</f>
        <v>-0.59921494158378008</v>
      </c>
      <c r="H54" s="785">
        <f t="shared" ref="H54:H60" si="7">SUM(B26,D26,F26,H26,J26,L26,N26,B40,D40,F40,H40,J40,L40,N40,N12,L12,J12,H12,F12,D12,B12,B54,D54,F54)</f>
        <v>0</v>
      </c>
      <c r="I54" s="769">
        <f>SUM(C26,E26,G26,I26,K26,M26,O26,C40,E40,G40,I40,K40,M40,O40,O12,M12,K12,I12,G12,E12,C12,C54,E54,G54)</f>
        <v>-21.74294216604002</v>
      </c>
      <c r="J54" s="791"/>
      <c r="K54" s="791"/>
      <c r="L54" s="791"/>
      <c r="M54" s="791"/>
      <c r="N54" s="791"/>
      <c r="O54" s="791"/>
      <c r="P54" s="576" t="s">
        <v>0</v>
      </c>
    </row>
    <row r="55" spans="1:16" ht="15.75">
      <c r="A55" s="901" t="s">
        <v>272</v>
      </c>
      <c r="B55" s="785"/>
      <c r="C55" s="768">
        <f>'C. Increases Offsets - SLLEA'!$G$40*('L. Summ by Object Class - SLLEA'!$E$23/'L. Summ by Object Class - SLLEA'!$E$34)</f>
        <v>-4.9624425804039767E-3</v>
      </c>
      <c r="D55" s="765"/>
      <c r="E55" s="769">
        <f>'[4]C. Increases Offsets - SLLEA'!$G$41*('[4]L. Summ by Object Class - SLLEA'!$E$23/'[4]L. Summ by Object Class - SLLEA'!$E$34)</f>
        <v>-0.42180761933433797</v>
      </c>
      <c r="F55" s="765"/>
      <c r="G55" s="769">
        <f>'[4]C. Increases Offsets - SLLEA'!$G$42*('[4]L. Summ by Object Class - SLLEA'!$E$23/'[4]L. Summ by Object Class - SLLEA'!$E$34)</f>
        <v>-2.6052823547120876E-2</v>
      </c>
      <c r="H55" s="785">
        <f t="shared" si="7"/>
        <v>0</v>
      </c>
      <c r="I55" s="769">
        <f>SUM(C27,E27,G27,I27,K27,M27,O27,C41,E41,G41,I41,K41,M41,O41,O13,M13,K13,I13,G13,E13,C13,C55,E55,G55)</f>
        <v>-0.94534531156695734</v>
      </c>
      <c r="J55" s="791"/>
      <c r="K55" s="791"/>
      <c r="L55" s="791"/>
      <c r="M55" s="791"/>
      <c r="N55" s="791"/>
      <c r="O55" s="791"/>
      <c r="P55" s="576" t="s">
        <v>0</v>
      </c>
    </row>
    <row r="56" spans="1:16" ht="15.75">
      <c r="A56" s="901" t="s">
        <v>273</v>
      </c>
      <c r="B56" s="785"/>
      <c r="C56" s="768">
        <f>'C. Increases Offsets - SLLEA'!$G$40*('L. Summ by Object Class - SLLEA'!$E$24/'L. Summ by Object Class - SLLEA'!$E$34)</f>
        <v>-0.10255714666168216</v>
      </c>
      <c r="D56" s="765"/>
      <c r="E56" s="769">
        <f>'[4]C. Increases Offsets - SLLEA'!$G$41*('[4]L. Summ by Object Class - SLLEA'!$E$24/'[4]L. Summ by Object Class - SLLEA'!$E$34)</f>
        <v>-8.7173574662429836</v>
      </c>
      <c r="F56" s="765"/>
      <c r="G56" s="769">
        <f>'[4]C. Increases Offsets - SLLEA'!$G$42*('[4]L. Summ by Object Class - SLLEA'!$E$24/'[4]L. Summ by Object Class - SLLEA'!$E$34)</f>
        <v>-0.5384250199738313</v>
      </c>
      <c r="H56" s="785">
        <f t="shared" si="7"/>
        <v>0</v>
      </c>
      <c r="I56" s="769">
        <f t="shared" ref="I56:I60" si="8">SUM(C28,E28,G28,I28,K28,M28,O28,C42,E42,G42,I42,K42,M42,O42,O14,M14,K14,I14,G14,E14,C14,C56,E56,G56)</f>
        <v>-19.537136439050453</v>
      </c>
      <c r="J56" s="791"/>
      <c r="K56" s="791"/>
      <c r="L56" s="791"/>
      <c r="M56" s="791"/>
      <c r="N56" s="791"/>
      <c r="O56" s="791"/>
      <c r="P56" s="576" t="s">
        <v>0</v>
      </c>
    </row>
    <row r="57" spans="1:16" ht="15.75">
      <c r="A57" s="901" t="s">
        <v>274</v>
      </c>
      <c r="B57" s="785"/>
      <c r="C57" s="768">
        <f>'C. Increases Offsets - SLLEA'!$G$40*('L. Summ by Object Class - SLLEA'!$E$25/'L. Summ by Object Class - SLLEA'!$E$34)</f>
        <v>-29.410743026527566</v>
      </c>
      <c r="D57" s="765"/>
      <c r="E57" s="769">
        <f>'[4]C. Increases Offsets - SLLEA'!$G$41*('[4]L. Summ by Object Class - SLLEA'!$E$25/'[4]L. Summ by Object Class - SLLEA'!$E$34)</f>
        <v>-2499.9131572548431</v>
      </c>
      <c r="F57" s="765"/>
      <c r="G57" s="769">
        <f>'[4]C. Increases Offsets - SLLEA'!$G$42*('[4]L. Summ by Object Class - SLLEA'!$E$25/'[4]L. Summ by Object Class - SLLEA'!$E$34)</f>
        <v>-154.40640088926972</v>
      </c>
      <c r="H57" s="785">
        <f t="shared" si="7"/>
        <v>0</v>
      </c>
      <c r="I57" s="769">
        <f t="shared" si="8"/>
        <v>-5602.7465465534997</v>
      </c>
      <c r="J57" s="791"/>
      <c r="K57" s="791"/>
      <c r="L57" s="791"/>
      <c r="M57" s="791"/>
      <c r="N57" s="791"/>
      <c r="O57" s="791"/>
      <c r="P57" s="576" t="s">
        <v>0</v>
      </c>
    </row>
    <row r="58" spans="1:16" ht="15.75">
      <c r="A58" s="901" t="s">
        <v>275</v>
      </c>
      <c r="B58" s="785"/>
      <c r="C58" s="768">
        <f>'C. Increases Offsets - SLLEA'!$G$40*('L. Summ by Object Class - SLLEA'!$E$26/'L. Summ by Object Class - SLLEA'!$E$34)</f>
        <v>-4.3421372578534791</v>
      </c>
      <c r="D58" s="765"/>
      <c r="E58" s="769">
        <f>'[4]C. Increases Offsets - SLLEA'!$G$41*('[4]L. Summ by Object Class - SLLEA'!$E$26/'[4]L. Summ by Object Class - SLLEA'!$E$34)</f>
        <v>-369.08166691754576</v>
      </c>
      <c r="F58" s="765"/>
      <c r="G58" s="769">
        <f>'[4]C. Increases Offsets - SLLEA'!$G$42*('[4]L. Summ by Object Class - SLLEA'!$E$26/'[4]L. Summ by Object Class - SLLEA'!$E$34)</f>
        <v>-22.796220603730767</v>
      </c>
      <c r="H58" s="785">
        <f t="shared" si="7"/>
        <v>0</v>
      </c>
      <c r="I58" s="769">
        <f t="shared" si="8"/>
        <v>-827.17714762108767</v>
      </c>
      <c r="J58" s="791"/>
      <c r="K58" s="791"/>
      <c r="L58" s="791"/>
      <c r="M58" s="791"/>
      <c r="N58" s="791"/>
      <c r="O58" s="791"/>
      <c r="P58" s="576" t="s">
        <v>0</v>
      </c>
    </row>
    <row r="59" spans="1:16" ht="15.75">
      <c r="A59" s="901" t="s">
        <v>276</v>
      </c>
      <c r="B59" s="785"/>
      <c r="C59" s="768">
        <f>'C. Increases Offsets - SLLEA'!$G$40*('L. Summ by Object Class - SLLEA'!$E$27/'L. Summ by Object Class - SLLEA'!$E$34)</f>
        <v>-23.832957566153492</v>
      </c>
      <c r="D59" s="765"/>
      <c r="E59" s="769">
        <f>'[4]C. Increases Offsets - SLLEA'!$G$41*('[4]L. Summ by Object Class - SLLEA'!$E$27/'[4]L. Summ by Object Class - SLLEA'!$E$34)</f>
        <v>-2025.8013931230471</v>
      </c>
      <c r="F59" s="765"/>
      <c r="G59" s="769">
        <f>'[4]C. Increases Offsets - SLLEA'!$G$42*('[4]L. Summ by Object Class - SLLEA'!$E$27/'[4]L. Summ by Object Class - SLLEA'!$E$34)</f>
        <v>-125.12302722230584</v>
      </c>
      <c r="H59" s="785">
        <f t="shared" si="7"/>
        <v>0</v>
      </c>
      <c r="I59" s="769">
        <f t="shared" si="8"/>
        <v>-4540.1784163522407</v>
      </c>
      <c r="J59" s="791"/>
      <c r="K59" s="791"/>
      <c r="L59" s="791"/>
      <c r="M59" s="791"/>
      <c r="N59" s="791"/>
      <c r="O59" s="791"/>
      <c r="P59" s="576" t="s">
        <v>0</v>
      </c>
    </row>
    <row r="60" spans="1:16" ht="15.75">
      <c r="A60" s="902" t="s">
        <v>393</v>
      </c>
      <c r="B60" s="1047"/>
      <c r="C60" s="773">
        <f>'C. Increases Offsets - SLLEA'!$G$40*('L. Summ by Object Class - SLLEA'!$E$33/'L. Summ by Object Class - SLLEA'!$E$34)</f>
        <v>-1942.192506380874</v>
      </c>
      <c r="D60" s="771"/>
      <c r="E60" s="774">
        <f>'[4]C. Increases Offsets - SLLEA'!$G$41*('[4]L. Summ by Object Class - SLLEA'!$E$33/'[4]L. Summ by Object Class - SLLEA'!$E$34)</f>
        <v>-165086.36304237429</v>
      </c>
      <c r="F60" s="771"/>
      <c r="G60" s="774">
        <f>'[4]C. Increases Offsets - SLLEA'!$G$42*('[4]L. Summ by Object Class - SLLEA'!$E$33/'[4]L. Summ by Object Class - SLLEA'!$E$34)</f>
        <v>-10196.510658499588</v>
      </c>
      <c r="H60" s="785">
        <f t="shared" si="7"/>
        <v>0</v>
      </c>
      <c r="I60" s="769">
        <f t="shared" si="8"/>
        <v>-369987.67246555648</v>
      </c>
      <c r="J60" s="791"/>
      <c r="K60" s="791"/>
      <c r="L60" s="791"/>
      <c r="M60" s="791"/>
      <c r="N60" s="791"/>
      <c r="O60" s="791"/>
      <c r="P60" s="576" t="s">
        <v>0</v>
      </c>
    </row>
    <row r="61" spans="1:16" ht="15.75">
      <c r="A61" s="903" t="s">
        <v>278</v>
      </c>
      <c r="B61" s="788">
        <f t="shared" ref="B61:I61" si="9">SUM(B54:B60)</f>
        <v>0</v>
      </c>
      <c r="C61" s="777">
        <f t="shared" si="9"/>
        <v>-2000</v>
      </c>
      <c r="D61" s="776">
        <f t="shared" si="9"/>
        <v>0</v>
      </c>
      <c r="E61" s="777">
        <f t="shared" si="9"/>
        <v>-170000</v>
      </c>
      <c r="F61" s="776">
        <f t="shared" si="9"/>
        <v>0</v>
      </c>
      <c r="G61" s="777">
        <f t="shared" si="9"/>
        <v>-10500</v>
      </c>
      <c r="H61" s="776">
        <f t="shared" si="9"/>
        <v>0</v>
      </c>
      <c r="I61" s="777">
        <f t="shared" si="9"/>
        <v>-380999.99999999994</v>
      </c>
      <c r="J61" s="791"/>
      <c r="K61" s="791"/>
      <c r="L61" s="791"/>
      <c r="M61" s="791"/>
      <c r="N61" s="791"/>
      <c r="O61" s="791"/>
      <c r="P61" s="576" t="s">
        <v>0</v>
      </c>
    </row>
  </sheetData>
  <customSheetViews>
    <customSheetView guid="{DA38F665-F06D-4DFB-B852-747D93BB00EF}" scale="60" showPageBreaks="1" printArea="1" view="pageBreakPreview" topLeftCell="A34">
      <selection activeCell="B210" sqref="B210"/>
      <pageMargins left="0.25" right="0.25" top="0.5" bottom="0.5" header="0.5" footer="0.5"/>
      <printOptions horizontalCentered="1"/>
      <pageSetup scale="38" fitToHeight="0" orientation="landscape" r:id="rId1"/>
      <headerFooter alignWithMargins="0">
        <oddFooter xml:space="preserve">&amp;C&amp;"Times New Roman,Regular"&amp;14Exhibit J - Financial Analysis of Program Changes&amp;12
</oddFooter>
      </headerFooter>
    </customSheetView>
    <customSheetView guid="{4D0F9E3D-0229-48CC-A08B-F132802E9D7B}" scale="60" showPageBreaks="1" printArea="1" view="pageBreakPreview">
      <selection activeCell="O56" sqref="O56"/>
      <pageMargins left="0.25" right="0.25" top="0.5" bottom="0.5" header="0.5" footer="0.5"/>
      <printOptions horizontalCentered="1"/>
      <pageSetup scale="38" fitToHeight="0" orientation="landscape" r:id="rId2"/>
      <headerFooter alignWithMargins="0">
        <oddFooter xml:space="preserve">&amp;C&amp;"Times New Roman,Regular"&amp;14Exhibit J - Financial Analysis of Program Changes&amp;12
</oddFooter>
      </headerFooter>
    </customSheetView>
    <customSheetView guid="{F6772377-6B25-4EEA-B255-4C2F62B37855}" scale="60" showPageBreaks="1" printArea="1" view="pageBreakPreview" topLeftCell="A34">
      <selection activeCell="M39" sqref="M39"/>
      <pageMargins left="0.25" right="0.25" top="0.5" bottom="0.5" header="0.5" footer="0.5"/>
      <printOptions horizontalCentered="1"/>
      <pageSetup scale="38" fitToHeight="0" orientation="landscape" r:id="rId3"/>
      <headerFooter alignWithMargins="0">
        <oddFooter xml:space="preserve">&amp;C&amp;"Times New Roman,Regular"&amp;14Exhibit J - Financial Analysis of Program Changes&amp;12
</oddFooter>
      </headerFooter>
    </customSheetView>
    <customSheetView guid="{27B9C207-C13F-4981-9CED-E69585BBD779}" showPageBreaks="1" printArea="1" view="pageBreakPreview" topLeftCell="A55">
      <selection activeCell="A50" sqref="A50:A53"/>
      <rowBreaks count="1" manualBreakCount="1">
        <brk id="34" max="16383" man="1"/>
      </rowBreaks>
      <pageMargins left="0.25" right="0.25" top="0.5" bottom="0.5" header="0.5" footer="0.5"/>
      <printOptions horizontalCentered="1"/>
      <pageSetup scale="65" fitToHeight="0" orientation="landscape" r:id="rId4"/>
      <headerFooter alignWithMargins="0">
        <oddFooter>&amp;C&amp;"Times New Roman,Regular"&amp;14Exhibit J - Financial Analysis of Program Changes&amp;12
&amp;R&amp;"Times New Roman,Regular"State and Local Law Enforcement Assistance</oddFooter>
      </headerFooter>
    </customSheetView>
  </customSheetViews>
  <mergeCells count="64">
    <mergeCell ref="A2:O2"/>
    <mergeCell ref="A3:O3"/>
    <mergeCell ref="A4:O4"/>
    <mergeCell ref="A5:O5"/>
    <mergeCell ref="A6:O6"/>
    <mergeCell ref="A7:O7"/>
    <mergeCell ref="A8:A11"/>
    <mergeCell ref="L9:M9"/>
    <mergeCell ref="N9:O9"/>
    <mergeCell ref="L10:M10"/>
    <mergeCell ref="N10:O10"/>
    <mergeCell ref="B8:O8"/>
    <mergeCell ref="B9:C9"/>
    <mergeCell ref="D9:E9"/>
    <mergeCell ref="F9:G9"/>
    <mergeCell ref="H9:I9"/>
    <mergeCell ref="J9:K9"/>
    <mergeCell ref="B10:C10"/>
    <mergeCell ref="H50:I52"/>
    <mergeCell ref="H10:I10"/>
    <mergeCell ref="J10:K10"/>
    <mergeCell ref="J23:K23"/>
    <mergeCell ref="D10:E10"/>
    <mergeCell ref="F10:G10"/>
    <mergeCell ref="A20:O20"/>
    <mergeCell ref="A22:A25"/>
    <mergeCell ref="B24:C24"/>
    <mergeCell ref="D24:E24"/>
    <mergeCell ref="F24:G24"/>
    <mergeCell ref="J24:K24"/>
    <mergeCell ref="H24:I24"/>
    <mergeCell ref="H23:I23"/>
    <mergeCell ref="D23:E23"/>
    <mergeCell ref="A36:A39"/>
    <mergeCell ref="A50:A53"/>
    <mergeCell ref="D52:E52"/>
    <mergeCell ref="B37:C37"/>
    <mergeCell ref="F52:G52"/>
    <mergeCell ref="B52:C52"/>
    <mergeCell ref="F51:G51"/>
    <mergeCell ref="B51:C51"/>
    <mergeCell ref="D51:E51"/>
    <mergeCell ref="B50:G50"/>
    <mergeCell ref="B38:C38"/>
    <mergeCell ref="D38:E38"/>
    <mergeCell ref="F38:G38"/>
    <mergeCell ref="D37:E37"/>
    <mergeCell ref="F37:G37"/>
    <mergeCell ref="N24:O24"/>
    <mergeCell ref="N23:O23"/>
    <mergeCell ref="B22:O22"/>
    <mergeCell ref="N37:O37"/>
    <mergeCell ref="N38:O38"/>
    <mergeCell ref="B36:O36"/>
    <mergeCell ref="L38:M38"/>
    <mergeCell ref="B23:C23"/>
    <mergeCell ref="F23:G23"/>
    <mergeCell ref="L23:M23"/>
    <mergeCell ref="L24:M24"/>
    <mergeCell ref="H37:I37"/>
    <mergeCell ref="J37:K37"/>
    <mergeCell ref="H38:I38"/>
    <mergeCell ref="J38:K38"/>
    <mergeCell ref="L37:M37"/>
  </mergeCells>
  <printOptions horizontalCentered="1"/>
  <pageMargins left="0.25" right="0.25" top="0.5" bottom="0.5" header="0.5" footer="0.5"/>
  <pageSetup scale="65" fitToHeight="0" orientation="landscape" r:id="rId5"/>
  <headerFooter alignWithMargins="0">
    <oddFooter>&amp;C&amp;"Times New Roman,Regular"&amp;14Exhibit J - Financial Analysis of Program Changes&amp;12
&amp;R&amp;"Times New Roman,Regular"State and Local Law Enforcement Assistance</oddFooter>
  </headerFooter>
  <rowBreaks count="1" manualBreakCount="1">
    <brk id="34" max="16383" man="1"/>
  </rowBreaks>
</worksheet>
</file>

<file path=xl/worksheets/sheet25.xml><?xml version="1.0" encoding="utf-8"?>
<worksheet xmlns="http://schemas.openxmlformats.org/spreadsheetml/2006/main" xmlns:r="http://schemas.openxmlformats.org/officeDocument/2006/relationships">
  <dimension ref="A1:W200"/>
  <sheetViews>
    <sheetView view="pageBreakPreview" zoomScale="75" zoomScaleNormal="75" zoomScaleSheetLayoutView="50" workbookViewId="0">
      <pane xSplit="1" ySplit="9" topLeftCell="B10" activePane="bottomRight" state="frozen"/>
      <selection pane="topRight" activeCell="B1" sqref="B1"/>
      <selection pane="bottomLeft" activeCell="A10" sqref="A10"/>
      <selection pane="bottomRight" activeCell="A16" sqref="A16"/>
    </sheetView>
  </sheetViews>
  <sheetFormatPr defaultRowHeight="15.75"/>
  <cols>
    <col min="1" max="1" width="65.33203125" style="294" customWidth="1"/>
    <col min="2" max="2" width="8.88671875" style="294"/>
    <col min="3" max="3" width="10.109375" style="294" customWidth="1"/>
    <col min="4" max="4" width="8.88671875" style="294"/>
    <col min="5" max="5" width="10.6640625" style="294" customWidth="1"/>
    <col min="6" max="6" width="8.88671875" style="294"/>
    <col min="7" max="7" width="10.5546875" style="294" bestFit="1" customWidth="1"/>
    <col min="8" max="8" width="8.88671875" style="294"/>
    <col min="9" max="9" width="10.33203125" style="294" customWidth="1"/>
    <col min="10" max="10" width="7.21875" style="59" customWidth="1"/>
    <col min="11" max="11" width="8.88671875" style="363"/>
    <col min="12" max="16384" width="8.88671875" style="294"/>
  </cols>
  <sheetData>
    <row r="1" spans="1:10" ht="19.149999999999999" customHeight="1">
      <c r="A1" s="1779" t="s">
        <v>89</v>
      </c>
      <c r="B1" s="1780"/>
      <c r="C1" s="1780"/>
      <c r="D1" s="1780"/>
      <c r="E1" s="1780"/>
      <c r="F1" s="1780"/>
      <c r="G1" s="1780"/>
      <c r="H1" s="1780"/>
      <c r="I1" s="1780"/>
      <c r="J1" s="58" t="s">
        <v>0</v>
      </c>
    </row>
    <row r="2" spans="1:10" ht="19.149999999999999" customHeight="1">
      <c r="A2" s="1781"/>
      <c r="B2" s="1782"/>
      <c r="C2" s="1782"/>
      <c r="D2" s="1782"/>
      <c r="E2" s="1782"/>
      <c r="F2" s="1782"/>
      <c r="G2" s="1782"/>
      <c r="H2" s="1782"/>
      <c r="I2" s="1782"/>
      <c r="J2" s="58" t="s">
        <v>0</v>
      </c>
    </row>
    <row r="3" spans="1:10" ht="18.75">
      <c r="A3" s="1783" t="s">
        <v>59</v>
      </c>
      <c r="B3" s="1780"/>
      <c r="C3" s="1780"/>
      <c r="D3" s="1780"/>
      <c r="E3" s="1780"/>
      <c r="F3" s="1780"/>
      <c r="G3" s="1780"/>
      <c r="H3" s="1780"/>
      <c r="I3" s="1780"/>
      <c r="J3" s="58" t="s">
        <v>0</v>
      </c>
    </row>
    <row r="4" spans="1:10" ht="16.5">
      <c r="A4" s="1784" t="str">
        <f>+'[4]B. Summ of Reqs -SLLEA '!A4</f>
        <v>Office of Justice Programs</v>
      </c>
      <c r="B4" s="1780"/>
      <c r="C4" s="1780"/>
      <c r="D4" s="1780"/>
      <c r="E4" s="1780"/>
      <c r="F4" s="1780"/>
      <c r="G4" s="1780"/>
      <c r="H4" s="1780"/>
      <c r="I4" s="1780"/>
      <c r="J4" s="58" t="s">
        <v>0</v>
      </c>
    </row>
    <row r="5" spans="1:10" ht="16.5">
      <c r="A5" s="1784" t="str">
        <f>+'[4]B. Summ of Reqs -SLLEA '!A5</f>
        <v>State and Local Law Enforcement Assistance</v>
      </c>
      <c r="B5" s="1780"/>
      <c r="C5" s="1780"/>
      <c r="D5" s="1780"/>
      <c r="E5" s="1780"/>
      <c r="F5" s="1780"/>
      <c r="G5" s="1780"/>
      <c r="H5" s="1780"/>
      <c r="I5" s="1780"/>
      <c r="J5" s="58" t="s">
        <v>0</v>
      </c>
    </row>
    <row r="6" spans="1:10">
      <c r="A6" s="1798" t="s">
        <v>98</v>
      </c>
      <c r="B6" s="1780"/>
      <c r="C6" s="1780"/>
      <c r="D6" s="1780"/>
      <c r="E6" s="1780"/>
      <c r="F6" s="1780"/>
      <c r="G6" s="1780"/>
      <c r="H6" s="1780"/>
      <c r="I6" s="1780"/>
      <c r="J6" s="58" t="s">
        <v>0</v>
      </c>
    </row>
    <row r="7" spans="1:10" ht="11.25" customHeight="1">
      <c r="A7" s="1951"/>
      <c r="B7" s="1951"/>
      <c r="C7" s="1951"/>
      <c r="D7" s="1951"/>
      <c r="E7" s="1951"/>
      <c r="F7" s="1951"/>
      <c r="G7" s="1951"/>
      <c r="H7" s="1951"/>
      <c r="I7" s="1951"/>
      <c r="J7" s="58" t="s">
        <v>0</v>
      </c>
    </row>
    <row r="8" spans="1:10" ht="44.25" customHeight="1">
      <c r="A8" s="1796" t="s">
        <v>53</v>
      </c>
      <c r="B8" s="1799" t="s">
        <v>162</v>
      </c>
      <c r="C8" s="1800"/>
      <c r="D8" s="1804" t="s">
        <v>616</v>
      </c>
      <c r="E8" s="1805"/>
      <c r="F8" s="1801" t="s">
        <v>154</v>
      </c>
      <c r="G8" s="1803"/>
      <c r="H8" s="1801" t="s">
        <v>143</v>
      </c>
      <c r="I8" s="1802"/>
      <c r="J8" s="58" t="s">
        <v>0</v>
      </c>
    </row>
    <row r="9" spans="1:10" ht="25.5" customHeight="1" thickBot="1">
      <c r="A9" s="1797"/>
      <c r="B9" s="352" t="s">
        <v>25</v>
      </c>
      <c r="C9" s="353" t="s">
        <v>117</v>
      </c>
      <c r="D9" s="352" t="s">
        <v>25</v>
      </c>
      <c r="E9" s="353" t="s">
        <v>117</v>
      </c>
      <c r="F9" s="352" t="s">
        <v>25</v>
      </c>
      <c r="G9" s="353" t="s">
        <v>117</v>
      </c>
      <c r="H9" s="352" t="s">
        <v>25</v>
      </c>
      <c r="I9" s="354" t="s">
        <v>117</v>
      </c>
      <c r="J9" s="58" t="s">
        <v>0</v>
      </c>
    </row>
    <row r="10" spans="1:10">
      <c r="A10" s="120" t="s">
        <v>8</v>
      </c>
      <c r="B10" s="81"/>
      <c r="C10" s="149"/>
      <c r="D10" s="81"/>
      <c r="E10" s="149"/>
      <c r="F10" s="81"/>
      <c r="G10" s="149"/>
      <c r="H10" s="81"/>
      <c r="I10" s="150"/>
      <c r="J10" s="58" t="s">
        <v>0</v>
      </c>
    </row>
    <row r="11" spans="1:10">
      <c r="A11" s="121" t="s">
        <v>50</v>
      </c>
      <c r="B11" s="81"/>
      <c r="C11" s="82"/>
      <c r="D11" s="81"/>
      <c r="E11" s="82"/>
      <c r="F11" s="81"/>
      <c r="G11" s="82"/>
      <c r="H11" s="81"/>
      <c r="I11" s="72"/>
      <c r="J11" s="58" t="s">
        <v>0</v>
      </c>
    </row>
    <row r="12" spans="1:10">
      <c r="A12" s="121" t="s">
        <v>32</v>
      </c>
      <c r="B12" s="251"/>
      <c r="C12" s="82"/>
      <c r="D12" s="251"/>
      <c r="E12" s="82"/>
      <c r="F12" s="251"/>
      <c r="G12" s="82"/>
      <c r="H12" s="81"/>
      <c r="I12" s="72"/>
      <c r="J12" s="58" t="s">
        <v>0</v>
      </c>
    </row>
    <row r="13" spans="1:10">
      <c r="A13" s="122" t="s">
        <v>34</v>
      </c>
      <c r="B13" s="87"/>
      <c r="C13" s="88"/>
      <c r="D13" s="87"/>
      <c r="E13" s="622"/>
      <c r="F13" s="87"/>
      <c r="G13" s="88"/>
      <c r="H13" s="87"/>
      <c r="I13" s="89"/>
      <c r="J13" s="58" t="s">
        <v>0</v>
      </c>
    </row>
    <row r="14" spans="1:10">
      <c r="A14" s="122" t="s">
        <v>33</v>
      </c>
      <c r="B14" s="87"/>
      <c r="C14" s="88"/>
      <c r="D14" s="87"/>
      <c r="E14" s="88"/>
      <c r="F14" s="87"/>
      <c r="G14" s="88"/>
      <c r="H14" s="87"/>
      <c r="I14" s="89"/>
      <c r="J14" s="58" t="s">
        <v>0</v>
      </c>
    </row>
    <row r="15" spans="1:10">
      <c r="A15" s="123" t="s">
        <v>35</v>
      </c>
      <c r="B15" s="90"/>
      <c r="C15" s="91"/>
      <c r="D15" s="90"/>
      <c r="E15" s="91"/>
      <c r="F15" s="90"/>
      <c r="G15" s="91"/>
      <c r="H15" s="81"/>
      <c r="I15" s="72"/>
      <c r="J15" s="58" t="s">
        <v>0</v>
      </c>
    </row>
    <row r="16" spans="1:10">
      <c r="A16" s="1522" t="s">
        <v>9</v>
      </c>
      <c r="B16" s="92">
        <f t="shared" ref="B16:I16" si="0">+B10+B11+B12+B15</f>
        <v>0</v>
      </c>
      <c r="C16" s="93">
        <f t="shared" si="0"/>
        <v>0</v>
      </c>
      <c r="D16" s="92">
        <f t="shared" si="0"/>
        <v>0</v>
      </c>
      <c r="E16" s="93">
        <f t="shared" si="0"/>
        <v>0</v>
      </c>
      <c r="F16" s="92">
        <f t="shared" si="0"/>
        <v>0</v>
      </c>
      <c r="G16" s="244">
        <f t="shared" si="0"/>
        <v>0</v>
      </c>
      <c r="H16" s="93">
        <f t="shared" si="0"/>
        <v>0</v>
      </c>
      <c r="I16" s="244">
        <f t="shared" si="0"/>
        <v>0</v>
      </c>
      <c r="J16" s="58" t="s">
        <v>0</v>
      </c>
    </row>
    <row r="17" spans="1:12">
      <c r="A17" s="237" t="s">
        <v>54</v>
      </c>
      <c r="B17" s="81"/>
      <c r="C17" s="82"/>
      <c r="D17" s="81"/>
      <c r="E17" s="82"/>
      <c r="F17" s="81"/>
      <c r="G17" s="82"/>
      <c r="H17" s="81"/>
      <c r="I17" s="72"/>
      <c r="J17" s="58" t="s">
        <v>0</v>
      </c>
    </row>
    <row r="18" spans="1:12">
      <c r="A18" s="124" t="s">
        <v>37</v>
      </c>
      <c r="B18" s="81"/>
      <c r="C18" s="82"/>
      <c r="D18" s="81"/>
      <c r="E18" s="82"/>
      <c r="F18" s="81"/>
      <c r="G18" s="82"/>
      <c r="H18" s="81"/>
      <c r="I18" s="72">
        <f>G18-E18</f>
        <v>0</v>
      </c>
      <c r="J18" s="58" t="s">
        <v>0</v>
      </c>
    </row>
    <row r="19" spans="1:12">
      <c r="A19" s="124" t="s">
        <v>38</v>
      </c>
      <c r="B19" s="81"/>
      <c r="C19" s="82">
        <v>69</v>
      </c>
      <c r="D19" s="81"/>
      <c r="E19" s="82">
        <v>69</v>
      </c>
      <c r="F19" s="81"/>
      <c r="G19" s="82">
        <f>'[4]B. Summ of Reqs -SLLEA '!$X$139*(E19/$E$34)</f>
        <v>44.598712080735631</v>
      </c>
      <c r="H19" s="81"/>
      <c r="I19" s="72">
        <f>G19-E19</f>
        <v>-24.401287919264369</v>
      </c>
      <c r="J19" s="58" t="s">
        <v>0</v>
      </c>
    </row>
    <row r="20" spans="1:12">
      <c r="A20" s="124" t="s">
        <v>39</v>
      </c>
      <c r="B20" s="81"/>
      <c r="C20" s="82"/>
      <c r="D20" s="81"/>
      <c r="E20" s="82"/>
      <c r="F20" s="81"/>
      <c r="G20" s="82"/>
      <c r="H20" s="81"/>
      <c r="I20" s="72">
        <f t="shared" ref="I20:I32" si="1">G20-E20</f>
        <v>0</v>
      </c>
      <c r="J20" s="58" t="s">
        <v>0</v>
      </c>
    </row>
    <row r="21" spans="1:12">
      <c r="A21" s="124" t="s">
        <v>87</v>
      </c>
      <c r="B21" s="81"/>
      <c r="C21" s="82"/>
      <c r="D21" s="81"/>
      <c r="E21" s="82"/>
      <c r="F21" s="81"/>
      <c r="G21" s="82"/>
      <c r="H21" s="81"/>
      <c r="I21" s="72">
        <f t="shared" si="1"/>
        <v>0</v>
      </c>
      <c r="J21" s="58" t="s">
        <v>0</v>
      </c>
    </row>
    <row r="22" spans="1:12">
      <c r="A22" s="124" t="s">
        <v>19</v>
      </c>
      <c r="B22" s="81"/>
      <c r="C22" s="82"/>
      <c r="D22" s="81"/>
      <c r="E22" s="82"/>
      <c r="F22" s="81"/>
      <c r="G22" s="82"/>
      <c r="H22" s="81"/>
      <c r="I22" s="72">
        <f t="shared" si="1"/>
        <v>0</v>
      </c>
      <c r="J22" s="58" t="s">
        <v>0</v>
      </c>
    </row>
    <row r="23" spans="1:12">
      <c r="A23" s="124" t="s">
        <v>40</v>
      </c>
      <c r="B23" s="81"/>
      <c r="C23" s="82">
        <v>3</v>
      </c>
      <c r="D23" s="81"/>
      <c r="E23" s="82">
        <v>3</v>
      </c>
      <c r="F23" s="81"/>
      <c r="G23" s="82">
        <f>'[4]B. Summ of Reqs -SLLEA '!$X$139*(E23/$E$34)</f>
        <v>1.9390744382928538</v>
      </c>
      <c r="H23" s="81"/>
      <c r="I23" s="72">
        <f t="shared" si="1"/>
        <v>-1.0609255617071462</v>
      </c>
      <c r="J23" s="58" t="s">
        <v>0</v>
      </c>
    </row>
    <row r="24" spans="1:12">
      <c r="A24" s="124" t="s">
        <v>41</v>
      </c>
      <c r="B24" s="81"/>
      <c r="C24" s="82">
        <v>62</v>
      </c>
      <c r="D24" s="81"/>
      <c r="E24" s="82">
        <v>62</v>
      </c>
      <c r="F24" s="81"/>
      <c r="G24" s="82">
        <f>'[4]B. Summ of Reqs -SLLEA '!$X$139*(E24/$E$34)</f>
        <v>40.074205058052307</v>
      </c>
      <c r="H24" s="81"/>
      <c r="I24" s="72">
        <f t="shared" si="1"/>
        <v>-21.925794941947693</v>
      </c>
      <c r="J24" s="58" t="s">
        <v>0</v>
      </c>
    </row>
    <row r="25" spans="1:12">
      <c r="A25" s="124" t="s">
        <v>42</v>
      </c>
      <c r="B25" s="81"/>
      <c r="C25" s="82">
        <v>17780</v>
      </c>
      <c r="D25" s="81"/>
      <c r="E25" s="82">
        <v>17780</v>
      </c>
      <c r="F25" s="81"/>
      <c r="G25" s="82">
        <f>'[4]B. Summ of Reqs -SLLEA '!$X$139*(E25/$E$34)</f>
        <v>11492.247837615645</v>
      </c>
      <c r="H25" s="81"/>
      <c r="I25" s="72">
        <f t="shared" si="1"/>
        <v>-6287.752162384355</v>
      </c>
      <c r="J25" s="58" t="s">
        <v>0</v>
      </c>
    </row>
    <row r="26" spans="1:12">
      <c r="A26" s="124" t="s">
        <v>43</v>
      </c>
      <c r="B26" s="81"/>
      <c r="C26" s="82">
        <v>2625</v>
      </c>
      <c r="D26" s="81"/>
      <c r="E26" s="82">
        <v>2625</v>
      </c>
      <c r="F26" s="81"/>
      <c r="G26" s="82">
        <f>'[4]B. Summ of Reqs -SLLEA '!$X$139*(E26/$E$34)</f>
        <v>1696.6901335062471</v>
      </c>
      <c r="H26" s="81"/>
      <c r="I26" s="72">
        <f t="shared" si="1"/>
        <v>-928.30986649375291</v>
      </c>
      <c r="J26" s="58" t="s">
        <v>0</v>
      </c>
    </row>
    <row r="27" spans="1:12">
      <c r="A27" s="124" t="s">
        <v>163</v>
      </c>
      <c r="B27" s="81"/>
      <c r="C27" s="82">
        <v>14408</v>
      </c>
      <c r="D27" s="81"/>
      <c r="E27" s="82">
        <v>14408</v>
      </c>
      <c r="F27" s="81"/>
      <c r="G27" s="82">
        <f>'[4]B. Summ of Reqs -SLLEA '!$X$139*(E27/$E$34)</f>
        <v>9312.7281689744777</v>
      </c>
      <c r="H27" s="81"/>
      <c r="I27" s="72">
        <f t="shared" si="1"/>
        <v>-5095.2718310255223</v>
      </c>
      <c r="J27" s="58" t="s">
        <v>0</v>
      </c>
    </row>
    <row r="28" spans="1:12">
      <c r="A28" s="124" t="s">
        <v>88</v>
      </c>
      <c r="B28" s="81"/>
      <c r="C28" s="82"/>
      <c r="D28" s="81"/>
      <c r="E28" s="82"/>
      <c r="F28" s="81"/>
      <c r="G28" s="82"/>
      <c r="H28" s="81"/>
      <c r="I28" s="72">
        <f t="shared" si="1"/>
        <v>0</v>
      </c>
      <c r="J28" s="58" t="s">
        <v>0</v>
      </c>
      <c r="L28" s="614"/>
    </row>
    <row r="29" spans="1:12">
      <c r="A29" s="124" t="s">
        <v>280</v>
      </c>
      <c r="B29" s="81"/>
      <c r="C29" s="82"/>
      <c r="D29" s="81"/>
      <c r="E29" s="82"/>
      <c r="F29" s="81"/>
      <c r="G29" s="82"/>
      <c r="H29" s="81"/>
      <c r="I29" s="72">
        <f t="shared" si="1"/>
        <v>0</v>
      </c>
      <c r="J29" s="58" t="s">
        <v>0</v>
      </c>
    </row>
    <row r="30" spans="1:12">
      <c r="A30" s="124" t="s">
        <v>92</v>
      </c>
      <c r="B30" s="81"/>
      <c r="C30" s="82"/>
      <c r="D30" s="81"/>
      <c r="E30" s="82"/>
      <c r="F30" s="81"/>
      <c r="G30" s="82"/>
      <c r="H30" s="81"/>
      <c r="I30" s="72">
        <f t="shared" si="1"/>
        <v>0</v>
      </c>
      <c r="J30" s="58" t="s">
        <v>0</v>
      </c>
      <c r="L30" s="614"/>
    </row>
    <row r="31" spans="1:12">
      <c r="A31" s="124" t="s">
        <v>44</v>
      </c>
      <c r="B31" s="81"/>
      <c r="C31" s="82"/>
      <c r="D31" s="81"/>
      <c r="E31" s="82"/>
      <c r="F31" s="81"/>
      <c r="G31" s="82"/>
      <c r="H31" s="81"/>
      <c r="I31" s="72">
        <f t="shared" si="1"/>
        <v>0</v>
      </c>
      <c r="J31" s="58" t="s">
        <v>0</v>
      </c>
      <c r="L31" s="614"/>
    </row>
    <row r="32" spans="1:12">
      <c r="A32" s="124" t="s">
        <v>45</v>
      </c>
      <c r="B32" s="81"/>
      <c r="C32" s="82"/>
      <c r="D32" s="81"/>
      <c r="E32" s="82"/>
      <c r="F32" s="81"/>
      <c r="G32" s="82"/>
      <c r="H32" s="81"/>
      <c r="I32" s="72">
        <f t="shared" si="1"/>
        <v>0</v>
      </c>
      <c r="J32" s="58" t="s">
        <v>0</v>
      </c>
    </row>
    <row r="33" spans="1:23">
      <c r="A33" s="124" t="s">
        <v>279</v>
      </c>
      <c r="B33" s="81"/>
      <c r="C33" s="82">
        <f>1251488</f>
        <v>1251488</v>
      </c>
      <c r="D33" s="81"/>
      <c r="E33" s="82">
        <f>1174135</f>
        <v>1174135</v>
      </c>
      <c r="F33" s="81"/>
      <c r="G33" s="82">
        <f>'[4]B. Summ of Reqs -SLLEA '!$X$139*(E33/$E$34)</f>
        <v>758911.72186832654</v>
      </c>
      <c r="H33" s="81"/>
      <c r="I33" s="72">
        <f>G33-E33</f>
        <v>-415223.27813167346</v>
      </c>
      <c r="J33" s="58" t="s">
        <v>0</v>
      </c>
    </row>
    <row r="34" spans="1:23">
      <c r="A34" s="125" t="s">
        <v>46</v>
      </c>
      <c r="B34" s="56"/>
      <c r="C34" s="33">
        <f>SUM(C16:C33)</f>
        <v>1286435</v>
      </c>
      <c r="D34" s="56"/>
      <c r="E34" s="33">
        <f>SUM(E16:E33)</f>
        <v>1209082</v>
      </c>
      <c r="F34" s="56"/>
      <c r="G34" s="33">
        <f>SUM(G16:G33)</f>
        <v>781500</v>
      </c>
      <c r="H34" s="56"/>
      <c r="I34" s="32">
        <f>SUM(I16:I33)</f>
        <v>-427582</v>
      </c>
      <c r="J34" s="58" t="s">
        <v>0</v>
      </c>
    </row>
    <row r="35" spans="1:23" ht="16.899999999999999" customHeight="1">
      <c r="A35" s="599" t="s">
        <v>47</v>
      </c>
      <c r="B35" s="595"/>
      <c r="C35" s="601">
        <v>-74637</v>
      </c>
      <c r="D35" s="595"/>
      <c r="E35" s="601">
        <v>-46581.957000000002</v>
      </c>
      <c r="F35" s="595"/>
      <c r="G35" s="601"/>
      <c r="H35" s="595"/>
      <c r="I35" s="600"/>
      <c r="J35" s="58" t="s">
        <v>0</v>
      </c>
    </row>
    <row r="36" spans="1:23">
      <c r="A36" s="599" t="s">
        <v>48</v>
      </c>
      <c r="B36" s="595"/>
      <c r="C36" s="601">
        <v>46582</v>
      </c>
      <c r="D36" s="595"/>
      <c r="E36" s="601"/>
      <c r="F36" s="595"/>
      <c r="G36" s="601"/>
      <c r="H36" s="595"/>
      <c r="I36" s="600"/>
      <c r="J36" s="58" t="s">
        <v>0</v>
      </c>
    </row>
    <row r="37" spans="1:23">
      <c r="A37" s="599" t="s">
        <v>394</v>
      </c>
      <c r="B37" s="595"/>
      <c r="C37" s="601">
        <f>25817.11076</f>
        <v>25817.11076</v>
      </c>
      <c r="D37" s="595"/>
      <c r="E37" s="601">
        <f>-'[4]B. Summ of Reqs -SLLEA '!$X$17</f>
        <v>42000</v>
      </c>
      <c r="F37" s="595"/>
      <c r="G37" s="601">
        <v>-32000</v>
      </c>
      <c r="H37" s="595"/>
      <c r="I37" s="600"/>
      <c r="J37" s="58" t="s">
        <v>0</v>
      </c>
    </row>
    <row r="38" spans="1:23">
      <c r="A38" s="792" t="s">
        <v>395</v>
      </c>
      <c r="B38" s="595"/>
      <c r="C38" s="601">
        <f>-'B. Summ of Reqs -SLLEA '!F149</f>
        <v>31230</v>
      </c>
      <c r="D38" s="595"/>
      <c r="E38" s="601"/>
      <c r="F38" s="595"/>
      <c r="G38" s="601"/>
      <c r="H38" s="595"/>
      <c r="I38" s="600"/>
      <c r="J38" s="58" t="s">
        <v>0</v>
      </c>
    </row>
    <row r="39" spans="1:23">
      <c r="A39" s="599" t="s">
        <v>396</v>
      </c>
      <c r="B39" s="595"/>
      <c r="C39" s="601">
        <f>-(168153+2994)</f>
        <v>-171147</v>
      </c>
      <c r="D39" s="595"/>
      <c r="E39" s="601"/>
      <c r="F39" s="595"/>
      <c r="G39" s="601"/>
      <c r="H39" s="595"/>
      <c r="I39" s="600"/>
      <c r="J39" s="58" t="s">
        <v>0</v>
      </c>
    </row>
    <row r="40" spans="1:23">
      <c r="A40" s="599" t="s">
        <v>678</v>
      </c>
      <c r="B40" s="595"/>
      <c r="C40" s="601"/>
      <c r="D40" s="595"/>
      <c r="E40" s="601"/>
      <c r="F40" s="595"/>
      <c r="G40" s="601">
        <v>220500</v>
      </c>
      <c r="H40" s="595"/>
      <c r="I40" s="600"/>
      <c r="J40" s="58"/>
      <c r="K40" s="1436"/>
    </row>
    <row r="41" spans="1:23">
      <c r="A41" s="599" t="s">
        <v>49</v>
      </c>
      <c r="B41" s="595"/>
      <c r="C41" s="601">
        <v>-23399</v>
      </c>
      <c r="D41" s="595"/>
      <c r="E41" s="601">
        <f>'[4]B. Summ of Reqs -SLLEA '!$X$17</f>
        <v>-42000</v>
      </c>
      <c r="F41" s="595"/>
      <c r="G41" s="601">
        <v>0</v>
      </c>
      <c r="H41" s="595"/>
      <c r="I41" s="600"/>
      <c r="J41" s="58" t="s">
        <v>0</v>
      </c>
    </row>
    <row r="42" spans="1:23" ht="16.5" customHeight="1" thickBot="1">
      <c r="A42" s="609" t="s">
        <v>1</v>
      </c>
      <c r="B42" s="608"/>
      <c r="C42" s="1333">
        <f>SUM(C34:C41)</f>
        <v>1120881.1107600001</v>
      </c>
      <c r="D42" s="608"/>
      <c r="E42" s="1335">
        <f>SUM(E34:E41)</f>
        <v>1162500.0430000001</v>
      </c>
      <c r="F42" s="608"/>
      <c r="G42" s="1335">
        <f>SUM(G34:G41)</f>
        <v>970000</v>
      </c>
      <c r="H42" s="608"/>
      <c r="I42" s="607"/>
      <c r="J42" s="58" t="s">
        <v>0</v>
      </c>
      <c r="L42" s="1794"/>
      <c r="M42" s="1794"/>
      <c r="N42" s="1794"/>
      <c r="O42" s="1794"/>
      <c r="P42" s="1794"/>
      <c r="Q42" s="1794"/>
      <c r="R42" s="1794"/>
      <c r="S42" s="1794"/>
      <c r="T42" s="1794"/>
      <c r="U42" s="1794"/>
      <c r="V42" s="1794"/>
      <c r="W42" s="1794"/>
    </row>
    <row r="43" spans="1:23" ht="15.75" customHeight="1">
      <c r="A43" s="606"/>
      <c r="B43" s="604"/>
      <c r="C43" s="605"/>
      <c r="D43" s="604"/>
      <c r="E43" s="605"/>
      <c r="F43" s="604"/>
      <c r="G43" s="605"/>
      <c r="H43" s="604"/>
      <c r="I43" s="603"/>
      <c r="J43" s="58" t="s">
        <v>0</v>
      </c>
      <c r="L43" s="1794"/>
      <c r="M43" s="1794"/>
      <c r="N43" s="1794"/>
      <c r="O43" s="1794"/>
      <c r="P43" s="1794"/>
      <c r="Q43" s="1794"/>
      <c r="R43" s="1794"/>
      <c r="S43" s="1794"/>
      <c r="T43" s="1794"/>
      <c r="U43" s="1794"/>
      <c r="V43" s="1794"/>
      <c r="W43" s="1794"/>
    </row>
    <row r="44" spans="1:23" ht="15.75" customHeight="1">
      <c r="A44" s="602" t="s">
        <v>108</v>
      </c>
      <c r="B44" s="595"/>
      <c r="C44" s="601"/>
      <c r="D44" s="595"/>
      <c r="E44" s="601"/>
      <c r="F44" s="595"/>
      <c r="G44" s="601"/>
      <c r="H44" s="595"/>
      <c r="I44" s="600"/>
      <c r="J44" s="58" t="s">
        <v>0</v>
      </c>
      <c r="L44" s="1794"/>
      <c r="M44" s="1794"/>
      <c r="N44" s="1794"/>
      <c r="O44" s="1794"/>
      <c r="P44" s="1794"/>
      <c r="Q44" s="1794"/>
      <c r="R44" s="1794"/>
      <c r="S44" s="1794"/>
      <c r="T44" s="1794"/>
      <c r="U44" s="1794"/>
      <c r="V44" s="1794"/>
      <c r="W44" s="1794"/>
    </row>
    <row r="45" spans="1:23" ht="15.75" customHeight="1">
      <c r="A45" s="599" t="s">
        <v>36</v>
      </c>
      <c r="B45" s="598">
        <v>0</v>
      </c>
      <c r="C45" s="596">
        <v>0</v>
      </c>
      <c r="D45" s="598">
        <v>0</v>
      </c>
      <c r="E45" s="596">
        <v>0</v>
      </c>
      <c r="F45" s="598">
        <v>0</v>
      </c>
      <c r="G45" s="596">
        <v>0</v>
      </c>
      <c r="H45" s="595">
        <v>0</v>
      </c>
      <c r="I45" s="594">
        <v>0</v>
      </c>
      <c r="J45" s="58" t="s">
        <v>0</v>
      </c>
    </row>
    <row r="46" spans="1:23" ht="15.75" customHeight="1">
      <c r="A46" s="597" t="s">
        <v>2</v>
      </c>
      <c r="B46" s="595"/>
      <c r="C46" s="596">
        <v>0</v>
      </c>
      <c r="D46" s="595"/>
      <c r="E46" s="596">
        <v>0</v>
      </c>
      <c r="F46" s="595"/>
      <c r="G46" s="596">
        <v>0</v>
      </c>
      <c r="H46" s="595"/>
      <c r="I46" s="594">
        <v>0</v>
      </c>
      <c r="J46" s="58" t="s">
        <v>0</v>
      </c>
    </row>
    <row r="47" spans="1:23" ht="15.75" customHeight="1">
      <c r="A47" s="593" t="s">
        <v>3</v>
      </c>
      <c r="B47" s="591"/>
      <c r="C47" s="592">
        <v>0</v>
      </c>
      <c r="D47" s="591"/>
      <c r="E47" s="592">
        <v>0</v>
      </c>
      <c r="F47" s="591"/>
      <c r="G47" s="592">
        <v>0</v>
      </c>
      <c r="H47" s="591"/>
      <c r="I47" s="590">
        <v>0</v>
      </c>
      <c r="J47" s="58" t="s">
        <v>0</v>
      </c>
    </row>
    <row r="48" spans="1:23">
      <c r="A48" s="2068"/>
      <c r="B48" s="2069"/>
      <c r="C48" s="2069"/>
      <c r="D48" s="2069"/>
      <c r="E48" s="2069"/>
      <c r="F48" s="2069"/>
      <c r="G48" s="2069"/>
      <c r="H48" s="2069"/>
      <c r="I48" s="2069"/>
      <c r="J48" s="1201"/>
    </row>
    <row r="49" spans="1:11">
      <c r="H49" s="15"/>
      <c r="I49" s="15"/>
      <c r="J49" s="295"/>
      <c r="K49" s="296"/>
    </row>
    <row r="50" spans="1:11" ht="18.75">
      <c r="A50" s="1789"/>
      <c r="B50" s="1789"/>
      <c r="C50" s="1789"/>
      <c r="D50" s="1789"/>
      <c r="E50" s="1789"/>
      <c r="F50" s="1789"/>
      <c r="G50" s="1789"/>
      <c r="H50" s="1789"/>
      <c r="I50" s="1789"/>
      <c r="J50" s="295"/>
      <c r="K50" s="296"/>
    </row>
    <row r="51" spans="1:11" s="18" customFormat="1" ht="27" customHeight="1">
      <c r="A51" s="1793"/>
      <c r="B51" s="1793"/>
      <c r="C51" s="1793"/>
      <c r="D51" s="1793"/>
      <c r="E51" s="1793"/>
      <c r="F51" s="1793"/>
      <c r="G51" s="1793"/>
      <c r="H51" s="1793"/>
      <c r="I51" s="1793"/>
      <c r="J51" s="182"/>
      <c r="K51" s="298"/>
    </row>
    <row r="52" spans="1:11" s="18" customFormat="1" ht="27" customHeight="1">
      <c r="A52" s="1793"/>
      <c r="B52" s="1793"/>
      <c r="C52" s="1793"/>
      <c r="D52" s="1793"/>
      <c r="E52" s="1793"/>
      <c r="F52" s="1793"/>
      <c r="G52" s="1793"/>
      <c r="H52" s="1793"/>
      <c r="I52" s="1793"/>
      <c r="J52" s="182"/>
      <c r="K52" s="298"/>
    </row>
    <row r="53" spans="1:11" s="18" customFormat="1" ht="27" customHeight="1">
      <c r="A53" s="1793"/>
      <c r="B53" s="1793"/>
      <c r="C53" s="1793"/>
      <c r="D53" s="1793"/>
      <c r="E53" s="1793"/>
      <c r="F53" s="1793"/>
      <c r="G53" s="1793"/>
      <c r="H53" s="1793"/>
      <c r="I53" s="1793"/>
      <c r="J53" s="182"/>
      <c r="K53" s="298"/>
    </row>
    <row r="54" spans="1:11" s="18" customFormat="1" ht="35.1" customHeight="1">
      <c r="A54" s="1787"/>
      <c r="B54" s="1787"/>
      <c r="C54" s="1787"/>
      <c r="D54" s="1787"/>
      <c r="E54" s="1787"/>
      <c r="F54" s="1787"/>
      <c r="G54" s="1787"/>
      <c r="H54" s="1787"/>
      <c r="I54" s="1787"/>
      <c r="J54" s="182"/>
      <c r="K54" s="298"/>
    </row>
    <row r="55" spans="1:11" s="18" customFormat="1" ht="39.75" customHeight="1">
      <c r="A55" s="1788"/>
      <c r="B55" s="1788"/>
      <c r="C55" s="1788"/>
      <c r="D55" s="1788"/>
      <c r="E55" s="1788"/>
      <c r="F55" s="1788"/>
      <c r="G55" s="1788"/>
      <c r="H55" s="1788"/>
      <c r="I55" s="1788"/>
      <c r="J55" s="182"/>
      <c r="K55" s="298"/>
    </row>
    <row r="56" spans="1:11" s="18" customFormat="1" ht="27" customHeight="1">
      <c r="A56" s="1788"/>
      <c r="B56" s="1788"/>
      <c r="C56" s="1788"/>
      <c r="D56" s="1788"/>
      <c r="E56" s="1788"/>
      <c r="F56" s="1788"/>
      <c r="G56" s="1788"/>
      <c r="H56" s="1788"/>
      <c r="I56" s="1788"/>
      <c r="J56" s="182"/>
      <c r="K56" s="298"/>
    </row>
    <row r="57" spans="1:11" s="18" customFormat="1" ht="39.75" customHeight="1">
      <c r="A57" s="1788"/>
      <c r="B57" s="1788"/>
      <c r="C57" s="1788"/>
      <c r="D57" s="1788"/>
      <c r="E57" s="1788"/>
      <c r="F57" s="1788"/>
      <c r="G57" s="1788"/>
      <c r="H57" s="1788"/>
      <c r="I57" s="1788"/>
      <c r="J57" s="182"/>
      <c r="K57" s="298"/>
    </row>
    <row r="58" spans="1:11" s="18" customFormat="1" ht="27" customHeight="1">
      <c r="A58" s="1790"/>
      <c r="B58" s="1790"/>
      <c r="C58" s="1790"/>
      <c r="D58" s="1790"/>
      <c r="E58" s="1790"/>
      <c r="F58" s="1790"/>
      <c r="G58" s="1790"/>
      <c r="H58" s="1790"/>
      <c r="I58" s="1790"/>
      <c r="J58" s="1790"/>
      <c r="K58" s="1950"/>
    </row>
    <row r="59" spans="1:11" s="18" customFormat="1" ht="22.9" customHeight="1">
      <c r="A59" s="297"/>
      <c r="B59" s="1786"/>
      <c r="C59" s="1786"/>
      <c r="D59" s="1786"/>
      <c r="E59" s="1786"/>
      <c r="F59" s="1786"/>
      <c r="G59" s="1786"/>
      <c r="H59" s="1786"/>
      <c r="I59" s="1786"/>
      <c r="J59" s="182"/>
      <c r="K59" s="298"/>
    </row>
    <row r="60" spans="1:11" s="18" customFormat="1">
      <c r="A60" s="297"/>
      <c r="B60" s="297"/>
      <c r="C60" s="297"/>
      <c r="D60" s="297"/>
      <c r="E60" s="297"/>
      <c r="F60" s="297"/>
      <c r="G60" s="297"/>
      <c r="H60" s="30"/>
      <c r="I60" s="31"/>
      <c r="J60" s="182"/>
      <c r="K60" s="298"/>
    </row>
    <row r="61" spans="1:11">
      <c r="A61" s="299"/>
      <c r="B61" s="299"/>
      <c r="C61" s="299"/>
      <c r="D61" s="299"/>
      <c r="E61" s="299"/>
      <c r="F61" s="299"/>
      <c r="G61" s="299"/>
      <c r="H61" s="31"/>
      <c r="I61" s="31"/>
      <c r="J61" s="295"/>
      <c r="K61" s="296"/>
    </row>
    <row r="62" spans="1:11">
      <c r="A62" s="299"/>
      <c r="B62" s="299"/>
      <c r="C62" s="299"/>
      <c r="D62" s="299"/>
      <c r="E62" s="299"/>
      <c r="F62" s="299"/>
      <c r="G62" s="299"/>
      <c r="H62" s="31"/>
      <c r="I62" s="31"/>
      <c r="J62" s="295"/>
      <c r="K62" s="296"/>
    </row>
    <row r="63" spans="1:11" ht="65.45" customHeight="1">
      <c r="A63" s="299"/>
      <c r="B63" s="1785"/>
      <c r="C63" s="1785"/>
      <c r="D63" s="1785"/>
      <c r="E63" s="1785"/>
      <c r="F63" s="1785"/>
      <c r="G63" s="1785"/>
      <c r="H63" s="1785"/>
      <c r="I63" s="1785"/>
      <c r="J63" s="295"/>
      <c r="K63" s="296"/>
    </row>
    <row r="64" spans="1:11">
      <c r="H64" s="13"/>
      <c r="I64" s="13"/>
    </row>
    <row r="65" spans="8:9">
      <c r="H65" s="13"/>
      <c r="I65" s="54"/>
    </row>
    <row r="66" spans="8:9">
      <c r="H66" s="13"/>
      <c r="I66" s="13"/>
    </row>
    <row r="67" spans="8:9">
      <c r="H67" s="13"/>
      <c r="I67" s="13"/>
    </row>
    <row r="68" spans="8:9">
      <c r="H68" s="13"/>
      <c r="I68" s="13"/>
    </row>
    <row r="69" spans="8:9">
      <c r="H69" s="13"/>
      <c r="I69" s="13"/>
    </row>
    <row r="70" spans="8:9">
      <c r="H70" s="13"/>
      <c r="I70" s="13"/>
    </row>
    <row r="71" spans="8:9">
      <c r="H71" s="13"/>
      <c r="I71" s="13"/>
    </row>
    <row r="72" spans="8:9">
      <c r="H72" s="13"/>
      <c r="I72" s="13"/>
    </row>
    <row r="73" spans="8:9">
      <c r="H73" s="13"/>
      <c r="I73" s="13"/>
    </row>
    <row r="74" spans="8:9">
      <c r="H74" s="13"/>
      <c r="I74" s="13"/>
    </row>
    <row r="75" spans="8:9">
      <c r="H75" s="13"/>
      <c r="I75" s="13"/>
    </row>
    <row r="76" spans="8:9">
      <c r="H76" s="13"/>
      <c r="I76" s="14"/>
    </row>
    <row r="77" spans="8:9">
      <c r="H77" s="13"/>
      <c r="I77" s="14"/>
    </row>
    <row r="78" spans="8:9">
      <c r="H78" s="13"/>
      <c r="I78" s="13"/>
    </row>
    <row r="79" spans="8:9">
      <c r="H79" s="13"/>
      <c r="I79" s="13"/>
    </row>
    <row r="80" spans="8:9">
      <c r="H80" s="13"/>
      <c r="I80" s="13"/>
    </row>
    <row r="81" spans="8:9">
      <c r="H81" s="13"/>
      <c r="I81" s="13"/>
    </row>
    <row r="82" spans="8:9">
      <c r="H82" s="13"/>
      <c r="I82" s="13"/>
    </row>
    <row r="83" spans="8:9">
      <c r="H83" s="13"/>
      <c r="I83" s="13"/>
    </row>
    <row r="84" spans="8:9">
      <c r="H84" s="13"/>
      <c r="I84" s="13"/>
    </row>
    <row r="85" spans="8:9">
      <c r="H85" s="13"/>
      <c r="I85" s="13"/>
    </row>
    <row r="86" spans="8:9">
      <c r="H86" s="13"/>
      <c r="I86" s="13"/>
    </row>
    <row r="87" spans="8:9">
      <c r="H87" s="13"/>
      <c r="I87" s="13"/>
    </row>
    <row r="88" spans="8:9">
      <c r="H88" s="13"/>
      <c r="I88" s="13"/>
    </row>
    <row r="89" spans="8:9">
      <c r="H89" s="13"/>
      <c r="I89" s="13"/>
    </row>
    <row r="90" spans="8:9">
      <c r="H90" s="13"/>
      <c r="I90" s="13"/>
    </row>
    <row r="91" spans="8:9">
      <c r="H91" s="16"/>
      <c r="I91" s="13"/>
    </row>
    <row r="92" spans="8:9">
      <c r="H92" s="18"/>
      <c r="I92" s="18"/>
    </row>
    <row r="93" spans="8:9">
      <c r="H93" s="6"/>
      <c r="I93" s="6"/>
    </row>
    <row r="94" spans="8:9">
      <c r="H94" s="6"/>
      <c r="I94" s="6"/>
    </row>
    <row r="95" spans="8:9">
      <c r="H95" s="6"/>
      <c r="I95" s="6"/>
    </row>
    <row r="96" spans="8:9">
      <c r="H96" s="6"/>
      <c r="I96" s="6"/>
    </row>
    <row r="200" spans="1:1">
      <c r="A200" s="294" t="s">
        <v>85</v>
      </c>
    </row>
  </sheetData>
  <customSheetViews>
    <customSheetView guid="{DA38F665-F06D-4DFB-B852-747D93BB00EF}" scale="75" showPageBreaks="1" printArea="1" view="pageBreakPreview">
      <pane xSplit="1" ySplit="9" topLeftCell="B25" activePane="bottomRight" state="frozen"/>
      <selection pane="bottomRight" activeCell="B210" sqref="B210"/>
      <pageMargins left="0.5" right="0.5" top="0.5" bottom="0.25" header="0.5" footer="0.5"/>
      <printOptions horizontalCentered="1"/>
      <pageSetup scale="70" orientation="landscape" r:id="rId1"/>
      <headerFooter alignWithMargins="0">
        <oddFooter>&amp;C&amp;"Times New Roman,Regular"Exhibit L - Summary of Requirements by Object Class</oddFooter>
      </headerFooter>
    </customSheetView>
    <customSheetView guid="{4D0F9E3D-0229-48CC-A08B-F132802E9D7B}" scale="75" showPageBreaks="1" printArea="1" hiddenColumns="1" view="pageBreakPreview">
      <pane xSplit="1" ySplit="9" topLeftCell="B10" activePane="bottomRight" state="frozen"/>
      <selection pane="bottomRight" activeCell="D29" sqref="D29"/>
      <pageMargins left="0.5" right="0.5" top="0.5" bottom="0.25" header="0.5" footer="0.5"/>
      <printOptions horizontalCentered="1"/>
      <pageSetup scale="70" orientation="landscape" r:id="rId2"/>
      <headerFooter alignWithMargins="0">
        <oddFooter>&amp;C&amp;"Times New Roman,Regular"Exhibit L - Summary of Requirements by Object Class</oddFooter>
      </headerFooter>
    </customSheetView>
    <customSheetView guid="{F6772377-6B25-4EEA-B255-4C2F62B37855}" scale="75" showPageBreaks="1" printArea="1" view="pageBreakPreview">
      <pane xSplit="1" ySplit="9" topLeftCell="B25" activePane="bottomRight" state="frozen"/>
      <selection pane="bottomRight" activeCell="J8" sqref="J8"/>
      <pageMargins left="0.5" right="0.5" top="0.5" bottom="0.25" header="0.5" footer="0.5"/>
      <printOptions horizontalCentered="1"/>
      <pageSetup scale="70" orientation="landscape" r:id="rId3"/>
      <headerFooter alignWithMargins="0">
        <oddFooter>&amp;C&amp;"Times New Roman,Regular"Exhibit L - Summary of Requirements by Object Class</oddFooter>
      </headerFooter>
    </customSheetView>
    <customSheetView guid="{27B9C207-C13F-4981-9CED-E69585BBD779}" scale="75" showPageBreaks="1" printArea="1" view="pageBreakPreview">
      <pane xSplit="1" ySplit="9" topLeftCell="B36" activePane="bottomRight" state="frozen"/>
      <selection pane="bottomRight" activeCell="I41" sqref="I41"/>
      <pageMargins left="0.5" right="0.5" top="0.5" bottom="0.25" header="0.5" footer="0.5"/>
      <printOptions horizontalCentered="1"/>
      <pageSetup scale="70" orientation="landscape" r:id="rId4"/>
      <headerFooter alignWithMargins="0">
        <oddFooter>&amp;C&amp;"Times New Roman,Regular"Exhibit L - Summary of Requirements by Object Class&amp;R&amp;"Times New Roman,Regular"State and Local Law Enforcement Assistance</oddFooter>
      </headerFooter>
    </customSheetView>
  </customSheetViews>
  <mergeCells count="25">
    <mergeCell ref="A6:I6"/>
    <mergeCell ref="A1:I1"/>
    <mergeCell ref="A2:I2"/>
    <mergeCell ref="A3:I3"/>
    <mergeCell ref="A4:I4"/>
    <mergeCell ref="A5:I5"/>
    <mergeCell ref="A7:I7"/>
    <mergeCell ref="A8:A9"/>
    <mergeCell ref="B8:C8"/>
    <mergeCell ref="D8:E8"/>
    <mergeCell ref="F8:G8"/>
    <mergeCell ref="H8:I8"/>
    <mergeCell ref="L42:W44"/>
    <mergeCell ref="A50:I50"/>
    <mergeCell ref="A51:I51"/>
    <mergeCell ref="A52:I52"/>
    <mergeCell ref="A53:I53"/>
    <mergeCell ref="A48:I48"/>
    <mergeCell ref="B63:I63"/>
    <mergeCell ref="A54:I54"/>
    <mergeCell ref="A55:I55"/>
    <mergeCell ref="A56:I56"/>
    <mergeCell ref="A57:I57"/>
    <mergeCell ref="A58:K58"/>
    <mergeCell ref="B59:I59"/>
  </mergeCells>
  <printOptions horizontalCentered="1"/>
  <pageMargins left="0.5" right="0.5" top="0.5" bottom="0.25" header="0.5" footer="0.5"/>
  <pageSetup scale="67" orientation="landscape" r:id="rId5"/>
  <headerFooter alignWithMargins="0">
    <oddFooter>&amp;C&amp;"Times New Roman,Regular"Exhibit L - Summary of Requirements by Object Class&amp;R&amp;"Times New Roman,Regular"State and Local Law Enforcement Assistance</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AC31"/>
  <sheetViews>
    <sheetView showGridLines="0" showOutlineSymbols="0" view="pageBreakPreview" zoomScale="75" zoomScaleNormal="75" zoomScaleSheetLayoutView="75" workbookViewId="0">
      <selection activeCell="A22" sqref="A22"/>
    </sheetView>
  </sheetViews>
  <sheetFormatPr defaultColWidth="8.88671875" defaultRowHeight="15.75"/>
  <cols>
    <col min="1" max="1" width="27.77734375" style="18" customWidth="1"/>
    <col min="2" max="2" width="7.5546875" style="18" bestFit="1" customWidth="1"/>
    <col min="3" max="3" width="6.77734375" style="18" customWidth="1"/>
    <col min="4" max="4" width="10.88671875" style="18" bestFit="1" customWidth="1"/>
    <col min="5" max="5" width="5.77734375" style="18" customWidth="1"/>
    <col min="6" max="6" width="5.6640625" style="18" customWidth="1"/>
    <col min="7" max="7" width="7.77734375" style="18" customWidth="1"/>
    <col min="8" max="8" width="5.5546875" style="18" customWidth="1"/>
    <col min="9" max="9" width="5.6640625" style="18" customWidth="1"/>
    <col min="10" max="10" width="7.77734375" style="18" customWidth="1"/>
    <col min="11" max="11" width="8.77734375" style="18" customWidth="1"/>
    <col min="12" max="12" width="10" style="18" customWidth="1"/>
    <col min="13" max="13" width="7.5546875" style="18" bestFit="1" customWidth="1"/>
    <col min="14" max="14" width="6.77734375" style="18" customWidth="1"/>
    <col min="15" max="15" width="10.88671875" style="18" bestFit="1" customWidth="1"/>
    <col min="16" max="16" width="8.21875" style="182" customWidth="1"/>
    <col min="17" max="16384" width="8.88671875" style="18"/>
  </cols>
  <sheetData>
    <row r="1" spans="1:29" ht="20.25">
      <c r="A1" s="1692" t="s">
        <v>156</v>
      </c>
      <c r="B1" s="1693"/>
      <c r="C1" s="1693"/>
      <c r="D1" s="1693"/>
      <c r="E1" s="1693"/>
      <c r="F1" s="1693"/>
      <c r="G1" s="1693"/>
      <c r="H1" s="1693"/>
      <c r="I1" s="1693"/>
      <c r="J1" s="1693"/>
      <c r="K1" s="1693"/>
      <c r="L1" s="1693"/>
      <c r="M1" s="1693"/>
      <c r="N1" s="1693"/>
      <c r="O1" s="1693"/>
      <c r="P1" s="181" t="s">
        <v>0</v>
      </c>
    </row>
    <row r="2" spans="1:29" ht="16.5" customHeight="1">
      <c r="A2" s="1901"/>
      <c r="B2" s="1901"/>
      <c r="C2" s="1901"/>
      <c r="D2" s="1901"/>
      <c r="E2" s="1901"/>
      <c r="F2" s="1901"/>
      <c r="G2" s="1901"/>
      <c r="H2" s="1901"/>
      <c r="I2" s="1901"/>
      <c r="J2" s="1901"/>
      <c r="K2" s="1901"/>
      <c r="L2" s="1901"/>
      <c r="M2" s="1901"/>
      <c r="N2" s="1901"/>
      <c r="O2" s="1901"/>
      <c r="P2" s="181" t="s">
        <v>0</v>
      </c>
    </row>
    <row r="3" spans="1:29" ht="16.5" customHeight="1">
      <c r="A3" s="1694" t="s">
        <v>136</v>
      </c>
      <c r="B3" s="1914"/>
      <c r="C3" s="1914"/>
      <c r="D3" s="1914"/>
      <c r="E3" s="1914"/>
      <c r="F3" s="1914"/>
      <c r="G3" s="1914"/>
      <c r="H3" s="1914"/>
      <c r="I3" s="1914"/>
      <c r="J3" s="1914"/>
      <c r="K3" s="1914"/>
      <c r="L3" s="1914"/>
      <c r="M3" s="1914"/>
      <c r="N3" s="1914"/>
      <c r="O3" s="1914"/>
      <c r="P3" s="181" t="s">
        <v>0</v>
      </c>
    </row>
    <row r="4" spans="1:29" ht="16.5" customHeight="1">
      <c r="A4" s="1696" t="s">
        <v>190</v>
      </c>
      <c r="B4" s="1913"/>
      <c r="C4" s="1913"/>
      <c r="D4" s="1913"/>
      <c r="E4" s="1913"/>
      <c r="F4" s="1913"/>
      <c r="G4" s="1913"/>
      <c r="H4" s="1913"/>
      <c r="I4" s="1913"/>
      <c r="J4" s="1913"/>
      <c r="K4" s="1913"/>
      <c r="L4" s="1913"/>
      <c r="M4" s="1913"/>
      <c r="N4" s="1913"/>
      <c r="O4" s="1913"/>
      <c r="P4" s="181" t="s">
        <v>0</v>
      </c>
    </row>
    <row r="5" spans="1:29" ht="16.5" customHeight="1">
      <c r="A5" s="1696" t="s">
        <v>397</v>
      </c>
      <c r="B5" s="1914"/>
      <c r="C5" s="1914"/>
      <c r="D5" s="1914"/>
      <c r="E5" s="1914"/>
      <c r="F5" s="1914"/>
      <c r="G5" s="1914"/>
      <c r="H5" s="1914"/>
      <c r="I5" s="1914"/>
      <c r="J5" s="1914"/>
      <c r="K5" s="1914"/>
      <c r="L5" s="1914"/>
      <c r="M5" s="1914"/>
      <c r="N5" s="1914"/>
      <c r="O5" s="1914"/>
      <c r="P5" s="181" t="s">
        <v>0</v>
      </c>
    </row>
    <row r="6" spans="1:29" ht="16.5" customHeight="1">
      <c r="A6" s="1690" t="s">
        <v>98</v>
      </c>
      <c r="B6" s="1913"/>
      <c r="C6" s="1913"/>
      <c r="D6" s="1913"/>
      <c r="E6" s="1913"/>
      <c r="F6" s="1913"/>
      <c r="G6" s="1913"/>
      <c r="H6" s="1913"/>
      <c r="I6" s="1913"/>
      <c r="J6" s="1913"/>
      <c r="K6" s="1913"/>
      <c r="L6" s="1913"/>
      <c r="M6" s="1913"/>
      <c r="N6" s="1913"/>
      <c r="O6" s="1913"/>
      <c r="P6" s="181" t="s">
        <v>0</v>
      </c>
    </row>
    <row r="7" spans="1:29" ht="16.5" customHeight="1">
      <c r="A7" s="1901"/>
      <c r="B7" s="1901"/>
      <c r="C7" s="1901"/>
      <c r="D7" s="1901"/>
      <c r="E7" s="1901"/>
      <c r="F7" s="1901"/>
      <c r="G7" s="1901"/>
      <c r="H7" s="1901"/>
      <c r="I7" s="1901"/>
      <c r="J7" s="1901"/>
      <c r="K7" s="1901"/>
      <c r="L7" s="1901"/>
      <c r="M7" s="1901"/>
      <c r="N7" s="1901"/>
      <c r="O7" s="1901"/>
      <c r="P7" s="181" t="s">
        <v>0</v>
      </c>
    </row>
    <row r="8" spans="1:29" ht="16.5" customHeight="1">
      <c r="A8" s="1902"/>
      <c r="B8" s="1902"/>
      <c r="C8" s="1902"/>
      <c r="D8" s="1902"/>
      <c r="E8" s="1902"/>
      <c r="F8" s="1902"/>
      <c r="G8" s="1902"/>
      <c r="H8" s="1902"/>
      <c r="I8" s="1902"/>
      <c r="J8" s="1902"/>
      <c r="K8" s="1902"/>
      <c r="L8" s="1902"/>
      <c r="M8" s="1902"/>
      <c r="N8" s="1902"/>
      <c r="O8" s="1902"/>
      <c r="P8" s="181" t="s">
        <v>0</v>
      </c>
    </row>
    <row r="9" spans="1:29" ht="16.5" customHeight="1">
      <c r="A9" s="1682" t="s">
        <v>23</v>
      </c>
      <c r="B9" s="1664" t="s">
        <v>592</v>
      </c>
      <c r="C9" s="1903"/>
      <c r="D9" s="1904"/>
      <c r="E9" s="1676" t="s">
        <v>109</v>
      </c>
      <c r="F9" s="1908"/>
      <c r="G9" s="1909"/>
      <c r="H9" s="1664" t="s">
        <v>12</v>
      </c>
      <c r="I9" s="1903"/>
      <c r="J9" s="1903"/>
      <c r="K9" s="1674" t="s">
        <v>141</v>
      </c>
      <c r="L9" s="1674" t="s">
        <v>142</v>
      </c>
      <c r="M9" s="1664" t="s">
        <v>137</v>
      </c>
      <c r="N9" s="1903"/>
      <c r="O9" s="1904"/>
      <c r="P9" s="181" t="s">
        <v>0</v>
      </c>
    </row>
    <row r="10" spans="1:29" ht="16.5" customHeight="1">
      <c r="A10" s="1683"/>
      <c r="B10" s="1905"/>
      <c r="C10" s="1906"/>
      <c r="D10" s="1907"/>
      <c r="E10" s="1910"/>
      <c r="F10" s="1911"/>
      <c r="G10" s="1912"/>
      <c r="H10" s="1905"/>
      <c r="I10" s="1906"/>
      <c r="J10" s="1906"/>
      <c r="K10" s="1675"/>
      <c r="L10" s="1675"/>
      <c r="M10" s="1905"/>
      <c r="N10" s="1906"/>
      <c r="O10" s="1907"/>
      <c r="P10" s="181" t="s">
        <v>0</v>
      </c>
    </row>
    <row r="11" spans="1:29" ht="16.5" customHeight="1" thickBot="1">
      <c r="A11" s="1684"/>
      <c r="B11" s="156" t="s">
        <v>115</v>
      </c>
      <c r="C11" s="157" t="s">
        <v>25</v>
      </c>
      <c r="D11" s="157" t="s">
        <v>117</v>
      </c>
      <c r="E11" s="156" t="s">
        <v>115</v>
      </c>
      <c r="F11" s="157" t="s">
        <v>25</v>
      </c>
      <c r="G11" s="157" t="s">
        <v>117</v>
      </c>
      <c r="H11" s="156" t="s">
        <v>115</v>
      </c>
      <c r="I11" s="157" t="s">
        <v>25</v>
      </c>
      <c r="J11" s="157" t="s">
        <v>117</v>
      </c>
      <c r="K11" s="265" t="s">
        <v>117</v>
      </c>
      <c r="L11" s="266" t="s">
        <v>117</v>
      </c>
      <c r="M11" s="156" t="s">
        <v>115</v>
      </c>
      <c r="N11" s="157" t="s">
        <v>25</v>
      </c>
      <c r="O11" s="158" t="s">
        <v>117</v>
      </c>
      <c r="P11" s="181" t="s">
        <v>0</v>
      </c>
    </row>
    <row r="12" spans="1:29" ht="16.5" customHeight="1">
      <c r="A12" s="373" t="s">
        <v>398</v>
      </c>
      <c r="B12" s="390"/>
      <c r="C12" s="391"/>
      <c r="D12" s="391">
        <v>0</v>
      </c>
      <c r="E12" s="390"/>
      <c r="F12" s="391"/>
      <c r="G12" s="677">
        <v>-2595.9251599999998</v>
      </c>
      <c r="H12" s="390"/>
      <c r="I12" s="391"/>
      <c r="J12" s="391">
        <v>0</v>
      </c>
      <c r="K12" s="425">
        <v>2625</v>
      </c>
      <c r="L12" s="391">
        <v>1532.67309</v>
      </c>
      <c r="M12" s="735"/>
      <c r="N12" s="676"/>
      <c r="O12" s="388">
        <f>D12+G12+J12+K12+L12</f>
        <v>1561.7479300000002</v>
      </c>
      <c r="P12" s="181" t="s">
        <v>0</v>
      </c>
    </row>
    <row r="13" spans="1:29" ht="16.5" customHeight="1">
      <c r="A13" s="162" t="s">
        <v>124</v>
      </c>
      <c r="B13" s="163">
        <f t="shared" ref="B13:O13" si="0">SUM(B12:B12)</f>
        <v>0</v>
      </c>
      <c r="C13" s="164">
        <f t="shared" si="0"/>
        <v>0</v>
      </c>
      <c r="D13" s="165">
        <f t="shared" si="0"/>
        <v>0</v>
      </c>
      <c r="E13" s="163">
        <f t="shared" si="0"/>
        <v>0</v>
      </c>
      <c r="F13" s="164">
        <f t="shared" si="0"/>
        <v>0</v>
      </c>
      <c r="G13" s="165">
        <f t="shared" si="0"/>
        <v>-2595.9251599999998</v>
      </c>
      <c r="H13" s="163">
        <f t="shared" si="0"/>
        <v>0</v>
      </c>
      <c r="I13" s="164">
        <f t="shared" si="0"/>
        <v>0</v>
      </c>
      <c r="J13" s="165">
        <f t="shared" si="0"/>
        <v>0</v>
      </c>
      <c r="K13" s="262">
        <f t="shared" si="0"/>
        <v>2625</v>
      </c>
      <c r="L13" s="165">
        <f t="shared" si="0"/>
        <v>1532.67309</v>
      </c>
      <c r="M13" s="163">
        <f t="shared" si="0"/>
        <v>0</v>
      </c>
      <c r="N13" s="164">
        <f t="shared" si="0"/>
        <v>0</v>
      </c>
      <c r="O13" s="167">
        <f t="shared" si="0"/>
        <v>1561.7479300000002</v>
      </c>
      <c r="P13" s="181" t="s">
        <v>0</v>
      </c>
    </row>
    <row r="14" spans="1:29" ht="16.5" customHeight="1">
      <c r="A14" s="359" t="s">
        <v>103</v>
      </c>
      <c r="B14" s="381" t="s">
        <v>116</v>
      </c>
      <c r="C14" s="382"/>
      <c r="D14" s="382"/>
      <c r="E14" s="381"/>
      <c r="F14" s="382"/>
      <c r="G14" s="382"/>
      <c r="H14" s="381"/>
      <c r="I14" s="382"/>
      <c r="J14" s="382"/>
      <c r="K14" s="421"/>
      <c r="L14" s="382"/>
      <c r="M14" s="381"/>
      <c r="N14" s="382"/>
      <c r="O14" s="379"/>
      <c r="P14" s="181" t="s">
        <v>0</v>
      </c>
      <c r="Q14" s="559"/>
      <c r="R14" s="559"/>
      <c r="S14" s="559"/>
      <c r="T14" s="559"/>
      <c r="U14" s="559"/>
      <c r="V14" s="559"/>
      <c r="W14" s="559"/>
      <c r="X14" s="559"/>
      <c r="Y14" s="559"/>
      <c r="Z14" s="559"/>
      <c r="AA14" s="559"/>
      <c r="AB14" s="559"/>
      <c r="AC14" s="559"/>
    </row>
    <row r="15" spans="1:29" ht="16.5" customHeight="1">
      <c r="A15" s="359" t="s">
        <v>102</v>
      </c>
      <c r="B15" s="560"/>
      <c r="C15" s="407">
        <f>SUM(C13:C14)</f>
        <v>0</v>
      </c>
      <c r="D15" s="407"/>
      <c r="E15" s="560"/>
      <c r="F15" s="407">
        <f>+F13+F14</f>
        <v>0</v>
      </c>
      <c r="G15" s="407"/>
      <c r="H15" s="560"/>
      <c r="I15" s="407">
        <f>+I13+I14</f>
        <v>0</v>
      </c>
      <c r="J15" s="407"/>
      <c r="K15" s="561"/>
      <c r="L15" s="407"/>
      <c r="M15" s="560"/>
      <c r="N15" s="407">
        <f>SUM(N13:N14)</f>
        <v>0</v>
      </c>
      <c r="O15" s="408"/>
      <c r="P15" s="181" t="s">
        <v>0</v>
      </c>
    </row>
    <row r="16" spans="1:29" ht="16.5" customHeight="1">
      <c r="A16" s="562" t="s">
        <v>104</v>
      </c>
      <c r="B16" s="390"/>
      <c r="C16" s="391"/>
      <c r="D16" s="391"/>
      <c r="E16" s="390"/>
      <c r="F16" s="391"/>
      <c r="G16" s="391"/>
      <c r="H16" s="390"/>
      <c r="I16" s="391"/>
      <c r="J16" s="391"/>
      <c r="K16" s="425"/>
      <c r="L16" s="391"/>
      <c r="M16" s="390"/>
      <c r="N16" s="391"/>
      <c r="O16" s="388"/>
      <c r="P16" s="181" t="s">
        <v>0</v>
      </c>
    </row>
    <row r="17" spans="1:17" ht="16.5" customHeight="1">
      <c r="A17" s="563" t="s">
        <v>31</v>
      </c>
      <c r="B17" s="390"/>
      <c r="C17" s="391"/>
      <c r="D17" s="391"/>
      <c r="E17" s="390"/>
      <c r="F17" s="391"/>
      <c r="G17" s="391"/>
      <c r="H17" s="390"/>
      <c r="I17" s="391"/>
      <c r="J17" s="391"/>
      <c r="K17" s="425"/>
      <c r="L17" s="391"/>
      <c r="M17" s="390"/>
      <c r="N17" s="391"/>
      <c r="O17" s="388"/>
      <c r="P17" s="181" t="s">
        <v>0</v>
      </c>
    </row>
    <row r="18" spans="1:17" ht="16.5" customHeight="1">
      <c r="A18" s="564" t="s">
        <v>60</v>
      </c>
      <c r="B18" s="381"/>
      <c r="C18" s="382"/>
      <c r="D18" s="382"/>
      <c r="E18" s="381"/>
      <c r="F18" s="382"/>
      <c r="G18" s="382"/>
      <c r="H18" s="381"/>
      <c r="I18" s="382"/>
      <c r="J18" s="382"/>
      <c r="K18" s="421"/>
      <c r="L18" s="382"/>
      <c r="M18" s="381"/>
      <c r="N18" s="382"/>
      <c r="O18" s="379"/>
      <c r="P18" s="181" t="s">
        <v>0</v>
      </c>
    </row>
    <row r="19" spans="1:17" ht="16.5" customHeight="1">
      <c r="A19" s="359" t="s">
        <v>105</v>
      </c>
      <c r="B19" s="381"/>
      <c r="C19" s="382">
        <f>C18+C17+C15</f>
        <v>0</v>
      </c>
      <c r="D19" s="565"/>
      <c r="E19" s="381"/>
      <c r="F19" s="382">
        <f>F18+F17+F15</f>
        <v>0</v>
      </c>
      <c r="G19" s="565"/>
      <c r="H19" s="381"/>
      <c r="I19" s="382">
        <f>I18+I17+I15</f>
        <v>0</v>
      </c>
      <c r="J19" s="565"/>
      <c r="K19" s="566"/>
      <c r="L19" s="565"/>
      <c r="M19" s="381"/>
      <c r="N19" s="382">
        <f>N18+N17+N15</f>
        <v>0</v>
      </c>
      <c r="O19" s="567"/>
      <c r="P19" s="181" t="s">
        <v>0</v>
      </c>
    </row>
    <row r="20" spans="1:17" ht="16.5" customHeight="1">
      <c r="A20" s="1435"/>
      <c r="B20" s="399"/>
      <c r="C20" s="399"/>
      <c r="D20" s="805"/>
      <c r="E20" s="399"/>
      <c r="F20" s="399"/>
      <c r="G20" s="805"/>
      <c r="H20" s="399"/>
      <c r="I20" s="399"/>
      <c r="J20" s="805"/>
      <c r="K20" s="805"/>
      <c r="L20" s="805"/>
      <c r="M20" s="399"/>
      <c r="N20" s="399"/>
      <c r="O20" s="805"/>
      <c r="P20" s="181" t="s">
        <v>0</v>
      </c>
    </row>
    <row r="21" spans="1:17" ht="16.5" customHeight="1">
      <c r="A21" s="18" t="s">
        <v>666</v>
      </c>
      <c r="C21" s="1"/>
      <c r="D21" s="1"/>
      <c r="E21" s="1"/>
      <c r="F21" s="1"/>
      <c r="G21" s="1"/>
      <c r="H21" s="1"/>
      <c r="I21" s="1"/>
      <c r="J21" s="1"/>
      <c r="K21" s="1"/>
      <c r="L21" s="1"/>
      <c r="M21" s="1"/>
      <c r="N21" s="1"/>
      <c r="O21" s="1"/>
      <c r="P21" s="181" t="s">
        <v>0</v>
      </c>
    </row>
    <row r="22" spans="1:17" ht="16.5" customHeight="1">
      <c r="A22" s="1" t="s">
        <v>684</v>
      </c>
      <c r="C22" s="1"/>
      <c r="D22" s="1"/>
      <c r="E22" s="1"/>
      <c r="F22" s="1"/>
      <c r="G22" s="1"/>
      <c r="H22" s="1"/>
      <c r="I22" s="1"/>
      <c r="J22" s="1"/>
      <c r="K22" s="1"/>
      <c r="L22" s="1"/>
      <c r="M22" s="1"/>
      <c r="N22" s="1"/>
      <c r="O22" s="1"/>
      <c r="P22" s="181" t="s">
        <v>0</v>
      </c>
      <c r="Q22" s="568"/>
    </row>
    <row r="23" spans="1:17" ht="16.5" customHeight="1">
      <c r="A23" s="1"/>
      <c r="C23" s="1"/>
      <c r="D23" s="1"/>
      <c r="E23" s="1"/>
      <c r="F23" s="1"/>
      <c r="G23" s="1"/>
      <c r="H23" s="1"/>
      <c r="I23" s="1"/>
      <c r="J23" s="1"/>
      <c r="K23" s="1"/>
      <c r="L23" s="1"/>
      <c r="M23" s="1"/>
      <c r="N23" s="1"/>
      <c r="O23" s="1"/>
      <c r="P23" s="568" t="s">
        <v>13</v>
      </c>
    </row>
    <row r="24" spans="1:17" ht="16.5" customHeight="1">
      <c r="A24" s="1"/>
      <c r="B24" s="367"/>
      <c r="C24" s="367"/>
      <c r="D24" s="367"/>
      <c r="E24" s="367"/>
      <c r="F24" s="367"/>
      <c r="G24" s="367"/>
      <c r="H24" s="367"/>
      <c r="I24" s="367"/>
      <c r="J24" s="367"/>
      <c r="K24" s="367"/>
      <c r="L24" s="367"/>
      <c r="M24" s="1"/>
      <c r="N24" s="1"/>
      <c r="O24" s="1"/>
      <c r="P24" s="181"/>
    </row>
    <row r="25" spans="1:17" ht="16.5" customHeight="1">
      <c r="A25" s="151"/>
      <c r="B25" s="1"/>
      <c r="C25" s="1"/>
      <c r="D25" s="1"/>
      <c r="E25" s="1"/>
      <c r="F25" s="1"/>
      <c r="G25" s="1"/>
      <c r="H25" s="1"/>
      <c r="I25" s="1"/>
      <c r="J25" s="1"/>
      <c r="K25" s="1"/>
      <c r="L25" s="1"/>
      <c r="M25" s="1"/>
      <c r="N25" s="1"/>
      <c r="O25" s="1"/>
    </row>
    <row r="26" spans="1:17" ht="16.5" customHeight="1">
      <c r="A26" s="26"/>
      <c r="B26" s="26"/>
      <c r="C26" s="26"/>
      <c r="D26" s="26"/>
      <c r="E26" s="26"/>
      <c r="F26" s="26"/>
      <c r="G26" s="26"/>
      <c r="H26" s="1"/>
      <c r="I26" s="1"/>
      <c r="J26" s="1"/>
      <c r="K26" s="1"/>
      <c r="L26" s="1"/>
      <c r="M26" s="1"/>
      <c r="N26" s="1"/>
      <c r="O26" s="1"/>
      <c r="P26" s="568"/>
    </row>
    <row r="27" spans="1:17" ht="16.5" customHeight="1">
      <c r="A27" s="1672"/>
      <c r="B27" s="1663"/>
      <c r="C27" s="1663"/>
      <c r="D27" s="1663"/>
      <c r="E27" s="1663"/>
      <c r="F27" s="1663"/>
      <c r="G27" s="1663"/>
      <c r="H27" s="1663"/>
      <c r="I27" s="1663"/>
      <c r="J27" s="1663"/>
      <c r="K27" s="1663"/>
      <c r="L27" s="1663"/>
      <c r="M27" s="1663"/>
      <c r="N27" s="1663"/>
      <c r="O27" s="1663"/>
      <c r="P27" s="18"/>
    </row>
    <row r="28" spans="1:17" ht="16.5" customHeight="1"/>
    <row r="29" spans="1:17" ht="16.5" customHeight="1"/>
    <row r="30" spans="1:17" ht="16.5" customHeight="1"/>
    <row r="31" spans="1:17" ht="16.5" customHeight="1"/>
  </sheetData>
  <customSheetViews>
    <customSheetView guid="{DA38F665-F06D-4DFB-B852-747D93BB00EF}" scale="75" showPageBreaks="1" showGridLines="0" outlineSymbols="0" fitToPage="1" printArea="1" view="pageBreakPreview">
      <selection activeCell="B210" sqref="B210"/>
      <pageMargins left="0.5" right="0.5" top="0.5" bottom="0.55000000000000004" header="0" footer="0"/>
      <printOptions horizontalCentered="1"/>
      <pageSetup scale="79" firstPageNumber="2" orientation="landscape" useFirstPageNumber="1" r:id="rId1"/>
      <headerFooter alignWithMargins="0">
        <oddFooter>&amp;C&amp;"Times New Roman,Regular"Exhibit F - Crosswalk of 2011 Availability&amp;R&amp;"Times New Roman,Regular"Weed and Seed Program Fund</oddFooter>
      </headerFooter>
    </customSheetView>
    <customSheetView guid="{4D0F9E3D-0229-48CC-A08B-F132802E9D7B}" scale="75" showPageBreaks="1" showGridLines="0" outlineSymbols="0" fitToPage="1" printArea="1" view="pageBreakPreview" topLeftCell="B1">
      <selection activeCell="A28" sqref="A28:O28"/>
      <pageMargins left="0.5" right="0.5" top="0.5" bottom="0.55000000000000004" header="0" footer="0"/>
      <printOptions horizontalCentered="1"/>
      <pageSetup scale="79" firstPageNumber="2" orientation="landscape" useFirstPageNumber="1" r:id="rId2"/>
      <headerFooter alignWithMargins="0">
        <oddFooter>&amp;C&amp;"Times New Roman,Regular"Exhibit F - Crosswalk of 2011 Availability&amp;R&amp;"Times New Roman,Regular"Weed and Seed Program Fund</oddFooter>
      </headerFooter>
    </customSheetView>
    <customSheetView guid="{F6772377-6B25-4EEA-B255-4C2F62B37855}" scale="75" showPageBreaks="1" showGridLines="0" outlineSymbols="0" fitToPage="1" printArea="1" view="pageBreakPreview">
      <selection activeCell="O24" sqref="O24"/>
      <pageMargins left="0.5" right="0.5" top="0.5" bottom="0.55000000000000004" header="0" footer="0"/>
      <printOptions horizontalCentered="1"/>
      <pageSetup scale="79" firstPageNumber="2" orientation="landscape" useFirstPageNumber="1" r:id="rId3"/>
      <headerFooter alignWithMargins="0">
        <oddFooter>&amp;C&amp;"Times New Roman,Regular"Exhibit F - Crosswalk of 2011 Availability&amp;R&amp;"Times New Roman,Regular"Weed and Seed Program Fund</oddFooter>
      </headerFooter>
    </customSheetView>
    <customSheetView guid="{27B9C207-C13F-4981-9CED-E69585BBD779}" scale="75" showPageBreaks="1" showGridLines="0" outlineSymbols="0" fitToPage="1" printArea="1" view="pageBreakPreview">
      <selection activeCell="N26" sqref="N26"/>
      <pageMargins left="0.5" right="0.5" top="0.5" bottom="0.55000000000000004" header="0" footer="0"/>
      <printOptions horizontalCentered="1"/>
      <pageSetup scale="79" firstPageNumber="2" orientation="landscape" useFirstPageNumber="1" r:id="rId4"/>
      <headerFooter alignWithMargins="0">
        <oddFooter>&amp;C&amp;"Times New Roman,Regular"Exhibit F - Crosswalk of 2011 Availability&amp;R&amp;"Times New Roman,Regular"Weed and Seed Program Fund</oddFooter>
      </headerFooter>
    </customSheetView>
  </customSheetViews>
  <mergeCells count="16">
    <mergeCell ref="A6:O6"/>
    <mergeCell ref="A1:O1"/>
    <mergeCell ref="A2:O2"/>
    <mergeCell ref="A3:O3"/>
    <mergeCell ref="A4:O4"/>
    <mergeCell ref="A5:O5"/>
    <mergeCell ref="A27:O27"/>
    <mergeCell ref="A7:O7"/>
    <mergeCell ref="A8:O8"/>
    <mergeCell ref="A9:A11"/>
    <mergeCell ref="B9:D10"/>
    <mergeCell ref="E9:G10"/>
    <mergeCell ref="H9:J10"/>
    <mergeCell ref="K9:K10"/>
    <mergeCell ref="L9:L10"/>
    <mergeCell ref="M9:O10"/>
  </mergeCells>
  <printOptions horizontalCentered="1"/>
  <pageMargins left="0.5" right="0.5" top="0.5" bottom="0.55000000000000004" header="0" footer="0"/>
  <pageSetup scale="79" firstPageNumber="2" orientation="landscape" useFirstPageNumber="1" r:id="rId5"/>
  <headerFooter alignWithMargins="0">
    <oddFooter>&amp;C&amp;"Times New Roman,Regular"Exhibit F - Crosswalk of 2011 Availability&amp;R&amp;"Times New Roman,Regular"Weed and Seed Program Fund</oddFooter>
  </headerFooter>
</worksheet>
</file>

<file path=xl/worksheets/sheet27.xml><?xml version="1.0" encoding="utf-8"?>
<worksheet xmlns="http://schemas.openxmlformats.org/spreadsheetml/2006/main" xmlns:r="http://schemas.openxmlformats.org/officeDocument/2006/relationships">
  <sheetPr>
    <pageSetUpPr fitToPage="1"/>
  </sheetPr>
  <dimension ref="A1:T44"/>
  <sheetViews>
    <sheetView topLeftCell="A16" zoomScaleNormal="100" zoomScaleSheetLayoutView="75" workbookViewId="0">
      <selection activeCell="A25" sqref="A25:R25"/>
    </sheetView>
  </sheetViews>
  <sheetFormatPr defaultRowHeight="15.75"/>
  <cols>
    <col min="1" max="1" width="35.21875" style="1051" customWidth="1"/>
    <col min="2" max="7" width="8.88671875" style="1051"/>
    <col min="8" max="8" width="8.88671875" style="1051" hidden="1" customWidth="1"/>
    <col min="9" max="9" width="8.88671875" style="236" hidden="1" customWidth="1"/>
    <col min="10" max="10" width="8.88671875" style="1051" hidden="1" customWidth="1"/>
    <col min="11" max="13" width="8.88671875" style="1051"/>
    <col min="14" max="14" width="9.44140625" style="18" customWidth="1"/>
    <col min="15" max="15" width="10" style="18" customWidth="1"/>
    <col min="16" max="16384" width="8.88671875" style="1051"/>
  </cols>
  <sheetData>
    <row r="1" spans="1:20" ht="20.25">
      <c r="A1" s="1692" t="s">
        <v>203</v>
      </c>
      <c r="B1" s="1693"/>
      <c r="C1" s="1693"/>
      <c r="D1" s="1693"/>
      <c r="E1" s="1693"/>
      <c r="F1" s="1693"/>
      <c r="G1" s="1693"/>
      <c r="H1" s="1693"/>
      <c r="I1" s="1693"/>
      <c r="J1" s="1693"/>
      <c r="K1" s="1693"/>
      <c r="L1" s="1693"/>
      <c r="M1" s="1693"/>
      <c r="N1" s="1693"/>
      <c r="O1" s="1693"/>
      <c r="P1" s="1693"/>
      <c r="Q1" s="1693"/>
      <c r="R1" s="1693"/>
      <c r="S1" s="181" t="s">
        <v>0</v>
      </c>
      <c r="T1" s="18"/>
    </row>
    <row r="2" spans="1:20">
      <c r="A2" s="1901"/>
      <c r="B2" s="1901"/>
      <c r="C2" s="1901"/>
      <c r="D2" s="1901"/>
      <c r="E2" s="1901"/>
      <c r="F2" s="1901"/>
      <c r="G2" s="1901"/>
      <c r="H2" s="1901"/>
      <c r="I2" s="1901"/>
      <c r="J2" s="1901"/>
      <c r="K2" s="1901"/>
      <c r="L2" s="1901"/>
      <c r="M2" s="1901"/>
      <c r="N2" s="1901"/>
      <c r="O2" s="1901"/>
      <c r="P2" s="1901"/>
      <c r="Q2" s="1901"/>
      <c r="R2" s="1901"/>
      <c r="S2" s="181" t="s">
        <v>0</v>
      </c>
      <c r="T2" s="18"/>
    </row>
    <row r="3" spans="1:20" ht="18.75">
      <c r="A3" s="1694" t="s">
        <v>158</v>
      </c>
      <c r="B3" s="1914"/>
      <c r="C3" s="1914"/>
      <c r="D3" s="1914"/>
      <c r="E3" s="1914"/>
      <c r="F3" s="1914"/>
      <c r="G3" s="1914"/>
      <c r="H3" s="1914"/>
      <c r="I3" s="1914"/>
      <c r="J3" s="1914"/>
      <c r="K3" s="1914"/>
      <c r="L3" s="1914"/>
      <c r="M3" s="1914"/>
      <c r="N3" s="1914"/>
      <c r="O3" s="1914"/>
      <c r="P3" s="1914"/>
      <c r="Q3" s="1914"/>
      <c r="R3" s="1914"/>
      <c r="S3" s="181" t="s">
        <v>0</v>
      </c>
      <c r="T3" s="18"/>
    </row>
    <row r="4" spans="1:20" ht="16.5">
      <c r="A4" s="1696" t="str">
        <f>+'[5]B. Summ of Reqs - PSOB '!A5</f>
        <v>Office of Justice Programs</v>
      </c>
      <c r="B4" s="1913"/>
      <c r="C4" s="1913"/>
      <c r="D4" s="1913"/>
      <c r="E4" s="1913"/>
      <c r="F4" s="1913"/>
      <c r="G4" s="1913"/>
      <c r="H4" s="1913"/>
      <c r="I4" s="1913"/>
      <c r="J4" s="1913"/>
      <c r="K4" s="1913"/>
      <c r="L4" s="1913"/>
      <c r="M4" s="1913"/>
      <c r="N4" s="1913"/>
      <c r="O4" s="1913"/>
      <c r="P4" s="1913"/>
      <c r="Q4" s="1913"/>
      <c r="R4" s="1913"/>
      <c r="S4" s="181" t="s">
        <v>0</v>
      </c>
      <c r="T4" s="18"/>
    </row>
    <row r="5" spans="1:20" ht="16.5">
      <c r="A5" s="1696" t="s">
        <v>398</v>
      </c>
      <c r="B5" s="1914"/>
      <c r="C5" s="1914"/>
      <c r="D5" s="1914"/>
      <c r="E5" s="1914"/>
      <c r="F5" s="1914"/>
      <c r="G5" s="1914"/>
      <c r="H5" s="1914"/>
      <c r="I5" s="1914"/>
      <c r="J5" s="1914"/>
      <c r="K5" s="1914"/>
      <c r="L5" s="1914"/>
      <c r="M5" s="1914"/>
      <c r="N5" s="1914"/>
      <c r="O5" s="1914"/>
      <c r="P5" s="1914"/>
      <c r="Q5" s="1914"/>
      <c r="R5" s="1914"/>
      <c r="S5" s="181" t="s">
        <v>0</v>
      </c>
      <c r="T5" s="18"/>
    </row>
    <row r="6" spans="1:20">
      <c r="A6" s="1690" t="s">
        <v>98</v>
      </c>
      <c r="B6" s="1913"/>
      <c r="C6" s="1913"/>
      <c r="D6" s="1913"/>
      <c r="E6" s="1913"/>
      <c r="F6" s="1913"/>
      <c r="G6" s="1913"/>
      <c r="H6" s="1913"/>
      <c r="I6" s="1913"/>
      <c r="J6" s="1913"/>
      <c r="K6" s="1913"/>
      <c r="L6" s="1913"/>
      <c r="M6" s="1913"/>
      <c r="N6" s="1913"/>
      <c r="O6" s="1913"/>
      <c r="P6" s="1913"/>
      <c r="Q6" s="1913"/>
      <c r="R6" s="1913"/>
      <c r="S6" s="181" t="s">
        <v>0</v>
      </c>
      <c r="T6" s="18"/>
    </row>
    <row r="7" spans="1:20">
      <c r="A7" s="1901"/>
      <c r="B7" s="1901"/>
      <c r="C7" s="1901"/>
      <c r="D7" s="1901"/>
      <c r="E7" s="1901"/>
      <c r="F7" s="1901"/>
      <c r="G7" s="1901"/>
      <c r="H7" s="1901"/>
      <c r="I7" s="1901"/>
      <c r="J7" s="1901"/>
      <c r="K7" s="1901"/>
      <c r="L7" s="1901"/>
      <c r="M7" s="1901"/>
      <c r="N7" s="1901"/>
      <c r="O7" s="1901"/>
      <c r="P7" s="1901"/>
      <c r="Q7" s="1901"/>
      <c r="R7" s="1901"/>
      <c r="S7" s="181" t="s">
        <v>0</v>
      </c>
      <c r="T7" s="18"/>
    </row>
    <row r="8" spans="1:20">
      <c r="A8" s="1902"/>
      <c r="B8" s="1902"/>
      <c r="C8" s="1902"/>
      <c r="D8" s="1902"/>
      <c r="E8" s="1902"/>
      <c r="F8" s="1902"/>
      <c r="G8" s="1902"/>
      <c r="H8" s="1902"/>
      <c r="I8" s="1902"/>
      <c r="J8" s="1902"/>
      <c r="K8" s="1902"/>
      <c r="L8" s="1902"/>
      <c r="M8" s="1902"/>
      <c r="N8" s="1902"/>
      <c r="O8" s="1902"/>
      <c r="P8" s="1902"/>
      <c r="Q8" s="1902"/>
      <c r="R8" s="1902"/>
      <c r="S8" s="181" t="s">
        <v>0</v>
      </c>
      <c r="T8" s="18"/>
    </row>
    <row r="9" spans="1:20" ht="15.75" customHeight="1">
      <c r="A9" s="1682" t="s">
        <v>23</v>
      </c>
      <c r="B9" s="1664" t="s">
        <v>594</v>
      </c>
      <c r="C9" s="1903"/>
      <c r="D9" s="1904"/>
      <c r="E9" s="1676" t="s">
        <v>109</v>
      </c>
      <c r="F9" s="1908"/>
      <c r="G9" s="1909"/>
      <c r="H9" s="1676" t="s">
        <v>110</v>
      </c>
      <c r="I9" s="1908"/>
      <c r="J9" s="1909"/>
      <c r="K9" s="1664" t="s">
        <v>12</v>
      </c>
      <c r="L9" s="1903"/>
      <c r="M9" s="1904"/>
      <c r="N9" s="1674" t="s">
        <v>141</v>
      </c>
      <c r="O9" s="1697" t="s">
        <v>142</v>
      </c>
      <c r="P9" s="1664" t="s">
        <v>157</v>
      </c>
      <c r="Q9" s="1903"/>
      <c r="R9" s="1904"/>
      <c r="S9" s="181" t="s">
        <v>0</v>
      </c>
      <c r="T9" s="18"/>
    </row>
    <row r="10" spans="1:20">
      <c r="A10" s="1683"/>
      <c r="B10" s="1905"/>
      <c r="C10" s="1906"/>
      <c r="D10" s="1907"/>
      <c r="E10" s="1910"/>
      <c r="F10" s="1911"/>
      <c r="G10" s="1912"/>
      <c r="H10" s="1910"/>
      <c r="I10" s="1911"/>
      <c r="J10" s="1912"/>
      <c r="K10" s="1905"/>
      <c r="L10" s="1906"/>
      <c r="M10" s="1907"/>
      <c r="N10" s="1675"/>
      <c r="O10" s="1698"/>
      <c r="P10" s="1905"/>
      <c r="Q10" s="1906"/>
      <c r="R10" s="1907"/>
      <c r="S10" s="181" t="s">
        <v>0</v>
      </c>
      <c r="T10" s="18"/>
    </row>
    <row r="11" spans="1:20" ht="16.5" thickBot="1">
      <c r="A11" s="1684"/>
      <c r="B11" s="156" t="s">
        <v>115</v>
      </c>
      <c r="C11" s="157" t="s">
        <v>25</v>
      </c>
      <c r="D11" s="157" t="s">
        <v>117</v>
      </c>
      <c r="E11" s="156" t="s">
        <v>115</v>
      </c>
      <c r="F11" s="157" t="s">
        <v>25</v>
      </c>
      <c r="G11" s="157" t="s">
        <v>117</v>
      </c>
      <c r="H11" s="156" t="s">
        <v>115</v>
      </c>
      <c r="I11" s="157" t="s">
        <v>25</v>
      </c>
      <c r="J11" s="157" t="s">
        <v>117</v>
      </c>
      <c r="K11" s="156" t="s">
        <v>115</v>
      </c>
      <c r="L11" s="157" t="s">
        <v>25</v>
      </c>
      <c r="M11" s="157" t="s">
        <v>117</v>
      </c>
      <c r="N11" s="265" t="s">
        <v>117</v>
      </c>
      <c r="O11" s="266" t="s">
        <v>117</v>
      </c>
      <c r="P11" s="156" t="s">
        <v>115</v>
      </c>
      <c r="Q11" s="157" t="s">
        <v>25</v>
      </c>
      <c r="R11" s="158" t="s">
        <v>117</v>
      </c>
      <c r="S11" s="181" t="s">
        <v>0</v>
      </c>
      <c r="T11" s="18"/>
    </row>
    <row r="12" spans="1:20">
      <c r="A12" s="1055" t="s">
        <v>398</v>
      </c>
      <c r="B12" s="390"/>
      <c r="C12" s="391"/>
      <c r="D12" s="391">
        <v>0</v>
      </c>
      <c r="E12" s="390"/>
      <c r="F12" s="391"/>
      <c r="G12" s="391">
        <v>0</v>
      </c>
      <c r="H12" s="390"/>
      <c r="I12" s="391"/>
      <c r="J12" s="391"/>
      <c r="K12" s="390"/>
      <c r="L12" s="391"/>
      <c r="M12" s="391">
        <v>0</v>
      </c>
      <c r="N12" s="637">
        <v>1652</v>
      </c>
      <c r="O12" s="391">
        <v>0</v>
      </c>
      <c r="P12" s="390"/>
      <c r="Q12" s="391"/>
      <c r="R12" s="388">
        <f>O12+N12+M12+G12+D12</f>
        <v>1652</v>
      </c>
      <c r="S12" s="181" t="s">
        <v>0</v>
      </c>
      <c r="T12" s="18"/>
    </row>
    <row r="13" spans="1:20">
      <c r="A13" s="162" t="s">
        <v>124</v>
      </c>
      <c r="B13" s="163">
        <f t="shared" ref="B13:R13" si="0">SUM(B12:B12)</f>
        <v>0</v>
      </c>
      <c r="C13" s="164">
        <f t="shared" si="0"/>
        <v>0</v>
      </c>
      <c r="D13" s="165">
        <f t="shared" si="0"/>
        <v>0</v>
      </c>
      <c r="E13" s="163">
        <f t="shared" si="0"/>
        <v>0</v>
      </c>
      <c r="F13" s="164">
        <f t="shared" si="0"/>
        <v>0</v>
      </c>
      <c r="G13" s="165">
        <f t="shared" si="0"/>
        <v>0</v>
      </c>
      <c r="H13" s="163">
        <f t="shared" si="0"/>
        <v>0</v>
      </c>
      <c r="I13" s="164">
        <f t="shared" si="0"/>
        <v>0</v>
      </c>
      <c r="J13" s="165">
        <f t="shared" si="0"/>
        <v>0</v>
      </c>
      <c r="K13" s="163">
        <f t="shared" si="0"/>
        <v>0</v>
      </c>
      <c r="L13" s="164">
        <f t="shared" si="0"/>
        <v>0</v>
      </c>
      <c r="M13" s="165">
        <f t="shared" si="0"/>
        <v>0</v>
      </c>
      <c r="N13" s="262">
        <f>SUM(N12:N12)</f>
        <v>1652</v>
      </c>
      <c r="O13" s="165">
        <f t="shared" si="0"/>
        <v>0</v>
      </c>
      <c r="P13" s="163">
        <f t="shared" si="0"/>
        <v>0</v>
      </c>
      <c r="Q13" s="164">
        <f t="shared" si="0"/>
        <v>0</v>
      </c>
      <c r="R13" s="167">
        <f t="shared" si="0"/>
        <v>1652</v>
      </c>
      <c r="S13" s="181" t="s">
        <v>0</v>
      </c>
      <c r="T13" s="18"/>
    </row>
    <row r="14" spans="1:20">
      <c r="A14" s="1050" t="s">
        <v>103</v>
      </c>
      <c r="B14" s="381" t="s">
        <v>116</v>
      </c>
      <c r="C14" s="382"/>
      <c r="D14" s="382"/>
      <c r="E14" s="381"/>
      <c r="F14" s="382"/>
      <c r="G14" s="382"/>
      <c r="H14" s="381"/>
      <c r="I14" s="382"/>
      <c r="J14" s="382"/>
      <c r="K14" s="381"/>
      <c r="L14" s="382"/>
      <c r="M14" s="382"/>
      <c r="N14" s="421"/>
      <c r="O14" s="382"/>
      <c r="P14" s="381"/>
      <c r="Q14" s="382"/>
      <c r="R14" s="379"/>
      <c r="S14" s="181" t="s">
        <v>0</v>
      </c>
      <c r="T14" s="559"/>
    </row>
    <row r="15" spans="1:20">
      <c r="A15" s="1050" t="s">
        <v>102</v>
      </c>
      <c r="B15" s="560"/>
      <c r="C15" s="407">
        <f>SUM(C13:C14)</f>
        <v>0</v>
      </c>
      <c r="D15" s="407"/>
      <c r="E15" s="560"/>
      <c r="F15" s="407">
        <f>+F13+F14</f>
        <v>0</v>
      </c>
      <c r="G15" s="407"/>
      <c r="H15" s="560"/>
      <c r="I15" s="407">
        <f>+I13+I14</f>
        <v>0</v>
      </c>
      <c r="J15" s="407"/>
      <c r="K15" s="560"/>
      <c r="L15" s="407">
        <f>+L13+L14</f>
        <v>0</v>
      </c>
      <c r="M15" s="407"/>
      <c r="N15" s="561"/>
      <c r="O15" s="407"/>
      <c r="P15" s="560"/>
      <c r="Q15" s="407">
        <f>SUM(Q13:Q14)</f>
        <v>0</v>
      </c>
      <c r="R15" s="408"/>
      <c r="S15" s="181" t="s">
        <v>0</v>
      </c>
      <c r="T15" s="18"/>
    </row>
    <row r="16" spans="1:20">
      <c r="A16" s="562" t="s">
        <v>104</v>
      </c>
      <c r="B16" s="390"/>
      <c r="C16" s="391"/>
      <c r="D16" s="391"/>
      <c r="E16" s="390"/>
      <c r="F16" s="391"/>
      <c r="G16" s="391"/>
      <c r="H16" s="390"/>
      <c r="I16" s="391"/>
      <c r="J16" s="391"/>
      <c r="K16" s="390"/>
      <c r="L16" s="391"/>
      <c r="M16" s="391"/>
      <c r="N16" s="425"/>
      <c r="O16" s="391"/>
      <c r="P16" s="390"/>
      <c r="Q16" s="391"/>
      <c r="R16" s="388"/>
      <c r="S16" s="181" t="s">
        <v>0</v>
      </c>
      <c r="T16" s="18"/>
    </row>
    <row r="17" spans="1:20">
      <c r="A17" s="563" t="s">
        <v>31</v>
      </c>
      <c r="B17" s="390"/>
      <c r="C17" s="391"/>
      <c r="D17" s="391"/>
      <c r="E17" s="390"/>
      <c r="F17" s="391"/>
      <c r="G17" s="391"/>
      <c r="H17" s="390"/>
      <c r="I17" s="391"/>
      <c r="J17" s="391"/>
      <c r="K17" s="390"/>
      <c r="L17" s="391"/>
      <c r="M17" s="391"/>
      <c r="N17" s="425"/>
      <c r="O17" s="391"/>
      <c r="P17" s="390"/>
      <c r="Q17" s="391"/>
      <c r="R17" s="388"/>
      <c r="S17" s="181" t="s">
        <v>0</v>
      </c>
      <c r="T17" s="18"/>
    </row>
    <row r="18" spans="1:20">
      <c r="A18" s="564" t="s">
        <v>60</v>
      </c>
      <c r="B18" s="381"/>
      <c r="C18" s="382"/>
      <c r="D18" s="382"/>
      <c r="E18" s="381"/>
      <c r="F18" s="382"/>
      <c r="G18" s="382"/>
      <c r="H18" s="381"/>
      <c r="I18" s="382"/>
      <c r="J18" s="382"/>
      <c r="K18" s="381"/>
      <c r="L18" s="382"/>
      <c r="M18" s="382"/>
      <c r="N18" s="421"/>
      <c r="O18" s="382"/>
      <c r="P18" s="381"/>
      <c r="Q18" s="382"/>
      <c r="R18" s="379"/>
      <c r="S18" s="181" t="s">
        <v>0</v>
      </c>
      <c r="T18" s="18"/>
    </row>
    <row r="19" spans="1:20">
      <c r="A19" s="1050" t="s">
        <v>105</v>
      </c>
      <c r="B19" s="381"/>
      <c r="C19" s="382">
        <f>C18+C17+C15</f>
        <v>0</v>
      </c>
      <c r="D19" s="565"/>
      <c r="E19" s="381"/>
      <c r="F19" s="382">
        <f>F18+F17+F15</f>
        <v>0</v>
      </c>
      <c r="G19" s="565"/>
      <c r="H19" s="381"/>
      <c r="I19" s="382">
        <f>I18+I17+I15</f>
        <v>0</v>
      </c>
      <c r="J19" s="565"/>
      <c r="K19" s="381"/>
      <c r="L19" s="382">
        <f>L18+L17+L15</f>
        <v>0</v>
      </c>
      <c r="M19" s="565"/>
      <c r="N19" s="566"/>
      <c r="O19" s="565"/>
      <c r="P19" s="381"/>
      <c r="Q19" s="382">
        <f>Q18+Q17+Q15</f>
        <v>0</v>
      </c>
      <c r="R19" s="567"/>
      <c r="S19" s="181" t="s">
        <v>0</v>
      </c>
      <c r="T19" s="18"/>
    </row>
    <row r="20" spans="1:20">
      <c r="A20" s="1061"/>
      <c r="B20" s="399"/>
      <c r="C20" s="399"/>
      <c r="D20" s="805"/>
      <c r="E20" s="399"/>
      <c r="F20" s="399"/>
      <c r="G20" s="805"/>
      <c r="H20" s="399"/>
      <c r="I20" s="399"/>
      <c r="J20" s="805"/>
      <c r="K20" s="399"/>
      <c r="L20" s="399"/>
      <c r="M20" s="805"/>
      <c r="N20" s="805"/>
      <c r="O20" s="805"/>
      <c r="P20" s="399"/>
      <c r="Q20" s="399"/>
      <c r="R20" s="805"/>
      <c r="S20" s="181" t="s">
        <v>0</v>
      </c>
      <c r="T20" s="18"/>
    </row>
    <row r="21" spans="1:20">
      <c r="A21" s="688" t="s">
        <v>685</v>
      </c>
      <c r="B21" s="688"/>
      <c r="C21" s="1175"/>
      <c r="D21" s="1176"/>
      <c r="E21" s="688"/>
      <c r="F21" s="688"/>
      <c r="G21" s="1176"/>
      <c r="H21" s="688"/>
      <c r="I21" s="688"/>
      <c r="J21" s="1176"/>
      <c r="K21" s="688"/>
      <c r="L21" s="688"/>
      <c r="M21" s="1176"/>
      <c r="N21" s="1176"/>
      <c r="O21" s="1176"/>
      <c r="P21" s="688"/>
      <c r="Q21" s="688"/>
      <c r="R21" s="1176"/>
      <c r="S21" s="181" t="s">
        <v>0</v>
      </c>
      <c r="T21" s="18"/>
    </row>
    <row r="22" spans="1:20">
      <c r="A22" s="377"/>
      <c r="B22" s="26"/>
      <c r="C22" s="26"/>
      <c r="D22" s="26"/>
      <c r="E22" s="26"/>
      <c r="F22" s="26"/>
      <c r="G22" s="26"/>
      <c r="H22" s="26"/>
      <c r="I22" s="26"/>
      <c r="J22" s="26"/>
      <c r="K22" s="26"/>
      <c r="L22" s="26"/>
      <c r="M22" s="26"/>
      <c r="N22" s="26"/>
      <c r="O22" s="26"/>
      <c r="P22" s="26"/>
      <c r="Q22" s="26"/>
      <c r="R22" s="26"/>
      <c r="S22" s="1486"/>
      <c r="T22" s="18"/>
    </row>
    <row r="23" spans="1:20">
      <c r="A23" s="26"/>
      <c r="B23" s="377"/>
      <c r="C23" s="26"/>
      <c r="D23" s="26"/>
      <c r="E23" s="26"/>
      <c r="F23" s="26"/>
      <c r="G23" s="26"/>
      <c r="H23" s="26"/>
      <c r="I23" s="26"/>
      <c r="J23" s="1487"/>
      <c r="K23" s="26"/>
      <c r="L23" s="26"/>
      <c r="M23" s="26"/>
      <c r="N23" s="26"/>
      <c r="O23" s="26"/>
      <c r="P23" s="26"/>
      <c r="Q23" s="26"/>
      <c r="R23" s="26"/>
      <c r="S23" s="1488"/>
      <c r="T23" s="18"/>
    </row>
    <row r="24" spans="1:20" s="18" customFormat="1" ht="16.5" customHeight="1">
      <c r="A24" s="2072"/>
      <c r="B24" s="2072"/>
      <c r="C24" s="2072"/>
      <c r="D24" s="2072"/>
      <c r="E24" s="2072"/>
      <c r="F24" s="2072"/>
      <c r="G24" s="2072"/>
      <c r="H24" s="2072"/>
      <c r="I24" s="2072"/>
      <c r="J24" s="2072"/>
      <c r="K24" s="2072"/>
      <c r="L24" s="2072"/>
      <c r="M24" s="2072"/>
      <c r="N24" s="2072"/>
      <c r="O24" s="2072"/>
      <c r="P24" s="2072"/>
      <c r="Q24" s="2072"/>
      <c r="R24" s="2072"/>
      <c r="S24" s="377"/>
    </row>
    <row r="25" spans="1:20" s="18" customFormat="1" ht="16.5" customHeight="1">
      <c r="A25" s="1767"/>
      <c r="B25" s="1767"/>
      <c r="C25" s="1767"/>
      <c r="D25" s="1767"/>
      <c r="E25" s="1767"/>
      <c r="F25" s="1767"/>
      <c r="G25" s="1767"/>
      <c r="H25" s="1767"/>
      <c r="I25" s="1767"/>
      <c r="J25" s="1767"/>
      <c r="K25" s="1767"/>
      <c r="L25" s="1767"/>
      <c r="M25" s="1767"/>
      <c r="N25" s="1767"/>
      <c r="O25" s="1767"/>
      <c r="P25" s="1767"/>
      <c r="Q25" s="1767"/>
      <c r="R25" s="1767"/>
      <c r="S25" s="377"/>
    </row>
    <row r="26" spans="1:20" s="18" customFormat="1" ht="16.5" customHeight="1">
      <c r="A26" s="45"/>
      <c r="B26" s="1460"/>
      <c r="C26" s="1460"/>
      <c r="D26" s="1460"/>
      <c r="E26" s="1460"/>
      <c r="F26" s="1460"/>
      <c r="G26" s="1460"/>
      <c r="H26" s="1460"/>
      <c r="I26" s="1460"/>
      <c r="J26" s="1460"/>
      <c r="K26" s="1460"/>
      <c r="L26" s="1460"/>
      <c r="M26" s="1460"/>
      <c r="N26" s="1460"/>
      <c r="O26" s="1460"/>
      <c r="P26" s="1460"/>
      <c r="Q26" s="1460"/>
      <c r="R26" s="1460"/>
      <c r="S26" s="377"/>
    </row>
    <row r="27" spans="1:20" s="18" customFormat="1" ht="16.5" customHeight="1">
      <c r="A27" s="2073"/>
      <c r="B27" s="1767"/>
      <c r="C27" s="1767"/>
      <c r="D27" s="1767"/>
      <c r="E27" s="1767"/>
      <c r="F27" s="1767"/>
      <c r="G27" s="1767"/>
      <c r="H27" s="1767"/>
      <c r="I27" s="1767"/>
      <c r="J27" s="1767"/>
      <c r="K27" s="1767"/>
      <c r="L27" s="1767"/>
      <c r="M27" s="1767"/>
      <c r="N27" s="1767"/>
      <c r="O27" s="1767"/>
      <c r="P27" s="1767"/>
      <c r="Q27" s="1767"/>
      <c r="R27" s="1767"/>
      <c r="S27" s="377"/>
    </row>
    <row r="28" spans="1:20" s="18" customFormat="1" ht="16.5" customHeight="1">
      <c r="A28" s="1767"/>
      <c r="B28" s="1767"/>
      <c r="C28" s="1767"/>
      <c r="D28" s="1767"/>
      <c r="E28" s="1767"/>
      <c r="F28" s="1767"/>
      <c r="G28" s="1767"/>
      <c r="H28" s="1767"/>
      <c r="I28" s="1767"/>
      <c r="J28" s="1767"/>
      <c r="K28" s="1767"/>
      <c r="L28" s="1767"/>
      <c r="M28" s="1767"/>
      <c r="N28" s="1767"/>
      <c r="O28" s="1767"/>
      <c r="P28" s="1767"/>
      <c r="Q28" s="1767"/>
      <c r="R28" s="1767"/>
      <c r="S28" s="377"/>
    </row>
    <row r="29" spans="1:20" s="18" customFormat="1" ht="16.5" customHeight="1">
      <c r="A29" s="1767"/>
      <c r="B29" s="1767"/>
      <c r="C29" s="1767"/>
      <c r="D29" s="1767"/>
      <c r="E29" s="1767"/>
      <c r="F29" s="1767"/>
      <c r="G29" s="1767"/>
      <c r="H29" s="1767"/>
      <c r="I29" s="1767"/>
      <c r="J29" s="1767"/>
      <c r="K29" s="1767"/>
      <c r="L29" s="1767"/>
      <c r="M29" s="1767"/>
      <c r="N29" s="1767"/>
      <c r="O29" s="1767"/>
      <c r="P29" s="1767"/>
      <c r="Q29" s="1767"/>
      <c r="R29" s="1767"/>
      <c r="S29" s="377"/>
    </row>
    <row r="30" spans="1:20" s="18" customFormat="1" ht="16.5" customHeight="1">
      <c r="A30" s="2070"/>
      <c r="B30" s="2071"/>
      <c r="C30" s="2071"/>
      <c r="D30" s="2071"/>
      <c r="E30" s="2071"/>
      <c r="F30" s="2071"/>
      <c r="G30" s="2071"/>
      <c r="H30" s="2071"/>
      <c r="I30" s="2071"/>
      <c r="J30" s="2071"/>
      <c r="K30" s="2071"/>
      <c r="L30" s="2071"/>
      <c r="M30" s="2071"/>
      <c r="N30" s="2071"/>
      <c r="O30" s="2071"/>
      <c r="P30" s="2071"/>
      <c r="Q30" s="2071"/>
      <c r="R30" s="2071"/>
      <c r="S30" s="2071"/>
    </row>
    <row r="31" spans="1:20" ht="18">
      <c r="A31" s="1489"/>
      <c r="B31" s="377"/>
      <c r="C31" s="377"/>
      <c r="D31" s="377"/>
      <c r="E31" s="377"/>
      <c r="F31" s="377"/>
      <c r="G31" s="377"/>
      <c r="H31" s="377"/>
      <c r="I31" s="377"/>
      <c r="J31" s="377"/>
      <c r="K31" s="377"/>
      <c r="L31" s="377"/>
      <c r="M31" s="377"/>
      <c r="N31" s="377"/>
      <c r="O31" s="377"/>
      <c r="P31" s="377"/>
      <c r="Q31" s="377"/>
      <c r="R31" s="377"/>
      <c r="S31" s="377"/>
      <c r="T31" s="182"/>
    </row>
    <row r="32" spans="1:20">
      <c r="A32" s="1175"/>
      <c r="B32" s="1175"/>
      <c r="C32" s="1175"/>
      <c r="D32" s="1175"/>
      <c r="E32" s="1175"/>
      <c r="F32" s="1175"/>
      <c r="G32" s="1175"/>
      <c r="H32" s="1175"/>
      <c r="I32" s="1490"/>
      <c r="J32" s="1175"/>
      <c r="K32" s="1175"/>
      <c r="L32" s="1175"/>
      <c r="M32" s="1175"/>
      <c r="N32" s="377"/>
      <c r="O32" s="377"/>
      <c r="P32" s="1175"/>
      <c r="Q32" s="1175"/>
      <c r="R32" s="1175"/>
      <c r="S32" s="1175"/>
    </row>
    <row r="33" spans="1:19">
      <c r="A33" s="1175"/>
      <c r="B33" s="1175"/>
      <c r="C33" s="1175"/>
      <c r="D33" s="1175"/>
      <c r="E33" s="1175"/>
      <c r="F33" s="1175"/>
      <c r="G33" s="1175"/>
      <c r="H33" s="1175"/>
      <c r="I33" s="1490"/>
      <c r="J33" s="1175"/>
      <c r="K33" s="1175"/>
      <c r="L33" s="1175"/>
      <c r="M33" s="1175"/>
      <c r="N33" s="377"/>
      <c r="O33" s="377"/>
      <c r="P33" s="1175"/>
      <c r="Q33" s="1175"/>
      <c r="R33" s="1175"/>
      <c r="S33" s="1175"/>
    </row>
    <row r="34" spans="1:19">
      <c r="A34" s="1175"/>
      <c r="B34" s="1175"/>
      <c r="C34" s="1175"/>
      <c r="D34" s="1175"/>
      <c r="E34" s="1175"/>
      <c r="F34" s="1175"/>
      <c r="G34" s="1175"/>
      <c r="H34" s="1175"/>
      <c r="I34" s="1490"/>
      <c r="J34" s="1175"/>
      <c r="K34" s="1175"/>
      <c r="L34" s="1175"/>
      <c r="M34" s="1175"/>
      <c r="N34" s="377"/>
      <c r="O34" s="377"/>
      <c r="P34" s="1175"/>
      <c r="Q34" s="1175"/>
      <c r="R34" s="1175"/>
      <c r="S34" s="1175"/>
    </row>
    <row r="35" spans="1:19">
      <c r="A35" s="1175"/>
      <c r="B35" s="1175"/>
      <c r="C35" s="1175"/>
      <c r="D35" s="1175"/>
      <c r="E35" s="1175"/>
      <c r="F35" s="1175"/>
      <c r="G35" s="1175"/>
      <c r="H35" s="1175"/>
      <c r="I35" s="1490"/>
      <c r="J35" s="1175"/>
      <c r="K35" s="1175"/>
      <c r="L35" s="1175"/>
      <c r="M35" s="1175"/>
      <c r="N35" s="377"/>
      <c r="O35" s="377"/>
      <c r="P35" s="1175"/>
      <c r="Q35" s="1175"/>
      <c r="R35" s="1175"/>
      <c r="S35" s="1175"/>
    </row>
    <row r="36" spans="1:19">
      <c r="A36" s="1175"/>
      <c r="B36" s="1175"/>
      <c r="C36" s="1175"/>
      <c r="D36" s="1175"/>
      <c r="E36" s="1175"/>
      <c r="F36" s="1175"/>
      <c r="G36" s="1175"/>
      <c r="H36" s="1175"/>
      <c r="I36" s="1490"/>
      <c r="J36" s="1175"/>
      <c r="K36" s="1175"/>
      <c r="L36" s="1175"/>
      <c r="M36" s="1175"/>
      <c r="N36" s="377"/>
      <c r="O36" s="377"/>
      <c r="P36" s="1175"/>
      <c r="Q36" s="1175"/>
      <c r="R36" s="1175"/>
      <c r="S36" s="1175"/>
    </row>
    <row r="37" spans="1:19">
      <c r="A37" s="1175"/>
      <c r="B37" s="1175"/>
      <c r="C37" s="1175"/>
      <c r="D37" s="1175"/>
      <c r="E37" s="1175"/>
      <c r="F37" s="1175"/>
      <c r="G37" s="1175"/>
      <c r="H37" s="1175"/>
      <c r="I37" s="1490"/>
      <c r="J37" s="1175"/>
      <c r="K37" s="1175"/>
      <c r="L37" s="1175"/>
      <c r="M37" s="1175"/>
      <c r="N37" s="377"/>
      <c r="O37" s="377"/>
      <c r="P37" s="1175"/>
      <c r="Q37" s="1175"/>
      <c r="R37" s="1175"/>
      <c r="S37" s="1175"/>
    </row>
    <row r="44" spans="1:19">
      <c r="F44" s="18"/>
    </row>
  </sheetData>
  <customSheetViews>
    <customSheetView guid="{DA38F665-F06D-4DFB-B852-747D93BB00EF}" scale="75" showPageBreaks="1" fitToPage="1" printArea="1" hiddenColumns="1" view="pageBreakPreview">
      <selection activeCell="K9" sqref="K9:M10"/>
      <pageMargins left="0.75" right="0.75" top="1" bottom="1" header="0.5" footer="0.5"/>
      <pageSetup scale="62" orientation="landscape" r:id="rId1"/>
      <headerFooter alignWithMargins="0">
        <oddFooter>&amp;C&amp;"Times New Roman,Regular"Exhibit G:  Crosswalk of 2012 Availability&amp;R&amp;"Times New Roman,Regular"Public Safety Officers' Benefits</oddFooter>
      </headerFooter>
    </customSheetView>
    <customSheetView guid="{F6772377-6B25-4EEA-B255-4C2F62B37855}" scale="75" showPageBreaks="1" fitToPage="1" printArea="1" hiddenColumns="1" view="pageBreakPreview">
      <selection activeCell="N13" sqref="N13"/>
      <pageMargins left="0.75" right="0.75" top="1" bottom="1" header="0.5" footer="0.5"/>
      <pageSetup scale="62" orientation="landscape" r:id="rId2"/>
      <headerFooter alignWithMargins="0">
        <oddFooter>&amp;C&amp;"Times New Roman,Regular"Exhibit G:  Crosswalk of 2012 Availability&amp;R&amp;"Times New Roman,Regular"Public Safety Officers' Benefits</oddFooter>
      </headerFooter>
    </customSheetView>
    <customSheetView guid="{27B9C207-C13F-4981-9CED-E69585BBD779}" scale="75" showPageBreaks="1" fitToPage="1" printArea="1" hiddenColumns="1" view="pageBreakPreview" topLeftCell="C1">
      <selection activeCell="S25" sqref="S25"/>
      <pageMargins left="0.75" right="0.75" top="1" bottom="1" header="0.5" footer="0.5"/>
      <pageSetup scale="62" orientation="landscape" r:id="rId3"/>
      <headerFooter alignWithMargins="0">
        <oddFooter>&amp;C&amp;"Times New Roman,Regular"Exhibit G:  Crosswalk of 2012 Availability&amp;R&amp;"Times New Roman,Regular"Public Safety Officers' Benefits</oddFooter>
      </headerFooter>
    </customSheetView>
  </customSheetViews>
  <mergeCells count="22">
    <mergeCell ref="A30:S30"/>
    <mergeCell ref="A7:R7"/>
    <mergeCell ref="A8:R8"/>
    <mergeCell ref="A9:A11"/>
    <mergeCell ref="B9:D10"/>
    <mergeCell ref="E9:G10"/>
    <mergeCell ref="H9:J10"/>
    <mergeCell ref="K9:M10"/>
    <mergeCell ref="N9:N10"/>
    <mergeCell ref="O9:O10"/>
    <mergeCell ref="P9:R10"/>
    <mergeCell ref="A24:R24"/>
    <mergeCell ref="A25:R25"/>
    <mergeCell ref="A27:R27"/>
    <mergeCell ref="A28:R28"/>
    <mergeCell ref="A29:R29"/>
    <mergeCell ref="A6:R6"/>
    <mergeCell ref="A1:R1"/>
    <mergeCell ref="A2:R2"/>
    <mergeCell ref="A3:R3"/>
    <mergeCell ref="A4:R4"/>
    <mergeCell ref="A5:R5"/>
  </mergeCells>
  <pageMargins left="0.75" right="0.75" top="1" bottom="1" header="0.5" footer="0.5"/>
  <pageSetup scale="62" orientation="landscape" r:id="rId4"/>
  <headerFooter alignWithMargins="0">
    <oddFooter>&amp;C&amp;"Times New Roman,Regular"Exhibit G:  Crosswalk of 2012 Availability&amp;R&amp;"Times New Roman,Regular"Weed and Seed Program Fund</oddFooter>
  </headerFooter>
</worksheet>
</file>

<file path=xl/worksheets/sheet28.xml><?xml version="1.0" encoding="utf-8"?>
<worksheet xmlns="http://schemas.openxmlformats.org/spreadsheetml/2006/main" xmlns:r="http://schemas.openxmlformats.org/officeDocument/2006/relationships">
  <dimension ref="A1:W197"/>
  <sheetViews>
    <sheetView view="pageBreakPreview" zoomScale="75" zoomScaleNormal="75" zoomScaleSheetLayoutView="50" workbookViewId="0">
      <pane xSplit="1" ySplit="9" topLeftCell="B10" activePane="bottomRight" state="frozen"/>
      <selection pane="topRight" activeCell="B1" sqref="B1"/>
      <selection pane="bottomLeft" activeCell="A10" sqref="A10"/>
      <selection pane="bottomRight" activeCell="A16" sqref="A16"/>
    </sheetView>
  </sheetViews>
  <sheetFormatPr defaultRowHeight="15.75"/>
  <cols>
    <col min="1" max="1" width="65.33203125" style="294" customWidth="1"/>
    <col min="2" max="2" width="8.88671875" style="294"/>
    <col min="3" max="3" width="10.109375" style="294" customWidth="1"/>
    <col min="4" max="4" width="8.88671875" style="294"/>
    <col min="5" max="5" width="10.6640625" style="294" customWidth="1"/>
    <col min="6" max="6" width="8.88671875" style="294"/>
    <col min="7" max="7" width="10.5546875" style="294" bestFit="1" customWidth="1"/>
    <col min="8" max="8" width="8.88671875" style="294"/>
    <col min="9" max="9" width="10.33203125" style="294" customWidth="1"/>
    <col min="10" max="10" width="9.33203125" style="59" customWidth="1"/>
    <col min="11" max="11" width="8.88671875" style="363"/>
    <col min="12" max="16384" width="8.88671875" style="294"/>
  </cols>
  <sheetData>
    <row r="1" spans="1:10" ht="19.149999999999999" customHeight="1">
      <c r="A1" s="1779" t="s">
        <v>89</v>
      </c>
      <c r="B1" s="1780"/>
      <c r="C1" s="1780"/>
      <c r="D1" s="1780"/>
      <c r="E1" s="1780"/>
      <c r="F1" s="1780"/>
      <c r="G1" s="1780"/>
      <c r="H1" s="1780"/>
      <c r="I1" s="1780"/>
      <c r="J1" s="58" t="s">
        <v>0</v>
      </c>
    </row>
    <row r="2" spans="1:10" ht="19.149999999999999" customHeight="1">
      <c r="A2" s="1781"/>
      <c r="B2" s="1782"/>
      <c r="C2" s="1782"/>
      <c r="D2" s="1782"/>
      <c r="E2" s="1782"/>
      <c r="F2" s="1782"/>
      <c r="G2" s="1782"/>
      <c r="H2" s="1782"/>
      <c r="I2" s="1782"/>
      <c r="J2" s="58" t="s">
        <v>0</v>
      </c>
    </row>
    <row r="3" spans="1:10" ht="18.75">
      <c r="A3" s="1783" t="s">
        <v>59</v>
      </c>
      <c r="B3" s="1780"/>
      <c r="C3" s="1780"/>
      <c r="D3" s="1780"/>
      <c r="E3" s="1780"/>
      <c r="F3" s="1780"/>
      <c r="G3" s="1780"/>
      <c r="H3" s="1780"/>
      <c r="I3" s="1780"/>
      <c r="J3" s="58" t="s">
        <v>0</v>
      </c>
    </row>
    <row r="4" spans="1:10" ht="16.5">
      <c r="A4" s="1784" t="s">
        <v>190</v>
      </c>
      <c r="B4" s="1780"/>
      <c r="C4" s="1780"/>
      <c r="D4" s="1780"/>
      <c r="E4" s="1780"/>
      <c r="F4" s="1780"/>
      <c r="G4" s="1780"/>
      <c r="H4" s="1780"/>
      <c r="I4" s="1780"/>
      <c r="J4" s="58" t="s">
        <v>0</v>
      </c>
    </row>
    <row r="5" spans="1:10" ht="16.5">
      <c r="A5" s="1784" t="s">
        <v>397</v>
      </c>
      <c r="B5" s="1780"/>
      <c r="C5" s="1780"/>
      <c r="D5" s="1780"/>
      <c r="E5" s="1780"/>
      <c r="F5" s="1780"/>
      <c r="G5" s="1780"/>
      <c r="H5" s="1780"/>
      <c r="I5" s="1780"/>
      <c r="J5" s="58" t="s">
        <v>0</v>
      </c>
    </row>
    <row r="6" spans="1:10">
      <c r="A6" s="1798" t="s">
        <v>98</v>
      </c>
      <c r="B6" s="1780"/>
      <c r="C6" s="1780"/>
      <c r="D6" s="1780"/>
      <c r="E6" s="1780"/>
      <c r="F6" s="1780"/>
      <c r="G6" s="1780"/>
      <c r="H6" s="1780"/>
      <c r="I6" s="1780"/>
      <c r="J6" s="58" t="s">
        <v>0</v>
      </c>
    </row>
    <row r="7" spans="1:10" ht="11.25" customHeight="1">
      <c r="A7" s="1951"/>
      <c r="B7" s="1951"/>
      <c r="C7" s="1951"/>
      <c r="D7" s="1951"/>
      <c r="E7" s="1951"/>
      <c r="F7" s="1951"/>
      <c r="G7" s="1951"/>
      <c r="H7" s="1951"/>
      <c r="I7" s="1951"/>
      <c r="J7" s="58" t="s">
        <v>0</v>
      </c>
    </row>
    <row r="8" spans="1:10" ht="44.25" customHeight="1">
      <c r="A8" s="1796" t="s">
        <v>53</v>
      </c>
      <c r="B8" s="1799" t="s">
        <v>162</v>
      </c>
      <c r="C8" s="1800"/>
      <c r="D8" s="1804" t="s">
        <v>168</v>
      </c>
      <c r="E8" s="1805"/>
      <c r="F8" s="1801" t="s">
        <v>154</v>
      </c>
      <c r="G8" s="1803"/>
      <c r="H8" s="1801" t="s">
        <v>143</v>
      </c>
      <c r="I8" s="1802"/>
      <c r="J8" s="58" t="s">
        <v>0</v>
      </c>
    </row>
    <row r="9" spans="1:10" ht="25.5" customHeight="1" thickBot="1">
      <c r="A9" s="1797"/>
      <c r="B9" s="352" t="s">
        <v>25</v>
      </c>
      <c r="C9" s="353" t="s">
        <v>117</v>
      </c>
      <c r="D9" s="352" t="s">
        <v>25</v>
      </c>
      <c r="E9" s="353" t="s">
        <v>117</v>
      </c>
      <c r="F9" s="352" t="s">
        <v>25</v>
      </c>
      <c r="G9" s="353" t="s">
        <v>117</v>
      </c>
      <c r="H9" s="352" t="s">
        <v>25</v>
      </c>
      <c r="I9" s="354" t="s">
        <v>117</v>
      </c>
      <c r="J9" s="58" t="s">
        <v>0</v>
      </c>
    </row>
    <row r="10" spans="1:10">
      <c r="A10" s="625" t="s">
        <v>8</v>
      </c>
      <c r="B10" s="595"/>
      <c r="C10" s="596"/>
      <c r="D10" s="595"/>
      <c r="E10" s="596"/>
      <c r="F10" s="595"/>
      <c r="G10" s="596"/>
      <c r="H10" s="595"/>
      <c r="I10" s="594"/>
      <c r="J10" s="58" t="s">
        <v>0</v>
      </c>
    </row>
    <row r="11" spans="1:10">
      <c r="A11" s="597" t="s">
        <v>50</v>
      </c>
      <c r="B11" s="595"/>
      <c r="C11" s="601"/>
      <c r="D11" s="595"/>
      <c r="E11" s="601"/>
      <c r="F11" s="595"/>
      <c r="G11" s="601"/>
      <c r="H11" s="595"/>
      <c r="I11" s="600"/>
      <c r="J11" s="58" t="s">
        <v>0</v>
      </c>
    </row>
    <row r="12" spans="1:10">
      <c r="A12" s="597" t="s">
        <v>32</v>
      </c>
      <c r="B12" s="624"/>
      <c r="C12" s="601"/>
      <c r="D12" s="624"/>
      <c r="E12" s="601"/>
      <c r="F12" s="624"/>
      <c r="G12" s="601"/>
      <c r="H12" s="595"/>
      <c r="I12" s="600"/>
      <c r="J12" s="58" t="s">
        <v>0</v>
      </c>
    </row>
    <row r="13" spans="1:10">
      <c r="A13" s="623" t="s">
        <v>34</v>
      </c>
      <c r="B13" s="621"/>
      <c r="C13" s="622"/>
      <c r="D13" s="621"/>
      <c r="E13" s="622"/>
      <c r="F13" s="621"/>
      <c r="G13" s="622"/>
      <c r="H13" s="621"/>
      <c r="I13" s="620"/>
      <c r="J13" s="58" t="s">
        <v>0</v>
      </c>
    </row>
    <row r="14" spans="1:10">
      <c r="A14" s="623" t="s">
        <v>33</v>
      </c>
      <c r="B14" s="621"/>
      <c r="C14" s="622"/>
      <c r="D14" s="621"/>
      <c r="E14" s="622"/>
      <c r="F14" s="621"/>
      <c r="G14" s="622"/>
      <c r="H14" s="621"/>
      <c r="I14" s="620"/>
      <c r="J14" s="58" t="s">
        <v>0</v>
      </c>
    </row>
    <row r="15" spans="1:10">
      <c r="A15" s="593" t="s">
        <v>35</v>
      </c>
      <c r="B15" s="619"/>
      <c r="C15" s="618"/>
      <c r="D15" s="619"/>
      <c r="E15" s="618"/>
      <c r="F15" s="619"/>
      <c r="G15" s="618"/>
      <c r="H15" s="595"/>
      <c r="I15" s="600"/>
      <c r="J15" s="58" t="s">
        <v>0</v>
      </c>
    </row>
    <row r="16" spans="1:10">
      <c r="A16" s="859" t="s">
        <v>9</v>
      </c>
      <c r="B16" s="617">
        <f>+B10+B11+B12+B15</f>
        <v>0</v>
      </c>
      <c r="C16" s="616">
        <f t="shared" ref="C16:I16" si="0">+C10+C11+C12+C15</f>
        <v>0</v>
      </c>
      <c r="D16" s="617">
        <f>+D10+D11+D12+D15</f>
        <v>0</v>
      </c>
      <c r="E16" s="616">
        <f t="shared" si="0"/>
        <v>0</v>
      </c>
      <c r="F16" s="617">
        <f t="shared" si="0"/>
        <v>0</v>
      </c>
      <c r="G16" s="615">
        <f t="shared" si="0"/>
        <v>0</v>
      </c>
      <c r="H16" s="616">
        <f>+H10+H11+H12+H15</f>
        <v>0</v>
      </c>
      <c r="I16" s="615">
        <f t="shared" si="0"/>
        <v>0</v>
      </c>
      <c r="J16" s="58" t="s">
        <v>0</v>
      </c>
    </row>
    <row r="17" spans="1:12">
      <c r="A17" s="602" t="s">
        <v>54</v>
      </c>
      <c r="B17" s="595"/>
      <c r="C17" s="601"/>
      <c r="D17" s="595"/>
      <c r="E17" s="601"/>
      <c r="F17" s="595"/>
      <c r="G17" s="601"/>
      <c r="H17" s="595"/>
      <c r="I17" s="600"/>
      <c r="J17" s="58" t="s">
        <v>0</v>
      </c>
    </row>
    <row r="18" spans="1:12">
      <c r="A18" s="599" t="s">
        <v>37</v>
      </c>
      <c r="B18" s="595"/>
      <c r="C18" s="601"/>
      <c r="D18" s="595"/>
      <c r="E18" s="601"/>
      <c r="F18" s="595"/>
      <c r="G18" s="601"/>
      <c r="H18" s="595"/>
      <c r="I18" s="600"/>
      <c r="J18" s="58" t="s">
        <v>0</v>
      </c>
    </row>
    <row r="19" spans="1:12">
      <c r="A19" s="599" t="s">
        <v>38</v>
      </c>
      <c r="B19" s="595"/>
      <c r="C19" s="601"/>
      <c r="D19" s="595"/>
      <c r="E19" s="601"/>
      <c r="F19" s="595"/>
      <c r="G19" s="601"/>
      <c r="H19" s="595"/>
      <c r="I19" s="600"/>
      <c r="J19" s="58" t="s">
        <v>0</v>
      </c>
    </row>
    <row r="20" spans="1:12">
      <c r="A20" s="599" t="s">
        <v>39</v>
      </c>
      <c r="B20" s="595"/>
      <c r="C20" s="601"/>
      <c r="D20" s="595"/>
      <c r="E20" s="601"/>
      <c r="F20" s="595"/>
      <c r="G20" s="601"/>
      <c r="H20" s="595"/>
      <c r="I20" s="600"/>
      <c r="J20" s="58" t="s">
        <v>0</v>
      </c>
    </row>
    <row r="21" spans="1:12">
      <c r="A21" s="599" t="s">
        <v>87</v>
      </c>
      <c r="B21" s="595"/>
      <c r="C21" s="601"/>
      <c r="D21" s="595"/>
      <c r="E21" s="601"/>
      <c r="F21" s="595"/>
      <c r="G21" s="601"/>
      <c r="H21" s="595"/>
      <c r="I21" s="600"/>
      <c r="J21" s="58" t="s">
        <v>0</v>
      </c>
    </row>
    <row r="22" spans="1:12">
      <c r="A22" s="599" t="s">
        <v>19</v>
      </c>
      <c r="B22" s="595"/>
      <c r="C22" s="601"/>
      <c r="D22" s="595"/>
      <c r="E22" s="601"/>
      <c r="F22" s="595"/>
      <c r="G22" s="601"/>
      <c r="H22" s="595"/>
      <c r="I22" s="600"/>
      <c r="J22" s="58" t="s">
        <v>0</v>
      </c>
    </row>
    <row r="23" spans="1:12">
      <c r="A23" s="599" t="s">
        <v>40</v>
      </c>
      <c r="B23" s="595"/>
      <c r="C23" s="601"/>
      <c r="D23" s="595"/>
      <c r="E23" s="601"/>
      <c r="F23" s="595"/>
      <c r="G23" s="601"/>
      <c r="H23" s="595"/>
      <c r="I23" s="600"/>
      <c r="J23" s="58" t="s">
        <v>0</v>
      </c>
    </row>
    <row r="24" spans="1:12">
      <c r="A24" s="599" t="s">
        <v>41</v>
      </c>
      <c r="B24" s="595"/>
      <c r="C24" s="601"/>
      <c r="D24" s="595"/>
      <c r="E24" s="601"/>
      <c r="F24" s="595"/>
      <c r="G24" s="601"/>
      <c r="H24" s="595"/>
      <c r="I24" s="600"/>
      <c r="J24" s="58" t="s">
        <v>0</v>
      </c>
    </row>
    <row r="25" spans="1:12">
      <c r="A25" s="599" t="s">
        <v>59</v>
      </c>
      <c r="B25" s="595"/>
      <c r="C25" s="601"/>
      <c r="D25" s="595"/>
      <c r="E25" s="601"/>
      <c r="F25" s="595"/>
      <c r="G25" s="601"/>
      <c r="H25" s="595"/>
      <c r="I25" s="600"/>
      <c r="J25" s="58" t="s">
        <v>0</v>
      </c>
    </row>
    <row r="26" spans="1:12">
      <c r="A26" s="599" t="s">
        <v>43</v>
      </c>
      <c r="B26" s="595"/>
      <c r="C26" s="601"/>
      <c r="D26" s="595"/>
      <c r="E26" s="601"/>
      <c r="F26" s="595"/>
      <c r="G26" s="601"/>
      <c r="H26" s="595"/>
      <c r="I26" s="600"/>
      <c r="J26" s="58" t="s">
        <v>0</v>
      </c>
    </row>
    <row r="27" spans="1:12">
      <c r="A27" s="599" t="s">
        <v>163</v>
      </c>
      <c r="B27" s="595"/>
      <c r="C27" s="601"/>
      <c r="D27" s="595"/>
      <c r="E27" s="601"/>
      <c r="F27" s="595"/>
      <c r="G27" s="601"/>
      <c r="H27" s="595"/>
      <c r="I27" s="600"/>
      <c r="J27" s="58" t="s">
        <v>0</v>
      </c>
    </row>
    <row r="28" spans="1:12">
      <c r="A28" s="599" t="s">
        <v>88</v>
      </c>
      <c r="B28" s="595"/>
      <c r="C28" s="601"/>
      <c r="D28" s="595"/>
      <c r="E28" s="601"/>
      <c r="F28" s="595"/>
      <c r="G28" s="601"/>
      <c r="H28" s="595"/>
      <c r="I28" s="600"/>
      <c r="J28" s="58" t="s">
        <v>0</v>
      </c>
      <c r="L28" s="614"/>
    </row>
    <row r="29" spans="1:12">
      <c r="A29" s="599" t="s">
        <v>280</v>
      </c>
      <c r="B29" s="595"/>
      <c r="C29" s="601"/>
      <c r="D29" s="595"/>
      <c r="E29" s="601"/>
      <c r="F29" s="595"/>
      <c r="G29" s="601"/>
      <c r="H29" s="595"/>
      <c r="I29" s="600"/>
      <c r="J29" s="58" t="s">
        <v>0</v>
      </c>
    </row>
    <row r="30" spans="1:12">
      <c r="A30" s="599" t="s">
        <v>92</v>
      </c>
      <c r="B30" s="595"/>
      <c r="C30" s="601"/>
      <c r="D30" s="595"/>
      <c r="E30" s="601"/>
      <c r="F30" s="595"/>
      <c r="G30" s="601"/>
      <c r="H30" s="595"/>
      <c r="I30" s="600"/>
      <c r="J30" s="58" t="s">
        <v>0</v>
      </c>
      <c r="L30" s="614"/>
    </row>
    <row r="31" spans="1:12">
      <c r="A31" s="599" t="s">
        <v>44</v>
      </c>
      <c r="B31" s="595"/>
      <c r="C31" s="601"/>
      <c r="D31" s="595"/>
      <c r="E31" s="601"/>
      <c r="F31" s="595"/>
      <c r="G31" s="601"/>
      <c r="H31" s="595"/>
      <c r="I31" s="600"/>
      <c r="J31" s="58" t="s">
        <v>0</v>
      </c>
      <c r="L31" s="614"/>
    </row>
    <row r="32" spans="1:12">
      <c r="A32" s="599" t="s">
        <v>45</v>
      </c>
      <c r="B32" s="595"/>
      <c r="C32" s="601"/>
      <c r="D32" s="595"/>
      <c r="E32" s="601"/>
      <c r="F32" s="595"/>
      <c r="G32" s="601"/>
      <c r="H32" s="595"/>
      <c r="I32" s="600"/>
      <c r="J32" s="58" t="s">
        <v>0</v>
      </c>
    </row>
    <row r="33" spans="1:23">
      <c r="A33" s="613" t="s">
        <v>46</v>
      </c>
      <c r="B33" s="611"/>
      <c r="C33" s="612">
        <f>SUM(C16:C32)</f>
        <v>0</v>
      </c>
      <c r="D33" s="611"/>
      <c r="E33" s="612">
        <f>SUM(E16:E32)</f>
        <v>0</v>
      </c>
      <c r="F33" s="611"/>
      <c r="G33" s="612">
        <f>SUM(G16:G32)</f>
        <v>0</v>
      </c>
      <c r="H33" s="611"/>
      <c r="I33" s="610">
        <f>SUM(I16:I32)</f>
        <v>0</v>
      </c>
      <c r="J33" s="58" t="s">
        <v>0</v>
      </c>
    </row>
    <row r="34" spans="1:23" ht="16.899999999999999" customHeight="1">
      <c r="A34" s="599" t="s">
        <v>47</v>
      </c>
      <c r="B34" s="595"/>
      <c r="C34" s="601">
        <v>-2625</v>
      </c>
      <c r="D34" s="595"/>
      <c r="E34" s="601">
        <v>-1652</v>
      </c>
      <c r="F34" s="595"/>
      <c r="G34" s="601"/>
      <c r="H34" s="595"/>
      <c r="I34" s="600"/>
      <c r="J34" s="58" t="s">
        <v>0</v>
      </c>
    </row>
    <row r="35" spans="1:23" ht="16.899999999999999" customHeight="1">
      <c r="A35" s="599" t="s">
        <v>394</v>
      </c>
      <c r="B35" s="595"/>
      <c r="C35" s="601">
        <v>2595.9251599999998</v>
      </c>
      <c r="D35" s="595"/>
      <c r="E35" s="601"/>
      <c r="F35" s="595"/>
      <c r="G35" s="601"/>
      <c r="H35" s="595"/>
      <c r="I35" s="600"/>
      <c r="J35" s="58" t="s">
        <v>0</v>
      </c>
    </row>
    <row r="36" spans="1:23">
      <c r="A36" s="599" t="s">
        <v>48</v>
      </c>
      <c r="B36" s="595"/>
      <c r="C36" s="601">
        <v>1562</v>
      </c>
      <c r="D36" s="595"/>
      <c r="E36" s="601">
        <v>1652</v>
      </c>
      <c r="F36" s="595"/>
      <c r="G36" s="601"/>
      <c r="H36" s="595"/>
      <c r="I36" s="600"/>
      <c r="J36" s="58" t="s">
        <v>0</v>
      </c>
    </row>
    <row r="37" spans="1:23">
      <c r="A37" s="599" t="s">
        <v>49</v>
      </c>
      <c r="B37" s="595"/>
      <c r="C37" s="601">
        <v>-1532.67309</v>
      </c>
      <c r="D37" s="595"/>
      <c r="E37" s="601"/>
      <c r="F37" s="595"/>
      <c r="G37" s="601"/>
      <c r="H37" s="595"/>
      <c r="I37" s="600"/>
      <c r="J37" s="58" t="s">
        <v>0</v>
      </c>
    </row>
    <row r="38" spans="1:23" ht="16.5" customHeight="1" thickBot="1">
      <c r="A38" s="609" t="s">
        <v>1</v>
      </c>
      <c r="B38" s="608"/>
      <c r="C38" s="1335">
        <f>SUM(C33:C37)</f>
        <v>0.25206999999977597</v>
      </c>
      <c r="D38" s="608"/>
      <c r="E38" s="1335">
        <f>SUM(E33:E37)</f>
        <v>0</v>
      </c>
      <c r="F38" s="608"/>
      <c r="G38" s="1335">
        <f>SUM(G33:G37)</f>
        <v>0</v>
      </c>
      <c r="H38" s="608"/>
      <c r="I38" s="1336"/>
      <c r="J38" s="58" t="s">
        <v>0</v>
      </c>
      <c r="L38" s="1794"/>
      <c r="M38" s="1794"/>
      <c r="N38" s="1794"/>
      <c r="O38" s="1794"/>
      <c r="P38" s="1794"/>
      <c r="Q38" s="1794"/>
      <c r="R38" s="1794"/>
      <c r="S38" s="1794"/>
      <c r="T38" s="1794"/>
      <c r="U38" s="1794"/>
      <c r="V38" s="1794"/>
      <c r="W38" s="1794"/>
    </row>
    <row r="39" spans="1:23">
      <c r="A39" s="606"/>
      <c r="B39" s="604"/>
      <c r="C39" s="605"/>
      <c r="D39" s="604"/>
      <c r="E39" s="605"/>
      <c r="F39" s="604"/>
      <c r="G39" s="605"/>
      <c r="H39" s="604"/>
      <c r="I39" s="603"/>
      <c r="J39" s="58" t="s">
        <v>0</v>
      </c>
      <c r="L39" s="1794"/>
      <c r="M39" s="1794"/>
      <c r="N39" s="1794"/>
      <c r="O39" s="1794"/>
      <c r="P39" s="1794"/>
      <c r="Q39" s="1794"/>
      <c r="R39" s="1794"/>
      <c r="S39" s="1794"/>
      <c r="T39" s="1794"/>
      <c r="U39" s="1794"/>
      <c r="V39" s="1794"/>
      <c r="W39" s="1794"/>
    </row>
    <row r="40" spans="1:23">
      <c r="A40" s="602" t="s">
        <v>108</v>
      </c>
      <c r="B40" s="595"/>
      <c r="C40" s="601"/>
      <c r="D40" s="595"/>
      <c r="E40" s="601"/>
      <c r="F40" s="595"/>
      <c r="G40" s="601"/>
      <c r="H40" s="595"/>
      <c r="I40" s="600"/>
      <c r="J40" s="58" t="s">
        <v>0</v>
      </c>
      <c r="L40" s="1794"/>
      <c r="M40" s="1794"/>
      <c r="N40" s="1794"/>
      <c r="O40" s="1794"/>
      <c r="P40" s="1794"/>
      <c r="Q40" s="1794"/>
      <c r="R40" s="1794"/>
      <c r="S40" s="1794"/>
      <c r="T40" s="1794"/>
      <c r="U40" s="1794"/>
      <c r="V40" s="1794"/>
      <c r="W40" s="1794"/>
    </row>
    <row r="41" spans="1:23">
      <c r="A41" s="599" t="s">
        <v>36</v>
      </c>
      <c r="B41" s="598">
        <v>0</v>
      </c>
      <c r="C41" s="596">
        <v>0</v>
      </c>
      <c r="D41" s="598">
        <v>0</v>
      </c>
      <c r="E41" s="596">
        <v>0</v>
      </c>
      <c r="F41" s="598">
        <v>0</v>
      </c>
      <c r="G41" s="596">
        <v>0</v>
      </c>
      <c r="H41" s="595"/>
      <c r="I41" s="594"/>
      <c r="J41" s="58" t="s">
        <v>0</v>
      </c>
    </row>
    <row r="42" spans="1:23">
      <c r="A42" s="597" t="s">
        <v>2</v>
      </c>
      <c r="B42" s="595"/>
      <c r="C42" s="596">
        <v>0</v>
      </c>
      <c r="D42" s="595"/>
      <c r="E42" s="596">
        <v>0</v>
      </c>
      <c r="F42" s="595"/>
      <c r="G42" s="596">
        <v>0</v>
      </c>
      <c r="H42" s="595"/>
      <c r="I42" s="594"/>
      <c r="J42" s="58" t="s">
        <v>0</v>
      </c>
    </row>
    <row r="43" spans="1:23">
      <c r="A43" s="593" t="s">
        <v>3</v>
      </c>
      <c r="B43" s="591"/>
      <c r="C43" s="592">
        <v>0</v>
      </c>
      <c r="D43" s="591"/>
      <c r="E43" s="592">
        <v>0</v>
      </c>
      <c r="F43" s="591"/>
      <c r="G43" s="592">
        <v>0</v>
      </c>
      <c r="H43" s="591"/>
      <c r="I43" s="590"/>
      <c r="J43" s="58" t="s">
        <v>13</v>
      </c>
    </row>
    <row r="44" spans="1:23">
      <c r="A44" s="589"/>
      <c r="B44" s="588"/>
      <c r="C44" s="588"/>
      <c r="D44" s="588"/>
      <c r="E44" s="588"/>
      <c r="F44" s="588"/>
      <c r="G44" s="588"/>
      <c r="H44" s="588"/>
      <c r="I44" s="588"/>
    </row>
    <row r="45" spans="1:23">
      <c r="A45" s="1791"/>
      <c r="B45" s="1792"/>
      <c r="C45" s="1792"/>
      <c r="D45" s="1792"/>
      <c r="E45" s="1792"/>
      <c r="F45" s="1792"/>
      <c r="G45" s="1792"/>
      <c r="H45" s="1792"/>
      <c r="I45" s="1792"/>
      <c r="J45" s="1792"/>
    </row>
    <row r="46" spans="1:23">
      <c r="H46" s="15"/>
      <c r="I46" s="15"/>
      <c r="J46" s="295"/>
      <c r="K46" s="296"/>
    </row>
    <row r="47" spans="1:23" ht="18.75">
      <c r="A47" s="1789"/>
      <c r="B47" s="1789"/>
      <c r="C47" s="1789"/>
      <c r="D47" s="1789"/>
      <c r="E47" s="1789"/>
      <c r="F47" s="1789"/>
      <c r="G47" s="1789"/>
      <c r="H47" s="1789"/>
      <c r="I47" s="1789"/>
      <c r="J47" s="295"/>
      <c r="K47" s="296"/>
    </row>
    <row r="48" spans="1:23" s="18" customFormat="1" ht="27" customHeight="1">
      <c r="A48" s="1793"/>
      <c r="B48" s="1793"/>
      <c r="C48" s="1793"/>
      <c r="D48" s="1793"/>
      <c r="E48" s="1793"/>
      <c r="F48" s="1793"/>
      <c r="G48" s="1793"/>
      <c r="H48" s="1793"/>
      <c r="I48" s="1793"/>
      <c r="J48" s="182"/>
      <c r="K48" s="298"/>
    </row>
    <row r="49" spans="1:11" s="18" customFormat="1" ht="27" customHeight="1">
      <c r="A49" s="1793"/>
      <c r="B49" s="1793"/>
      <c r="C49" s="1793"/>
      <c r="D49" s="1793"/>
      <c r="E49" s="1793"/>
      <c r="F49" s="1793"/>
      <c r="G49" s="1793"/>
      <c r="H49" s="1793"/>
      <c r="I49" s="1793"/>
      <c r="J49" s="182"/>
      <c r="K49" s="298"/>
    </row>
    <row r="50" spans="1:11" s="18" customFormat="1" ht="27" customHeight="1">
      <c r="A50" s="1793"/>
      <c r="B50" s="1793"/>
      <c r="C50" s="1793"/>
      <c r="D50" s="1793"/>
      <c r="E50" s="1793"/>
      <c r="F50" s="1793"/>
      <c r="G50" s="1793"/>
      <c r="H50" s="1793"/>
      <c r="I50" s="1793"/>
      <c r="J50" s="182"/>
      <c r="K50" s="298"/>
    </row>
    <row r="51" spans="1:11" s="18" customFormat="1" ht="35.1" customHeight="1">
      <c r="A51" s="1787"/>
      <c r="B51" s="1787"/>
      <c r="C51" s="1787"/>
      <c r="D51" s="1787"/>
      <c r="E51" s="1787"/>
      <c r="F51" s="1787"/>
      <c r="G51" s="1787"/>
      <c r="H51" s="1787"/>
      <c r="I51" s="1787"/>
      <c r="J51" s="182"/>
      <c r="K51" s="298"/>
    </row>
    <row r="52" spans="1:11" s="18" customFormat="1" ht="39.75" customHeight="1">
      <c r="A52" s="1788"/>
      <c r="B52" s="1788"/>
      <c r="C52" s="1788"/>
      <c r="D52" s="1788"/>
      <c r="E52" s="1788"/>
      <c r="F52" s="1788"/>
      <c r="G52" s="1788"/>
      <c r="H52" s="1788"/>
      <c r="I52" s="1788"/>
      <c r="J52" s="182"/>
      <c r="K52" s="298"/>
    </row>
    <row r="53" spans="1:11" s="18" customFormat="1" ht="27" customHeight="1">
      <c r="A53" s="1788"/>
      <c r="B53" s="1788"/>
      <c r="C53" s="1788"/>
      <c r="D53" s="1788"/>
      <c r="E53" s="1788"/>
      <c r="F53" s="1788"/>
      <c r="G53" s="1788"/>
      <c r="H53" s="1788"/>
      <c r="I53" s="1788"/>
      <c r="J53" s="182"/>
      <c r="K53" s="298"/>
    </row>
    <row r="54" spans="1:11" s="18" customFormat="1" ht="39.75" customHeight="1">
      <c r="A54" s="1788"/>
      <c r="B54" s="1788"/>
      <c r="C54" s="1788"/>
      <c r="D54" s="1788"/>
      <c r="E54" s="1788"/>
      <c r="F54" s="1788"/>
      <c r="G54" s="1788"/>
      <c r="H54" s="1788"/>
      <c r="I54" s="1788"/>
      <c r="J54" s="182"/>
      <c r="K54" s="298"/>
    </row>
    <row r="55" spans="1:11" s="18" customFormat="1" ht="27" customHeight="1">
      <c r="A55" s="1790"/>
      <c r="B55" s="1790"/>
      <c r="C55" s="1790"/>
      <c r="D55" s="1790"/>
      <c r="E55" s="1790"/>
      <c r="F55" s="1790"/>
      <c r="G55" s="1790"/>
      <c r="H55" s="1790"/>
      <c r="I55" s="1790"/>
      <c r="J55" s="1790"/>
      <c r="K55" s="1950"/>
    </row>
    <row r="56" spans="1:11" s="18" customFormat="1" ht="22.9" customHeight="1">
      <c r="A56" s="297"/>
      <c r="B56" s="1786"/>
      <c r="C56" s="1786"/>
      <c r="D56" s="1786"/>
      <c r="E56" s="1786"/>
      <c r="F56" s="1786"/>
      <c r="G56" s="1786"/>
      <c r="H56" s="1786"/>
      <c r="I56" s="1786"/>
      <c r="J56" s="182"/>
      <c r="K56" s="298"/>
    </row>
    <row r="57" spans="1:11" s="18" customFormat="1">
      <c r="A57" s="297"/>
      <c r="B57" s="297"/>
      <c r="C57" s="297"/>
      <c r="D57" s="297"/>
      <c r="E57" s="297"/>
      <c r="F57" s="297"/>
      <c r="G57" s="297"/>
      <c r="H57" s="30"/>
      <c r="I57" s="31"/>
      <c r="J57" s="182"/>
      <c r="K57" s="298"/>
    </row>
    <row r="58" spans="1:11">
      <c r="A58" s="299"/>
      <c r="B58" s="299"/>
      <c r="C58" s="299"/>
      <c r="D58" s="299"/>
      <c r="E58" s="299"/>
      <c r="F58" s="299"/>
      <c r="G58" s="299"/>
      <c r="H58" s="31"/>
      <c r="I58" s="31"/>
      <c r="J58" s="295"/>
      <c r="K58" s="296"/>
    </row>
    <row r="59" spans="1:11">
      <c r="A59" s="299"/>
      <c r="B59" s="299"/>
      <c r="C59" s="299"/>
      <c r="D59" s="299"/>
      <c r="E59" s="299"/>
      <c r="F59" s="299"/>
      <c r="G59" s="299"/>
      <c r="H59" s="31"/>
      <c r="I59" s="31"/>
      <c r="J59" s="295"/>
      <c r="K59" s="296"/>
    </row>
    <row r="60" spans="1:11" ht="65.45" customHeight="1">
      <c r="A60" s="299"/>
      <c r="B60" s="1785"/>
      <c r="C60" s="1785"/>
      <c r="D60" s="1785"/>
      <c r="E60" s="1785"/>
      <c r="F60" s="1785"/>
      <c r="G60" s="1785"/>
      <c r="H60" s="1785"/>
      <c r="I60" s="1785"/>
      <c r="J60" s="295"/>
      <c r="K60" s="296"/>
    </row>
    <row r="61" spans="1:11">
      <c r="H61" s="13"/>
      <c r="I61" s="13"/>
    </row>
    <row r="62" spans="1:11">
      <c r="H62" s="13"/>
      <c r="I62" s="54"/>
    </row>
    <row r="63" spans="1:11">
      <c r="H63" s="13"/>
      <c r="I63" s="13"/>
    </row>
    <row r="64" spans="1:11">
      <c r="H64" s="13"/>
      <c r="I64" s="13"/>
    </row>
    <row r="65" spans="8:9">
      <c r="H65" s="13"/>
      <c r="I65" s="13"/>
    </row>
    <row r="66" spans="8:9">
      <c r="H66" s="13"/>
      <c r="I66" s="13"/>
    </row>
    <row r="67" spans="8:9">
      <c r="H67" s="13"/>
      <c r="I67" s="13"/>
    </row>
    <row r="68" spans="8:9">
      <c r="H68" s="13"/>
      <c r="I68" s="13"/>
    </row>
    <row r="69" spans="8:9">
      <c r="H69" s="13"/>
      <c r="I69" s="13"/>
    </row>
    <row r="70" spans="8:9">
      <c r="H70" s="13"/>
      <c r="I70" s="13"/>
    </row>
    <row r="71" spans="8:9">
      <c r="H71" s="13"/>
      <c r="I71" s="13"/>
    </row>
    <row r="72" spans="8:9">
      <c r="H72" s="13"/>
      <c r="I72" s="13"/>
    </row>
    <row r="73" spans="8:9">
      <c r="H73" s="13"/>
      <c r="I73" s="14"/>
    </row>
    <row r="74" spans="8:9">
      <c r="H74" s="13"/>
      <c r="I74" s="14"/>
    </row>
    <row r="75" spans="8:9">
      <c r="H75" s="13"/>
      <c r="I75" s="13"/>
    </row>
    <row r="76" spans="8:9">
      <c r="H76" s="13"/>
      <c r="I76" s="13"/>
    </row>
    <row r="77" spans="8:9">
      <c r="H77" s="13"/>
      <c r="I77" s="13"/>
    </row>
    <row r="78" spans="8:9">
      <c r="H78" s="13"/>
      <c r="I78" s="13"/>
    </row>
    <row r="79" spans="8:9">
      <c r="H79" s="13"/>
      <c r="I79" s="13"/>
    </row>
    <row r="80" spans="8:9">
      <c r="H80" s="13"/>
      <c r="I80" s="13"/>
    </row>
    <row r="81" spans="8:9">
      <c r="H81" s="13"/>
      <c r="I81" s="13"/>
    </row>
    <row r="82" spans="8:9">
      <c r="H82" s="13"/>
      <c r="I82" s="13"/>
    </row>
    <row r="83" spans="8:9">
      <c r="H83" s="13"/>
      <c r="I83" s="13"/>
    </row>
    <row r="84" spans="8:9">
      <c r="H84" s="13"/>
      <c r="I84" s="13"/>
    </row>
    <row r="85" spans="8:9">
      <c r="H85" s="13"/>
      <c r="I85" s="13"/>
    </row>
    <row r="86" spans="8:9">
      <c r="H86" s="13"/>
      <c r="I86" s="13"/>
    </row>
    <row r="87" spans="8:9">
      <c r="H87" s="13"/>
      <c r="I87" s="13"/>
    </row>
    <row r="88" spans="8:9">
      <c r="H88" s="16"/>
      <c r="I88" s="13"/>
    </row>
    <row r="89" spans="8:9">
      <c r="H89" s="18"/>
      <c r="I89" s="18"/>
    </row>
    <row r="90" spans="8:9">
      <c r="H90" s="6"/>
      <c r="I90" s="6"/>
    </row>
    <row r="91" spans="8:9">
      <c r="H91" s="6"/>
      <c r="I91" s="6"/>
    </row>
    <row r="92" spans="8:9">
      <c r="H92" s="6"/>
      <c r="I92" s="6"/>
    </row>
    <row r="93" spans="8:9">
      <c r="H93" s="6"/>
      <c r="I93" s="6"/>
    </row>
    <row r="197" spans="1:1">
      <c r="A197" s="294" t="s">
        <v>85</v>
      </c>
    </row>
  </sheetData>
  <customSheetViews>
    <customSheetView guid="{DA38F665-F06D-4DFB-B852-747D93BB00EF}" scale="75" showPageBreaks="1" printArea="1" view="pageBreakPreview">
      <pane xSplit="1" ySplit="9" topLeftCell="B10" activePane="bottomRight" state="frozen"/>
      <selection pane="bottomRight" activeCell="B210" sqref="B210"/>
      <pageMargins left="0.5" right="0.5" top="0.5" bottom="0.25" header="0.5" footer="0.5"/>
      <printOptions horizontalCentered="1"/>
      <pageSetup scale="70" orientation="landscape" r:id="rId1"/>
      <headerFooter alignWithMargins="0">
        <oddFooter>&amp;C&amp;"Times New Roman,Regular"Exhibit L - Summary of Requirements by Object Class&amp;R&amp;"Times New Roman,Regular"Weed and Seed Program Fund</oddFooter>
      </headerFooter>
    </customSheetView>
    <customSheetView guid="{4D0F9E3D-0229-48CC-A08B-F132802E9D7B}" scale="75" showPageBreaks="1" printArea="1" hiddenColumns="1" view="pageBreakPreview">
      <pane xSplit="1" ySplit="9" topLeftCell="C31" activePane="bottomRight" state="frozen"/>
      <selection pane="bottomRight" activeCell="N73" sqref="N73"/>
      <pageMargins left="0.5" right="0.5" top="0.5" bottom="0.25" header="0.5" footer="0.5"/>
      <printOptions horizontalCentered="1"/>
      <pageSetup scale="70" orientation="landscape" r:id="rId2"/>
      <headerFooter alignWithMargins="0">
        <oddFooter>&amp;C&amp;"Times New Roman,Regular"Exhibit L - Summary of Requirements by Object Class&amp;R&amp;"Times New Roman,Regular"Weed and Seed Program Fund</oddFooter>
      </headerFooter>
    </customSheetView>
    <customSheetView guid="{F6772377-6B25-4EEA-B255-4C2F62B37855}" scale="75" showPageBreaks="1" printArea="1" view="pageBreakPreview">
      <pane xSplit="1" ySplit="9" topLeftCell="B10" activePane="bottomRight" state="frozen"/>
      <selection pane="bottomRight" activeCell="J47" sqref="J47"/>
      <pageMargins left="0.5" right="0.5" top="0.5" bottom="0.25" header="0.5" footer="0.5"/>
      <printOptions horizontalCentered="1"/>
      <pageSetup scale="70" orientation="landscape" r:id="rId3"/>
      <headerFooter alignWithMargins="0">
        <oddFooter>&amp;C&amp;"Times New Roman,Regular"Exhibit L - Summary of Requirements by Object Class&amp;R&amp;"Times New Roman,Regular"Weed and Seed Program Fund</oddFooter>
      </headerFooter>
    </customSheetView>
    <customSheetView guid="{27B9C207-C13F-4981-9CED-E69585BBD779}" scale="75" showPageBreaks="1" printArea="1" view="pageBreakPreview">
      <pane xSplit="1" ySplit="9" topLeftCell="B28" activePane="bottomRight" state="frozen"/>
      <selection pane="bottomRight" activeCell="B8" sqref="B8:C8"/>
      <pageMargins left="0.5" right="0.5" top="0.5" bottom="0.25" header="0.5" footer="0.5"/>
      <printOptions horizontalCentered="1"/>
      <pageSetup scale="70" orientation="landscape" r:id="rId4"/>
      <headerFooter alignWithMargins="0">
        <oddFooter>&amp;C&amp;"Times New Roman,Regular"Exhibit L - Summary of Requirements by Object Class&amp;R&amp;"Times New Roman,Regular"Weed and Seed Program Fund</oddFooter>
      </headerFooter>
    </customSheetView>
  </customSheetViews>
  <mergeCells count="25">
    <mergeCell ref="A6:I6"/>
    <mergeCell ref="A1:I1"/>
    <mergeCell ref="A2:I2"/>
    <mergeCell ref="A3:I3"/>
    <mergeCell ref="A4:I4"/>
    <mergeCell ref="A5:I5"/>
    <mergeCell ref="A50:I50"/>
    <mergeCell ref="A7:I7"/>
    <mergeCell ref="A8:A9"/>
    <mergeCell ref="B8:C8"/>
    <mergeCell ref="D8:E8"/>
    <mergeCell ref="F8:G8"/>
    <mergeCell ref="H8:I8"/>
    <mergeCell ref="L38:W40"/>
    <mergeCell ref="A45:J45"/>
    <mergeCell ref="A47:I47"/>
    <mergeCell ref="A48:I48"/>
    <mergeCell ref="A49:I49"/>
    <mergeCell ref="B60:I60"/>
    <mergeCell ref="A51:I51"/>
    <mergeCell ref="A52:I52"/>
    <mergeCell ref="A53:I53"/>
    <mergeCell ref="A54:I54"/>
    <mergeCell ref="A55:K55"/>
    <mergeCell ref="B56:I56"/>
  </mergeCells>
  <printOptions horizontalCentered="1"/>
  <pageMargins left="0.5" right="0.5" top="0.5" bottom="0.25" header="0.5" footer="0.5"/>
  <pageSetup scale="70" orientation="landscape" r:id="rId5"/>
  <headerFooter alignWithMargins="0">
    <oddFooter>&amp;C&amp;"Times New Roman,Regular"Exhibit L - Summary of Requirements by Object Class&amp;R&amp;"Times New Roman,Regular"Weed and Seed Program Fund</oddFooter>
  </headerFooter>
</worksheet>
</file>

<file path=xl/worksheets/sheet29.xml><?xml version="1.0" encoding="utf-8"?>
<worksheet xmlns="http://schemas.openxmlformats.org/spreadsheetml/2006/main" xmlns:r="http://schemas.openxmlformats.org/officeDocument/2006/relationships">
  <dimension ref="A1:Y96"/>
  <sheetViews>
    <sheetView showGridLines="0" showOutlineSymbols="0" view="pageBreakPreview" topLeftCell="E67" zoomScale="60" zoomScaleNormal="75" workbookViewId="0">
      <selection activeCell="C84" sqref="C84"/>
    </sheetView>
  </sheetViews>
  <sheetFormatPr defaultColWidth="8.88671875" defaultRowHeight="15.75"/>
  <cols>
    <col min="1" max="2" width="2.5546875" style="271" customWidth="1"/>
    <col min="3" max="3" width="52.88671875" style="271" customWidth="1"/>
    <col min="4" max="4" width="6.88671875" style="18" customWidth="1"/>
    <col min="5" max="5" width="6.21875" style="18" customWidth="1"/>
    <col min="6" max="6" width="11.109375" style="18" customWidth="1"/>
    <col min="7" max="7" width="8.44140625" style="18" bestFit="1" customWidth="1"/>
    <col min="8" max="8" width="6.21875" style="18" customWidth="1"/>
    <col min="9" max="9" width="9.77734375" style="18" customWidth="1"/>
    <col min="10" max="10" width="6.21875" style="18" bestFit="1" customWidth="1"/>
    <col min="11" max="11" width="5.6640625" style="18" customWidth="1"/>
    <col min="12" max="12" width="8.5546875" style="18" customWidth="1"/>
    <col min="13" max="13" width="7" style="18" bestFit="1" customWidth="1"/>
    <col min="14" max="14" width="6.109375" style="18" customWidth="1"/>
    <col min="15" max="15" width="10.109375" style="18" customWidth="1"/>
    <col min="16" max="17" width="5.6640625" style="18" customWidth="1"/>
    <col min="18" max="18" width="8.5546875" style="18" customWidth="1"/>
    <col min="19" max="19" width="6.109375" style="18" customWidth="1"/>
    <col min="20" max="20" width="5.6640625" style="18" customWidth="1"/>
    <col min="21" max="21" width="10.6640625" style="18" customWidth="1"/>
    <col min="22" max="22" width="9.5546875" style="18" customWidth="1"/>
    <col min="23" max="23" width="9.77734375" style="18" bestFit="1" customWidth="1"/>
    <col min="24" max="24" width="10.88671875" style="18" customWidth="1"/>
    <col min="25" max="25" width="6.5546875" style="68" customWidth="1"/>
    <col min="26" max="16384" width="8.88671875" style="271"/>
  </cols>
  <sheetData>
    <row r="1" spans="1:25" ht="20.25">
      <c r="A1" s="1592" t="s">
        <v>144</v>
      </c>
      <c r="B1" s="1593"/>
      <c r="C1" s="1593"/>
      <c r="D1" s="1593"/>
      <c r="E1" s="1593"/>
      <c r="F1" s="1593"/>
      <c r="G1" s="1593"/>
      <c r="H1" s="1593"/>
      <c r="I1" s="1593"/>
      <c r="J1" s="1593"/>
      <c r="K1" s="1593"/>
      <c r="L1" s="1593"/>
      <c r="M1" s="1593"/>
      <c r="N1" s="1593"/>
      <c r="O1" s="1593"/>
      <c r="P1" s="1593"/>
      <c r="Q1" s="1593"/>
      <c r="R1" s="1593"/>
      <c r="S1" s="1593"/>
      <c r="T1" s="1593"/>
      <c r="U1" s="1593"/>
      <c r="V1" s="1593"/>
      <c r="W1" s="1593"/>
      <c r="X1" s="1593"/>
      <c r="Y1" s="67" t="s">
        <v>0</v>
      </c>
    </row>
    <row r="2" spans="1:25">
      <c r="A2" s="1867"/>
      <c r="B2" s="1867"/>
      <c r="C2" s="1867"/>
      <c r="D2" s="1867"/>
      <c r="E2" s="1867"/>
      <c r="F2" s="1867"/>
      <c r="G2" s="1867"/>
      <c r="H2" s="1867"/>
      <c r="I2" s="1867"/>
      <c r="J2" s="1867"/>
      <c r="K2" s="1867"/>
      <c r="L2" s="1867"/>
      <c r="M2" s="1867"/>
      <c r="N2" s="1867"/>
      <c r="O2" s="1867"/>
      <c r="P2" s="1867"/>
      <c r="Q2" s="1867"/>
      <c r="R2" s="1867"/>
      <c r="S2" s="1867"/>
      <c r="T2" s="1867"/>
      <c r="U2" s="1867"/>
      <c r="V2" s="1867"/>
      <c r="W2" s="1867"/>
      <c r="X2" s="1867"/>
      <c r="Y2" s="67" t="s">
        <v>0</v>
      </c>
    </row>
    <row r="3" spans="1:25">
      <c r="A3" s="1595"/>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67" t="s">
        <v>0</v>
      </c>
    </row>
    <row r="4" spans="1:25" ht="22.5">
      <c r="A4" s="1568" t="s">
        <v>107</v>
      </c>
      <c r="B4" s="1561"/>
      <c r="C4" s="1561"/>
      <c r="D4" s="1561"/>
      <c r="E4" s="1561"/>
      <c r="F4" s="1561"/>
      <c r="G4" s="1561"/>
      <c r="H4" s="1561"/>
      <c r="I4" s="1561"/>
      <c r="J4" s="1561"/>
      <c r="K4" s="1561"/>
      <c r="L4" s="1561"/>
      <c r="M4" s="1561"/>
      <c r="N4" s="1561"/>
      <c r="O4" s="1561"/>
      <c r="P4" s="1561"/>
      <c r="Q4" s="1561"/>
      <c r="R4" s="1561"/>
      <c r="S4" s="1561"/>
      <c r="T4" s="1561"/>
      <c r="U4" s="1561"/>
      <c r="V4" s="1561"/>
      <c r="W4" s="1561"/>
      <c r="X4" s="1561"/>
      <c r="Y4" s="67" t="s">
        <v>0</v>
      </c>
    </row>
    <row r="5" spans="1:25" ht="23.25">
      <c r="A5" s="1553" t="s">
        <v>190</v>
      </c>
      <c r="B5" s="1562"/>
      <c r="C5" s="1562"/>
      <c r="D5" s="1562"/>
      <c r="E5" s="1562"/>
      <c r="F5" s="1562"/>
      <c r="G5" s="1562"/>
      <c r="H5" s="1562"/>
      <c r="I5" s="1562"/>
      <c r="J5" s="1562"/>
      <c r="K5" s="1562"/>
      <c r="L5" s="1562"/>
      <c r="M5" s="1562"/>
      <c r="N5" s="1562"/>
      <c r="O5" s="1562"/>
      <c r="P5" s="1562"/>
      <c r="Q5" s="1562"/>
      <c r="R5" s="1562"/>
      <c r="S5" s="1562"/>
      <c r="T5" s="1562"/>
      <c r="U5" s="1562"/>
      <c r="V5" s="1562"/>
      <c r="W5" s="1562"/>
      <c r="X5" s="1562"/>
      <c r="Y5" s="67" t="s">
        <v>0</v>
      </c>
    </row>
    <row r="6" spans="1:25" ht="23.25">
      <c r="A6" s="1553" t="s">
        <v>399</v>
      </c>
      <c r="B6" s="1561"/>
      <c r="C6" s="1561"/>
      <c r="D6" s="1561"/>
      <c r="E6" s="1561"/>
      <c r="F6" s="1561"/>
      <c r="G6" s="1561"/>
      <c r="H6" s="1561"/>
      <c r="I6" s="1561"/>
      <c r="J6" s="1561"/>
      <c r="K6" s="1561"/>
      <c r="L6" s="1561"/>
      <c r="M6" s="1561"/>
      <c r="N6" s="1561"/>
      <c r="O6" s="1561"/>
      <c r="P6" s="1561"/>
      <c r="Q6" s="1561"/>
      <c r="R6" s="1561"/>
      <c r="S6" s="1561"/>
      <c r="T6" s="1561"/>
      <c r="U6" s="1561"/>
      <c r="V6" s="1561"/>
      <c r="W6" s="1561"/>
      <c r="X6" s="1561"/>
      <c r="Y6" s="67" t="s">
        <v>0</v>
      </c>
    </row>
    <row r="7" spans="1:25" ht="23.25">
      <c r="A7" s="1553" t="s">
        <v>98</v>
      </c>
      <c r="B7" s="1562"/>
      <c r="C7" s="1562"/>
      <c r="D7" s="1562"/>
      <c r="E7" s="1562"/>
      <c r="F7" s="1562"/>
      <c r="G7" s="1562"/>
      <c r="H7" s="1562"/>
      <c r="I7" s="1562"/>
      <c r="J7" s="1562"/>
      <c r="K7" s="1562"/>
      <c r="L7" s="1562"/>
      <c r="M7" s="1562"/>
      <c r="N7" s="1562"/>
      <c r="O7" s="1562"/>
      <c r="P7" s="1562"/>
      <c r="Q7" s="1562"/>
      <c r="R7" s="1562"/>
      <c r="S7" s="1562"/>
      <c r="T7" s="1562"/>
      <c r="U7" s="1562"/>
      <c r="V7" s="1562"/>
      <c r="W7" s="1562"/>
      <c r="X7" s="1562"/>
      <c r="Y7" s="67" t="s">
        <v>0</v>
      </c>
    </row>
    <row r="8" spans="1:25" ht="23.25">
      <c r="A8" s="1596"/>
      <c r="B8" s="1596"/>
      <c r="C8" s="1596"/>
      <c r="D8" s="1596"/>
      <c r="E8" s="1596"/>
      <c r="F8" s="1596"/>
      <c r="G8" s="1596"/>
      <c r="H8" s="1596"/>
      <c r="I8" s="1596"/>
      <c r="J8" s="1596"/>
      <c r="K8" s="1596"/>
      <c r="L8" s="1596"/>
      <c r="M8" s="1596"/>
      <c r="N8" s="1596"/>
      <c r="O8" s="1596"/>
      <c r="P8" s="1596"/>
      <c r="Q8" s="1596"/>
      <c r="R8" s="1596"/>
      <c r="S8" s="1596"/>
      <c r="T8" s="1596"/>
      <c r="U8" s="1596"/>
      <c r="V8" s="1596"/>
      <c r="W8" s="1596"/>
      <c r="X8" s="1596"/>
      <c r="Y8" s="67" t="s">
        <v>0</v>
      </c>
    </row>
    <row r="9" spans="1:25" ht="23.25">
      <c r="A9" s="1596"/>
      <c r="B9" s="1596"/>
      <c r="C9" s="1596"/>
      <c r="D9" s="1596"/>
      <c r="E9" s="1596"/>
      <c r="F9" s="1596"/>
      <c r="G9" s="1596"/>
      <c r="H9" s="1596"/>
      <c r="I9" s="1596"/>
      <c r="J9" s="1596"/>
      <c r="K9" s="1596"/>
      <c r="L9" s="1596"/>
      <c r="M9" s="1596"/>
      <c r="N9" s="1596"/>
      <c r="O9" s="1596"/>
      <c r="P9" s="1596"/>
      <c r="Q9" s="1596"/>
      <c r="R9" s="1596"/>
      <c r="S9" s="1596"/>
      <c r="T9" s="1596"/>
      <c r="U9" s="1596"/>
      <c r="V9" s="1596"/>
      <c r="W9" s="1596"/>
      <c r="X9" s="1596"/>
      <c r="Y9" s="67" t="s">
        <v>0</v>
      </c>
    </row>
    <row r="10" spans="1:25" ht="23.25">
      <c r="A10" s="1596"/>
      <c r="B10" s="1596"/>
      <c r="C10" s="1596"/>
      <c r="D10" s="1596"/>
      <c r="E10" s="1596"/>
      <c r="F10" s="1596"/>
      <c r="G10" s="1596"/>
      <c r="H10" s="1596"/>
      <c r="I10" s="1596"/>
      <c r="J10" s="1596"/>
      <c r="K10" s="1596"/>
      <c r="L10" s="1596"/>
      <c r="M10" s="1596"/>
      <c r="N10" s="1596"/>
      <c r="O10" s="1596"/>
      <c r="P10" s="1596"/>
      <c r="Q10" s="1596"/>
      <c r="R10" s="1596"/>
      <c r="S10" s="1596"/>
      <c r="T10" s="1596"/>
      <c r="U10" s="1596"/>
      <c r="V10" s="1596"/>
      <c r="W10" s="1596"/>
      <c r="X10" s="1596"/>
      <c r="Y10" s="67" t="s">
        <v>0</v>
      </c>
    </row>
    <row r="11" spans="1:25">
      <c r="A11" s="1595"/>
      <c r="B11" s="1595"/>
      <c r="C11" s="1595"/>
      <c r="D11" s="1595"/>
      <c r="E11" s="1595"/>
      <c r="F11" s="1595"/>
      <c r="G11" s="1595"/>
      <c r="H11" s="1595"/>
      <c r="I11" s="1595"/>
      <c r="J11" s="1595"/>
      <c r="K11" s="1595"/>
      <c r="L11" s="1595"/>
      <c r="M11" s="1595"/>
      <c r="N11" s="1595"/>
      <c r="O11" s="1595"/>
      <c r="P11" s="1595"/>
      <c r="Q11" s="1595"/>
      <c r="R11" s="1595"/>
      <c r="S11" s="1595"/>
      <c r="T11" s="1595"/>
      <c r="U11" s="1603"/>
      <c r="V11" s="1600" t="s">
        <v>148</v>
      </c>
      <c r="W11" s="1601"/>
      <c r="X11" s="1602"/>
      <c r="Y11" s="67" t="s">
        <v>0</v>
      </c>
    </row>
    <row r="12" spans="1:25">
      <c r="A12" s="1595"/>
      <c r="B12" s="1595"/>
      <c r="C12" s="1595"/>
      <c r="D12" s="1595"/>
      <c r="E12" s="1595"/>
      <c r="F12" s="1595"/>
      <c r="G12" s="1595"/>
      <c r="H12" s="1595"/>
      <c r="I12" s="1595"/>
      <c r="J12" s="1595"/>
      <c r="K12" s="1595"/>
      <c r="L12" s="1595"/>
      <c r="M12" s="1595"/>
      <c r="N12" s="1595"/>
      <c r="O12" s="1595"/>
      <c r="P12" s="1595"/>
      <c r="Q12" s="1595"/>
      <c r="R12" s="1595"/>
      <c r="S12" s="1595"/>
      <c r="T12" s="1595"/>
      <c r="U12" s="1603"/>
      <c r="V12" s="1606" t="s">
        <v>11</v>
      </c>
      <c r="W12" s="1599" t="s">
        <v>25</v>
      </c>
      <c r="X12" s="1597" t="s">
        <v>117</v>
      </c>
      <c r="Y12" s="67" t="s">
        <v>0</v>
      </c>
    </row>
    <row r="13" spans="1:25" ht="16.5" thickBot="1">
      <c r="A13" s="1604"/>
      <c r="B13" s="1604"/>
      <c r="C13" s="1604"/>
      <c r="D13" s="1604"/>
      <c r="E13" s="1604"/>
      <c r="F13" s="1604"/>
      <c r="G13" s="1604"/>
      <c r="H13" s="1604"/>
      <c r="I13" s="1604"/>
      <c r="J13" s="1604"/>
      <c r="K13" s="1604"/>
      <c r="L13" s="1604"/>
      <c r="M13" s="1604"/>
      <c r="N13" s="1604"/>
      <c r="O13" s="1604"/>
      <c r="P13" s="1604"/>
      <c r="Q13" s="1604"/>
      <c r="R13" s="1604"/>
      <c r="S13" s="1604"/>
      <c r="T13" s="1604"/>
      <c r="U13" s="1605"/>
      <c r="V13" s="1607"/>
      <c r="W13" s="1598"/>
      <c r="X13" s="1598"/>
      <c r="Y13" s="67" t="s">
        <v>0</v>
      </c>
    </row>
    <row r="14" spans="1:25">
      <c r="A14" s="1579" t="s">
        <v>172</v>
      </c>
      <c r="B14" s="1852"/>
      <c r="C14" s="1852"/>
      <c r="D14" s="1852"/>
      <c r="E14" s="1852"/>
      <c r="F14" s="1852"/>
      <c r="G14" s="1852"/>
      <c r="H14" s="1852"/>
      <c r="I14" s="1852"/>
      <c r="J14" s="1852"/>
      <c r="K14" s="1852"/>
      <c r="L14" s="1852"/>
      <c r="M14" s="1852"/>
      <c r="N14" s="1852"/>
      <c r="O14" s="1852"/>
      <c r="P14" s="1852"/>
      <c r="Q14" s="1852"/>
      <c r="R14" s="1852"/>
      <c r="S14" s="1852"/>
      <c r="T14" s="1852"/>
      <c r="U14" s="1852"/>
      <c r="V14" s="105">
        <v>0</v>
      </c>
      <c r="W14" s="105">
        <v>0</v>
      </c>
      <c r="X14" s="102">
        <v>275423</v>
      </c>
      <c r="Y14" s="67" t="s">
        <v>0</v>
      </c>
    </row>
    <row r="15" spans="1:25">
      <c r="A15" s="626" t="s">
        <v>589</v>
      </c>
      <c r="B15" s="1049"/>
      <c r="C15" s="1049"/>
      <c r="D15" s="1049"/>
      <c r="E15" s="1049"/>
      <c r="F15" s="1049"/>
      <c r="G15" s="1049"/>
      <c r="H15" s="1049"/>
      <c r="I15" s="1049"/>
      <c r="J15" s="1049"/>
      <c r="K15" s="1049"/>
      <c r="L15" s="1049"/>
      <c r="M15" s="1049"/>
      <c r="N15" s="1049"/>
      <c r="O15" s="1049"/>
      <c r="P15" s="1049"/>
      <c r="Q15" s="1049"/>
      <c r="R15" s="1049"/>
      <c r="S15" s="1049"/>
      <c r="T15" s="1049"/>
      <c r="U15" s="348"/>
      <c r="V15" s="428"/>
      <c r="W15" s="428"/>
      <c r="X15" s="628">
        <v>-6323</v>
      </c>
      <c r="Y15" s="67"/>
    </row>
    <row r="16" spans="1:25" ht="18.75" customHeight="1">
      <c r="A16" s="1849" t="s">
        <v>400</v>
      </c>
      <c r="B16" s="1850"/>
      <c r="C16" s="1850"/>
      <c r="D16" s="1850"/>
      <c r="E16" s="1850"/>
      <c r="F16" s="1850"/>
      <c r="G16" s="1850"/>
      <c r="H16" s="1850"/>
      <c r="I16" s="1850"/>
      <c r="J16" s="1850"/>
      <c r="K16" s="1850"/>
      <c r="L16" s="1850"/>
      <c r="M16" s="1850"/>
      <c r="N16" s="1850"/>
      <c r="O16" s="1850"/>
      <c r="P16" s="1850"/>
      <c r="Q16" s="1850"/>
      <c r="R16" s="1850"/>
      <c r="S16" s="1850"/>
      <c r="T16" s="1850"/>
      <c r="U16" s="1850"/>
      <c r="V16" s="428"/>
      <c r="W16" s="428"/>
      <c r="X16" s="628">
        <v>-6055</v>
      </c>
      <c r="Y16" s="67" t="s">
        <v>0</v>
      </c>
    </row>
    <row r="17" spans="1:25" ht="18.75" customHeight="1">
      <c r="A17" s="1849" t="s">
        <v>401</v>
      </c>
      <c r="B17" s="1850"/>
      <c r="C17" s="1850"/>
      <c r="D17" s="1850"/>
      <c r="E17" s="1850"/>
      <c r="F17" s="1850"/>
      <c r="G17" s="1850"/>
      <c r="H17" s="1850"/>
      <c r="I17" s="1850"/>
      <c r="J17" s="1850"/>
      <c r="K17" s="1850"/>
      <c r="L17" s="1850"/>
      <c r="M17" s="1850"/>
      <c r="N17" s="1850"/>
      <c r="O17" s="1850"/>
      <c r="P17" s="1850"/>
      <c r="Q17" s="1850"/>
      <c r="R17" s="1850"/>
      <c r="S17" s="1850"/>
      <c r="T17" s="1850"/>
      <c r="U17" s="1850"/>
      <c r="V17" s="428"/>
      <c r="W17" s="428"/>
      <c r="X17" s="628">
        <v>20000</v>
      </c>
      <c r="Y17" s="67" t="s">
        <v>0</v>
      </c>
    </row>
    <row r="18" spans="1:25">
      <c r="A18" s="1583" t="s">
        <v>402</v>
      </c>
      <c r="B18" s="1859"/>
      <c r="C18" s="1859"/>
      <c r="D18" s="1859"/>
      <c r="E18" s="1859"/>
      <c r="F18" s="1859"/>
      <c r="G18" s="1859"/>
      <c r="H18" s="1859"/>
      <c r="I18" s="1859"/>
      <c r="J18" s="1859"/>
      <c r="K18" s="1859"/>
      <c r="L18" s="1859"/>
      <c r="M18" s="1859"/>
      <c r="N18" s="1859"/>
      <c r="O18" s="1859"/>
      <c r="P18" s="1859"/>
      <c r="Q18" s="1859"/>
      <c r="R18" s="1859"/>
      <c r="S18" s="1859"/>
      <c r="T18" s="1859"/>
      <c r="U18" s="1859"/>
      <c r="V18" s="106">
        <f>+V17+V16</f>
        <v>0</v>
      </c>
      <c r="W18" s="106">
        <f>+W17+W16</f>
        <v>0</v>
      </c>
      <c r="X18" s="70">
        <f>SUM(X14:X17)</f>
        <v>283045</v>
      </c>
      <c r="Y18" s="67" t="s">
        <v>0</v>
      </c>
    </row>
    <row r="19" spans="1:25">
      <c r="A19" s="1579" t="s">
        <v>171</v>
      </c>
      <c r="B19" s="1852"/>
      <c r="C19" s="1852"/>
      <c r="D19" s="1852"/>
      <c r="E19" s="1852"/>
      <c r="F19" s="1852"/>
      <c r="G19" s="1852"/>
      <c r="H19" s="1852"/>
      <c r="I19" s="1852"/>
      <c r="J19" s="1852"/>
      <c r="K19" s="1852"/>
      <c r="L19" s="1852"/>
      <c r="M19" s="1852"/>
      <c r="N19" s="1852"/>
      <c r="O19" s="1852"/>
      <c r="P19" s="1852"/>
      <c r="Q19" s="1852"/>
      <c r="R19" s="1852"/>
      <c r="S19" s="1852"/>
      <c r="T19" s="1852"/>
      <c r="U19" s="1852"/>
      <c r="V19" s="430"/>
      <c r="W19" s="430"/>
      <c r="X19" s="429">
        <v>262500</v>
      </c>
      <c r="Y19" s="67" t="s">
        <v>0</v>
      </c>
    </row>
    <row r="20" spans="1:25" ht="18.75" customHeight="1">
      <c r="A20" s="1849" t="s">
        <v>456</v>
      </c>
      <c r="B20" s="1850"/>
      <c r="C20" s="1850"/>
      <c r="D20" s="1850"/>
      <c r="E20" s="1850"/>
      <c r="F20" s="1850"/>
      <c r="G20" s="1850"/>
      <c r="H20" s="1850"/>
      <c r="I20" s="1850"/>
      <c r="J20" s="1850"/>
      <c r="K20" s="1850"/>
      <c r="L20" s="1850"/>
      <c r="M20" s="1850"/>
      <c r="N20" s="1850"/>
      <c r="O20" s="1850"/>
      <c r="P20" s="1850"/>
      <c r="Q20" s="1850"/>
      <c r="R20" s="1850"/>
      <c r="S20" s="1850"/>
      <c r="T20" s="1850"/>
      <c r="U20" s="1850"/>
      <c r="V20" s="428"/>
      <c r="W20" s="428"/>
      <c r="X20" s="628">
        <v>-9000</v>
      </c>
      <c r="Y20" s="67" t="s">
        <v>0</v>
      </c>
    </row>
    <row r="21" spans="1:25">
      <c r="A21" s="1583" t="s">
        <v>237</v>
      </c>
      <c r="B21" s="1859"/>
      <c r="C21" s="1859"/>
      <c r="D21" s="1859"/>
      <c r="E21" s="1859"/>
      <c r="F21" s="1859"/>
      <c r="G21" s="1859"/>
      <c r="H21" s="1859"/>
      <c r="I21" s="1859"/>
      <c r="J21" s="1859"/>
      <c r="K21" s="1859"/>
      <c r="L21" s="1859"/>
      <c r="M21" s="1859"/>
      <c r="N21" s="1859"/>
      <c r="O21" s="1859"/>
      <c r="P21" s="1859"/>
      <c r="Q21" s="1859"/>
      <c r="R21" s="1859"/>
      <c r="S21" s="1859"/>
      <c r="T21" s="1859"/>
      <c r="U21" s="1859"/>
      <c r="V21" s="106">
        <f>+V20+V19</f>
        <v>0</v>
      </c>
      <c r="W21" s="106">
        <f>+W20+W19</f>
        <v>0</v>
      </c>
      <c r="X21" s="70">
        <f>+X20+X19</f>
        <v>253500</v>
      </c>
      <c r="Y21" s="67" t="s">
        <v>0</v>
      </c>
    </row>
    <row r="22" spans="1:25">
      <c r="A22" s="1818" t="s">
        <v>61</v>
      </c>
      <c r="B22" s="1819"/>
      <c r="C22" s="1819"/>
      <c r="D22" s="1819"/>
      <c r="E22" s="1819"/>
      <c r="F22" s="1819"/>
      <c r="G22" s="1819"/>
      <c r="H22" s="1819"/>
      <c r="I22" s="1819"/>
      <c r="J22" s="1819"/>
      <c r="K22" s="1819"/>
      <c r="L22" s="1819"/>
      <c r="M22" s="1819"/>
      <c r="N22" s="1819"/>
      <c r="O22" s="1819"/>
      <c r="P22" s="1819"/>
      <c r="Q22" s="1819"/>
      <c r="R22" s="1819"/>
      <c r="S22" s="1819"/>
      <c r="T22" s="1819"/>
      <c r="U22" s="1819"/>
      <c r="V22" s="425"/>
      <c r="W22" s="425"/>
      <c r="X22" s="388"/>
      <c r="Y22" s="67" t="s">
        <v>0</v>
      </c>
    </row>
    <row r="23" spans="1:25">
      <c r="A23" s="2077" t="s">
        <v>457</v>
      </c>
      <c r="B23" s="2078"/>
      <c r="C23" s="2078"/>
      <c r="D23" s="2078"/>
      <c r="E23" s="2078"/>
      <c r="F23" s="2078"/>
      <c r="G23" s="2078"/>
      <c r="H23" s="2078"/>
      <c r="I23" s="2078"/>
      <c r="J23" s="2078"/>
      <c r="K23" s="2078"/>
      <c r="L23" s="2078"/>
      <c r="M23" s="2078"/>
      <c r="N23" s="2078"/>
      <c r="O23" s="2078"/>
      <c r="P23" s="2078"/>
      <c r="Q23" s="2078"/>
      <c r="R23" s="2078"/>
      <c r="S23" s="2078"/>
      <c r="T23" s="2078"/>
      <c r="U23" s="2078"/>
      <c r="V23" s="425"/>
      <c r="W23" s="425"/>
      <c r="X23" s="388">
        <v>9000</v>
      </c>
      <c r="Y23" s="67" t="s">
        <v>0</v>
      </c>
    </row>
    <row r="24" spans="1:25">
      <c r="A24" s="1565" t="s">
        <v>21</v>
      </c>
      <c r="B24" s="1827"/>
      <c r="C24" s="1827"/>
      <c r="D24" s="1827"/>
      <c r="E24" s="1827"/>
      <c r="F24" s="1827"/>
      <c r="G24" s="1827"/>
      <c r="H24" s="1827"/>
      <c r="I24" s="1827"/>
      <c r="J24" s="1827"/>
      <c r="K24" s="1827"/>
      <c r="L24" s="1827"/>
      <c r="M24" s="1827"/>
      <c r="N24" s="1827"/>
      <c r="O24" s="1827"/>
      <c r="P24" s="1827"/>
      <c r="Q24" s="1827"/>
      <c r="R24" s="1827"/>
      <c r="S24" s="1827"/>
      <c r="T24" s="1827"/>
      <c r="U24" s="1827"/>
      <c r="V24" s="425">
        <v>0</v>
      </c>
      <c r="W24" s="425">
        <v>0</v>
      </c>
      <c r="X24" s="425">
        <v>0</v>
      </c>
      <c r="Y24" s="67" t="s">
        <v>0</v>
      </c>
    </row>
    <row r="25" spans="1:25">
      <c r="A25" s="1565" t="s">
        <v>20</v>
      </c>
      <c r="B25" s="1827"/>
      <c r="C25" s="1827"/>
      <c r="D25" s="1827"/>
      <c r="E25" s="1827"/>
      <c r="F25" s="1827"/>
      <c r="G25" s="1827"/>
      <c r="H25" s="1827"/>
      <c r="I25" s="1827"/>
      <c r="J25" s="1827"/>
      <c r="K25" s="1827"/>
      <c r="L25" s="1827"/>
      <c r="M25" s="1827"/>
      <c r="N25" s="1827"/>
      <c r="O25" s="1827"/>
      <c r="P25" s="1827"/>
      <c r="Q25" s="1827"/>
      <c r="R25" s="1827"/>
      <c r="S25" s="1827"/>
      <c r="T25" s="1827"/>
      <c r="U25" s="1827"/>
      <c r="V25" s="425">
        <f>V22+V24</f>
        <v>0</v>
      </c>
      <c r="W25" s="425">
        <f>W22+W24</f>
        <v>0</v>
      </c>
      <c r="X25" s="425">
        <f>X23+X24</f>
        <v>9000</v>
      </c>
      <c r="Y25" s="67" t="s">
        <v>0</v>
      </c>
    </row>
    <row r="26" spans="1:25">
      <c r="A26" s="1589" t="s">
        <v>150</v>
      </c>
      <c r="B26" s="2079"/>
      <c r="C26" s="1590"/>
      <c r="D26" s="1590"/>
      <c r="E26" s="1590"/>
      <c r="F26" s="1590"/>
      <c r="G26" s="1590"/>
      <c r="H26" s="1590"/>
      <c r="I26" s="1590"/>
      <c r="J26" s="1590"/>
      <c r="K26" s="1590"/>
      <c r="L26" s="1590"/>
      <c r="M26" s="1590"/>
      <c r="N26" s="1590"/>
      <c r="O26" s="1590"/>
      <c r="P26" s="1590"/>
      <c r="Q26" s="1590"/>
      <c r="R26" s="1590"/>
      <c r="S26" s="1590"/>
      <c r="T26" s="1590"/>
      <c r="U26" s="1591"/>
      <c r="V26" s="99">
        <f>+V25+V21</f>
        <v>0</v>
      </c>
      <c r="W26" s="99">
        <f>+W25+W21</f>
        <v>0</v>
      </c>
      <c r="X26" s="99">
        <f>+X25+X21</f>
        <v>262500</v>
      </c>
      <c r="Y26" s="67" t="s">
        <v>0</v>
      </c>
    </row>
    <row r="27" spans="1:25">
      <c r="A27" s="1549" t="s">
        <v>62</v>
      </c>
      <c r="B27" s="1857"/>
      <c r="C27" s="1857"/>
      <c r="D27" s="1857"/>
      <c r="E27" s="1857"/>
      <c r="F27" s="1857"/>
      <c r="G27" s="1857"/>
      <c r="H27" s="1857"/>
      <c r="I27" s="1857"/>
      <c r="J27" s="1857"/>
      <c r="K27" s="1857"/>
      <c r="L27" s="1857"/>
      <c r="M27" s="1857"/>
      <c r="N27" s="1857"/>
      <c r="O27" s="1857"/>
      <c r="P27" s="1857"/>
      <c r="Q27" s="1857"/>
      <c r="R27" s="1857"/>
      <c r="S27" s="1857"/>
      <c r="T27" s="1857"/>
      <c r="U27" s="1857"/>
      <c r="V27" s="425"/>
      <c r="W27" s="425"/>
      <c r="X27" s="388"/>
      <c r="Y27" s="67" t="s">
        <v>0</v>
      </c>
    </row>
    <row r="28" spans="1:25">
      <c r="A28" s="1565" t="s">
        <v>403</v>
      </c>
      <c r="B28" s="1827"/>
      <c r="C28" s="1827"/>
      <c r="D28" s="1827"/>
      <c r="E28" s="1827"/>
      <c r="F28" s="1827"/>
      <c r="G28" s="1827"/>
      <c r="H28" s="1827"/>
      <c r="I28" s="1827"/>
      <c r="J28" s="1827"/>
      <c r="K28" s="1827"/>
      <c r="L28" s="1827"/>
      <c r="M28" s="1827"/>
      <c r="N28" s="1827"/>
      <c r="O28" s="1827"/>
      <c r="P28" s="1827"/>
      <c r="Q28" s="1827"/>
      <c r="R28" s="1827"/>
      <c r="S28" s="1827"/>
      <c r="T28" s="1827"/>
      <c r="U28" s="1827"/>
      <c r="V28" s="425" t="s">
        <v>116</v>
      </c>
      <c r="W28" s="425"/>
      <c r="X28" s="388"/>
      <c r="Y28" s="67" t="s">
        <v>0</v>
      </c>
    </row>
    <row r="29" spans="1:25">
      <c r="A29" s="1821" t="s">
        <v>404</v>
      </c>
      <c r="B29" s="2076"/>
      <c r="C29" s="2076"/>
      <c r="D29" s="2076"/>
      <c r="E29" s="2076"/>
      <c r="F29" s="2076"/>
      <c r="G29" s="2076"/>
      <c r="H29" s="2076"/>
      <c r="I29" s="2076"/>
      <c r="J29" s="2076"/>
      <c r="K29" s="2076"/>
      <c r="L29" s="2076"/>
      <c r="M29" s="2076"/>
      <c r="N29" s="2076"/>
      <c r="O29" s="2076"/>
      <c r="P29" s="2076"/>
      <c r="Q29" s="2076"/>
      <c r="R29" s="2076"/>
      <c r="S29" s="2076"/>
      <c r="T29" s="2076"/>
      <c r="U29" s="2076"/>
      <c r="V29" s="425"/>
      <c r="W29" s="425"/>
      <c r="X29" s="388">
        <v>30000</v>
      </c>
      <c r="Y29" s="67" t="s">
        <v>0</v>
      </c>
    </row>
    <row r="30" spans="1:25">
      <c r="A30" s="2075" t="s">
        <v>405</v>
      </c>
      <c r="B30" s="2076"/>
      <c r="C30" s="2076"/>
      <c r="D30" s="2076"/>
      <c r="E30" s="2076"/>
      <c r="F30" s="2076"/>
      <c r="G30" s="2076"/>
      <c r="H30" s="2076"/>
      <c r="I30" s="2076"/>
      <c r="J30" s="2076"/>
      <c r="K30" s="2076"/>
      <c r="L30" s="2076"/>
      <c r="M30" s="2076"/>
      <c r="N30" s="2076"/>
      <c r="O30" s="2076"/>
      <c r="P30" s="2076"/>
      <c r="Q30" s="2076"/>
      <c r="R30" s="2076"/>
      <c r="S30" s="2076"/>
      <c r="T30" s="2076"/>
      <c r="U30" s="2076"/>
      <c r="V30" s="425"/>
      <c r="W30" s="425"/>
      <c r="X30" s="388">
        <v>20000</v>
      </c>
      <c r="Y30" s="67" t="s">
        <v>0</v>
      </c>
    </row>
    <row r="31" spans="1:25">
      <c r="A31" s="2075" t="s">
        <v>406</v>
      </c>
      <c r="B31" s="2076"/>
      <c r="C31" s="2076"/>
      <c r="D31" s="2076"/>
      <c r="E31" s="2076"/>
      <c r="F31" s="2076"/>
      <c r="G31" s="2076"/>
      <c r="H31" s="2076"/>
      <c r="I31" s="2076"/>
      <c r="J31" s="2076"/>
      <c r="K31" s="2076"/>
      <c r="L31" s="2076"/>
      <c r="M31" s="2076"/>
      <c r="N31" s="2076"/>
      <c r="O31" s="2076"/>
      <c r="P31" s="2076"/>
      <c r="Q31" s="2076"/>
      <c r="R31" s="2076"/>
      <c r="S31" s="2076"/>
      <c r="T31" s="2076"/>
      <c r="U31" s="2076"/>
      <c r="V31" s="425"/>
      <c r="W31" s="425"/>
      <c r="X31" s="388">
        <v>17000</v>
      </c>
      <c r="Y31" s="67" t="s">
        <v>0</v>
      </c>
    </row>
    <row r="32" spans="1:25">
      <c r="A32" s="2075" t="s">
        <v>407</v>
      </c>
      <c r="B32" s="2076"/>
      <c r="C32" s="2076"/>
      <c r="D32" s="2076"/>
      <c r="E32" s="2076"/>
      <c r="F32" s="2076"/>
      <c r="G32" s="2076"/>
      <c r="H32" s="2076"/>
      <c r="I32" s="2076"/>
      <c r="J32" s="2076"/>
      <c r="K32" s="2076"/>
      <c r="L32" s="2076"/>
      <c r="M32" s="2076"/>
      <c r="N32" s="2076"/>
      <c r="O32" s="2076"/>
      <c r="P32" s="2076"/>
      <c r="Q32" s="2076"/>
      <c r="R32" s="2076"/>
      <c r="S32" s="2076"/>
      <c r="T32" s="2076"/>
      <c r="U32" s="2076"/>
      <c r="V32" s="425"/>
      <c r="W32" s="425"/>
      <c r="X32" s="388">
        <v>20000</v>
      </c>
      <c r="Y32" s="67" t="s">
        <v>0</v>
      </c>
    </row>
    <row r="33" spans="1:25">
      <c r="A33" s="1854" t="s">
        <v>235</v>
      </c>
      <c r="B33" s="1855"/>
      <c r="C33" s="1855"/>
      <c r="D33" s="1855"/>
      <c r="E33" s="1855"/>
      <c r="F33" s="1855"/>
      <c r="G33" s="1855"/>
      <c r="H33" s="1855"/>
      <c r="I33" s="1855"/>
      <c r="J33" s="1855"/>
      <c r="K33" s="1855"/>
      <c r="L33" s="1855"/>
      <c r="M33" s="1855"/>
      <c r="N33" s="1855"/>
      <c r="O33" s="1855"/>
      <c r="P33" s="1855"/>
      <c r="Q33" s="1855"/>
      <c r="R33" s="1855"/>
      <c r="S33" s="1855"/>
      <c r="T33" s="1855"/>
      <c r="U33" s="1855"/>
      <c r="V33" s="424">
        <f>SUM(V32:V32)</f>
        <v>0</v>
      </c>
      <c r="W33" s="388">
        <f>SUM(W32:W32)</f>
        <v>0</v>
      </c>
      <c r="X33" s="388">
        <f>SUM(X29:X32)</f>
        <v>87000</v>
      </c>
      <c r="Y33" s="67" t="s">
        <v>0</v>
      </c>
    </row>
    <row r="34" spans="1:25">
      <c r="A34" s="1565" t="s">
        <v>408</v>
      </c>
      <c r="B34" s="1827"/>
      <c r="C34" s="1827"/>
      <c r="D34" s="1827"/>
      <c r="E34" s="1827"/>
      <c r="F34" s="1827"/>
      <c r="G34" s="1827"/>
      <c r="H34" s="1827"/>
      <c r="I34" s="1827"/>
      <c r="J34" s="1827"/>
      <c r="K34" s="1827"/>
      <c r="L34" s="1827"/>
      <c r="M34" s="1827"/>
      <c r="N34" s="1827"/>
      <c r="O34" s="1827"/>
      <c r="P34" s="1827"/>
      <c r="Q34" s="1827"/>
      <c r="R34" s="1827"/>
      <c r="S34" s="1827"/>
      <c r="T34" s="1827"/>
      <c r="U34" s="1827"/>
      <c r="V34" s="425"/>
      <c r="W34" s="425"/>
      <c r="X34" s="388"/>
      <c r="Y34" s="67" t="s">
        <v>0</v>
      </c>
    </row>
    <row r="35" spans="1:25">
      <c r="A35" s="1821" t="s">
        <v>409</v>
      </c>
      <c r="B35" s="2076"/>
      <c r="C35" s="2076"/>
      <c r="D35" s="2076"/>
      <c r="E35" s="2076"/>
      <c r="F35" s="2076"/>
      <c r="G35" s="2076"/>
      <c r="H35" s="2076"/>
      <c r="I35" s="2076"/>
      <c r="J35" s="2076"/>
      <c r="K35" s="2076"/>
      <c r="L35" s="2076"/>
      <c r="M35" s="2076"/>
      <c r="N35" s="2076"/>
      <c r="O35" s="2076"/>
      <c r="P35" s="2076"/>
      <c r="Q35" s="2076"/>
      <c r="R35" s="2076"/>
      <c r="S35" s="2076"/>
      <c r="T35" s="2076"/>
      <c r="U35" s="2076"/>
      <c r="V35" s="425"/>
      <c r="W35" s="425"/>
      <c r="X35" s="388">
        <v>-18000</v>
      </c>
      <c r="Y35" s="67" t="s">
        <v>0</v>
      </c>
    </row>
    <row r="36" spans="1:25">
      <c r="A36" s="2075" t="s">
        <v>410</v>
      </c>
      <c r="B36" s="2076"/>
      <c r="C36" s="2076"/>
      <c r="D36" s="2076"/>
      <c r="E36" s="2076"/>
      <c r="F36" s="2076"/>
      <c r="G36" s="2076"/>
      <c r="H36" s="2076"/>
      <c r="I36" s="2076"/>
      <c r="J36" s="2076"/>
      <c r="K36" s="2076"/>
      <c r="L36" s="2076"/>
      <c r="M36" s="2076"/>
      <c r="N36" s="2076"/>
      <c r="O36" s="2076"/>
      <c r="P36" s="2076"/>
      <c r="Q36" s="2076"/>
      <c r="R36" s="2076"/>
      <c r="S36" s="2076"/>
      <c r="T36" s="2076"/>
      <c r="U36" s="2076"/>
      <c r="V36" s="425"/>
      <c r="W36" s="425"/>
      <c r="X36" s="425">
        <v>-20000</v>
      </c>
      <c r="Y36" s="67" t="s">
        <v>0</v>
      </c>
    </row>
    <row r="37" spans="1:25">
      <c r="A37" s="2075" t="s">
        <v>411</v>
      </c>
      <c r="B37" s="2076"/>
      <c r="C37" s="2076"/>
      <c r="D37" s="2076"/>
      <c r="E37" s="2076"/>
      <c r="F37" s="2076"/>
      <c r="G37" s="2076"/>
      <c r="H37" s="2076"/>
      <c r="I37" s="2076"/>
      <c r="J37" s="2076"/>
      <c r="K37" s="2076"/>
      <c r="L37" s="2076"/>
      <c r="M37" s="2076"/>
      <c r="N37" s="2076"/>
      <c r="O37" s="2076"/>
      <c r="P37" s="2076"/>
      <c r="Q37" s="2076"/>
      <c r="R37" s="2076"/>
      <c r="S37" s="2076"/>
      <c r="T37" s="2076"/>
      <c r="U37" s="2076"/>
      <c r="V37" s="425"/>
      <c r="W37" s="425"/>
      <c r="X37" s="425">
        <v>-1500</v>
      </c>
      <c r="Y37" s="67" t="s">
        <v>0</v>
      </c>
    </row>
    <row r="38" spans="1:25">
      <c r="A38" s="2075" t="s">
        <v>223</v>
      </c>
      <c r="B38" s="2076"/>
      <c r="C38" s="2076"/>
      <c r="D38" s="2076"/>
      <c r="E38" s="2076"/>
      <c r="F38" s="2076"/>
      <c r="G38" s="2076"/>
      <c r="H38" s="2076"/>
      <c r="I38" s="2076"/>
      <c r="J38" s="2076"/>
      <c r="K38" s="2076"/>
      <c r="L38" s="2076"/>
      <c r="M38" s="2076"/>
      <c r="N38" s="2076"/>
      <c r="O38" s="2076"/>
      <c r="P38" s="2076"/>
      <c r="Q38" s="2076"/>
      <c r="R38" s="2076"/>
      <c r="S38" s="2076"/>
      <c r="T38" s="2076"/>
      <c r="U38" s="2076"/>
      <c r="V38" s="425"/>
      <c r="W38" s="425"/>
      <c r="X38" s="425">
        <v>-65000</v>
      </c>
      <c r="Y38" s="67" t="s">
        <v>0</v>
      </c>
    </row>
    <row r="39" spans="1:25">
      <c r="A39" s="563" t="s">
        <v>412</v>
      </c>
      <c r="B39" s="1422"/>
      <c r="C39" s="1422"/>
      <c r="D39" s="1422"/>
      <c r="E39" s="1422"/>
      <c r="F39" s="1422"/>
      <c r="G39" s="1422"/>
      <c r="H39" s="1422"/>
      <c r="I39" s="1422"/>
      <c r="J39" s="1422"/>
      <c r="K39" s="1422"/>
      <c r="L39" s="1422"/>
      <c r="M39" s="1422"/>
      <c r="N39" s="1422"/>
      <c r="O39" s="1422"/>
      <c r="P39" s="1422"/>
      <c r="Q39" s="1422"/>
      <c r="R39" s="1422"/>
      <c r="S39" s="1422"/>
      <c r="T39" s="1422"/>
      <c r="U39" s="1422"/>
      <c r="V39" s="793">
        <f>SUM(V35:V38)</f>
        <v>0</v>
      </c>
      <c r="W39" s="793">
        <f>SUM(W35:W38)</f>
        <v>0</v>
      </c>
      <c r="X39" s="793">
        <f>SUM(X35:X38)</f>
        <v>-104500</v>
      </c>
      <c r="Y39" s="67" t="s">
        <v>0</v>
      </c>
    </row>
    <row r="40" spans="1:25" ht="18" customHeight="1">
      <c r="A40" s="1565" t="s">
        <v>63</v>
      </c>
      <c r="B40" s="1827"/>
      <c r="C40" s="1827"/>
      <c r="D40" s="1827"/>
      <c r="E40" s="1827"/>
      <c r="F40" s="1827"/>
      <c r="G40" s="1827"/>
      <c r="H40" s="1827"/>
      <c r="I40" s="1827"/>
      <c r="J40" s="1827"/>
      <c r="K40" s="1827"/>
      <c r="L40" s="1827"/>
      <c r="M40" s="1827"/>
      <c r="N40" s="1827"/>
      <c r="O40" s="1827"/>
      <c r="P40" s="1827"/>
      <c r="Q40" s="1827"/>
      <c r="R40" s="1827"/>
      <c r="S40" s="1827"/>
      <c r="T40" s="1827"/>
      <c r="U40" s="1827"/>
      <c r="V40" s="423">
        <f>SUM(V33+V39)</f>
        <v>0</v>
      </c>
      <c r="W40" s="423">
        <f>SUM(W33+W39)</f>
        <v>0</v>
      </c>
      <c r="X40" s="423">
        <f>SUM(X33+X39)</f>
        <v>-17500</v>
      </c>
      <c r="Y40" s="67" t="s">
        <v>0</v>
      </c>
    </row>
    <row r="41" spans="1:25" ht="18" customHeight="1">
      <c r="A41" s="1815" t="s">
        <v>234</v>
      </c>
      <c r="B41" s="1816"/>
      <c r="C41" s="1816"/>
      <c r="D41" s="1816"/>
      <c r="E41" s="1816"/>
      <c r="F41" s="1816"/>
      <c r="G41" s="1816"/>
      <c r="H41" s="1816"/>
      <c r="I41" s="1816"/>
      <c r="J41" s="1816"/>
      <c r="K41" s="1816"/>
      <c r="L41" s="1816"/>
      <c r="M41" s="1816"/>
      <c r="N41" s="1816"/>
      <c r="O41" s="1816"/>
      <c r="P41" s="1816"/>
      <c r="Q41" s="1816"/>
      <c r="R41" s="1816"/>
      <c r="S41" s="1816"/>
      <c r="T41" s="1816"/>
      <c r="U41" s="1816"/>
      <c r="V41" s="277">
        <f t="shared" ref="V41:W43" si="0">V24+V38</f>
        <v>0</v>
      </c>
      <c r="W41" s="277">
        <f t="shared" si="0"/>
        <v>0</v>
      </c>
      <c r="X41" s="277">
        <f>X21+X25+X40</f>
        <v>245000</v>
      </c>
      <c r="Y41" s="67" t="s">
        <v>0</v>
      </c>
    </row>
    <row r="42" spans="1:25" ht="18" customHeight="1">
      <c r="A42" s="1815" t="s">
        <v>233</v>
      </c>
      <c r="B42" s="1816"/>
      <c r="C42" s="1816"/>
      <c r="D42" s="1816"/>
      <c r="E42" s="1816"/>
      <c r="F42" s="1816"/>
      <c r="G42" s="1816"/>
      <c r="H42" s="1816"/>
      <c r="I42" s="1816"/>
      <c r="J42" s="1816"/>
      <c r="K42" s="1816"/>
      <c r="L42" s="1816"/>
      <c r="M42" s="1816"/>
      <c r="N42" s="1816"/>
      <c r="O42" s="1816"/>
      <c r="P42" s="1816"/>
      <c r="Q42" s="1816"/>
      <c r="R42" s="1816"/>
      <c r="S42" s="1816"/>
      <c r="T42" s="1816"/>
      <c r="U42" s="1816"/>
      <c r="V42" s="277">
        <f t="shared" si="0"/>
        <v>0</v>
      </c>
      <c r="W42" s="277">
        <f t="shared" si="0"/>
        <v>0</v>
      </c>
      <c r="X42" s="277">
        <v>-7000</v>
      </c>
      <c r="Y42" s="67" t="s">
        <v>0</v>
      </c>
    </row>
    <row r="43" spans="1:25" ht="18" customHeight="1">
      <c r="A43" s="1815" t="s">
        <v>232</v>
      </c>
      <c r="B43" s="1816"/>
      <c r="C43" s="1816"/>
      <c r="D43" s="1816"/>
      <c r="E43" s="1816"/>
      <c r="F43" s="1816"/>
      <c r="G43" s="1816"/>
      <c r="H43" s="1816"/>
      <c r="I43" s="1816"/>
      <c r="J43" s="1816"/>
      <c r="K43" s="1816"/>
      <c r="L43" s="1816"/>
      <c r="M43" s="1816"/>
      <c r="N43" s="1816"/>
      <c r="O43" s="1816"/>
      <c r="P43" s="1816"/>
      <c r="Q43" s="1816"/>
      <c r="R43" s="1816"/>
      <c r="S43" s="1816"/>
      <c r="T43" s="1816"/>
      <c r="U43" s="1816"/>
      <c r="V43" s="277">
        <f t="shared" si="0"/>
        <v>0</v>
      </c>
      <c r="W43" s="277">
        <f t="shared" si="0"/>
        <v>0</v>
      </c>
      <c r="X43" s="277">
        <f>X41+X42</f>
        <v>238000</v>
      </c>
      <c r="Y43" s="67" t="s">
        <v>0</v>
      </c>
    </row>
    <row r="44" spans="1:25" ht="18" customHeight="1">
      <c r="A44" s="1551" t="s">
        <v>590</v>
      </c>
      <c r="B44" s="1816"/>
      <c r="C44" s="1816"/>
      <c r="D44" s="1816"/>
      <c r="E44" s="1816"/>
      <c r="F44" s="1816"/>
      <c r="G44" s="1816"/>
      <c r="H44" s="1816"/>
      <c r="I44" s="1816"/>
      <c r="J44" s="1816"/>
      <c r="K44" s="1816"/>
      <c r="L44" s="1816"/>
      <c r="M44" s="1816"/>
      <c r="N44" s="1816"/>
      <c r="O44" s="1816"/>
      <c r="P44" s="1816"/>
      <c r="Q44" s="1816"/>
      <c r="R44" s="1816"/>
      <c r="S44" s="1816"/>
      <c r="T44" s="1816"/>
      <c r="U44" s="1816"/>
      <c r="V44" s="421">
        <f>+V43-V14</f>
        <v>0</v>
      </c>
      <c r="W44" s="421">
        <f>+W43-W14</f>
        <v>0</v>
      </c>
      <c r="X44" s="421">
        <f>+X41-X26</f>
        <v>-17500</v>
      </c>
      <c r="Y44" s="67" t="s">
        <v>13</v>
      </c>
    </row>
    <row r="45" spans="1:25" s="1387" customFormat="1" ht="18" customHeight="1">
      <c r="A45" s="1389"/>
      <c r="B45" s="1391"/>
      <c r="C45" s="1391"/>
      <c r="D45" s="1391"/>
      <c r="E45" s="1391"/>
      <c r="F45" s="1391"/>
      <c r="G45" s="1391"/>
      <c r="H45" s="1391"/>
      <c r="I45" s="1391"/>
      <c r="J45" s="1391"/>
      <c r="K45" s="1391"/>
      <c r="L45" s="1391"/>
      <c r="M45" s="1391"/>
      <c r="N45" s="1391"/>
      <c r="O45" s="1391"/>
      <c r="P45" s="1391"/>
      <c r="Q45" s="1391"/>
      <c r="R45" s="1391"/>
      <c r="S45" s="1391"/>
      <c r="T45" s="1391"/>
      <c r="U45" s="1391"/>
      <c r="V45" s="399"/>
      <c r="W45" s="399"/>
      <c r="X45" s="399"/>
      <c r="Y45" s="67" t="s">
        <v>13</v>
      </c>
    </row>
    <row r="46" spans="1:25" ht="36.75" customHeight="1">
      <c r="A46" s="2080" t="s">
        <v>660</v>
      </c>
      <c r="B46" s="1687"/>
      <c r="C46" s="1687"/>
      <c r="D46" s="1687"/>
      <c r="E46" s="1687"/>
      <c r="F46" s="1687"/>
      <c r="G46" s="1687"/>
      <c r="H46" s="1687"/>
      <c r="I46" s="1687"/>
      <c r="J46" s="1687"/>
      <c r="K46" s="1687"/>
      <c r="L46" s="1687"/>
      <c r="M46" s="1687"/>
      <c r="N46" s="1687"/>
      <c r="O46" s="1687"/>
      <c r="P46" s="1687"/>
      <c r="Q46" s="1687"/>
      <c r="R46" s="1687"/>
      <c r="S46" s="1687"/>
      <c r="T46" s="1687"/>
      <c r="U46" s="1687"/>
      <c r="V46" s="1687"/>
      <c r="W46" s="1687"/>
      <c r="X46" s="1687"/>
      <c r="Y46" s="67" t="s">
        <v>0</v>
      </c>
    </row>
    <row r="47" spans="1:25" ht="18" customHeight="1">
      <c r="A47" s="1361"/>
      <c r="Y47" s="67" t="s">
        <v>0</v>
      </c>
    </row>
    <row r="48" spans="1:25" ht="18" customHeight="1">
      <c r="Y48" s="67" t="s">
        <v>0</v>
      </c>
    </row>
    <row r="49" spans="1:25" ht="18" customHeight="1">
      <c r="Y49" s="67" t="s">
        <v>0</v>
      </c>
    </row>
    <row r="50" spans="1:25" ht="18" customHeight="1">
      <c r="Y50" s="67" t="s">
        <v>0</v>
      </c>
    </row>
    <row r="51" spans="1:25" ht="18" customHeight="1">
      <c r="Y51" s="67" t="s">
        <v>0</v>
      </c>
    </row>
    <row r="52" spans="1:25" ht="18" customHeight="1">
      <c r="Y52" s="67" t="s">
        <v>0</v>
      </c>
    </row>
    <row r="53" spans="1:25" ht="18" customHeight="1">
      <c r="Y53" s="67" t="s">
        <v>0</v>
      </c>
    </row>
    <row r="54" spans="1:25" ht="22.5">
      <c r="A54" s="1568" t="s">
        <v>107</v>
      </c>
      <c r="B54" s="1561"/>
      <c r="C54" s="1561"/>
      <c r="D54" s="1561"/>
      <c r="E54" s="1561"/>
      <c r="F54" s="1561"/>
      <c r="G54" s="1561"/>
      <c r="H54" s="1561"/>
      <c r="I54" s="1561"/>
      <c r="J54" s="1561"/>
      <c r="K54" s="1561"/>
      <c r="L54" s="1561"/>
      <c r="M54" s="1561"/>
      <c r="N54" s="1561"/>
      <c r="O54" s="1561"/>
      <c r="P54" s="1561"/>
      <c r="Q54" s="1561"/>
      <c r="R54" s="1561"/>
      <c r="S54" s="1561"/>
      <c r="T54" s="1561"/>
      <c r="U54" s="1561"/>
      <c r="V54" s="1561"/>
      <c r="W54" s="1561"/>
      <c r="X54" s="1561"/>
      <c r="Y54" s="67" t="s">
        <v>0</v>
      </c>
    </row>
    <row r="55" spans="1:25" ht="23.25">
      <c r="A55" s="1553" t="str">
        <f>A5</f>
        <v>Office of Justice Programs</v>
      </c>
      <c r="B55" s="1554"/>
      <c r="C55" s="1554"/>
      <c r="D55" s="1554"/>
      <c r="E55" s="1554"/>
      <c r="F55" s="1554"/>
      <c r="G55" s="1554"/>
      <c r="H55" s="1554"/>
      <c r="I55" s="1554"/>
      <c r="J55" s="1554"/>
      <c r="K55" s="1554"/>
      <c r="L55" s="1554"/>
      <c r="M55" s="1554"/>
      <c r="N55" s="1554"/>
      <c r="O55" s="1554"/>
      <c r="P55" s="1554"/>
      <c r="Q55" s="1554"/>
      <c r="R55" s="1554"/>
      <c r="S55" s="1554"/>
      <c r="T55" s="1554"/>
      <c r="U55" s="1554"/>
      <c r="V55" s="1554"/>
      <c r="W55" s="1554"/>
      <c r="X55" s="1554"/>
      <c r="Y55" s="67" t="s">
        <v>0</v>
      </c>
    </row>
    <row r="56" spans="1:25" ht="23.25">
      <c r="A56" s="1553" t="s">
        <v>399</v>
      </c>
      <c r="B56" s="1561"/>
      <c r="C56" s="1561"/>
      <c r="D56" s="1561"/>
      <c r="E56" s="1561"/>
      <c r="F56" s="1561"/>
      <c r="G56" s="1561"/>
      <c r="H56" s="1561"/>
      <c r="I56" s="1561"/>
      <c r="J56" s="1561"/>
      <c r="K56" s="1561"/>
      <c r="L56" s="1561"/>
      <c r="M56" s="1561"/>
      <c r="N56" s="1561"/>
      <c r="O56" s="1561"/>
      <c r="P56" s="1561"/>
      <c r="Q56" s="1561"/>
      <c r="R56" s="1561"/>
      <c r="S56" s="1561"/>
      <c r="T56" s="1561"/>
      <c r="U56" s="1561"/>
      <c r="V56" s="1561"/>
      <c r="W56" s="1561"/>
      <c r="X56" s="1561"/>
      <c r="Y56" s="67" t="s">
        <v>0</v>
      </c>
    </row>
    <row r="57" spans="1:25" ht="23.25">
      <c r="A57" s="1553" t="s">
        <v>98</v>
      </c>
      <c r="B57" s="1562"/>
      <c r="C57" s="1562"/>
      <c r="D57" s="1562"/>
      <c r="E57" s="1562"/>
      <c r="F57" s="1562"/>
      <c r="G57" s="1562"/>
      <c r="H57" s="1562"/>
      <c r="I57" s="1562"/>
      <c r="J57" s="1562"/>
      <c r="K57" s="1562"/>
      <c r="L57" s="1562"/>
      <c r="M57" s="1562"/>
      <c r="N57" s="1562"/>
      <c r="O57" s="1562"/>
      <c r="P57" s="1562"/>
      <c r="Q57" s="1562"/>
      <c r="R57" s="1562"/>
      <c r="S57" s="1562"/>
      <c r="T57" s="1562"/>
      <c r="U57" s="1562"/>
      <c r="V57" s="1562"/>
      <c r="W57" s="1562"/>
      <c r="X57" s="1562"/>
      <c r="Y57" s="67" t="s">
        <v>0</v>
      </c>
    </row>
    <row r="58" spans="1:25" ht="18" customHeight="1">
      <c r="Y58" s="67" t="s">
        <v>0</v>
      </c>
    </row>
    <row r="59" spans="1:25" ht="18" customHeight="1">
      <c r="Y59" s="67" t="s">
        <v>0</v>
      </c>
    </row>
    <row r="60" spans="1:25" ht="18" customHeight="1">
      <c r="Y60" s="67" t="s">
        <v>0</v>
      </c>
    </row>
    <row r="61" spans="1:25" ht="18" customHeight="1">
      <c r="Y61" s="67" t="s">
        <v>0</v>
      </c>
    </row>
    <row r="62" spans="1:25" ht="18" customHeight="1">
      <c r="A62" s="37"/>
      <c r="B62" s="37"/>
      <c r="C62" s="37"/>
      <c r="D62" s="38"/>
      <c r="E62" s="38"/>
      <c r="F62" s="38"/>
      <c r="G62" s="38"/>
      <c r="H62" s="38"/>
      <c r="I62" s="38"/>
      <c r="J62" s="38"/>
      <c r="K62" s="38"/>
      <c r="L62" s="38"/>
      <c r="M62" s="38"/>
      <c r="N62" s="38"/>
      <c r="O62" s="38"/>
      <c r="P62" s="38"/>
      <c r="Q62" s="38"/>
      <c r="R62" s="38"/>
      <c r="S62" s="38"/>
      <c r="T62" s="38"/>
      <c r="U62" s="38"/>
      <c r="V62" s="38"/>
      <c r="W62" s="38"/>
      <c r="X62" s="38"/>
      <c r="Y62" s="67" t="s">
        <v>0</v>
      </c>
    </row>
    <row r="63" spans="1:25" ht="22.5" customHeight="1">
      <c r="A63" s="1569" t="s">
        <v>114</v>
      </c>
      <c r="B63" s="1831"/>
      <c r="C63" s="1831"/>
      <c r="D63" s="1540" t="s">
        <v>169</v>
      </c>
      <c r="E63" s="1841"/>
      <c r="F63" s="1842"/>
      <c r="G63" s="1540" t="s">
        <v>591</v>
      </c>
      <c r="H63" s="1836"/>
      <c r="I63" s="1837"/>
      <c r="J63" s="1540" t="s">
        <v>151</v>
      </c>
      <c r="K63" s="1841"/>
      <c r="L63" s="1842"/>
      <c r="M63" s="1540" t="s">
        <v>150</v>
      </c>
      <c r="N63" s="1841"/>
      <c r="O63" s="1842"/>
      <c r="P63" s="1540" t="s">
        <v>152</v>
      </c>
      <c r="Q63" s="1846"/>
      <c r="R63" s="1846"/>
      <c r="S63" s="1540" t="s">
        <v>153</v>
      </c>
      <c r="T63" s="1841"/>
      <c r="U63" s="1841"/>
      <c r="V63" s="1540" t="s">
        <v>154</v>
      </c>
      <c r="W63" s="1841"/>
      <c r="X63" s="1842"/>
      <c r="Y63" s="67" t="s">
        <v>0</v>
      </c>
    </row>
    <row r="64" spans="1:25" ht="27.75" customHeight="1">
      <c r="A64" s="1832"/>
      <c r="B64" s="1833"/>
      <c r="C64" s="1833"/>
      <c r="D64" s="1843"/>
      <c r="E64" s="1844"/>
      <c r="F64" s="1845"/>
      <c r="G64" s="1838"/>
      <c r="H64" s="1839"/>
      <c r="I64" s="1840"/>
      <c r="J64" s="1843"/>
      <c r="K64" s="1844"/>
      <c r="L64" s="1845"/>
      <c r="M64" s="1843"/>
      <c r="N64" s="1844"/>
      <c r="O64" s="1845"/>
      <c r="P64" s="1847"/>
      <c r="Q64" s="1848"/>
      <c r="R64" s="1848"/>
      <c r="S64" s="1843"/>
      <c r="T64" s="1844"/>
      <c r="U64" s="1844"/>
      <c r="V64" s="1843"/>
      <c r="W64" s="1844"/>
      <c r="X64" s="1845"/>
      <c r="Y64" s="67" t="s">
        <v>0</v>
      </c>
    </row>
    <row r="65" spans="1:25" ht="16.5" thickBot="1">
      <c r="A65" s="1834"/>
      <c r="B65" s="1835"/>
      <c r="C65" s="1835"/>
      <c r="D65" s="420" t="s">
        <v>115</v>
      </c>
      <c r="E65" s="417" t="s">
        <v>25</v>
      </c>
      <c r="F65" s="419" t="s">
        <v>117</v>
      </c>
      <c r="G65" s="420" t="s">
        <v>115</v>
      </c>
      <c r="H65" s="417" t="s">
        <v>25</v>
      </c>
      <c r="I65" s="419" t="s">
        <v>117</v>
      </c>
      <c r="J65" s="420" t="s">
        <v>115</v>
      </c>
      <c r="K65" s="417" t="s">
        <v>25</v>
      </c>
      <c r="L65" s="419" t="s">
        <v>117</v>
      </c>
      <c r="M65" s="420" t="s">
        <v>115</v>
      </c>
      <c r="N65" s="417" t="s">
        <v>25</v>
      </c>
      <c r="O65" s="419" t="s">
        <v>117</v>
      </c>
      <c r="P65" s="420" t="s">
        <v>115</v>
      </c>
      <c r="Q65" s="417" t="s">
        <v>25</v>
      </c>
      <c r="R65" s="419" t="s">
        <v>117</v>
      </c>
      <c r="S65" s="420" t="s">
        <v>115</v>
      </c>
      <c r="T65" s="417" t="s">
        <v>25</v>
      </c>
      <c r="U65" s="419" t="s">
        <v>117</v>
      </c>
      <c r="V65" s="418" t="s">
        <v>115</v>
      </c>
      <c r="W65" s="417" t="s">
        <v>25</v>
      </c>
      <c r="X65" s="416" t="s">
        <v>117</v>
      </c>
      <c r="Y65" s="67" t="s">
        <v>0</v>
      </c>
    </row>
    <row r="66" spans="1:25" ht="15.75" customHeight="1">
      <c r="A66" s="648" t="s">
        <v>404</v>
      </c>
      <c r="B66" s="1516"/>
      <c r="C66" s="1517"/>
      <c r="D66" s="394"/>
      <c r="E66" s="392"/>
      <c r="F66" s="391">
        <v>62125.5</v>
      </c>
      <c r="G66" s="394"/>
      <c r="H66" s="392"/>
      <c r="I66" s="391">
        <v>40000</v>
      </c>
      <c r="J66" s="394"/>
      <c r="K66" s="392"/>
      <c r="L66" s="391"/>
      <c r="M66" s="394"/>
      <c r="N66" s="392"/>
      <c r="O66" s="391">
        <f>I66+L66</f>
        <v>40000</v>
      </c>
      <c r="P66" s="394"/>
      <c r="Q66" s="392"/>
      <c r="R66" s="391">
        <v>30000</v>
      </c>
      <c r="S66" s="394"/>
      <c r="T66" s="392"/>
      <c r="U66" s="391"/>
      <c r="V66" s="394">
        <f>P66+M66+S66</f>
        <v>0</v>
      </c>
      <c r="W66" s="392">
        <f>+N66+Q66+T66</f>
        <v>0</v>
      </c>
      <c r="X66" s="410">
        <f>R66+O66+U66</f>
        <v>70000</v>
      </c>
      <c r="Y66" s="67" t="s">
        <v>0</v>
      </c>
    </row>
    <row r="67" spans="1:25" ht="15.75" customHeight="1">
      <c r="A67" s="1492" t="s">
        <v>405</v>
      </c>
      <c r="B67" s="739"/>
      <c r="C67" s="1493"/>
      <c r="D67" s="394"/>
      <c r="E67" s="392"/>
      <c r="F67" s="391">
        <v>53842.1</v>
      </c>
      <c r="G67" s="394"/>
      <c r="H67" s="392"/>
      <c r="I67" s="393">
        <v>20000</v>
      </c>
      <c r="J67" s="394"/>
      <c r="K67" s="392"/>
      <c r="L67" s="393"/>
      <c r="M67" s="394"/>
      <c r="N67" s="392"/>
      <c r="O67" s="391">
        <f t="shared" ref="O67:O79" si="1">I67+L67</f>
        <v>20000</v>
      </c>
      <c r="P67" s="394"/>
      <c r="Q67" s="392"/>
      <c r="R67" s="393">
        <v>20000</v>
      </c>
      <c r="S67" s="394"/>
      <c r="T67" s="392"/>
      <c r="U67" s="391"/>
      <c r="V67" s="394"/>
      <c r="W67" s="392"/>
      <c r="X67" s="410">
        <f t="shared" ref="X67:X79" si="2">R67+O67+U67</f>
        <v>40000</v>
      </c>
      <c r="Y67" s="67" t="s">
        <v>0</v>
      </c>
    </row>
    <row r="68" spans="1:25" ht="15.75" customHeight="1">
      <c r="A68" s="1496" t="s">
        <v>413</v>
      </c>
      <c r="B68" s="739"/>
      <c r="C68" s="1495"/>
      <c r="D68" s="394"/>
      <c r="E68" s="392"/>
      <c r="F68" s="794">
        <v>4141.7</v>
      </c>
      <c r="G68" s="394"/>
      <c r="H68" s="392"/>
      <c r="I68" s="794">
        <v>0</v>
      </c>
      <c r="J68" s="651"/>
      <c r="K68" s="652"/>
      <c r="L68" s="794"/>
      <c r="M68" s="651"/>
      <c r="N68" s="652"/>
      <c r="O68" s="391">
        <f t="shared" si="1"/>
        <v>0</v>
      </c>
      <c r="P68" s="651"/>
      <c r="Q68" s="652"/>
      <c r="R68" s="794"/>
      <c r="S68" s="651"/>
      <c r="T68" s="652"/>
      <c r="U68" s="550"/>
      <c r="V68" s="394"/>
      <c r="W68" s="392"/>
      <c r="X68" s="410">
        <f t="shared" si="2"/>
        <v>0</v>
      </c>
      <c r="Y68" s="67" t="s">
        <v>0</v>
      </c>
    </row>
    <row r="69" spans="1:25" ht="15.75" customHeight="1">
      <c r="A69" s="1496" t="s">
        <v>414</v>
      </c>
      <c r="B69" s="739"/>
      <c r="C69" s="1495"/>
      <c r="D69" s="394"/>
      <c r="E69" s="392"/>
      <c r="F69" s="794">
        <v>20708.5</v>
      </c>
      <c r="G69" s="394"/>
      <c r="H69" s="392"/>
      <c r="I69" s="794">
        <v>10000</v>
      </c>
      <c r="J69" s="651"/>
      <c r="K69" s="652"/>
      <c r="L69" s="794"/>
      <c r="M69" s="651"/>
      <c r="N69" s="652"/>
      <c r="O69" s="550">
        <f t="shared" si="1"/>
        <v>10000</v>
      </c>
      <c r="P69" s="651"/>
      <c r="Q69" s="652"/>
      <c r="R69" s="794"/>
      <c r="S69" s="651"/>
      <c r="T69" s="652"/>
      <c r="U69" s="550"/>
      <c r="V69" s="651"/>
      <c r="W69" s="652"/>
      <c r="X69" s="795">
        <f t="shared" si="2"/>
        <v>10000</v>
      </c>
      <c r="Y69" s="67" t="s">
        <v>0</v>
      </c>
    </row>
    <row r="70" spans="1:25" ht="15.75" customHeight="1">
      <c r="A70" s="1496" t="s">
        <v>415</v>
      </c>
      <c r="B70" s="739"/>
      <c r="C70" s="1495"/>
      <c r="D70" s="394"/>
      <c r="E70" s="392"/>
      <c r="F70" s="794">
        <v>8283.4</v>
      </c>
      <c r="G70" s="394"/>
      <c r="H70" s="392"/>
      <c r="I70" s="794">
        <v>5000</v>
      </c>
      <c r="J70" s="651"/>
      <c r="K70" s="652"/>
      <c r="L70" s="794"/>
      <c r="M70" s="651"/>
      <c r="N70" s="652"/>
      <c r="O70" s="550">
        <f t="shared" si="1"/>
        <v>5000</v>
      </c>
      <c r="P70" s="651"/>
      <c r="Q70" s="652"/>
      <c r="R70" s="794"/>
      <c r="S70" s="651"/>
      <c r="T70" s="652"/>
      <c r="U70" s="550"/>
      <c r="V70" s="651"/>
      <c r="W70" s="652"/>
      <c r="X70" s="795">
        <f t="shared" si="2"/>
        <v>5000</v>
      </c>
      <c r="Y70" s="67" t="s">
        <v>0</v>
      </c>
    </row>
    <row r="71" spans="1:25" ht="15.75" customHeight="1">
      <c r="A71" s="1496" t="s">
        <v>416</v>
      </c>
      <c r="B71" s="739"/>
      <c r="C71" s="1495"/>
      <c r="D71" s="394"/>
      <c r="E71" s="392"/>
      <c r="F71" s="794">
        <v>20708.5</v>
      </c>
      <c r="G71" s="394"/>
      <c r="H71" s="392"/>
      <c r="I71" s="794">
        <v>5000</v>
      </c>
      <c r="J71" s="651"/>
      <c r="K71" s="652"/>
      <c r="L71" s="794"/>
      <c r="M71" s="651"/>
      <c r="N71" s="652"/>
      <c r="O71" s="550">
        <f t="shared" si="1"/>
        <v>5000</v>
      </c>
      <c r="P71" s="651"/>
      <c r="Q71" s="652"/>
      <c r="R71" s="794"/>
      <c r="S71" s="651"/>
      <c r="T71" s="652"/>
      <c r="U71" s="550"/>
      <c r="V71" s="651"/>
      <c r="W71" s="652"/>
      <c r="X71" s="795">
        <f t="shared" si="2"/>
        <v>5000</v>
      </c>
      <c r="Y71" s="67" t="s">
        <v>0</v>
      </c>
    </row>
    <row r="72" spans="1:25" ht="15.75" customHeight="1">
      <c r="A72" s="1492" t="s">
        <v>409</v>
      </c>
      <c r="B72" s="739"/>
      <c r="C72" s="1493"/>
      <c r="D72" s="394"/>
      <c r="E72" s="392"/>
      <c r="F72" s="393">
        <v>18637.650000000001</v>
      </c>
      <c r="G72" s="394"/>
      <c r="H72" s="392"/>
      <c r="I72" s="393">
        <v>18000</v>
      </c>
      <c r="J72" s="394"/>
      <c r="K72" s="392"/>
      <c r="L72" s="393"/>
      <c r="M72" s="394"/>
      <c r="N72" s="392"/>
      <c r="O72" s="391">
        <f t="shared" si="1"/>
        <v>18000</v>
      </c>
      <c r="P72" s="394"/>
      <c r="Q72" s="392"/>
      <c r="R72" s="393"/>
      <c r="S72" s="394"/>
      <c r="T72" s="392"/>
      <c r="U72" s="391">
        <v>-18000</v>
      </c>
      <c r="V72" s="394"/>
      <c r="W72" s="392"/>
      <c r="X72" s="410">
        <f t="shared" si="2"/>
        <v>0</v>
      </c>
      <c r="Y72" s="67" t="s">
        <v>0</v>
      </c>
    </row>
    <row r="73" spans="1:25" ht="15.75" customHeight="1">
      <c r="A73" s="1492" t="s">
        <v>417</v>
      </c>
      <c r="B73" s="739"/>
      <c r="C73" s="1493"/>
      <c r="D73" s="394"/>
      <c r="E73" s="392"/>
      <c r="F73" s="393">
        <v>45558.7</v>
      </c>
      <c r="G73" s="394"/>
      <c r="H73" s="392"/>
      <c r="I73" s="393">
        <v>30000</v>
      </c>
      <c r="J73" s="394"/>
      <c r="K73" s="392"/>
      <c r="L73" s="393"/>
      <c r="M73" s="394"/>
      <c r="N73" s="392"/>
      <c r="O73" s="391">
        <f t="shared" si="1"/>
        <v>30000</v>
      </c>
      <c r="P73" s="394"/>
      <c r="Q73" s="392"/>
      <c r="R73" s="393"/>
      <c r="S73" s="394"/>
      <c r="T73" s="392"/>
      <c r="U73" s="391"/>
      <c r="V73" s="394"/>
      <c r="W73" s="392"/>
      <c r="X73" s="410">
        <f t="shared" si="2"/>
        <v>30000</v>
      </c>
      <c r="Y73" s="67" t="s">
        <v>0</v>
      </c>
    </row>
    <row r="74" spans="1:25" ht="15.75" customHeight="1">
      <c r="A74" s="1492" t="s">
        <v>418</v>
      </c>
      <c r="B74" s="739"/>
      <c r="C74" s="1493"/>
      <c r="D74" s="394"/>
      <c r="E74" s="392"/>
      <c r="F74" s="393">
        <v>4141.7</v>
      </c>
      <c r="G74" s="394"/>
      <c r="H74" s="392"/>
      <c r="I74" s="393">
        <v>0</v>
      </c>
      <c r="J74" s="394"/>
      <c r="K74" s="392"/>
      <c r="L74" s="393"/>
      <c r="M74" s="394"/>
      <c r="N74" s="392"/>
      <c r="O74" s="391">
        <f t="shared" si="1"/>
        <v>0</v>
      </c>
      <c r="P74" s="394"/>
      <c r="Q74" s="392"/>
      <c r="R74" s="393"/>
      <c r="S74" s="394"/>
      <c r="T74" s="392"/>
      <c r="U74" s="391"/>
      <c r="V74" s="394"/>
      <c r="W74" s="392"/>
      <c r="X74" s="410">
        <f t="shared" si="2"/>
        <v>0</v>
      </c>
      <c r="Y74" s="67" t="s">
        <v>0</v>
      </c>
    </row>
    <row r="75" spans="1:25" ht="15.75" customHeight="1">
      <c r="A75" s="1492" t="s">
        <v>406</v>
      </c>
      <c r="B75" s="739"/>
      <c r="C75" s="1493"/>
      <c r="D75" s="394"/>
      <c r="E75" s="392"/>
      <c r="F75" s="393">
        <v>8283.4</v>
      </c>
      <c r="G75" s="394"/>
      <c r="H75" s="392"/>
      <c r="I75" s="393">
        <v>8000</v>
      </c>
      <c r="J75" s="394"/>
      <c r="K75" s="392"/>
      <c r="L75" s="393"/>
      <c r="M75" s="394"/>
      <c r="N75" s="392"/>
      <c r="O75" s="391">
        <f t="shared" si="1"/>
        <v>8000</v>
      </c>
      <c r="P75" s="394"/>
      <c r="Q75" s="392"/>
      <c r="R75" s="393">
        <v>17000</v>
      </c>
      <c r="S75" s="394"/>
      <c r="T75" s="392"/>
      <c r="U75" s="391"/>
      <c r="V75" s="394"/>
      <c r="W75" s="392"/>
      <c r="X75" s="410">
        <f t="shared" si="2"/>
        <v>25000</v>
      </c>
      <c r="Y75" s="67" t="s">
        <v>0</v>
      </c>
    </row>
    <row r="76" spans="1:25" ht="15.75" customHeight="1">
      <c r="A76" s="1492" t="s">
        <v>410</v>
      </c>
      <c r="B76" s="739"/>
      <c r="C76" s="1493"/>
      <c r="D76" s="394"/>
      <c r="E76" s="392"/>
      <c r="F76" s="393">
        <v>82834</v>
      </c>
      <c r="G76" s="394"/>
      <c r="H76" s="392"/>
      <c r="I76" s="393">
        <v>78000</v>
      </c>
      <c r="J76" s="394"/>
      <c r="K76" s="392"/>
      <c r="L76" s="393"/>
      <c r="M76" s="394"/>
      <c r="N76" s="392"/>
      <c r="O76" s="391">
        <f t="shared" si="1"/>
        <v>78000</v>
      </c>
      <c r="P76" s="394"/>
      <c r="Q76" s="392"/>
      <c r="R76" s="393"/>
      <c r="S76" s="394"/>
      <c r="T76" s="392"/>
      <c r="U76" s="391">
        <v>-20000</v>
      </c>
      <c r="V76" s="394"/>
      <c r="W76" s="392"/>
      <c r="X76" s="410">
        <f t="shared" si="2"/>
        <v>58000</v>
      </c>
      <c r="Y76" s="67" t="s">
        <v>0</v>
      </c>
    </row>
    <row r="77" spans="1:25" ht="15.75" customHeight="1">
      <c r="A77" s="1492" t="s">
        <v>223</v>
      </c>
      <c r="B77" s="739"/>
      <c r="C77" s="1493"/>
      <c r="D77" s="394"/>
      <c r="E77" s="392"/>
      <c r="F77" s="393" t="s">
        <v>419</v>
      </c>
      <c r="G77" s="394"/>
      <c r="H77" s="392"/>
      <c r="I77" s="393">
        <v>65000</v>
      </c>
      <c r="J77" s="394"/>
      <c r="K77" s="392"/>
      <c r="L77" s="391"/>
      <c r="M77" s="394"/>
      <c r="N77" s="392"/>
      <c r="O77" s="391">
        <f>I77+L77</f>
        <v>65000</v>
      </c>
      <c r="P77" s="394"/>
      <c r="Q77" s="392"/>
      <c r="R77" s="393"/>
      <c r="S77" s="394"/>
      <c r="T77" s="392"/>
      <c r="U77" s="391">
        <v>-65000</v>
      </c>
      <c r="V77" s="394"/>
      <c r="W77" s="392"/>
      <c r="X77" s="410">
        <f t="shared" si="2"/>
        <v>0</v>
      </c>
      <c r="Y77" s="67" t="s">
        <v>0</v>
      </c>
    </row>
    <row r="78" spans="1:25" ht="15.75" customHeight="1">
      <c r="A78" s="1492" t="s">
        <v>411</v>
      </c>
      <c r="B78" s="739"/>
      <c r="C78" s="1493"/>
      <c r="D78" s="394"/>
      <c r="E78" s="392"/>
      <c r="F78" s="393" t="s">
        <v>215</v>
      </c>
      <c r="G78" s="394"/>
      <c r="H78" s="392"/>
      <c r="I78" s="393">
        <v>1500</v>
      </c>
      <c r="J78" s="394"/>
      <c r="K78" s="392"/>
      <c r="L78" s="393"/>
      <c r="M78" s="394"/>
      <c r="N78" s="392"/>
      <c r="O78" s="391">
        <f t="shared" si="1"/>
        <v>1500</v>
      </c>
      <c r="P78" s="394"/>
      <c r="Q78" s="392"/>
      <c r="R78" s="393"/>
      <c r="S78" s="394"/>
      <c r="T78" s="392"/>
      <c r="U78" s="391">
        <v>-1500</v>
      </c>
      <c r="V78" s="394"/>
      <c r="W78" s="392"/>
      <c r="X78" s="410">
        <f t="shared" si="2"/>
        <v>0</v>
      </c>
      <c r="Y78" s="67" t="s">
        <v>0</v>
      </c>
    </row>
    <row r="79" spans="1:25" ht="15.75" customHeight="1">
      <c r="A79" s="1492" t="s">
        <v>420</v>
      </c>
      <c r="B79" s="739"/>
      <c r="C79" s="1493"/>
      <c r="D79" s="394"/>
      <c r="E79" s="392"/>
      <c r="F79" s="393"/>
      <c r="G79" s="394"/>
      <c r="H79" s="392"/>
      <c r="I79" s="393">
        <v>2000</v>
      </c>
      <c r="J79" s="394"/>
      <c r="K79" s="392"/>
      <c r="L79" s="393"/>
      <c r="M79" s="394"/>
      <c r="N79" s="392"/>
      <c r="O79" s="391">
        <f t="shared" si="1"/>
        <v>2000</v>
      </c>
      <c r="P79" s="394"/>
      <c r="Q79" s="392"/>
      <c r="R79" s="393"/>
      <c r="S79" s="394"/>
      <c r="T79" s="392"/>
      <c r="U79" s="391"/>
      <c r="V79" s="394"/>
      <c r="W79" s="392"/>
      <c r="X79" s="410">
        <f t="shared" si="2"/>
        <v>2000</v>
      </c>
      <c r="Y79" s="67" t="s">
        <v>0</v>
      </c>
    </row>
    <row r="80" spans="1:25" ht="15.75" customHeight="1">
      <c r="A80" s="1492" t="s">
        <v>407</v>
      </c>
      <c r="B80" s="739"/>
      <c r="C80" s="1493"/>
      <c r="D80" s="394"/>
      <c r="E80" s="392"/>
      <c r="F80" s="393"/>
      <c r="G80" s="394"/>
      <c r="H80" s="392"/>
      <c r="I80" s="393"/>
      <c r="J80" s="394"/>
      <c r="K80" s="392"/>
      <c r="L80" s="393"/>
      <c r="M80" s="394"/>
      <c r="N80" s="392"/>
      <c r="O80" s="393"/>
      <c r="P80" s="394"/>
      <c r="Q80" s="392"/>
      <c r="R80" s="393">
        <v>20000</v>
      </c>
      <c r="S80" s="394"/>
      <c r="T80" s="392"/>
      <c r="U80" s="391"/>
      <c r="V80" s="394"/>
      <c r="W80" s="392"/>
      <c r="X80" s="410">
        <f>R80+O80+U80</f>
        <v>20000</v>
      </c>
      <c r="Y80" s="67" t="s">
        <v>0</v>
      </c>
    </row>
    <row r="81" spans="1:25" ht="15.75" customHeight="1">
      <c r="A81" s="1519" t="s">
        <v>206</v>
      </c>
      <c r="B81" s="1494"/>
      <c r="D81" s="140">
        <f>SUM(D65:D80)</f>
        <v>0</v>
      </c>
      <c r="E81" s="141">
        <f>SUM(E65:E80)</f>
        <v>0</v>
      </c>
      <c r="F81" s="111">
        <f>SUM(F66+F67+F72+F73+F74+F75+F76)</f>
        <v>275423.05000000005</v>
      </c>
      <c r="G81" s="140">
        <f>SUM(G65:G80)</f>
        <v>0</v>
      </c>
      <c r="H81" s="141">
        <f>SUM(H65:H80)</f>
        <v>0</v>
      </c>
      <c r="I81" s="111">
        <f>SUM(I66+I67+I72+I73+I74+I75+I76+I77+I78+I79)</f>
        <v>262500</v>
      </c>
      <c r="J81" s="140">
        <f>SUM(J65:J80)</f>
        <v>0</v>
      </c>
      <c r="K81" s="141">
        <f>SUM(K65:K80)</f>
        <v>0</v>
      </c>
      <c r="L81" s="165">
        <f>SUM(L65:L80)</f>
        <v>0</v>
      </c>
      <c r="M81" s="140">
        <f>SUM(M65:M80)</f>
        <v>0</v>
      </c>
      <c r="N81" s="141">
        <f>SUM(N65:N80)</f>
        <v>0</v>
      </c>
      <c r="O81" s="111">
        <f>SUM(O66+O67+O72+O73+O74+O75+O76+O77+O78+O79)</f>
        <v>262500</v>
      </c>
      <c r="P81" s="140">
        <f>SUM(P65:P80)</f>
        <v>0</v>
      </c>
      <c r="Q81" s="141">
        <f>SUM(Q65:Q80)</f>
        <v>0</v>
      </c>
      <c r="R81" s="111">
        <f>SUM(R66:R80)</f>
        <v>87000</v>
      </c>
      <c r="S81" s="140">
        <f>SUM(S65:S80)</f>
        <v>0</v>
      </c>
      <c r="T81" s="141">
        <f>SUM(T65:T80)</f>
        <v>0</v>
      </c>
      <c r="U81" s="165">
        <f>SUM(U65:U80)</f>
        <v>-104500</v>
      </c>
      <c r="V81" s="140">
        <f>SUM(V65:V80)</f>
        <v>0</v>
      </c>
      <c r="W81" s="141">
        <f>SUM(W65:W80)</f>
        <v>0</v>
      </c>
      <c r="X81" s="112">
        <f>SUM(X66+X67+X72+X73+X74+X75+X76+X77+X78+X79+X80)</f>
        <v>245000</v>
      </c>
      <c r="Y81" s="67" t="s">
        <v>0</v>
      </c>
    </row>
    <row r="82" spans="1:25" ht="15.75" customHeight="1">
      <c r="A82" s="1520" t="s">
        <v>205</v>
      </c>
      <c r="B82" s="1518"/>
      <c r="C82" s="1138"/>
      <c r="D82" s="394"/>
      <c r="E82" s="392"/>
      <c r="F82" s="391">
        <v>-6055</v>
      </c>
      <c r="G82" s="394"/>
      <c r="H82" s="392"/>
      <c r="I82" s="391"/>
      <c r="J82" s="394"/>
      <c r="K82" s="392"/>
      <c r="L82" s="393"/>
      <c r="M82" s="394"/>
      <c r="N82" s="392"/>
      <c r="O82" s="391"/>
      <c r="P82" s="394"/>
      <c r="Q82" s="392"/>
      <c r="R82" s="391"/>
      <c r="S82" s="394"/>
      <c r="T82" s="392"/>
      <c r="U82" s="391"/>
      <c r="V82" s="394"/>
      <c r="W82" s="392"/>
      <c r="X82" s="698"/>
      <c r="Y82" s="67" t="s">
        <v>0</v>
      </c>
    </row>
    <row r="83" spans="1:25" ht="15.75" customHeight="1">
      <c r="A83" s="1496" t="s">
        <v>250</v>
      </c>
      <c r="B83" s="739"/>
      <c r="C83" s="1493"/>
      <c r="D83" s="394"/>
      <c r="E83" s="392"/>
      <c r="F83" s="391">
        <v>-6322.7775259</v>
      </c>
      <c r="G83" s="394"/>
      <c r="H83" s="392"/>
      <c r="I83" s="391">
        <v>-9000</v>
      </c>
      <c r="J83" s="394"/>
      <c r="K83" s="392"/>
      <c r="L83" s="393">
        <v>9000</v>
      </c>
      <c r="M83" s="394"/>
      <c r="N83" s="392"/>
      <c r="O83" s="391"/>
      <c r="P83" s="394"/>
      <c r="Q83" s="392"/>
      <c r="R83" s="391"/>
      <c r="S83" s="394"/>
      <c r="T83" s="392"/>
      <c r="U83" s="391">
        <v>-7000</v>
      </c>
      <c r="V83" s="394"/>
      <c r="W83" s="392"/>
      <c r="X83" s="558">
        <v>-7000</v>
      </c>
      <c r="Y83" s="67" t="s">
        <v>0</v>
      </c>
    </row>
    <row r="84" spans="1:25" ht="15.75" customHeight="1">
      <c r="A84" s="1496" t="s">
        <v>421</v>
      </c>
      <c r="B84" s="739"/>
      <c r="C84" s="1493"/>
      <c r="D84" s="394"/>
      <c r="E84" s="392"/>
      <c r="F84" s="391">
        <v>20000</v>
      </c>
      <c r="G84" s="394"/>
      <c r="H84" s="392"/>
      <c r="I84" s="391"/>
      <c r="J84" s="394"/>
      <c r="K84" s="392"/>
      <c r="L84" s="393"/>
      <c r="M84" s="394"/>
      <c r="N84" s="392"/>
      <c r="O84" s="391"/>
      <c r="P84" s="394"/>
      <c r="Q84" s="392"/>
      <c r="R84" s="391"/>
      <c r="S84" s="394"/>
      <c r="T84" s="392"/>
      <c r="U84" s="391"/>
      <c r="V84" s="394"/>
      <c r="W84" s="392"/>
      <c r="X84" s="388"/>
      <c r="Y84" s="67" t="s">
        <v>0</v>
      </c>
    </row>
    <row r="85" spans="1:25" ht="15.75" customHeight="1">
      <c r="A85" s="1491" t="s">
        <v>26</v>
      </c>
      <c r="B85" s="130"/>
      <c r="D85" s="140">
        <f>SUM(D66:D80)</f>
        <v>0</v>
      </c>
      <c r="E85" s="141">
        <f>SUM(E66:E80)</f>
        <v>0</v>
      </c>
      <c r="F85" s="111">
        <f>F81+SUM(F82:F84)</f>
        <v>283045.27247410006</v>
      </c>
      <c r="G85" s="140">
        <f>SUM(G66:G80)</f>
        <v>0</v>
      </c>
      <c r="H85" s="141">
        <f>SUM(H66:H80)</f>
        <v>0</v>
      </c>
      <c r="I85" s="111">
        <f>I81+SUM(I82:I84)</f>
        <v>253500</v>
      </c>
      <c r="J85" s="140">
        <f t="shared" ref="J85:W85" si="3">SUM(J66:J80)</f>
        <v>0</v>
      </c>
      <c r="K85" s="141">
        <f t="shared" si="3"/>
        <v>0</v>
      </c>
      <c r="L85" s="165">
        <f>L81+SUM(L82:L84)</f>
        <v>9000</v>
      </c>
      <c r="M85" s="140">
        <f t="shared" si="3"/>
        <v>0</v>
      </c>
      <c r="N85" s="141">
        <f t="shared" si="3"/>
        <v>0</v>
      </c>
      <c r="O85" s="164">
        <f>O81+SUM(O82:O84)</f>
        <v>262500</v>
      </c>
      <c r="P85" s="140">
        <f t="shared" si="3"/>
        <v>0</v>
      </c>
      <c r="Q85" s="141">
        <f t="shared" si="3"/>
        <v>0</v>
      </c>
      <c r="R85" s="164">
        <f>R81+SUM(R82:R84)</f>
        <v>87000</v>
      </c>
      <c r="S85" s="140">
        <f t="shared" si="3"/>
        <v>0</v>
      </c>
      <c r="T85" s="141">
        <f t="shared" si="3"/>
        <v>0</v>
      </c>
      <c r="U85" s="164">
        <f>U81+SUM(U82:U84)</f>
        <v>-111500</v>
      </c>
      <c r="V85" s="140">
        <f t="shared" si="3"/>
        <v>0</v>
      </c>
      <c r="W85" s="141">
        <f t="shared" si="3"/>
        <v>0</v>
      </c>
      <c r="X85" s="112">
        <f>X81+SUM(X82:X84)</f>
        <v>238000</v>
      </c>
      <c r="Y85" s="67" t="s">
        <v>0</v>
      </c>
    </row>
    <row r="86" spans="1:25" ht="15.75" customHeight="1">
      <c r="A86" s="646"/>
      <c r="B86" s="2074"/>
      <c r="C86" s="1926"/>
      <c r="D86" s="403"/>
      <c r="E86" s="402"/>
      <c r="F86" s="271"/>
      <c r="G86" s="400"/>
      <c r="H86" s="401"/>
      <c r="I86" s="401"/>
      <c r="J86" s="400"/>
      <c r="K86" s="401"/>
      <c r="L86" s="401"/>
      <c r="M86" s="400"/>
      <c r="N86" s="401"/>
      <c r="O86" s="401"/>
      <c r="P86" s="400"/>
      <c r="Q86" s="401"/>
      <c r="R86" s="401"/>
      <c r="S86" s="400"/>
      <c r="T86" s="401"/>
      <c r="U86" s="401"/>
      <c r="V86" s="400"/>
      <c r="W86" s="399"/>
      <c r="X86" s="398"/>
      <c r="Y86" s="67" t="s">
        <v>0</v>
      </c>
    </row>
    <row r="87" spans="1:25" ht="15.75" customHeight="1">
      <c r="A87" s="385"/>
      <c r="B87" s="1811" t="s">
        <v>103</v>
      </c>
      <c r="C87" s="1812"/>
      <c r="D87" s="384"/>
      <c r="E87" s="380"/>
      <c r="F87" s="383"/>
      <c r="G87" s="381"/>
      <c r="H87" s="382"/>
      <c r="I87" s="382"/>
      <c r="J87" s="381"/>
      <c r="K87" s="382"/>
      <c r="L87" s="382"/>
      <c r="M87" s="381"/>
      <c r="N87" s="382"/>
      <c r="O87" s="382"/>
      <c r="P87" s="381"/>
      <c r="Q87" s="382"/>
      <c r="R87" s="382"/>
      <c r="S87" s="381"/>
      <c r="T87" s="382"/>
      <c r="U87" s="382"/>
      <c r="V87" s="381"/>
      <c r="W87" s="380"/>
      <c r="X87" s="379"/>
      <c r="Y87" s="67" t="s">
        <v>0</v>
      </c>
    </row>
    <row r="88" spans="1:25" ht="15.75" customHeight="1">
      <c r="A88" s="397"/>
      <c r="B88" s="1809" t="s">
        <v>102</v>
      </c>
      <c r="C88" s="1810"/>
      <c r="D88" s="394"/>
      <c r="E88" s="392">
        <f>+E85+E87</f>
        <v>0</v>
      </c>
      <c r="F88" s="393"/>
      <c r="G88" s="390"/>
      <c r="H88" s="392">
        <f>+H85+H87</f>
        <v>0</v>
      </c>
      <c r="I88" s="391"/>
      <c r="J88" s="390"/>
      <c r="K88" s="392">
        <f>+K85+K87</f>
        <v>0</v>
      </c>
      <c r="L88" s="391"/>
      <c r="M88" s="390"/>
      <c r="N88" s="392">
        <f>+N85+N87</f>
        <v>0</v>
      </c>
      <c r="O88" s="391"/>
      <c r="P88" s="390"/>
      <c r="Q88" s="392">
        <f>+Q85+Q87</f>
        <v>0</v>
      </c>
      <c r="R88" s="391"/>
      <c r="S88" s="390"/>
      <c r="T88" s="392">
        <f>+T85+T87</f>
        <v>0</v>
      </c>
      <c r="U88" s="391"/>
      <c r="V88" s="390"/>
      <c r="W88" s="392">
        <f>+W85+W87</f>
        <v>0</v>
      </c>
      <c r="X88" s="388"/>
      <c r="Y88" s="67" t="s">
        <v>0</v>
      </c>
    </row>
    <row r="89" spans="1:25" ht="15.75" customHeight="1">
      <c r="A89" s="335"/>
      <c r="B89" s="1813"/>
      <c r="C89" s="1814"/>
      <c r="D89" s="403"/>
      <c r="E89" s="402"/>
      <c r="F89" s="271"/>
      <c r="G89" s="400"/>
      <c r="H89" s="401"/>
      <c r="I89" s="401"/>
      <c r="J89" s="400"/>
      <c r="K89" s="401"/>
      <c r="L89" s="401"/>
      <c r="M89" s="400"/>
      <c r="N89" s="401"/>
      <c r="O89" s="401"/>
      <c r="P89" s="400"/>
      <c r="Q89" s="401"/>
      <c r="R89" s="401"/>
      <c r="S89" s="400"/>
      <c r="T89" s="401"/>
      <c r="U89" s="401"/>
      <c r="V89" s="400"/>
      <c r="W89" s="399"/>
      <c r="X89" s="398"/>
      <c r="Y89" s="67" t="s">
        <v>0</v>
      </c>
    </row>
    <row r="90" spans="1:25" ht="15.75" customHeight="1">
      <c r="A90" s="397"/>
      <c r="B90" s="1809" t="s">
        <v>100</v>
      </c>
      <c r="C90" s="1810"/>
      <c r="D90" s="394"/>
      <c r="E90" s="392"/>
      <c r="F90" s="393"/>
      <c r="G90" s="390"/>
      <c r="H90" s="391"/>
      <c r="I90" s="391"/>
      <c r="J90" s="390"/>
      <c r="K90" s="391"/>
      <c r="L90" s="391"/>
      <c r="M90" s="390"/>
      <c r="N90" s="391"/>
      <c r="O90" s="391"/>
      <c r="P90" s="390"/>
      <c r="Q90" s="391"/>
      <c r="R90" s="391"/>
      <c r="S90" s="390"/>
      <c r="T90" s="391"/>
      <c r="U90" s="391"/>
      <c r="V90" s="390"/>
      <c r="W90" s="391"/>
      <c r="X90" s="388"/>
      <c r="Y90" s="67" t="s">
        <v>0</v>
      </c>
    </row>
    <row r="91" spans="1:25" ht="15.75" customHeight="1">
      <c r="A91" s="397"/>
      <c r="B91" s="396"/>
      <c r="C91" s="395" t="s">
        <v>31</v>
      </c>
      <c r="D91" s="394"/>
      <c r="E91" s="392"/>
      <c r="F91" s="393"/>
      <c r="G91" s="390"/>
      <c r="H91" s="391"/>
      <c r="I91" s="391"/>
      <c r="J91" s="390"/>
      <c r="K91" s="392"/>
      <c r="L91" s="391"/>
      <c r="M91" s="390"/>
      <c r="N91" s="392"/>
      <c r="O91" s="391"/>
      <c r="P91" s="390"/>
      <c r="Q91" s="392"/>
      <c r="R91" s="391"/>
      <c r="S91" s="390"/>
      <c r="T91" s="392"/>
      <c r="U91" s="391"/>
      <c r="V91" s="390"/>
      <c r="W91" s="389"/>
      <c r="X91" s="388"/>
      <c r="Y91" s="67" t="s">
        <v>0</v>
      </c>
    </row>
    <row r="92" spans="1:25" ht="15.75" customHeight="1">
      <c r="A92" s="385"/>
      <c r="B92" s="387"/>
      <c r="C92" s="386" t="s">
        <v>60</v>
      </c>
      <c r="D92" s="384"/>
      <c r="E92" s="380"/>
      <c r="F92" s="383"/>
      <c r="G92" s="381"/>
      <c r="H92" s="382"/>
      <c r="I92" s="382"/>
      <c r="J92" s="381"/>
      <c r="K92" s="380"/>
      <c r="L92" s="382"/>
      <c r="M92" s="381"/>
      <c r="N92" s="380"/>
      <c r="O92" s="382"/>
      <c r="P92" s="381"/>
      <c r="Q92" s="380"/>
      <c r="R92" s="382"/>
      <c r="S92" s="381"/>
      <c r="T92" s="380"/>
      <c r="U92" s="382"/>
      <c r="V92" s="381"/>
      <c r="W92" s="380"/>
      <c r="X92" s="379"/>
      <c r="Y92" s="67" t="s">
        <v>0</v>
      </c>
    </row>
    <row r="93" spans="1:25" ht="15.75" customHeight="1">
      <c r="A93" s="385"/>
      <c r="B93" s="1807" t="s">
        <v>101</v>
      </c>
      <c r="C93" s="1808"/>
      <c r="D93" s="384"/>
      <c r="E93" s="380">
        <f>E92+E91+E88</f>
        <v>0</v>
      </c>
      <c r="F93" s="383"/>
      <c r="G93" s="381"/>
      <c r="H93" s="380">
        <f>H92+H91+H88</f>
        <v>0</v>
      </c>
      <c r="I93" s="382"/>
      <c r="J93" s="381"/>
      <c r="K93" s="380">
        <f>K92+K91+K88</f>
        <v>0</v>
      </c>
      <c r="L93" s="382"/>
      <c r="M93" s="381"/>
      <c r="N93" s="380">
        <f>N92+N91+N88</f>
        <v>0</v>
      </c>
      <c r="O93" s="382"/>
      <c r="P93" s="381"/>
      <c r="Q93" s="380">
        <f>Q92+Q91+Q88</f>
        <v>0</v>
      </c>
      <c r="R93" s="382"/>
      <c r="S93" s="381"/>
      <c r="T93" s="380">
        <f>T92+T91+T88</f>
        <v>0</v>
      </c>
      <c r="U93" s="382"/>
      <c r="V93" s="381"/>
      <c r="W93" s="380">
        <f>W92+W91+W88</f>
        <v>0</v>
      </c>
      <c r="X93" s="379"/>
      <c r="Y93" s="67" t="s">
        <v>0</v>
      </c>
    </row>
    <row r="94" spans="1:25">
      <c r="C94" s="378"/>
      <c r="Y94" s="67" t="s">
        <v>0</v>
      </c>
    </row>
    <row r="95" spans="1:25">
      <c r="A95" s="1226" t="s">
        <v>643</v>
      </c>
      <c r="W95" s="377"/>
      <c r="X95" s="377"/>
      <c r="Y95" s="67" t="s">
        <v>13</v>
      </c>
    </row>
    <row r="96" spans="1:25">
      <c r="A96" s="1226" t="s">
        <v>642</v>
      </c>
      <c r="K96" s="53"/>
    </row>
  </sheetData>
  <customSheetViews>
    <customSheetView guid="{DA38F665-F06D-4DFB-B852-747D93BB00EF}" scale="60" showPageBreaks="1" showGridLines="0" outlineSymbols="0" fitToPage="1" printArea="1" view="pageBreakPreview">
      <selection activeCell="B210" sqref="B210"/>
      <rowBreaks count="1" manualBreakCount="1">
        <brk id="44" max="23" man="1"/>
      </rowBreaks>
      <pageMargins left="0.5" right="0.4" top="0.5" bottom="0.25" header="0" footer="0"/>
      <printOptions horizontalCentered="1"/>
      <pageSetup scale="54" firstPageNumber="8" fitToHeight="0" orientation="landscape" useFirstPageNumber="1" r:id="rId1"/>
      <headerFooter alignWithMargins="0">
        <oddFooter>&amp;C&amp;"Times New Roman,Regular"Exhibit B - Summary of Requirements&amp;R&amp;"Times New Roman,Regular"Juvenile Justice Programs</oddFooter>
      </headerFooter>
    </customSheetView>
    <customSheetView guid="{4D0F9E3D-0229-48CC-A08B-F132802E9D7B}" scale="60" showPageBreaks="1" showGridLines="0" outlineSymbols="0" fitToPage="1" printArea="1" view="pageBreakPreview" topLeftCell="E19">
      <selection activeCell="B81" sqref="B81:C81"/>
      <rowBreaks count="1" manualBreakCount="1">
        <brk id="44" max="23" man="1"/>
      </rowBreaks>
      <pageMargins left="0.5" right="0.4" top="0.5" bottom="0.25" header="0" footer="0"/>
      <printOptions horizontalCentered="1"/>
      <pageSetup scale="54" firstPageNumber="8" fitToHeight="0" orientation="landscape" useFirstPageNumber="1" r:id="rId2"/>
      <headerFooter alignWithMargins="0">
        <oddFooter>&amp;C&amp;"Times New Roman,Regular"Exhibit B - Summary of Requirements&amp;R&amp;"Times New Roman,Regular"Juvenile Justice Programs</oddFooter>
      </headerFooter>
    </customSheetView>
    <customSheetView guid="{F6772377-6B25-4EEA-B255-4C2F62B37855}" scale="60" showPageBreaks="1" showGridLines="0" outlineSymbols="0" fitToPage="1" printArea="1" view="pageBreakPreview">
      <selection activeCell="F83" sqref="F83"/>
      <rowBreaks count="1" manualBreakCount="1">
        <brk id="47" max="23" man="1"/>
      </rowBreaks>
      <pageMargins left="0.5" right="0.4" top="0.5" bottom="0.25" header="0" footer="0"/>
      <printOptions horizontalCentered="1"/>
      <pageSetup scale="54" firstPageNumber="8" fitToHeight="0" orientation="landscape" useFirstPageNumber="1" r:id="rId3"/>
      <headerFooter alignWithMargins="0">
        <oddFooter>&amp;C&amp;"Times New Roman,Regular"Exhibit B - Summary of Requirements&amp;R&amp;"Times New Roman,Regular"Juvenile Justice Programs</oddFooter>
      </headerFooter>
    </customSheetView>
    <customSheetView guid="{27B9C207-C13F-4981-9CED-E69585BBD779}" scale="60" showPageBreaks="1" showGridLines="0" outlineSymbols="0" printArea="1" view="pageBreakPreview">
      <selection activeCell="A18" sqref="A18:U18"/>
      <rowBreaks count="1" manualBreakCount="1">
        <brk id="48" max="23" man="1"/>
      </rowBreaks>
      <pageMargins left="0.5" right="0.4" top="0.5" bottom="0.25" header="0" footer="0"/>
      <printOptions horizontalCentered="1"/>
      <pageSetup scale="50" firstPageNumber="8" fitToHeight="0" orientation="landscape" useFirstPageNumber="1" r:id="rId4"/>
      <headerFooter alignWithMargins="0">
        <oddFooter>&amp;C&amp;"Times New Roman,Regular"Exhibit B - Summary of Requirements&amp;R&amp;"Times New Roman,Regular"Juvenile Justice Programs</oddFooter>
      </headerFooter>
    </customSheetView>
  </customSheetViews>
  <mergeCells count="63">
    <mergeCell ref="A46:X46"/>
    <mergeCell ref="A6:X6"/>
    <mergeCell ref="A1:X1"/>
    <mergeCell ref="A2:X2"/>
    <mergeCell ref="A3:X3"/>
    <mergeCell ref="A4:X4"/>
    <mergeCell ref="A5:X5"/>
    <mergeCell ref="A20:U20"/>
    <mergeCell ref="A7:X7"/>
    <mergeCell ref="A8:X8"/>
    <mergeCell ref="A9:X9"/>
    <mergeCell ref="A10:X10"/>
    <mergeCell ref="A11:U13"/>
    <mergeCell ref="V11:X11"/>
    <mergeCell ref="V12:V13"/>
    <mergeCell ref="W12:W13"/>
    <mergeCell ref="X12:X13"/>
    <mergeCell ref="A14:U14"/>
    <mergeCell ref="A16:U16"/>
    <mergeCell ref="A17:U17"/>
    <mergeCell ref="A18:U18"/>
    <mergeCell ref="A19:U19"/>
    <mergeCell ref="A31:U31"/>
    <mergeCell ref="A21:U21"/>
    <mergeCell ref="A22:U22"/>
    <mergeCell ref="A23:U23"/>
    <mergeCell ref="A24:U24"/>
    <mergeCell ref="A25:U25"/>
    <mergeCell ref="A26:U26"/>
    <mergeCell ref="A27:U27"/>
    <mergeCell ref="A28:U28"/>
    <mergeCell ref="A29:U29"/>
    <mergeCell ref="A30:U30"/>
    <mergeCell ref="A44:U44"/>
    <mergeCell ref="A32:U32"/>
    <mergeCell ref="A33:U33"/>
    <mergeCell ref="A34:U34"/>
    <mergeCell ref="A35:U35"/>
    <mergeCell ref="A36:U36"/>
    <mergeCell ref="A37:U37"/>
    <mergeCell ref="A38:U38"/>
    <mergeCell ref="A40:U40"/>
    <mergeCell ref="A41:U41"/>
    <mergeCell ref="A42:U42"/>
    <mergeCell ref="A43:U43"/>
    <mergeCell ref="A54:X54"/>
    <mergeCell ref="A55:X55"/>
    <mergeCell ref="A56:X56"/>
    <mergeCell ref="A57:X57"/>
    <mergeCell ref="A63:C65"/>
    <mergeCell ref="D63:F64"/>
    <mergeCell ref="G63:I64"/>
    <mergeCell ref="J63:L64"/>
    <mergeCell ref="M63:O64"/>
    <mergeCell ref="P63:R64"/>
    <mergeCell ref="S63:U64"/>
    <mergeCell ref="V63:X64"/>
    <mergeCell ref="B93:C93"/>
    <mergeCell ref="B86:C86"/>
    <mergeCell ref="B87:C87"/>
    <mergeCell ref="B88:C88"/>
    <mergeCell ref="B89:C89"/>
    <mergeCell ref="B90:C90"/>
  </mergeCells>
  <printOptions horizontalCentered="1"/>
  <pageMargins left="0.5" right="0.4" top="0.5" bottom="0.25" header="0" footer="0"/>
  <pageSetup scale="48" firstPageNumber="8" fitToHeight="0" orientation="landscape" useFirstPageNumber="1" r:id="rId5"/>
  <headerFooter alignWithMargins="0">
    <oddFooter>&amp;C&amp;"Times New Roman,Regular"Exhibit B - Summary of Requirements&amp;R&amp;"Times New Roman,Regular"Juvenile Justice Programs</oddFooter>
  </headerFooter>
  <rowBreaks count="1" manualBreakCount="1">
    <brk id="47" max="23" man="1"/>
  </rowBreaks>
</worksheet>
</file>

<file path=xl/worksheets/sheet30.xml><?xml version="1.0" encoding="utf-8"?>
<worksheet xmlns="http://schemas.openxmlformats.org/spreadsheetml/2006/main" xmlns:r="http://schemas.openxmlformats.org/officeDocument/2006/relationships">
  <sheetPr>
    <pageSetUpPr fitToPage="1"/>
  </sheetPr>
  <dimension ref="A1:H35"/>
  <sheetViews>
    <sheetView view="pageBreakPreview" topLeftCell="A13" zoomScale="90" zoomScaleNormal="75" zoomScaleSheetLayoutView="90" workbookViewId="0">
      <selection activeCell="A33" sqref="A33:F33"/>
    </sheetView>
  </sheetViews>
  <sheetFormatPr defaultColWidth="7.21875" defaultRowHeight="12.75"/>
  <cols>
    <col min="1" max="1" width="43.33203125" style="433" customWidth="1"/>
    <col min="2" max="2" width="17.77734375" style="433" customWidth="1"/>
    <col min="3" max="3" width="4.6640625" style="433" customWidth="1"/>
    <col min="4" max="4" width="8.33203125" style="433" customWidth="1"/>
    <col min="5" max="5" width="4.6640625" style="433" customWidth="1"/>
    <col min="6" max="6" width="8.5546875" style="433" customWidth="1"/>
    <col min="7" max="7" width="11.33203125" style="433" customWidth="1"/>
    <col min="8" max="8" width="8.88671875" style="471" customWidth="1"/>
    <col min="9" max="16384" width="7.21875" style="433"/>
  </cols>
  <sheetData>
    <row r="1" spans="1:8" ht="20.25">
      <c r="A1" s="1692" t="s">
        <v>240</v>
      </c>
      <c r="B1" s="1693"/>
      <c r="C1" s="1693"/>
      <c r="D1" s="1693"/>
      <c r="E1" s="1693"/>
      <c r="F1" s="1693"/>
      <c r="G1" s="1693"/>
      <c r="H1" s="432" t="s">
        <v>0</v>
      </c>
    </row>
    <row r="2" spans="1:8" ht="20.25">
      <c r="A2" s="1733"/>
      <c r="B2" s="1733"/>
      <c r="C2" s="1733"/>
      <c r="D2" s="1733"/>
      <c r="E2" s="1733"/>
      <c r="F2" s="1733"/>
      <c r="G2" s="1733"/>
      <c r="H2" s="432" t="s">
        <v>0</v>
      </c>
    </row>
    <row r="3" spans="1:8">
      <c r="A3" s="1886"/>
      <c r="B3" s="1886"/>
      <c r="C3" s="1886"/>
      <c r="D3" s="1886"/>
      <c r="E3" s="1886"/>
      <c r="F3" s="1886"/>
      <c r="G3" s="1886"/>
      <c r="H3" s="432" t="s">
        <v>0</v>
      </c>
    </row>
    <row r="4" spans="1:8" ht="23.25">
      <c r="A4" s="1887" t="s">
        <v>241</v>
      </c>
      <c r="B4" s="1875"/>
      <c r="C4" s="1875"/>
      <c r="D4" s="1875"/>
      <c r="E4" s="1875"/>
      <c r="F4" s="1875"/>
      <c r="G4" s="1875"/>
      <c r="H4" s="432" t="s">
        <v>0</v>
      </c>
    </row>
    <row r="5" spans="1:8" ht="23.25">
      <c r="A5" s="1885" t="str">
        <f>'[6]B. Summ of Reqs - JJ '!A54</f>
        <v>Office of Justice Programs</v>
      </c>
      <c r="B5" s="1888"/>
      <c r="C5" s="1888"/>
      <c r="D5" s="1888"/>
      <c r="E5" s="1888"/>
      <c r="F5" s="1888"/>
      <c r="G5" s="1888"/>
      <c r="H5" s="432" t="s">
        <v>0</v>
      </c>
    </row>
    <row r="6" spans="1:8" ht="23.25">
      <c r="A6" s="1885" t="str">
        <f>'[6]B. Summ of Reqs - JJ '!A55</f>
        <v>Juvenile Justice Programs</v>
      </c>
      <c r="B6" s="1885"/>
      <c r="C6" s="1885"/>
      <c r="D6" s="1885"/>
      <c r="E6" s="1885"/>
      <c r="F6" s="1885"/>
      <c r="G6" s="1885"/>
      <c r="H6" s="432" t="s">
        <v>0</v>
      </c>
    </row>
    <row r="7" spans="1:8" ht="23.25">
      <c r="A7" s="1874" t="s">
        <v>98</v>
      </c>
      <c r="B7" s="1875"/>
      <c r="C7" s="1875"/>
      <c r="D7" s="1875"/>
      <c r="E7" s="1875"/>
      <c r="F7" s="1875"/>
      <c r="G7" s="1875"/>
      <c r="H7" s="432" t="s">
        <v>0</v>
      </c>
    </row>
    <row r="8" spans="1:8">
      <c r="A8" s="1876"/>
      <c r="B8" s="1876"/>
      <c r="C8" s="1876"/>
      <c r="D8" s="1876"/>
      <c r="E8" s="1876"/>
      <c r="F8" s="1876"/>
      <c r="G8" s="1876"/>
      <c r="H8" s="432" t="s">
        <v>0</v>
      </c>
    </row>
    <row r="9" spans="1:8">
      <c r="A9" s="1877"/>
      <c r="B9" s="1877"/>
      <c r="C9" s="1877"/>
      <c r="D9" s="1877"/>
      <c r="E9" s="1877"/>
      <c r="F9" s="1877"/>
      <c r="G9" s="1877"/>
      <c r="H9" s="432" t="s">
        <v>0</v>
      </c>
    </row>
    <row r="10" spans="1:8" ht="15">
      <c r="A10" s="1878" t="s">
        <v>91</v>
      </c>
      <c r="B10" s="1880" t="s">
        <v>242</v>
      </c>
      <c r="C10" s="1997" t="s">
        <v>399</v>
      </c>
      <c r="D10" s="2084"/>
      <c r="E10" s="2084"/>
      <c r="F10" s="1622"/>
      <c r="G10" s="1880" t="s">
        <v>244</v>
      </c>
      <c r="H10" s="432" t="s">
        <v>0</v>
      </c>
    </row>
    <row r="11" spans="1:8">
      <c r="A11" s="2088"/>
      <c r="B11" s="1881"/>
      <c r="C11" s="434" t="s">
        <v>115</v>
      </c>
      <c r="D11" s="434" t="s">
        <v>4</v>
      </c>
      <c r="E11" s="434" t="s">
        <v>25</v>
      </c>
      <c r="F11" s="435" t="s">
        <v>117</v>
      </c>
      <c r="G11" s="1881"/>
      <c r="H11" s="432" t="s">
        <v>0</v>
      </c>
    </row>
    <row r="12" spans="1:8" ht="15" customHeight="1">
      <c r="A12" s="436"/>
      <c r="B12" s="437"/>
      <c r="C12" s="438"/>
      <c r="D12" s="439"/>
      <c r="E12" s="439"/>
      <c r="F12" s="440"/>
      <c r="G12" s="440"/>
      <c r="H12" s="432" t="s">
        <v>0</v>
      </c>
    </row>
    <row r="13" spans="1:8" ht="15" customHeight="1">
      <c r="A13" s="436" t="s">
        <v>404</v>
      </c>
      <c r="B13" s="437" t="s">
        <v>399</v>
      </c>
      <c r="C13" s="441"/>
      <c r="D13" s="439"/>
      <c r="E13" s="439"/>
      <c r="F13" s="440">
        <v>30000</v>
      </c>
      <c r="G13" s="440">
        <f>F13</f>
        <v>30000</v>
      </c>
      <c r="H13" s="432" t="s">
        <v>0</v>
      </c>
    </row>
    <row r="14" spans="1:8" ht="15" customHeight="1">
      <c r="A14" s="796" t="s">
        <v>405</v>
      </c>
      <c r="B14" s="437" t="s">
        <v>399</v>
      </c>
      <c r="C14" s="441"/>
      <c r="D14" s="439"/>
      <c r="E14" s="439"/>
      <c r="F14" s="440">
        <v>20000</v>
      </c>
      <c r="G14" s="440">
        <f>F14</f>
        <v>20000</v>
      </c>
      <c r="H14" s="432" t="s">
        <v>0</v>
      </c>
    </row>
    <row r="15" spans="1:8" ht="15" customHeight="1">
      <c r="A15" s="796" t="s">
        <v>406</v>
      </c>
      <c r="B15" s="437" t="s">
        <v>399</v>
      </c>
      <c r="C15" s="441"/>
      <c r="D15" s="439"/>
      <c r="E15" s="439"/>
      <c r="F15" s="440">
        <v>17000</v>
      </c>
      <c r="G15" s="440">
        <f>F15</f>
        <v>17000</v>
      </c>
      <c r="H15" s="432" t="s">
        <v>0</v>
      </c>
    </row>
    <row r="16" spans="1:8" ht="15" customHeight="1">
      <c r="A16" s="797" t="s">
        <v>407</v>
      </c>
      <c r="B16" s="444" t="s">
        <v>399</v>
      </c>
      <c r="C16" s="445"/>
      <c r="D16" s="446"/>
      <c r="E16" s="446"/>
      <c r="F16" s="447">
        <v>20000</v>
      </c>
      <c r="G16" s="1070">
        <f>F16</f>
        <v>20000</v>
      </c>
      <c r="H16" s="432" t="s">
        <v>0</v>
      </c>
    </row>
    <row r="17" spans="1:8" ht="15" customHeight="1">
      <c r="A17" s="449" t="s">
        <v>246</v>
      </c>
      <c r="B17" s="450"/>
      <c r="C17" s="451">
        <f>SUM(C12:C16)</f>
        <v>0</v>
      </c>
      <c r="D17" s="452">
        <f>SUM(D12:D16)</f>
        <v>0</v>
      </c>
      <c r="E17" s="452">
        <f>SUM(E12:E16)</f>
        <v>0</v>
      </c>
      <c r="F17" s="453">
        <f>SUM(F12:F16)</f>
        <v>87000</v>
      </c>
      <c r="G17" s="1071">
        <f>SUM(G12:G16)</f>
        <v>87000</v>
      </c>
      <c r="H17" s="432" t="s">
        <v>0</v>
      </c>
    </row>
    <row r="18" spans="1:8" ht="15" customHeight="1">
      <c r="A18" s="1324"/>
      <c r="B18" s="1354"/>
      <c r="C18" s="1324"/>
      <c r="D18" s="729"/>
      <c r="E18" s="729"/>
      <c r="F18" s="1325"/>
      <c r="G18" s="1325"/>
      <c r="H18" s="432" t="s">
        <v>0</v>
      </c>
    </row>
    <row r="19" spans="1:8" ht="15" customHeight="1">
      <c r="A19" s="2082" t="s">
        <v>247</v>
      </c>
      <c r="B19" s="1880" t="s">
        <v>242</v>
      </c>
      <c r="C19" s="1997" t="s">
        <v>399</v>
      </c>
      <c r="D19" s="2084"/>
      <c r="E19" s="2084"/>
      <c r="F19" s="1622"/>
      <c r="G19" s="1880" t="s">
        <v>248</v>
      </c>
      <c r="H19" s="432" t="s">
        <v>0</v>
      </c>
    </row>
    <row r="20" spans="1:8" ht="15" customHeight="1">
      <c r="A20" s="2083"/>
      <c r="B20" s="1881"/>
      <c r="C20" s="434" t="s">
        <v>115</v>
      </c>
      <c r="D20" s="434" t="s">
        <v>4</v>
      </c>
      <c r="E20" s="434" t="s">
        <v>25</v>
      </c>
      <c r="F20" s="435" t="s">
        <v>117</v>
      </c>
      <c r="G20" s="1881"/>
      <c r="H20" s="432" t="s">
        <v>0</v>
      </c>
    </row>
    <row r="21" spans="1:8" ht="15" customHeight="1">
      <c r="A21" s="457"/>
      <c r="B21" s="458"/>
      <c r="C21" s="438"/>
      <c r="D21" s="439"/>
      <c r="E21" s="439"/>
      <c r="F21" s="440"/>
      <c r="G21" s="440"/>
      <c r="H21" s="432" t="s">
        <v>0</v>
      </c>
    </row>
    <row r="22" spans="1:8" ht="15" customHeight="1">
      <c r="A22" s="798" t="s">
        <v>409</v>
      </c>
      <c r="B22" s="437" t="s">
        <v>399</v>
      </c>
      <c r="C22" s="441"/>
      <c r="D22" s="439"/>
      <c r="E22" s="439"/>
      <c r="F22" s="440">
        <v>-18000</v>
      </c>
      <c r="G22" s="440">
        <f>F22</f>
        <v>-18000</v>
      </c>
      <c r="H22" s="432" t="s">
        <v>0</v>
      </c>
    </row>
    <row r="23" spans="1:8" ht="15" customHeight="1">
      <c r="A23" s="459" t="s">
        <v>410</v>
      </c>
      <c r="B23" s="437" t="s">
        <v>399</v>
      </c>
      <c r="C23" s="441"/>
      <c r="D23" s="439"/>
      <c r="E23" s="439"/>
      <c r="F23" s="440">
        <v>-20000</v>
      </c>
      <c r="G23" s="440">
        <f>F23</f>
        <v>-20000</v>
      </c>
      <c r="H23" s="432" t="s">
        <v>0</v>
      </c>
    </row>
    <row r="24" spans="1:8" ht="15" customHeight="1">
      <c r="A24" s="799" t="s">
        <v>411</v>
      </c>
      <c r="B24" s="437" t="s">
        <v>399</v>
      </c>
      <c r="C24" s="441"/>
      <c r="D24" s="439"/>
      <c r="E24" s="439"/>
      <c r="F24" s="440">
        <v>-1500</v>
      </c>
      <c r="G24" s="440">
        <f>F24</f>
        <v>-1500</v>
      </c>
      <c r="H24" s="432" t="s">
        <v>0</v>
      </c>
    </row>
    <row r="25" spans="1:8" ht="15" customHeight="1">
      <c r="A25" s="459" t="s">
        <v>223</v>
      </c>
      <c r="B25" s="437" t="s">
        <v>399</v>
      </c>
      <c r="C25" s="441"/>
      <c r="D25" s="439"/>
      <c r="E25" s="439"/>
      <c r="F25" s="440">
        <v>-65000</v>
      </c>
      <c r="G25" s="440">
        <f>F25</f>
        <v>-65000</v>
      </c>
      <c r="H25" s="432" t="s">
        <v>0</v>
      </c>
    </row>
    <row r="26" spans="1:8" ht="15" customHeight="1">
      <c r="A26" s="460"/>
      <c r="B26" s="461"/>
      <c r="C26" s="445"/>
      <c r="D26" s="446"/>
      <c r="E26" s="446"/>
      <c r="F26" s="447"/>
      <c r="G26" s="448"/>
      <c r="H26" s="432" t="s">
        <v>0</v>
      </c>
    </row>
    <row r="27" spans="1:8" ht="15" customHeight="1">
      <c r="A27" s="462" t="s">
        <v>248</v>
      </c>
      <c r="B27" s="463"/>
      <c r="C27" s="464">
        <f>SUM(C21:C26)</f>
        <v>0</v>
      </c>
      <c r="D27" s="465">
        <f>SUM(D21:D26)</f>
        <v>0</v>
      </c>
      <c r="E27" s="465">
        <f>SUM(E21:E26)</f>
        <v>0</v>
      </c>
      <c r="F27" s="466">
        <f>SUM(F21:F26)</f>
        <v>-104500</v>
      </c>
      <c r="G27" s="467">
        <f>SUM(G21:G26)</f>
        <v>-104500</v>
      </c>
      <c r="H27" s="432" t="s">
        <v>0</v>
      </c>
    </row>
    <row r="28" spans="1:8" ht="15" customHeight="1">
      <c r="A28" s="468"/>
      <c r="B28" s="469"/>
      <c r="C28" s="452"/>
      <c r="D28" s="452"/>
      <c r="E28" s="452"/>
      <c r="F28" s="453"/>
      <c r="G28" s="453"/>
      <c r="H28" s="432" t="s">
        <v>0</v>
      </c>
    </row>
    <row r="29" spans="1:8" ht="15" customHeight="1">
      <c r="A29" s="468"/>
      <c r="B29" s="469"/>
      <c r="C29" s="452"/>
      <c r="D29" s="452"/>
      <c r="E29" s="452"/>
      <c r="F29" s="453"/>
      <c r="G29" s="453"/>
      <c r="H29" s="432" t="s">
        <v>13</v>
      </c>
    </row>
    <row r="30" spans="1:8" ht="33.75" customHeight="1">
      <c r="A30" s="2085"/>
      <c r="B30" s="2086"/>
      <c r="C30" s="2086"/>
      <c r="D30" s="2086"/>
      <c r="E30" s="2086"/>
      <c r="F30" s="2086"/>
    </row>
    <row r="31" spans="1:8" ht="12.75" customHeight="1">
      <c r="A31" s="472"/>
      <c r="B31" s="472"/>
      <c r="C31" s="472"/>
      <c r="D31" s="472"/>
      <c r="E31" s="472"/>
      <c r="F31" s="472"/>
    </row>
    <row r="32" spans="1:8" ht="57" customHeight="1">
      <c r="A32" s="1729"/>
      <c r="B32" s="2087"/>
      <c r="C32" s="2087"/>
      <c r="D32" s="2087"/>
      <c r="E32" s="2087"/>
      <c r="F32" s="2087"/>
    </row>
    <row r="33" spans="1:7" ht="15">
      <c r="A33" s="2081"/>
      <c r="B33" s="2081"/>
      <c r="C33" s="2081"/>
      <c r="D33" s="2081"/>
      <c r="E33" s="2081"/>
      <c r="F33" s="2081"/>
    </row>
    <row r="34" spans="1:7" ht="15" customHeight="1">
      <c r="A34" s="473"/>
      <c r="B34" s="474"/>
      <c r="C34" s="474"/>
      <c r="D34" s="474"/>
      <c r="E34" s="474"/>
      <c r="F34" s="474"/>
      <c r="G34" s="475"/>
    </row>
    <row r="35" spans="1:7">
      <c r="A35" s="474"/>
      <c r="B35" s="474"/>
      <c r="C35" s="474"/>
      <c r="D35" s="474"/>
      <c r="E35" s="474"/>
      <c r="F35" s="474"/>
    </row>
  </sheetData>
  <customSheetViews>
    <customSheetView guid="{DA38F665-F06D-4DFB-B852-747D93BB00EF}" scale="90" showPageBreaks="1" fitToPage="1" printArea="1" view="pageBreakPreview">
      <selection activeCell="B210" sqref="B210"/>
      <pageMargins left="0.75" right="0.75" top="1" bottom="1" header="0.5" footer="0.5"/>
      <printOptions horizontalCentered="1"/>
      <pageSetup scale="86" orientation="landscape" r:id="rId1"/>
      <headerFooter alignWithMargins="0">
        <oddFooter>&amp;C&amp;"Times New Roman,Regular"Exhibit C - Program Increases/Offsets By Decision Unit&amp;R&amp;"Times New Roman,Regular"Juvenile Justice Programs</oddFooter>
      </headerFooter>
    </customSheetView>
    <customSheetView guid="{4D0F9E3D-0229-48CC-A08B-F132802E9D7B}" scale="90" showPageBreaks="1" fitToPage="1" printArea="1" view="pageBreakPreview">
      <selection activeCell="A21" sqref="A21"/>
      <pageMargins left="0.75" right="0.75" top="1" bottom="1" header="0.5" footer="0.5"/>
      <printOptions horizontalCentered="1"/>
      <pageSetup scale="82" orientation="landscape" r:id="rId2"/>
      <headerFooter alignWithMargins="0">
        <oddFooter>&amp;C&amp;"Times New Roman,Regular"Exhibit C - Program Increases/Offsets By Decision Unit&amp;R&amp;"Times New Roman,Regular"Juvenile Justice Programs</oddFooter>
      </headerFooter>
    </customSheetView>
    <customSheetView guid="{F6772377-6B25-4EEA-B255-4C2F62B37855}" scale="90" showPageBreaks="1" fitToPage="1" printArea="1" view="pageBreakPreview">
      <selection activeCell="H15" sqref="H15"/>
      <pageMargins left="0.75" right="0.75" top="1" bottom="1" header="0.5" footer="0.5"/>
      <printOptions horizontalCentered="1"/>
      <pageSetup scale="86" orientation="landscape" r:id="rId3"/>
      <headerFooter alignWithMargins="0">
        <oddFooter>&amp;C&amp;"Times New Roman,Regular"Exhibit C - Program Increases/Offsets By Decision Unit&amp;R&amp;"Times New Roman,Regular"Juvenile Justice Programs</oddFooter>
      </headerFooter>
    </customSheetView>
    <customSheetView guid="{27B9C207-C13F-4981-9CED-E69585BBD779}" scale="90" showPageBreaks="1" fitToPage="1" printArea="1" view="pageBreakPreview" topLeftCell="A11">
      <selection activeCell="F29" sqref="F29"/>
      <pageMargins left="0.75" right="0.75" top="1" bottom="1" header="0.5" footer="0.5"/>
      <printOptions horizontalCentered="1"/>
      <pageSetup orientation="landscape" r:id="rId4"/>
      <headerFooter alignWithMargins="0">
        <oddFooter>&amp;C&amp;"Times New Roman,Regular"Exhibit C - Program Increases/Offsets By Decision Unit&amp;R&amp;"Times New Roman,Regular"Juvenile Justice Programs</oddFooter>
      </headerFooter>
    </customSheetView>
  </customSheetViews>
  <mergeCells count="20">
    <mergeCell ref="A6:G6"/>
    <mergeCell ref="A1:G1"/>
    <mergeCell ref="A2:G2"/>
    <mergeCell ref="A3:G3"/>
    <mergeCell ref="A4:G4"/>
    <mergeCell ref="A5:G5"/>
    <mergeCell ref="A7:G7"/>
    <mergeCell ref="A8:G8"/>
    <mergeCell ref="A9:G9"/>
    <mergeCell ref="A10:A11"/>
    <mergeCell ref="B10:B11"/>
    <mergeCell ref="C10:F10"/>
    <mergeCell ref="G10:G11"/>
    <mergeCell ref="A33:F33"/>
    <mergeCell ref="A19:A20"/>
    <mergeCell ref="B19:B20"/>
    <mergeCell ref="C19:F19"/>
    <mergeCell ref="G19:G20"/>
    <mergeCell ref="A30:F30"/>
    <mergeCell ref="A32:F32"/>
  </mergeCells>
  <printOptions horizontalCentered="1"/>
  <pageMargins left="0.75" right="0.75" top="1" bottom="1" header="0.5" footer="0.5"/>
  <pageSetup orientation="landscape" r:id="rId5"/>
  <headerFooter alignWithMargins="0">
    <oddFooter>&amp;C&amp;"Times New Roman,Regular"Exhibit C - Program Increases/Offsets By Decision Unit&amp;R&amp;"Times New Roman,Regular"Juvenile Justice Programs</oddFooter>
  </headerFooter>
</worksheet>
</file>

<file path=xl/worksheets/sheet31.xml><?xml version="1.0" encoding="utf-8"?>
<worksheet xmlns="http://schemas.openxmlformats.org/spreadsheetml/2006/main" xmlns:r="http://schemas.openxmlformats.org/officeDocument/2006/relationships">
  <dimension ref="A1:T51"/>
  <sheetViews>
    <sheetView view="pageBreakPreview" zoomScale="60" zoomScaleNormal="75" workbookViewId="0">
      <selection activeCell="C12" sqref="C12"/>
    </sheetView>
  </sheetViews>
  <sheetFormatPr defaultColWidth="8.88671875" defaultRowHeight="12.75"/>
  <cols>
    <col min="1" max="1" width="53.88671875" style="477" customWidth="1"/>
    <col min="2" max="2" width="1.21875" style="477" customWidth="1"/>
    <col min="3" max="3" width="10.77734375" style="477" customWidth="1"/>
    <col min="4" max="4" width="11" style="477" customWidth="1"/>
    <col min="5" max="5" width="1.21875" style="477" customWidth="1"/>
    <col min="6" max="7" width="11.21875" style="477" customWidth="1"/>
    <col min="8" max="8" width="1.21875" style="477" customWidth="1"/>
    <col min="9" max="16" width="10.77734375" style="477" customWidth="1"/>
    <col min="17" max="17" width="9.33203125" style="477" customWidth="1"/>
    <col min="18" max="16384" width="8.88671875" style="477"/>
  </cols>
  <sheetData>
    <row r="1" spans="1:20" ht="20.25">
      <c r="A1" s="1897" t="s">
        <v>145</v>
      </c>
      <c r="B1" s="1609"/>
      <c r="C1" s="1609"/>
      <c r="D1" s="1609"/>
      <c r="E1" s="1609"/>
      <c r="F1" s="1609"/>
      <c r="G1" s="1609"/>
      <c r="H1" s="1609"/>
      <c r="I1" s="1609"/>
      <c r="J1" s="1609"/>
      <c r="K1" s="1609"/>
      <c r="L1" s="1609"/>
      <c r="M1" s="1609"/>
      <c r="N1" s="1609"/>
      <c r="O1" s="1609"/>
      <c r="P1" s="1609"/>
      <c r="Q1" s="476" t="s">
        <v>0</v>
      </c>
      <c r="R1" s="189"/>
      <c r="S1" s="189"/>
    </row>
    <row r="2" spans="1:20" ht="19.149999999999999" customHeight="1">
      <c r="A2" s="478"/>
      <c r="Q2" s="476" t="s">
        <v>0</v>
      </c>
      <c r="T2" s="476"/>
    </row>
    <row r="3" spans="1:20" ht="15.75">
      <c r="A3" s="1898" t="s">
        <v>126</v>
      </c>
      <c r="B3" s="1611"/>
      <c r="C3" s="1611"/>
      <c r="D3" s="1611"/>
      <c r="E3" s="1611"/>
      <c r="F3" s="1611"/>
      <c r="G3" s="1611"/>
      <c r="H3" s="1611"/>
      <c r="I3" s="1611"/>
      <c r="J3" s="1611"/>
      <c r="K3" s="1611"/>
      <c r="L3" s="1611"/>
      <c r="M3" s="1611"/>
      <c r="N3" s="1611"/>
      <c r="O3" s="1611"/>
      <c r="P3" s="1611"/>
      <c r="Q3" s="476" t="s">
        <v>0</v>
      </c>
      <c r="R3" s="321"/>
      <c r="S3" s="321"/>
      <c r="T3" s="476"/>
    </row>
    <row r="4" spans="1:20" ht="15.75">
      <c r="A4" s="1899" t="str">
        <f>'[6]B. Summ of Reqs - JJ '!A5:X5</f>
        <v>Office of Justice Programs</v>
      </c>
      <c r="B4" s="1611"/>
      <c r="C4" s="1611"/>
      <c r="D4" s="1611"/>
      <c r="E4" s="1611"/>
      <c r="F4" s="1611"/>
      <c r="G4" s="1611"/>
      <c r="H4" s="1611"/>
      <c r="I4" s="1611"/>
      <c r="J4" s="1611"/>
      <c r="K4" s="1611"/>
      <c r="L4" s="1611"/>
      <c r="M4" s="1611"/>
      <c r="N4" s="1611"/>
      <c r="O4" s="1611"/>
      <c r="P4" s="1611"/>
      <c r="Q4" s="476" t="s">
        <v>0</v>
      </c>
      <c r="R4" s="365"/>
      <c r="S4" s="365"/>
    </row>
    <row r="5" spans="1:20" ht="15.75">
      <c r="A5" s="1899" t="str">
        <f>'[6]B. Summ of Reqs - JJ '!A6:X6</f>
        <v>Juvenile Justice Programs</v>
      </c>
      <c r="B5" s="1611"/>
      <c r="C5" s="1611"/>
      <c r="D5" s="1611"/>
      <c r="E5" s="1611"/>
      <c r="F5" s="1611"/>
      <c r="G5" s="1611"/>
      <c r="H5" s="1611"/>
      <c r="I5" s="1611"/>
      <c r="J5" s="1611"/>
      <c r="K5" s="1611"/>
      <c r="L5" s="1611"/>
      <c r="M5" s="1611"/>
      <c r="N5" s="1611"/>
      <c r="O5" s="1611"/>
      <c r="P5" s="1611"/>
      <c r="Q5" s="476" t="s">
        <v>0</v>
      </c>
      <c r="R5" s="365"/>
      <c r="S5" s="365"/>
    </row>
    <row r="6" spans="1:20" ht="15">
      <c r="A6" s="1900" t="s">
        <v>98</v>
      </c>
      <c r="B6" s="1611"/>
      <c r="C6" s="1611"/>
      <c r="D6" s="1611"/>
      <c r="E6" s="1611"/>
      <c r="F6" s="1611"/>
      <c r="G6" s="1611"/>
      <c r="H6" s="1611"/>
      <c r="I6" s="1611"/>
      <c r="J6" s="1611"/>
      <c r="K6" s="1611"/>
      <c r="L6" s="1611"/>
      <c r="M6" s="1611"/>
      <c r="N6" s="1611"/>
      <c r="O6" s="1611"/>
      <c r="P6" s="1611"/>
      <c r="Q6" s="476" t="s">
        <v>0</v>
      </c>
      <c r="R6" s="321"/>
      <c r="S6" s="321"/>
      <c r="T6" s="476"/>
    </row>
    <row r="7" spans="1:20">
      <c r="Q7" s="476" t="s">
        <v>0</v>
      </c>
      <c r="T7" s="476"/>
    </row>
    <row r="8" spans="1:20" ht="13.5" thickBot="1">
      <c r="Q8" s="476" t="s">
        <v>0</v>
      </c>
      <c r="T8" s="476"/>
    </row>
    <row r="9" spans="1:20" ht="37.5" customHeight="1">
      <c r="A9" s="479"/>
      <c r="B9" s="480"/>
      <c r="C9" s="1894" t="s">
        <v>173</v>
      </c>
      <c r="D9" s="1615"/>
      <c r="E9" s="481"/>
      <c r="F9" s="1894" t="s">
        <v>166</v>
      </c>
      <c r="G9" s="1615"/>
      <c r="H9" s="481"/>
      <c r="I9" s="1895" t="s">
        <v>150</v>
      </c>
      <c r="J9" s="1615"/>
      <c r="K9" s="1896">
        <v>2013</v>
      </c>
      <c r="L9" s="1629"/>
      <c r="M9" s="1629"/>
      <c r="N9" s="1630"/>
      <c r="O9" s="1895" t="s">
        <v>154</v>
      </c>
      <c r="P9" s="1615"/>
      <c r="Q9" s="476" t="s">
        <v>0</v>
      </c>
      <c r="S9" s="482"/>
      <c r="T9" s="476"/>
    </row>
    <row r="10" spans="1:20" ht="14.25" customHeight="1">
      <c r="A10" s="480"/>
      <c r="B10" s="480"/>
      <c r="C10" s="1616"/>
      <c r="D10" s="1617"/>
      <c r="E10" s="481"/>
      <c r="F10" s="1625"/>
      <c r="G10" s="1626"/>
      <c r="H10" s="481"/>
      <c r="I10" s="1625"/>
      <c r="J10" s="1626"/>
      <c r="K10" s="1889" t="s">
        <v>118</v>
      </c>
      <c r="L10" s="1890"/>
      <c r="M10" s="1891" t="s">
        <v>127</v>
      </c>
      <c r="N10" s="1622"/>
      <c r="O10" s="1625"/>
      <c r="P10" s="1626"/>
      <c r="Q10" s="476" t="s">
        <v>0</v>
      </c>
      <c r="S10" s="482"/>
      <c r="T10" s="476"/>
    </row>
    <row r="11" spans="1:20" hidden="1">
      <c r="A11" s="1892" t="s">
        <v>128</v>
      </c>
      <c r="B11" s="480"/>
      <c r="C11" s="483"/>
      <c r="D11" s="484"/>
      <c r="E11" s="485"/>
      <c r="F11" s="483"/>
      <c r="G11" s="484"/>
      <c r="H11" s="485"/>
      <c r="I11" s="483"/>
      <c r="J11" s="484"/>
      <c r="K11" s="483"/>
      <c r="L11" s="484"/>
      <c r="M11" s="486"/>
      <c r="N11" s="484"/>
      <c r="O11" s="483"/>
      <c r="P11" s="484"/>
      <c r="Q11" s="476" t="s">
        <v>0</v>
      </c>
      <c r="S11" s="486"/>
      <c r="T11" s="476"/>
    </row>
    <row r="12" spans="1:20" ht="25.5">
      <c r="A12" s="1893"/>
      <c r="B12" s="480"/>
      <c r="C12" s="487" t="s">
        <v>129</v>
      </c>
      <c r="D12" s="488" t="s">
        <v>130</v>
      </c>
      <c r="E12" s="485"/>
      <c r="F12" s="487" t="s">
        <v>129</v>
      </c>
      <c r="G12" s="488" t="s">
        <v>130</v>
      </c>
      <c r="H12" s="485"/>
      <c r="I12" s="487" t="s">
        <v>129</v>
      </c>
      <c r="J12" s="488" t="s">
        <v>130</v>
      </c>
      <c r="K12" s="487" t="s">
        <v>129</v>
      </c>
      <c r="L12" s="488" t="s">
        <v>130</v>
      </c>
      <c r="M12" s="487" t="s">
        <v>129</v>
      </c>
      <c r="N12" s="488" t="s">
        <v>130</v>
      </c>
      <c r="O12" s="487" t="s">
        <v>129</v>
      </c>
      <c r="P12" s="488" t="s">
        <v>130</v>
      </c>
      <c r="Q12" s="476" t="s">
        <v>0</v>
      </c>
      <c r="S12" s="489"/>
      <c r="T12" s="476"/>
    </row>
    <row r="13" spans="1:20">
      <c r="A13" s="490"/>
      <c r="B13" s="480"/>
      <c r="C13" s="491"/>
      <c r="D13" s="492"/>
      <c r="E13" s="493"/>
      <c r="F13" s="491"/>
      <c r="G13" s="492"/>
      <c r="H13" s="493"/>
      <c r="I13" s="491"/>
      <c r="J13" s="492"/>
      <c r="K13" s="491"/>
      <c r="L13" s="494"/>
      <c r="M13" s="495"/>
      <c r="N13" s="492"/>
      <c r="O13" s="491"/>
      <c r="P13" s="492"/>
      <c r="Q13" s="476" t="s">
        <v>0</v>
      </c>
      <c r="S13" s="496"/>
      <c r="T13" s="476"/>
    </row>
    <row r="14" spans="1:20" ht="25.5">
      <c r="A14" s="497" t="s">
        <v>187</v>
      </c>
      <c r="B14" s="480"/>
      <c r="C14" s="491"/>
      <c r="D14" s="498"/>
      <c r="E14" s="493"/>
      <c r="F14" s="491"/>
      <c r="G14" s="498"/>
      <c r="H14" s="493"/>
      <c r="I14" s="491"/>
      <c r="J14" s="498"/>
      <c r="K14" s="491"/>
      <c r="L14" s="494"/>
      <c r="M14" s="491"/>
      <c r="N14" s="498"/>
      <c r="O14" s="491"/>
      <c r="P14" s="498"/>
      <c r="Q14" s="476" t="s">
        <v>0</v>
      </c>
      <c r="S14" s="499"/>
      <c r="T14" s="476"/>
    </row>
    <row r="15" spans="1:20">
      <c r="A15" s="307" t="s">
        <v>131</v>
      </c>
      <c r="B15" s="480"/>
      <c r="C15" s="491"/>
      <c r="D15" s="498"/>
      <c r="E15" s="493"/>
      <c r="F15" s="491"/>
      <c r="G15" s="498"/>
      <c r="H15" s="493"/>
      <c r="I15" s="491"/>
      <c r="J15" s="492"/>
      <c r="K15" s="491"/>
      <c r="L15" s="494"/>
      <c r="M15" s="491"/>
      <c r="N15" s="498"/>
      <c r="O15" s="491"/>
      <c r="P15" s="492"/>
      <c r="Q15" s="476" t="s">
        <v>0</v>
      </c>
      <c r="S15" s="499"/>
      <c r="T15" s="476"/>
    </row>
    <row r="16" spans="1:20">
      <c r="A16" s="306" t="s">
        <v>175</v>
      </c>
      <c r="B16" s="480"/>
      <c r="C16" s="491"/>
      <c r="D16" s="498"/>
      <c r="E16" s="493"/>
      <c r="F16" s="491"/>
      <c r="G16" s="498"/>
      <c r="H16" s="493"/>
      <c r="I16" s="491"/>
      <c r="J16" s="492"/>
      <c r="K16" s="491"/>
      <c r="L16" s="494"/>
      <c r="M16" s="491"/>
      <c r="N16" s="498"/>
      <c r="O16" s="491"/>
      <c r="P16" s="492"/>
      <c r="Q16" s="476" t="s">
        <v>0</v>
      </c>
      <c r="S16" s="499"/>
      <c r="T16" s="476"/>
    </row>
    <row r="17" spans="1:20" ht="13.5" customHeight="1">
      <c r="A17" s="307" t="s">
        <v>176</v>
      </c>
      <c r="B17" s="500"/>
      <c r="C17" s="501"/>
      <c r="D17" s="502"/>
      <c r="E17" s="503"/>
      <c r="F17" s="501"/>
      <c r="G17" s="502"/>
      <c r="H17" s="504"/>
      <c r="I17" s="491"/>
      <c r="J17" s="492"/>
      <c r="K17" s="501"/>
      <c r="L17" s="505"/>
      <c r="M17" s="501"/>
      <c r="N17" s="502"/>
      <c r="O17" s="501"/>
      <c r="P17" s="502"/>
      <c r="Q17" s="476" t="s">
        <v>0</v>
      </c>
      <c r="S17" s="506"/>
      <c r="T17" s="476"/>
    </row>
    <row r="18" spans="1:20" s="514" customFormat="1">
      <c r="A18" s="507" t="s">
        <v>132</v>
      </c>
      <c r="B18" s="508"/>
      <c r="C18" s="509">
        <f>SUM(C15:C17)</f>
        <v>0</v>
      </c>
      <c r="D18" s="510">
        <f>SUM(D15:D17)</f>
        <v>0</v>
      </c>
      <c r="E18" s="511"/>
      <c r="F18" s="509">
        <f>SUM(F15:F17)</f>
        <v>0</v>
      </c>
      <c r="G18" s="510">
        <f>SUM(G15:G17)</f>
        <v>0</v>
      </c>
      <c r="H18" s="512"/>
      <c r="I18" s="509">
        <f t="shared" ref="I18:P18" si="0">SUM(I15:I17)</f>
        <v>0</v>
      </c>
      <c r="J18" s="510">
        <f t="shared" si="0"/>
        <v>0</v>
      </c>
      <c r="K18" s="509">
        <f t="shared" si="0"/>
        <v>0</v>
      </c>
      <c r="L18" s="510">
        <f t="shared" si="0"/>
        <v>0</v>
      </c>
      <c r="M18" s="509">
        <f t="shared" si="0"/>
        <v>0</v>
      </c>
      <c r="N18" s="510">
        <f t="shared" si="0"/>
        <v>0</v>
      </c>
      <c r="O18" s="509">
        <f t="shared" si="0"/>
        <v>0</v>
      </c>
      <c r="P18" s="510">
        <f t="shared" si="0"/>
        <v>0</v>
      </c>
      <c r="Q18" s="476" t="s">
        <v>0</v>
      </c>
      <c r="R18" s="477"/>
      <c r="S18" s="513"/>
      <c r="T18" s="476"/>
    </row>
    <row r="19" spans="1:20">
      <c r="A19" s="515"/>
      <c r="B19" s="480"/>
      <c r="C19" s="491"/>
      <c r="D19" s="492"/>
      <c r="E19" s="516"/>
      <c r="F19" s="491"/>
      <c r="G19" s="492"/>
      <c r="H19" s="516"/>
      <c r="I19" s="491"/>
      <c r="J19" s="492"/>
      <c r="K19" s="491"/>
      <c r="L19" s="494"/>
      <c r="M19" s="491"/>
      <c r="N19" s="492"/>
      <c r="O19" s="491"/>
      <c r="P19" s="492"/>
      <c r="Q19" s="476" t="s">
        <v>0</v>
      </c>
      <c r="S19" s="496"/>
      <c r="T19" s="476"/>
    </row>
    <row r="20" spans="1:20" ht="25.5">
      <c r="A20" s="497" t="s">
        <v>188</v>
      </c>
      <c r="B20" s="480"/>
      <c r="C20" s="491"/>
      <c r="D20" s="492"/>
      <c r="E20" s="517"/>
      <c r="F20" s="491"/>
      <c r="G20" s="492"/>
      <c r="H20" s="517"/>
      <c r="I20" s="491"/>
      <c r="J20" s="492"/>
      <c r="K20" s="491"/>
      <c r="L20" s="494"/>
      <c r="M20" s="491"/>
      <c r="N20" s="492"/>
      <c r="O20" s="518"/>
      <c r="P20" s="519"/>
      <c r="Q20" s="476" t="s">
        <v>0</v>
      </c>
      <c r="S20" s="496"/>
      <c r="T20" s="476"/>
    </row>
    <row r="21" spans="1:20">
      <c r="A21" s="307" t="s">
        <v>177</v>
      </c>
      <c r="B21" s="480"/>
      <c r="C21" s="491"/>
      <c r="D21" s="492"/>
      <c r="E21" s="517"/>
      <c r="F21" s="491"/>
      <c r="G21" s="492"/>
      <c r="H21" s="517"/>
      <c r="I21" s="491"/>
      <c r="J21" s="492"/>
      <c r="K21" s="491"/>
      <c r="L21" s="494"/>
      <c r="M21" s="491"/>
      <c r="N21" s="492"/>
      <c r="O21" s="491"/>
      <c r="P21" s="492"/>
      <c r="Q21" s="476" t="s">
        <v>0</v>
      </c>
      <c r="S21" s="496"/>
      <c r="T21" s="476"/>
    </row>
    <row r="22" spans="1:20" ht="31.5" customHeight="1">
      <c r="A22" s="306" t="s">
        <v>182</v>
      </c>
      <c r="B22" s="480"/>
      <c r="C22" s="491"/>
      <c r="D22" s="492"/>
      <c r="E22" s="517"/>
      <c r="F22" s="491"/>
      <c r="G22" s="492"/>
      <c r="H22" s="517"/>
      <c r="I22" s="491"/>
      <c r="J22" s="492"/>
      <c r="K22" s="491"/>
      <c r="L22" s="494"/>
      <c r="M22" s="491"/>
      <c r="N22" s="492"/>
      <c r="O22" s="491"/>
      <c r="P22" s="492"/>
      <c r="Q22" s="476" t="s">
        <v>0</v>
      </c>
      <c r="S22" s="496"/>
      <c r="T22" s="476"/>
    </row>
    <row r="23" spans="1:20" ht="25.5">
      <c r="A23" s="306" t="s">
        <v>483</v>
      </c>
      <c r="B23" s="480"/>
      <c r="C23" s="491"/>
      <c r="D23" s="492"/>
      <c r="E23" s="517"/>
      <c r="F23" s="491"/>
      <c r="G23" s="492"/>
      <c r="H23" s="517"/>
      <c r="I23" s="491"/>
      <c r="J23" s="492"/>
      <c r="K23" s="491"/>
      <c r="L23" s="494"/>
      <c r="M23" s="491"/>
      <c r="N23" s="492"/>
      <c r="O23" s="491"/>
      <c r="P23" s="492"/>
      <c r="Q23" s="476" t="s">
        <v>0</v>
      </c>
      <c r="S23" s="496"/>
      <c r="T23" s="476"/>
    </row>
    <row r="24" spans="1:20">
      <c r="A24" s="306" t="s">
        <v>178</v>
      </c>
      <c r="B24" s="480"/>
      <c r="C24" s="491"/>
      <c r="D24" s="492"/>
      <c r="E24" s="517"/>
      <c r="F24" s="491"/>
      <c r="G24" s="492"/>
      <c r="H24" s="517"/>
      <c r="I24" s="491"/>
      <c r="J24" s="492"/>
      <c r="K24" s="491"/>
      <c r="L24" s="494"/>
      <c r="M24" s="491"/>
      <c r="N24" s="492"/>
      <c r="O24" s="491"/>
      <c r="P24" s="492"/>
      <c r="Q24" s="476" t="s">
        <v>0</v>
      </c>
      <c r="S24" s="496"/>
      <c r="T24" s="476"/>
    </row>
    <row r="25" spans="1:20">
      <c r="A25" s="307" t="s">
        <v>179</v>
      </c>
      <c r="B25" s="480"/>
      <c r="C25" s="491"/>
      <c r="D25" s="492"/>
      <c r="E25" s="517"/>
      <c r="F25" s="491"/>
      <c r="G25" s="492"/>
      <c r="H25" s="517"/>
      <c r="I25" s="491"/>
      <c r="J25" s="492"/>
      <c r="K25" s="491"/>
      <c r="L25" s="494"/>
      <c r="M25" s="491"/>
      <c r="N25" s="492"/>
      <c r="O25" s="491"/>
      <c r="P25" s="492"/>
      <c r="Q25" s="476" t="s">
        <v>0</v>
      </c>
      <c r="S25" s="496"/>
      <c r="T25" s="476"/>
    </row>
    <row r="26" spans="1:20">
      <c r="A26" s="306" t="s">
        <v>180</v>
      </c>
      <c r="B26" s="480"/>
      <c r="C26" s="491"/>
      <c r="D26" s="492"/>
      <c r="E26" s="517"/>
      <c r="F26" s="491"/>
      <c r="G26" s="492"/>
      <c r="H26" s="517"/>
      <c r="I26" s="491"/>
      <c r="J26" s="492"/>
      <c r="K26" s="491"/>
      <c r="L26" s="494"/>
      <c r="M26" s="491"/>
      <c r="N26" s="492"/>
      <c r="O26" s="491"/>
      <c r="P26" s="492"/>
      <c r="Q26" s="476" t="s">
        <v>0</v>
      </c>
      <c r="R26" s="496"/>
      <c r="S26" s="496"/>
      <c r="T26" s="476"/>
    </row>
    <row r="27" spans="1:20">
      <c r="A27" s="507" t="s">
        <v>133</v>
      </c>
      <c r="B27" s="508"/>
      <c r="C27" s="509">
        <f>SUM(C21:C26)</f>
        <v>0</v>
      </c>
      <c r="D27" s="510">
        <f>SUM(D21:D26)</f>
        <v>0</v>
      </c>
      <c r="E27" s="520"/>
      <c r="F27" s="509">
        <f>SUM(F21:F26)</f>
        <v>0</v>
      </c>
      <c r="G27" s="510">
        <f>SUM(G21:G26)</f>
        <v>0</v>
      </c>
      <c r="H27" s="521"/>
      <c r="I27" s="509">
        <f t="shared" ref="I27:P27" si="1">SUM(I21:I26)</f>
        <v>0</v>
      </c>
      <c r="J27" s="510">
        <f t="shared" si="1"/>
        <v>0</v>
      </c>
      <c r="K27" s="509">
        <f t="shared" si="1"/>
        <v>0</v>
      </c>
      <c r="L27" s="522">
        <f t="shared" si="1"/>
        <v>0</v>
      </c>
      <c r="M27" s="509">
        <f t="shared" si="1"/>
        <v>0</v>
      </c>
      <c r="N27" s="510">
        <f t="shared" si="1"/>
        <v>0</v>
      </c>
      <c r="O27" s="509">
        <f t="shared" si="1"/>
        <v>0</v>
      </c>
      <c r="P27" s="510">
        <f t="shared" si="1"/>
        <v>0</v>
      </c>
      <c r="Q27" s="476" t="s">
        <v>0</v>
      </c>
      <c r="R27" s="513"/>
      <c r="S27" s="513"/>
      <c r="T27" s="476"/>
    </row>
    <row r="28" spans="1:20">
      <c r="A28" s="515"/>
      <c r="B28" s="800"/>
      <c r="C28" s="491"/>
      <c r="D28" s="492"/>
      <c r="E28" s="480"/>
      <c r="F28" s="491"/>
      <c r="G28" s="492"/>
      <c r="H28" s="480"/>
      <c r="I28" s="491"/>
      <c r="J28" s="492"/>
      <c r="K28" s="491"/>
      <c r="L28" s="494"/>
      <c r="M28" s="491"/>
      <c r="N28" s="492"/>
      <c r="O28" s="491"/>
      <c r="P28" s="492"/>
      <c r="Q28" s="476" t="s">
        <v>0</v>
      </c>
      <c r="R28" s="496"/>
      <c r="S28" s="496"/>
      <c r="T28" s="476"/>
    </row>
    <row r="29" spans="1:20" ht="39" customHeight="1">
      <c r="A29" s="497" t="s">
        <v>189</v>
      </c>
      <c r="B29" s="480"/>
      <c r="C29" s="491"/>
      <c r="D29" s="492"/>
      <c r="E29" s="493"/>
      <c r="F29" s="491"/>
      <c r="G29" s="492"/>
      <c r="H29" s="493"/>
      <c r="I29" s="491"/>
      <c r="J29" s="492"/>
      <c r="K29" s="491"/>
      <c r="L29" s="494"/>
      <c r="M29" s="491"/>
      <c r="N29" s="492"/>
      <c r="O29" s="491"/>
      <c r="P29" s="492"/>
      <c r="Q29" s="476" t="s">
        <v>0</v>
      </c>
      <c r="R29" s="496"/>
      <c r="S29" s="496"/>
      <c r="T29" s="476"/>
    </row>
    <row r="30" spans="1:20" ht="30" customHeight="1">
      <c r="A30" s="306" t="s">
        <v>482</v>
      </c>
      <c r="B30" s="480"/>
      <c r="C30" s="491"/>
      <c r="D30" s="492">
        <v>275423</v>
      </c>
      <c r="E30" s="493"/>
      <c r="F30" s="491"/>
      <c r="G30" s="492">
        <v>262500</v>
      </c>
      <c r="H30" s="493"/>
      <c r="I30" s="491"/>
      <c r="J30" s="492">
        <f>G30-9000</f>
        <v>253500</v>
      </c>
      <c r="K30" s="491"/>
      <c r="L30" s="494">
        <v>87000</v>
      </c>
      <c r="M30" s="491"/>
      <c r="N30" s="492">
        <v>-104500</v>
      </c>
      <c r="O30" s="491"/>
      <c r="P30" s="492">
        <f>G30+L30+N30</f>
        <v>245000</v>
      </c>
      <c r="Q30" s="476" t="s">
        <v>0</v>
      </c>
      <c r="R30" s="496"/>
      <c r="S30" s="496"/>
      <c r="T30" s="476"/>
    </row>
    <row r="31" spans="1:20" ht="38.25">
      <c r="A31" s="306" t="s">
        <v>184</v>
      </c>
      <c r="B31" s="480"/>
      <c r="C31" s="491"/>
      <c r="D31" s="492"/>
      <c r="E31" s="493"/>
      <c r="F31" s="491"/>
      <c r="G31" s="492"/>
      <c r="H31" s="493"/>
      <c r="I31" s="491"/>
      <c r="J31" s="492"/>
      <c r="K31" s="491"/>
      <c r="L31" s="494"/>
      <c r="M31" s="491"/>
      <c r="N31" s="492"/>
      <c r="O31" s="491"/>
      <c r="P31" s="492"/>
      <c r="Q31" s="476" t="s">
        <v>0</v>
      </c>
      <c r="R31" s="496"/>
      <c r="S31" s="496"/>
      <c r="T31" s="476"/>
    </row>
    <row r="32" spans="1:20" ht="42" customHeight="1">
      <c r="A32" s="306" t="s">
        <v>185</v>
      </c>
      <c r="B32" s="480"/>
      <c r="C32" s="491"/>
      <c r="D32" s="492"/>
      <c r="E32" s="493"/>
      <c r="F32" s="491"/>
      <c r="G32" s="492"/>
      <c r="H32" s="493"/>
      <c r="I32" s="491"/>
      <c r="J32" s="492"/>
      <c r="K32" s="491"/>
      <c r="L32" s="494"/>
      <c r="M32" s="491"/>
      <c r="N32" s="492"/>
      <c r="O32" s="491"/>
      <c r="P32" s="492"/>
      <c r="Q32" s="476" t="s">
        <v>0</v>
      </c>
      <c r="R32" s="496"/>
      <c r="S32" s="496"/>
      <c r="T32" s="476"/>
    </row>
    <row r="33" spans="1:20" ht="25.5">
      <c r="A33" s="306" t="s">
        <v>481</v>
      </c>
      <c r="B33" s="480"/>
      <c r="C33" s="491"/>
      <c r="D33" s="492"/>
      <c r="E33" s="493"/>
      <c r="F33" s="491"/>
      <c r="G33" s="492"/>
      <c r="H33" s="493"/>
      <c r="I33" s="523"/>
      <c r="J33" s="524"/>
      <c r="K33" s="491"/>
      <c r="L33" s="494"/>
      <c r="M33" s="491"/>
      <c r="N33" s="492"/>
      <c r="O33" s="491"/>
      <c r="P33" s="492"/>
      <c r="Q33" s="476" t="s">
        <v>0</v>
      </c>
      <c r="R33" s="496"/>
      <c r="S33" s="496"/>
      <c r="T33" s="476"/>
    </row>
    <row r="34" spans="1:20">
      <c r="A34" s="507" t="s">
        <v>134</v>
      </c>
      <c r="B34" s="508"/>
      <c r="C34" s="509">
        <f>SUM(C30:C33)</f>
        <v>0</v>
      </c>
      <c r="D34" s="510">
        <f>SUM(D30:D33)</f>
        <v>275423</v>
      </c>
      <c r="E34" s="511"/>
      <c r="F34" s="509">
        <f>SUM(F30:F33)</f>
        <v>0</v>
      </c>
      <c r="G34" s="510">
        <f>SUM(G30:G33)</f>
        <v>262500</v>
      </c>
      <c r="H34" s="512"/>
      <c r="I34" s="509">
        <f t="shared" ref="I34:O34" si="2">SUM(I30:I33)</f>
        <v>0</v>
      </c>
      <c r="J34" s="510">
        <f>SUM(J30:J33)</f>
        <v>253500</v>
      </c>
      <c r="K34" s="509">
        <f t="shared" si="2"/>
        <v>0</v>
      </c>
      <c r="L34" s="522">
        <f>SUM(L30:L33)</f>
        <v>87000</v>
      </c>
      <c r="M34" s="509">
        <f t="shared" si="2"/>
        <v>0</v>
      </c>
      <c r="N34" s="510">
        <f>SUM(N30:N33)</f>
        <v>-104500</v>
      </c>
      <c r="O34" s="509">
        <f t="shared" si="2"/>
        <v>0</v>
      </c>
      <c r="P34" s="510">
        <f>SUM(P30:P33)</f>
        <v>245000</v>
      </c>
      <c r="Q34" s="476" t="s">
        <v>0</v>
      </c>
      <c r="R34" s="513"/>
      <c r="S34" s="513"/>
      <c r="T34" s="476"/>
    </row>
    <row r="35" spans="1:20">
      <c r="A35" s="530" t="s">
        <v>249</v>
      </c>
      <c r="B35" s="531"/>
      <c r="C35" s="730">
        <v>0</v>
      </c>
      <c r="D35" s="731">
        <f>SUM(D34,D27,D18)</f>
        <v>275423</v>
      </c>
      <c r="E35" s="732"/>
      <c r="F35" s="730">
        <v>0</v>
      </c>
      <c r="G35" s="731">
        <f>SUM(G34,G27,G18)</f>
        <v>262500</v>
      </c>
      <c r="H35" s="732"/>
      <c r="I35" s="730">
        <v>0</v>
      </c>
      <c r="J35" s="731">
        <f>SUM(J34,J27,J18)</f>
        <v>253500</v>
      </c>
      <c r="K35" s="730">
        <v>0</v>
      </c>
      <c r="L35" s="731">
        <f>SUM(L34,L27,L18)</f>
        <v>87000</v>
      </c>
      <c r="M35" s="730">
        <v>0</v>
      </c>
      <c r="N35" s="731">
        <f>SUM(N34,N27,N18)</f>
        <v>-104500</v>
      </c>
      <c r="O35" s="730">
        <v>0</v>
      </c>
      <c r="P35" s="510">
        <f>SUM(P34,P27,P18)</f>
        <v>245000</v>
      </c>
      <c r="Q35" s="476" t="s">
        <v>0</v>
      </c>
      <c r="R35" s="513"/>
      <c r="S35" s="513"/>
      <c r="T35" s="476"/>
    </row>
    <row r="36" spans="1:20">
      <c r="A36" s="530" t="s">
        <v>250</v>
      </c>
      <c r="B36" s="496"/>
      <c r="C36" s="730"/>
      <c r="D36" s="731">
        <f>'[6]B. Summ of Reqs - JJ '!F84</f>
        <v>-6322.7775259</v>
      </c>
      <c r="E36" s="732"/>
      <c r="F36" s="730"/>
      <c r="G36" s="731">
        <f>'[6]B. Summ of Reqs - JJ '!I84</f>
        <v>-9000</v>
      </c>
      <c r="H36" s="732"/>
      <c r="I36" s="730"/>
      <c r="J36" s="731">
        <v>9000</v>
      </c>
      <c r="K36" s="730"/>
      <c r="L36" s="731"/>
      <c r="M36" s="730"/>
      <c r="N36" s="731">
        <v>-7000</v>
      </c>
      <c r="O36" s="730"/>
      <c r="P36" s="731">
        <f>L36+N36</f>
        <v>-7000</v>
      </c>
      <c r="Q36" s="476" t="s">
        <v>0</v>
      </c>
      <c r="R36" s="513"/>
      <c r="S36" s="513"/>
      <c r="T36" s="476"/>
    </row>
    <row r="37" spans="1:20">
      <c r="A37" s="530" t="s">
        <v>205</v>
      </c>
      <c r="B37" s="496"/>
      <c r="C37" s="730"/>
      <c r="D37" s="731">
        <f>'[6]B. Summ of Reqs - JJ '!F83</f>
        <v>-6055</v>
      </c>
      <c r="E37" s="732"/>
      <c r="F37" s="730"/>
      <c r="G37" s="731"/>
      <c r="H37" s="732"/>
      <c r="I37" s="730"/>
      <c r="J37" s="731"/>
      <c r="K37" s="730"/>
      <c r="L37" s="731"/>
      <c r="M37" s="730"/>
      <c r="N37" s="731"/>
      <c r="O37" s="730"/>
      <c r="P37" s="731"/>
      <c r="Q37" s="476" t="s">
        <v>0</v>
      </c>
      <c r="R37" s="513"/>
      <c r="S37" s="513"/>
      <c r="T37" s="476"/>
    </row>
    <row r="38" spans="1:20">
      <c r="A38" s="530" t="s">
        <v>29</v>
      </c>
      <c r="B38" s="496"/>
      <c r="C38" s="730"/>
      <c r="D38" s="731">
        <f>'[6]B. Summ of Reqs - JJ '!F85</f>
        <v>20000</v>
      </c>
      <c r="E38" s="732"/>
      <c r="F38" s="730"/>
      <c r="G38" s="731"/>
      <c r="H38" s="732"/>
      <c r="I38" s="730"/>
      <c r="J38" s="731"/>
      <c r="K38" s="730"/>
      <c r="L38" s="731"/>
      <c r="M38" s="730"/>
      <c r="N38" s="731"/>
      <c r="O38" s="730"/>
      <c r="P38" s="731"/>
      <c r="Q38" s="476" t="s">
        <v>0</v>
      </c>
      <c r="R38" s="513"/>
      <c r="S38" s="513"/>
      <c r="T38" s="476"/>
    </row>
    <row r="39" spans="1:20" ht="13.5" thickBot="1">
      <c r="A39" s="480"/>
      <c r="B39" s="480"/>
      <c r="C39" s="480"/>
      <c r="D39" s="480"/>
      <c r="E39" s="480"/>
      <c r="F39" s="480"/>
      <c r="G39" s="480"/>
      <c r="H39" s="480"/>
      <c r="I39" s="480"/>
      <c r="J39" s="480"/>
      <c r="K39" s="733"/>
      <c r="L39" s="733"/>
      <c r="M39" s="734"/>
      <c r="N39" s="480"/>
      <c r="O39" s="480"/>
      <c r="P39" s="480"/>
      <c r="Q39" s="476" t="s">
        <v>0</v>
      </c>
      <c r="R39" s="496"/>
      <c r="S39" s="496"/>
      <c r="T39" s="476"/>
    </row>
    <row r="40" spans="1:20" s="542" customFormat="1" ht="18.75" customHeight="1" thickBot="1">
      <c r="A40" s="535" t="s">
        <v>135</v>
      </c>
      <c r="B40" s="536"/>
      <c r="C40" s="537">
        <f>C18+C27+C34</f>
        <v>0</v>
      </c>
      <c r="D40" s="538">
        <f>SUM(D35:D38)</f>
        <v>283045.22247410001</v>
      </c>
      <c r="E40" s="539"/>
      <c r="F40" s="537">
        <f>F18+F27+F34</f>
        <v>0</v>
      </c>
      <c r="G40" s="538">
        <f>SUM(G35:G37)</f>
        <v>253500</v>
      </c>
      <c r="H40" s="539"/>
      <c r="I40" s="537">
        <f>I18+I27+I34</f>
        <v>0</v>
      </c>
      <c r="J40" s="538">
        <f>SUM(J35:J37)</f>
        <v>262500</v>
      </c>
      <c r="K40" s="537">
        <f>K18+K27+K34</f>
        <v>0</v>
      </c>
      <c r="L40" s="538">
        <f>SUM(L35:L37)</f>
        <v>87000</v>
      </c>
      <c r="M40" s="537">
        <f>M18+M27+M34</f>
        <v>0</v>
      </c>
      <c r="N40" s="538">
        <f>SUM(N35:N37)</f>
        <v>-111500</v>
      </c>
      <c r="O40" s="537">
        <f>O18+O27+O34</f>
        <v>0</v>
      </c>
      <c r="P40" s="538">
        <f>SUM(P35:P37)</f>
        <v>238000</v>
      </c>
      <c r="Q40" s="476" t="s">
        <v>13</v>
      </c>
      <c r="R40" s="540"/>
      <c r="S40" s="541"/>
      <c r="T40" s="476"/>
    </row>
    <row r="41" spans="1:20">
      <c r="A41" s="543"/>
      <c r="B41" s="543"/>
      <c r="C41" s="540"/>
      <c r="D41" s="541"/>
      <c r="E41" s="543"/>
      <c r="F41" s="540"/>
      <c r="G41" s="541"/>
      <c r="H41" s="543"/>
      <c r="I41" s="540"/>
      <c r="J41" s="541"/>
      <c r="K41" s="542"/>
      <c r="L41" s="542"/>
      <c r="M41" s="542"/>
      <c r="N41" s="542"/>
      <c r="O41" s="542"/>
      <c r="P41" s="542"/>
      <c r="Q41" s="542"/>
      <c r="R41" s="544"/>
      <c r="S41" s="544"/>
      <c r="T41" s="476"/>
    </row>
    <row r="42" spans="1:20">
      <c r="A42" s="543"/>
      <c r="B42" s="543"/>
      <c r="C42" s="540"/>
      <c r="D42" s="541"/>
      <c r="E42" s="543"/>
      <c r="F42" s="540"/>
      <c r="G42" s="541"/>
      <c r="H42" s="543"/>
      <c r="I42" s="540"/>
      <c r="J42" s="541"/>
      <c r="K42" s="542"/>
      <c r="L42" s="542"/>
      <c r="M42" s="542"/>
      <c r="N42" s="542"/>
      <c r="O42" s="542"/>
      <c r="P42" s="542"/>
      <c r="Q42" s="542"/>
      <c r="R42" s="544"/>
      <c r="S42" s="544"/>
      <c r="T42" s="476"/>
    </row>
    <row r="43" spans="1:20">
      <c r="A43" s="543"/>
      <c r="B43" s="543"/>
      <c r="C43" s="540"/>
      <c r="D43" s="541"/>
      <c r="E43" s="543"/>
      <c r="F43" s="540"/>
      <c r="G43" s="541"/>
      <c r="H43" s="543"/>
      <c r="I43" s="540"/>
      <c r="J43" s="541"/>
      <c r="K43" s="542"/>
      <c r="L43" s="542"/>
      <c r="M43" s="542"/>
      <c r="N43" s="542"/>
      <c r="O43" s="542"/>
      <c r="P43" s="801"/>
      <c r="Q43" s="542"/>
      <c r="R43" s="544"/>
      <c r="S43" s="544"/>
    </row>
    <row r="44" spans="1:20" ht="204.75" customHeight="1">
      <c r="A44" s="545"/>
      <c r="C44" s="545"/>
      <c r="D44" s="546"/>
    </row>
    <row r="45" spans="1:20" ht="15">
      <c r="A45" s="1633"/>
      <c r="B45" s="1634"/>
      <c r="C45" s="1634"/>
      <c r="D45" s="1634"/>
      <c r="E45" s="1634"/>
      <c r="F45" s="1634"/>
      <c r="G45" s="1634"/>
      <c r="H45" s="234"/>
      <c r="I45" s="45"/>
      <c r="J45" s="45"/>
      <c r="K45" s="45"/>
      <c r="L45" s="45"/>
      <c r="M45" s="45"/>
      <c r="N45" s="45"/>
      <c r="O45" s="45"/>
      <c r="P45" s="45"/>
      <c r="Q45" s="45"/>
      <c r="R45" s="45"/>
      <c r="S45" s="45"/>
    </row>
    <row r="46" spans="1:20">
      <c r="A46" s="547"/>
      <c r="B46" s="547"/>
      <c r="C46" s="547"/>
      <c r="D46" s="547"/>
      <c r="E46" s="547"/>
      <c r="F46" s="547"/>
      <c r="G46" s="547"/>
      <c r="H46" s="547"/>
      <c r="I46" s="548"/>
      <c r="J46" s="548"/>
      <c r="K46" s="548"/>
      <c r="L46" s="548"/>
      <c r="M46" s="548"/>
      <c r="N46" s="548"/>
      <c r="O46" s="548"/>
      <c r="P46" s="548"/>
      <c r="Q46" s="548"/>
      <c r="R46" s="548"/>
      <c r="S46" s="548"/>
    </row>
    <row r="47" spans="1:20" ht="57" customHeight="1">
      <c r="A47" s="1635"/>
      <c r="B47" s="1636"/>
      <c r="C47" s="1636"/>
      <c r="D47" s="1636"/>
      <c r="E47" s="1636"/>
      <c r="F47" s="1636"/>
      <c r="G47" s="1636"/>
      <c r="H47" s="233"/>
      <c r="I47" s="44"/>
      <c r="J47" s="232"/>
      <c r="K47" s="232"/>
      <c r="L47" s="232"/>
      <c r="M47" s="232"/>
      <c r="N47" s="232"/>
      <c r="O47" s="232"/>
      <c r="P47" s="232"/>
      <c r="Q47" s="232"/>
      <c r="R47" s="232"/>
      <c r="S47" s="232"/>
    </row>
    <row r="48" spans="1:20" ht="33.75" customHeight="1">
      <c r="A48" s="1635"/>
      <c r="B48" s="1636"/>
      <c r="C48" s="1636"/>
      <c r="D48" s="1636"/>
      <c r="E48" s="1636"/>
      <c r="F48" s="1636"/>
      <c r="G48" s="1636"/>
      <c r="H48" s="233"/>
      <c r="I48" s="44"/>
      <c r="J48" s="232"/>
      <c r="K48" s="232"/>
      <c r="L48" s="232"/>
      <c r="M48" s="232"/>
      <c r="N48" s="232"/>
      <c r="O48" s="232"/>
      <c r="P48" s="232"/>
      <c r="Q48" s="232"/>
      <c r="R48" s="232"/>
      <c r="S48" s="232"/>
    </row>
    <row r="49" spans="1:19" ht="15">
      <c r="A49" s="1618"/>
      <c r="B49" s="1619"/>
      <c r="C49" s="1619"/>
      <c r="D49" s="1619"/>
      <c r="E49" s="1619"/>
      <c r="F49" s="1619"/>
      <c r="G49" s="1619"/>
      <c r="H49" s="1619"/>
      <c r="I49" s="1619"/>
      <c r="J49" s="1620"/>
      <c r="K49" s="1620"/>
      <c r="L49" s="1620"/>
      <c r="M49" s="1620"/>
      <c r="N49" s="1620"/>
      <c r="O49" s="1620"/>
      <c r="P49" s="1620"/>
      <c r="Q49" s="1620"/>
      <c r="R49" s="1620"/>
      <c r="S49" s="1620"/>
    </row>
    <row r="50" spans="1:19" ht="15">
      <c r="A50" s="1618"/>
      <c r="B50" s="1619"/>
      <c r="C50" s="1619"/>
      <c r="D50" s="1619"/>
      <c r="E50" s="1619"/>
      <c r="F50" s="1619"/>
      <c r="G50" s="1619"/>
      <c r="H50" s="1619"/>
      <c r="I50" s="1619"/>
      <c r="J50" s="1620"/>
      <c r="K50" s="1620"/>
      <c r="L50" s="1620"/>
      <c r="M50" s="1620"/>
      <c r="N50" s="1620"/>
      <c r="O50" s="1620"/>
      <c r="P50" s="1620"/>
      <c r="Q50" s="1620"/>
      <c r="R50" s="1620"/>
      <c r="S50" s="1620"/>
    </row>
    <row r="51" spans="1:19">
      <c r="S51" s="476"/>
    </row>
  </sheetData>
  <customSheetViews>
    <customSheetView guid="{DA38F665-F06D-4DFB-B852-747D93BB00EF}" scale="60" showPageBreaks="1" printArea="1" hiddenRows="1" view="pageBreakPreview">
      <selection activeCell="B210" sqref="B210"/>
      <pageMargins left="0.75" right="0.75" top="1" bottom="0.79" header="0.5" footer="0.5"/>
      <printOptions horizontalCentered="1"/>
      <pageSetup scale="54" orientation="landscape" r:id="rId1"/>
      <headerFooter alignWithMargins="0">
        <oddFooter>&amp;C&amp;"Times New Roman,Regular"Exhibit D - Resources by DOJ Strategic Goals &amp; Strategic Objectives&amp;R&amp;"Times New Roman,Regular"Juvenile Justice Programs</oddFooter>
      </headerFooter>
    </customSheetView>
    <customSheetView guid="{4D0F9E3D-0229-48CC-A08B-F132802E9D7B}" scale="60" showPageBreaks="1" printArea="1" hiddenRows="1" view="pageBreakPreview" topLeftCell="B22">
      <selection activeCell="O32" sqref="O32"/>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Objectives&amp;R&amp;"Times New Roman,Regular"Juvenile Justice Programs</oddFooter>
      </headerFooter>
    </customSheetView>
    <customSheetView guid="{F6772377-6B25-4EEA-B255-4C2F62B37855}" scale="60" showPageBreaks="1" printArea="1" hiddenRows="1" view="pageBreakPreview">
      <selection activeCell="Q20" sqref="Q20"/>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Objectives&amp;R&amp;"Times New Roman,Regular"Juvenile Justice Programs</oddFooter>
      </headerFooter>
    </customSheetView>
    <customSheetView guid="{27B9C207-C13F-4981-9CED-E69585BBD779}" scale="60" showPageBreaks="1" printArea="1" hiddenRows="1" view="pageBreakPreview">
      <selection activeCell="A26" sqref="A26"/>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Objectives&amp;R&amp;"Times New Roman,Regular"Juvenile Justice Programs</oddFooter>
      </headerFooter>
    </customSheetView>
  </customSheetViews>
  <mergeCells count="18">
    <mergeCell ref="A1:P1"/>
    <mergeCell ref="A3:P3"/>
    <mergeCell ref="A4:P4"/>
    <mergeCell ref="A5:P5"/>
    <mergeCell ref="A6:P6"/>
    <mergeCell ref="A49:S49"/>
    <mergeCell ref="A50:S50"/>
    <mergeCell ref="K10:L10"/>
    <mergeCell ref="M10:N10"/>
    <mergeCell ref="A11:A12"/>
    <mergeCell ref="A45:G45"/>
    <mergeCell ref="A47:G47"/>
    <mergeCell ref="A48:G48"/>
    <mergeCell ref="C9:D10"/>
    <mergeCell ref="F9:G10"/>
    <mergeCell ref="I9:J10"/>
    <mergeCell ref="K9:N9"/>
    <mergeCell ref="O9:P10"/>
  </mergeCells>
  <printOptions horizontalCentered="1"/>
  <pageMargins left="0.75" right="0.75" top="1" bottom="0.79" header="0.5" footer="0.5"/>
  <pageSetup scale="54" orientation="landscape" r:id="rId5"/>
  <headerFooter alignWithMargins="0">
    <oddFooter>&amp;C&amp;"Times New Roman,Regular"Exhibit D - Resources by DOJ Strategic Goals &amp; Strategic Objectives&amp;R&amp;"Times New Roman,Regular"Juvenile Justice Programs</oddFooter>
  </headerFooter>
</worksheet>
</file>

<file path=xl/worksheets/sheet32.xml><?xml version="1.0" encoding="utf-8"?>
<worksheet xmlns="http://schemas.openxmlformats.org/spreadsheetml/2006/main" xmlns:r="http://schemas.openxmlformats.org/officeDocument/2006/relationships">
  <sheetPr>
    <pageSetUpPr fitToPage="1"/>
  </sheetPr>
  <dimension ref="A1:AC55"/>
  <sheetViews>
    <sheetView showGridLines="0" showOutlineSymbols="0" view="pageBreakPreview" topLeftCell="A25" zoomScale="70" zoomScaleNormal="80" zoomScaleSheetLayoutView="70" workbookViewId="0">
      <selection activeCell="A38" sqref="A38"/>
    </sheetView>
  </sheetViews>
  <sheetFormatPr defaultColWidth="8.88671875" defaultRowHeight="15.75"/>
  <cols>
    <col min="1" max="1" width="61.6640625" style="18" customWidth="1"/>
    <col min="2" max="2" width="7.5546875" style="18" bestFit="1" customWidth="1"/>
    <col min="3" max="3" width="6.77734375" style="18" customWidth="1"/>
    <col min="4" max="4" width="10.88671875" style="18" bestFit="1" customWidth="1"/>
    <col min="5" max="5" width="5.77734375" style="18" customWidth="1"/>
    <col min="6" max="6" width="5.6640625" style="18" customWidth="1"/>
    <col min="7" max="7" width="7.77734375" style="18" customWidth="1"/>
    <col min="8" max="8" width="5.5546875" style="18" customWidth="1"/>
    <col min="9" max="9" width="5.6640625" style="18" customWidth="1"/>
    <col min="10" max="10" width="7.77734375" style="18" customWidth="1"/>
    <col min="11" max="11" width="9.21875" style="18" customWidth="1"/>
    <col min="12" max="12" width="10" style="18" customWidth="1"/>
    <col min="13" max="13" width="9.33203125" style="18" customWidth="1"/>
    <col min="14" max="14" width="6.77734375" style="18" customWidth="1"/>
    <col min="15" max="15" width="10.88671875" style="18" bestFit="1" customWidth="1"/>
    <col min="16" max="16" width="8.44140625" style="182" customWidth="1"/>
    <col min="17" max="16384" width="8.88671875" style="18"/>
  </cols>
  <sheetData>
    <row r="1" spans="1:16" ht="20.25">
      <c r="A1" s="1692" t="s">
        <v>156</v>
      </c>
      <c r="B1" s="1693"/>
      <c r="C1" s="1693"/>
      <c r="D1" s="1693"/>
      <c r="E1" s="1693"/>
      <c r="F1" s="1693"/>
      <c r="G1" s="1693"/>
      <c r="H1" s="1693"/>
      <c r="I1" s="1693"/>
      <c r="J1" s="1693"/>
      <c r="K1" s="1693"/>
      <c r="L1" s="1693"/>
      <c r="M1" s="1693"/>
      <c r="N1" s="1693"/>
      <c r="O1" s="1693"/>
      <c r="P1" s="181" t="s">
        <v>0</v>
      </c>
    </row>
    <row r="2" spans="1:16" ht="16.5" customHeight="1">
      <c r="A2" s="1901"/>
      <c r="B2" s="1901"/>
      <c r="C2" s="1901"/>
      <c r="D2" s="1901"/>
      <c r="E2" s="1901"/>
      <c r="F2" s="1901"/>
      <c r="G2" s="1901"/>
      <c r="H2" s="1901"/>
      <c r="I2" s="1901"/>
      <c r="J2" s="1901"/>
      <c r="K2" s="1901"/>
      <c r="L2" s="1901"/>
      <c r="M2" s="1901"/>
      <c r="N2" s="1901"/>
      <c r="O2" s="1901"/>
      <c r="P2" s="181" t="s">
        <v>0</v>
      </c>
    </row>
    <row r="3" spans="1:16" ht="16.5" customHeight="1">
      <c r="A3" s="1694" t="s">
        <v>136</v>
      </c>
      <c r="B3" s="1914"/>
      <c r="C3" s="1914"/>
      <c r="D3" s="1914"/>
      <c r="E3" s="1914"/>
      <c r="F3" s="1914"/>
      <c r="G3" s="1914"/>
      <c r="H3" s="1914"/>
      <c r="I3" s="1914"/>
      <c r="J3" s="1914"/>
      <c r="K3" s="1914"/>
      <c r="L3" s="1914"/>
      <c r="M3" s="1914"/>
      <c r="N3" s="1914"/>
      <c r="O3" s="1914"/>
      <c r="P3" s="181" t="s">
        <v>0</v>
      </c>
    </row>
    <row r="4" spans="1:16" ht="16.5" customHeight="1">
      <c r="A4" s="1696" t="str">
        <f>+'[6]B. Summ of Reqs - JJ '!A5</f>
        <v>Office of Justice Programs</v>
      </c>
      <c r="B4" s="1913"/>
      <c r="C4" s="1913"/>
      <c r="D4" s="1913"/>
      <c r="E4" s="1913"/>
      <c r="F4" s="1913"/>
      <c r="G4" s="1913"/>
      <c r="H4" s="1913"/>
      <c r="I4" s="1913"/>
      <c r="J4" s="1913"/>
      <c r="K4" s="1913"/>
      <c r="L4" s="1913"/>
      <c r="M4" s="1913"/>
      <c r="N4" s="1913"/>
      <c r="O4" s="1913"/>
      <c r="P4" s="181" t="s">
        <v>0</v>
      </c>
    </row>
    <row r="5" spans="1:16" ht="16.5" customHeight="1">
      <c r="A5" s="1696" t="str">
        <f>+'[6]B. Summ of Reqs - JJ '!A6</f>
        <v>Juvenile Justice Programs</v>
      </c>
      <c r="B5" s="1914"/>
      <c r="C5" s="1914"/>
      <c r="D5" s="1914"/>
      <c r="E5" s="1914"/>
      <c r="F5" s="1914"/>
      <c r="G5" s="1914"/>
      <c r="H5" s="1914"/>
      <c r="I5" s="1914"/>
      <c r="J5" s="1914"/>
      <c r="K5" s="1914"/>
      <c r="L5" s="1914"/>
      <c r="M5" s="1914"/>
      <c r="N5" s="1914"/>
      <c r="O5" s="1914"/>
      <c r="P5" s="181" t="s">
        <v>0</v>
      </c>
    </row>
    <row r="6" spans="1:16" ht="16.5" customHeight="1">
      <c r="A6" s="1690" t="s">
        <v>98</v>
      </c>
      <c r="B6" s="1913"/>
      <c r="C6" s="1913"/>
      <c r="D6" s="1913"/>
      <c r="E6" s="1913"/>
      <c r="F6" s="1913"/>
      <c r="G6" s="1913"/>
      <c r="H6" s="1913"/>
      <c r="I6" s="1913"/>
      <c r="J6" s="1913"/>
      <c r="K6" s="1913"/>
      <c r="L6" s="1913"/>
      <c r="M6" s="1913"/>
      <c r="N6" s="1913"/>
      <c r="O6" s="1913"/>
      <c r="P6" s="181" t="s">
        <v>0</v>
      </c>
    </row>
    <row r="7" spans="1:16" ht="16.5" customHeight="1">
      <c r="A7" s="1901"/>
      <c r="B7" s="1901"/>
      <c r="C7" s="1901"/>
      <c r="D7" s="1901"/>
      <c r="E7" s="1901"/>
      <c r="F7" s="1901"/>
      <c r="G7" s="1901"/>
      <c r="H7" s="1901"/>
      <c r="I7" s="1901"/>
      <c r="J7" s="1901"/>
      <c r="K7" s="1901"/>
      <c r="L7" s="1901"/>
      <c r="M7" s="1901"/>
      <c r="N7" s="1901"/>
      <c r="O7" s="1901"/>
      <c r="P7" s="181" t="s">
        <v>0</v>
      </c>
    </row>
    <row r="8" spans="1:16" ht="16.5" customHeight="1">
      <c r="A8" s="1902"/>
      <c r="B8" s="1902"/>
      <c r="C8" s="1902"/>
      <c r="D8" s="1902"/>
      <c r="E8" s="1902"/>
      <c r="F8" s="1902"/>
      <c r="G8" s="1902"/>
      <c r="H8" s="1902"/>
      <c r="I8" s="1902"/>
      <c r="J8" s="1902"/>
      <c r="K8" s="1902"/>
      <c r="L8" s="1902"/>
      <c r="M8" s="1902"/>
      <c r="N8" s="1902"/>
      <c r="O8" s="1902"/>
      <c r="P8" s="181" t="s">
        <v>0</v>
      </c>
    </row>
    <row r="9" spans="1:16" ht="16.5" customHeight="1">
      <c r="A9" s="1682" t="s">
        <v>23</v>
      </c>
      <c r="B9" s="1664" t="s">
        <v>592</v>
      </c>
      <c r="C9" s="1903"/>
      <c r="D9" s="1904"/>
      <c r="E9" s="1676" t="s">
        <v>109</v>
      </c>
      <c r="F9" s="1908"/>
      <c r="G9" s="1909"/>
      <c r="H9" s="1664" t="s">
        <v>12</v>
      </c>
      <c r="I9" s="1903"/>
      <c r="J9" s="1903"/>
      <c r="K9" s="1674" t="s">
        <v>141</v>
      </c>
      <c r="L9" s="1674" t="s">
        <v>142</v>
      </c>
      <c r="M9" s="1664" t="s">
        <v>137</v>
      </c>
      <c r="N9" s="1903"/>
      <c r="O9" s="1904"/>
      <c r="P9" s="181" t="s">
        <v>0</v>
      </c>
    </row>
    <row r="10" spans="1:16" ht="16.5" customHeight="1">
      <c r="A10" s="1683"/>
      <c r="B10" s="1905"/>
      <c r="C10" s="1906"/>
      <c r="D10" s="1907"/>
      <c r="E10" s="1910"/>
      <c r="F10" s="1911"/>
      <c r="G10" s="1912"/>
      <c r="H10" s="1905"/>
      <c r="I10" s="1906"/>
      <c r="J10" s="1906"/>
      <c r="K10" s="1675"/>
      <c r="L10" s="1675"/>
      <c r="M10" s="1905"/>
      <c r="N10" s="1906"/>
      <c r="O10" s="1907"/>
      <c r="P10" s="181" t="s">
        <v>0</v>
      </c>
    </row>
    <row r="11" spans="1:16" ht="16.5" customHeight="1" thickBot="1">
      <c r="A11" s="1684"/>
      <c r="B11" s="156" t="s">
        <v>115</v>
      </c>
      <c r="C11" s="157" t="s">
        <v>25</v>
      </c>
      <c r="D11" s="157" t="s">
        <v>117</v>
      </c>
      <c r="E11" s="156" t="s">
        <v>115</v>
      </c>
      <c r="F11" s="157" t="s">
        <v>25</v>
      </c>
      <c r="G11" s="157" t="s">
        <v>117</v>
      </c>
      <c r="H11" s="156" t="s">
        <v>115</v>
      </c>
      <c r="I11" s="157" t="s">
        <v>25</v>
      </c>
      <c r="J11" s="157" t="s">
        <v>117</v>
      </c>
      <c r="K11" s="265" t="s">
        <v>117</v>
      </c>
      <c r="L11" s="266" t="s">
        <v>117</v>
      </c>
      <c r="M11" s="156" t="s">
        <v>115</v>
      </c>
      <c r="N11" s="157" t="s">
        <v>25</v>
      </c>
      <c r="O11" s="158" t="s">
        <v>117</v>
      </c>
      <c r="P11" s="181" t="s">
        <v>0</v>
      </c>
    </row>
    <row r="12" spans="1:16" ht="16.5" customHeight="1">
      <c r="A12" s="802" t="s">
        <v>422</v>
      </c>
      <c r="B12" s="390"/>
      <c r="C12" s="391"/>
      <c r="D12" s="391">
        <v>62126</v>
      </c>
      <c r="E12" s="390"/>
      <c r="F12" s="391"/>
      <c r="G12" s="391">
        <v>-698.19259</v>
      </c>
      <c r="H12" s="390"/>
      <c r="I12" s="391"/>
      <c r="J12" s="391">
        <v>-1366</v>
      </c>
      <c r="K12" s="425">
        <v>2394.0510599999998</v>
      </c>
      <c r="L12" s="391">
        <v>749.07998999999995</v>
      </c>
      <c r="M12" s="390"/>
      <c r="N12" s="391"/>
      <c r="O12" s="388">
        <f t="shared" ref="O12:O35" si="0">D12+G12+J12+K12+L12</f>
        <v>63204.938459999998</v>
      </c>
      <c r="P12" s="181" t="s">
        <v>0</v>
      </c>
    </row>
    <row r="13" spans="1:16" ht="16.5" customHeight="1">
      <c r="A13" s="802" t="s">
        <v>423</v>
      </c>
      <c r="B13" s="390"/>
      <c r="C13" s="391"/>
      <c r="D13" s="391"/>
      <c r="E13" s="390"/>
      <c r="F13" s="391"/>
      <c r="G13" s="391"/>
      <c r="H13" s="390"/>
      <c r="I13" s="391"/>
      <c r="J13" s="391"/>
      <c r="K13" s="425">
        <v>2546.89633</v>
      </c>
      <c r="L13" s="391">
        <v>1476.18085</v>
      </c>
      <c r="M13" s="390"/>
      <c r="N13" s="391"/>
      <c r="O13" s="388">
        <f t="shared" si="0"/>
        <v>4023.0771800000002</v>
      </c>
      <c r="P13" s="181" t="s">
        <v>0</v>
      </c>
    </row>
    <row r="14" spans="1:16" ht="16.5" customHeight="1">
      <c r="A14" s="802" t="s">
        <v>405</v>
      </c>
      <c r="B14" s="390"/>
      <c r="C14" s="391"/>
      <c r="D14" s="391">
        <v>53842</v>
      </c>
      <c r="E14" s="390"/>
      <c r="F14" s="391"/>
      <c r="G14" s="391">
        <v>-3195.6938100000002</v>
      </c>
      <c r="H14" s="390"/>
      <c r="I14" s="391"/>
      <c r="J14" s="391">
        <v>-1183</v>
      </c>
      <c r="K14" s="425">
        <f>SUM(K15:K18)</f>
        <v>1582.3413599999999</v>
      </c>
      <c r="L14" s="425">
        <f>SUM(L15:L18)</f>
        <v>3683.5668599999999</v>
      </c>
      <c r="M14" s="390"/>
      <c r="N14" s="391"/>
      <c r="O14" s="388">
        <f t="shared" si="0"/>
        <v>54729.21441</v>
      </c>
      <c r="P14" s="181" t="s">
        <v>0</v>
      </c>
    </row>
    <row r="15" spans="1:16" ht="16.5" customHeight="1">
      <c r="A15" s="370" t="s">
        <v>413</v>
      </c>
      <c r="B15" s="390"/>
      <c r="C15" s="391"/>
      <c r="D15" s="550">
        <v>4142</v>
      </c>
      <c r="E15" s="551"/>
      <c r="F15" s="550"/>
      <c r="G15" s="662">
        <v>1038</v>
      </c>
      <c r="H15" s="551"/>
      <c r="I15" s="550"/>
      <c r="J15" s="653">
        <v>-91</v>
      </c>
      <c r="K15" s="803">
        <v>-7.2172400000000003</v>
      </c>
      <c r="L15" s="550">
        <f>1093.37466+439</f>
        <v>1532.3746599999999</v>
      </c>
      <c r="M15" s="551"/>
      <c r="N15" s="550"/>
      <c r="O15" s="552">
        <f t="shared" si="0"/>
        <v>6614.1574199999995</v>
      </c>
      <c r="P15" s="181" t="s">
        <v>0</v>
      </c>
    </row>
    <row r="16" spans="1:16" ht="16.5" customHeight="1">
      <c r="A16" s="370" t="s">
        <v>414</v>
      </c>
      <c r="B16" s="390"/>
      <c r="C16" s="391"/>
      <c r="D16" s="550">
        <v>20708</v>
      </c>
      <c r="E16" s="551"/>
      <c r="F16" s="550"/>
      <c r="G16" s="662">
        <v>369</v>
      </c>
      <c r="H16" s="551"/>
      <c r="I16" s="550"/>
      <c r="J16" s="653">
        <v>-455</v>
      </c>
      <c r="K16" s="803">
        <v>430.71526999999998</v>
      </c>
      <c r="L16" s="550">
        <v>438.05268999999998</v>
      </c>
      <c r="M16" s="551"/>
      <c r="N16" s="550"/>
      <c r="O16" s="552">
        <f t="shared" si="0"/>
        <v>21490.767960000001</v>
      </c>
      <c r="P16" s="181" t="s">
        <v>0</v>
      </c>
    </row>
    <row r="17" spans="1:16" ht="16.5" customHeight="1">
      <c r="A17" s="370" t="s">
        <v>415</v>
      </c>
      <c r="B17" s="390"/>
      <c r="C17" s="391"/>
      <c r="D17" s="550">
        <v>8283</v>
      </c>
      <c r="E17" s="551"/>
      <c r="F17" s="550"/>
      <c r="G17" s="662">
        <v>631</v>
      </c>
      <c r="H17" s="551"/>
      <c r="I17" s="550"/>
      <c r="J17" s="653">
        <v>-182</v>
      </c>
      <c r="K17" s="803">
        <v>576.04616999999996</v>
      </c>
      <c r="L17" s="550">
        <v>836.89795000000004</v>
      </c>
      <c r="M17" s="551"/>
      <c r="N17" s="550"/>
      <c r="O17" s="552">
        <f t="shared" si="0"/>
        <v>10144.94412</v>
      </c>
      <c r="P17" s="181" t="s">
        <v>0</v>
      </c>
    </row>
    <row r="18" spans="1:16" ht="16.5" customHeight="1">
      <c r="A18" s="370" t="s">
        <v>416</v>
      </c>
      <c r="B18" s="390"/>
      <c r="C18" s="391"/>
      <c r="D18" s="550">
        <v>20708</v>
      </c>
      <c r="E18" s="551"/>
      <c r="F18" s="550"/>
      <c r="G18" s="662">
        <v>1159</v>
      </c>
      <c r="H18" s="551"/>
      <c r="I18" s="550"/>
      <c r="J18" s="653">
        <v>-455</v>
      </c>
      <c r="K18" s="803">
        <v>582.79715999999996</v>
      </c>
      <c r="L18" s="550">
        <v>876.24156000000005</v>
      </c>
      <c r="M18" s="551"/>
      <c r="N18" s="550"/>
      <c r="O18" s="552">
        <f t="shared" si="0"/>
        <v>22871.038719999997</v>
      </c>
      <c r="P18" s="181" t="s">
        <v>0</v>
      </c>
    </row>
    <row r="19" spans="1:16" ht="16.5" customHeight="1">
      <c r="A19" s="802" t="s">
        <v>409</v>
      </c>
      <c r="B19" s="390"/>
      <c r="C19" s="391"/>
      <c r="D19" s="391">
        <v>18638</v>
      </c>
      <c r="E19" s="390"/>
      <c r="F19" s="391"/>
      <c r="G19" s="391">
        <v>-5.0787599999999999</v>
      </c>
      <c r="H19" s="390"/>
      <c r="I19" s="391"/>
      <c r="J19" s="391">
        <v>-410</v>
      </c>
      <c r="K19" s="425">
        <v>159.27223000000001</v>
      </c>
      <c r="L19" s="391">
        <v>5.0787599999999999</v>
      </c>
      <c r="M19" s="390"/>
      <c r="N19" s="391"/>
      <c r="O19" s="388">
        <f t="shared" si="0"/>
        <v>18387.272229999999</v>
      </c>
      <c r="P19" s="181" t="s">
        <v>0</v>
      </c>
    </row>
    <row r="20" spans="1:16" ht="16.5" customHeight="1">
      <c r="A20" s="802" t="s">
        <v>417</v>
      </c>
      <c r="B20" s="390"/>
      <c r="C20" s="391"/>
      <c r="D20" s="391">
        <v>45559</v>
      </c>
      <c r="E20" s="390"/>
      <c r="F20" s="391"/>
      <c r="G20" s="391"/>
      <c r="H20" s="390"/>
      <c r="I20" s="391"/>
      <c r="J20" s="391"/>
      <c r="K20" s="425">
        <v>1009.86126</v>
      </c>
      <c r="L20" s="391">
        <f>989.08001</f>
        <v>989.08001000000002</v>
      </c>
      <c r="M20" s="390"/>
      <c r="N20" s="391"/>
      <c r="O20" s="388">
        <f t="shared" si="0"/>
        <v>47557.941269999996</v>
      </c>
      <c r="P20" s="181" t="s">
        <v>0</v>
      </c>
    </row>
    <row r="21" spans="1:16" ht="16.5" customHeight="1">
      <c r="A21" s="370" t="s">
        <v>418</v>
      </c>
      <c r="B21" s="390"/>
      <c r="C21" s="391"/>
      <c r="D21" s="391">
        <v>4142</v>
      </c>
      <c r="E21" s="390"/>
      <c r="F21" s="391"/>
      <c r="G21" s="391"/>
      <c r="H21" s="390"/>
      <c r="I21" s="391"/>
      <c r="J21" s="391">
        <v>-91</v>
      </c>
      <c r="K21" s="425">
        <v>-211.10642000000001</v>
      </c>
      <c r="L21" s="391"/>
      <c r="M21" s="390"/>
      <c r="N21" s="391"/>
      <c r="O21" s="388">
        <f t="shared" si="0"/>
        <v>3839.8935799999999</v>
      </c>
      <c r="P21" s="181" t="s">
        <v>0</v>
      </c>
    </row>
    <row r="22" spans="1:16" ht="16.5" customHeight="1">
      <c r="A22" s="802" t="s">
        <v>406</v>
      </c>
      <c r="B22" s="390"/>
      <c r="C22" s="391"/>
      <c r="D22" s="391">
        <v>8283</v>
      </c>
      <c r="E22" s="390"/>
      <c r="F22" s="391"/>
      <c r="G22" s="391"/>
      <c r="H22" s="390"/>
      <c r="I22" s="391"/>
      <c r="J22" s="391">
        <v>-182</v>
      </c>
      <c r="K22" s="425">
        <f>0.25/1000</f>
        <v>2.5000000000000001E-4</v>
      </c>
      <c r="L22" s="391"/>
      <c r="M22" s="390"/>
      <c r="N22" s="391"/>
      <c r="O22" s="388">
        <f t="shared" si="0"/>
        <v>8101.0002500000001</v>
      </c>
      <c r="P22" s="181" t="s">
        <v>0</v>
      </c>
    </row>
    <row r="23" spans="1:16" ht="16.5" customHeight="1">
      <c r="A23" s="370" t="s">
        <v>410</v>
      </c>
      <c r="B23" s="390"/>
      <c r="C23" s="391"/>
      <c r="D23" s="391">
        <v>82834</v>
      </c>
      <c r="E23" s="390"/>
      <c r="F23" s="391"/>
      <c r="G23" s="391">
        <v>-145</v>
      </c>
      <c r="H23" s="390"/>
      <c r="I23" s="391"/>
      <c r="J23" s="391">
        <f>20000-1821</f>
        <v>18179</v>
      </c>
      <c r="K23" s="425">
        <v>1014.1217</v>
      </c>
      <c r="L23" s="391">
        <v>145.07064</v>
      </c>
      <c r="M23" s="390"/>
      <c r="N23" s="391"/>
      <c r="O23" s="388">
        <f t="shared" si="0"/>
        <v>102027.19234000001</v>
      </c>
      <c r="P23" s="181" t="s">
        <v>0</v>
      </c>
    </row>
    <row r="24" spans="1:16" ht="16.5" customHeight="1">
      <c r="A24" s="370" t="s">
        <v>424</v>
      </c>
      <c r="B24" s="390"/>
      <c r="C24" s="391"/>
      <c r="D24" s="391"/>
      <c r="E24" s="390"/>
      <c r="F24" s="391"/>
      <c r="G24" s="391"/>
      <c r="H24" s="390"/>
      <c r="I24" s="391"/>
      <c r="J24" s="391">
        <v>-1002</v>
      </c>
      <c r="K24" s="425"/>
      <c r="L24" s="391"/>
      <c r="M24" s="390"/>
      <c r="N24" s="391"/>
      <c r="O24" s="388">
        <f t="shared" si="0"/>
        <v>-1002</v>
      </c>
      <c r="P24" s="181" t="s">
        <v>0</v>
      </c>
    </row>
    <row r="25" spans="1:16" ht="16.5" customHeight="1">
      <c r="A25" s="802" t="s">
        <v>425</v>
      </c>
      <c r="B25" s="390"/>
      <c r="C25" s="391"/>
      <c r="D25" s="391"/>
      <c r="E25" s="390"/>
      <c r="F25" s="391"/>
      <c r="G25" s="391">
        <v>-285.44769000000002</v>
      </c>
      <c r="H25" s="390"/>
      <c r="I25" s="391"/>
      <c r="J25" s="391"/>
      <c r="K25" s="425">
        <v>237.5</v>
      </c>
      <c r="L25" s="391">
        <v>47.947690000000001</v>
      </c>
      <c r="M25" s="390"/>
      <c r="N25" s="391"/>
      <c r="O25" s="388">
        <f t="shared" si="0"/>
        <v>0</v>
      </c>
      <c r="P25" s="181" t="s">
        <v>0</v>
      </c>
    </row>
    <row r="26" spans="1:16" ht="16.5" customHeight="1">
      <c r="A26" s="370" t="s">
        <v>426</v>
      </c>
      <c r="B26" s="390"/>
      <c r="C26" s="391"/>
      <c r="D26" s="391"/>
      <c r="E26" s="390"/>
      <c r="F26" s="391"/>
      <c r="G26" s="391">
        <v>-3.0957499999999998</v>
      </c>
      <c r="H26" s="390"/>
      <c r="I26" s="391"/>
      <c r="J26" s="391"/>
      <c r="K26" s="425"/>
      <c r="L26" s="391">
        <v>3.0957499999999998</v>
      </c>
      <c r="M26" s="390"/>
      <c r="N26" s="391"/>
      <c r="O26" s="388">
        <f t="shared" si="0"/>
        <v>0</v>
      </c>
      <c r="P26" s="181" t="s">
        <v>0</v>
      </c>
    </row>
    <row r="27" spans="1:16" ht="16.5" customHeight="1">
      <c r="A27" s="802" t="s">
        <v>427</v>
      </c>
      <c r="B27" s="390"/>
      <c r="C27" s="391"/>
      <c r="D27" s="391"/>
      <c r="E27" s="390"/>
      <c r="F27" s="391"/>
      <c r="G27" s="391">
        <v>-29.217569999999998</v>
      </c>
      <c r="H27" s="390"/>
      <c r="I27" s="391"/>
      <c r="J27" s="391"/>
      <c r="K27" s="425"/>
      <c r="L27" s="391">
        <v>29.217569999999998</v>
      </c>
      <c r="M27" s="390"/>
      <c r="N27" s="391"/>
      <c r="O27" s="388">
        <f t="shared" si="0"/>
        <v>0</v>
      </c>
      <c r="P27" s="181" t="s">
        <v>0</v>
      </c>
    </row>
    <row r="28" spans="1:16" ht="16.5" customHeight="1">
      <c r="A28" s="370" t="s">
        <v>428</v>
      </c>
      <c r="B28" s="390"/>
      <c r="C28" s="391"/>
      <c r="D28" s="391"/>
      <c r="E28" s="390"/>
      <c r="F28" s="391"/>
      <c r="G28" s="391">
        <v>-108.59872</v>
      </c>
      <c r="H28" s="390"/>
      <c r="I28" s="391"/>
      <c r="J28" s="391"/>
      <c r="K28" s="425"/>
      <c r="L28" s="391">
        <v>144.11578</v>
      </c>
      <c r="M28" s="390"/>
      <c r="N28" s="391"/>
      <c r="O28" s="388">
        <f t="shared" si="0"/>
        <v>35.517060000000001</v>
      </c>
      <c r="P28" s="181" t="s">
        <v>0</v>
      </c>
    </row>
    <row r="29" spans="1:16" ht="16.5" customHeight="1">
      <c r="A29" s="370" t="s">
        <v>429</v>
      </c>
      <c r="B29" s="390"/>
      <c r="C29" s="391"/>
      <c r="D29" s="391"/>
      <c r="E29" s="390"/>
      <c r="F29" s="391"/>
      <c r="G29" s="391"/>
      <c r="H29" s="390"/>
      <c r="I29" s="391"/>
      <c r="J29" s="391"/>
      <c r="K29" s="425"/>
      <c r="L29" s="391">
        <v>65.877709999999993</v>
      </c>
      <c r="M29" s="390"/>
      <c r="N29" s="391"/>
      <c r="O29" s="388">
        <f t="shared" si="0"/>
        <v>65.877709999999993</v>
      </c>
      <c r="P29" s="181" t="s">
        <v>0</v>
      </c>
    </row>
    <row r="30" spans="1:16" ht="16.5" customHeight="1">
      <c r="A30" s="802" t="s">
        <v>430</v>
      </c>
      <c r="B30" s="390"/>
      <c r="C30" s="391"/>
      <c r="D30" s="391"/>
      <c r="E30" s="390"/>
      <c r="F30" s="391"/>
      <c r="G30" s="391"/>
      <c r="H30" s="390"/>
      <c r="I30" s="391"/>
      <c r="J30" s="391"/>
      <c r="K30" s="425">
        <v>29.5778</v>
      </c>
      <c r="L30" s="391"/>
      <c r="M30" s="390"/>
      <c r="N30" s="391"/>
      <c r="O30" s="388">
        <f t="shared" si="0"/>
        <v>29.5778</v>
      </c>
      <c r="P30" s="181" t="s">
        <v>0</v>
      </c>
    </row>
    <row r="31" spans="1:16" ht="16.5" customHeight="1">
      <c r="A31" s="370" t="s">
        <v>431</v>
      </c>
      <c r="B31" s="390"/>
      <c r="C31" s="391"/>
      <c r="D31" s="391"/>
      <c r="E31" s="390"/>
      <c r="F31" s="391"/>
      <c r="G31" s="391">
        <v>-1531.53656</v>
      </c>
      <c r="H31" s="390"/>
      <c r="I31" s="391"/>
      <c r="J31" s="391"/>
      <c r="K31" s="425"/>
      <c r="L31" s="391"/>
      <c r="M31" s="390"/>
      <c r="N31" s="391"/>
      <c r="O31" s="388">
        <f t="shared" si="0"/>
        <v>-1531.53656</v>
      </c>
      <c r="P31" s="181" t="s">
        <v>0</v>
      </c>
    </row>
    <row r="32" spans="1:16" ht="16.5" customHeight="1">
      <c r="A32" s="370" t="s">
        <v>432</v>
      </c>
      <c r="B32" s="390"/>
      <c r="C32" s="391"/>
      <c r="D32" s="391"/>
      <c r="E32" s="390"/>
      <c r="F32" s="391"/>
      <c r="G32" s="391">
        <v>-118.19869</v>
      </c>
      <c r="H32" s="390"/>
      <c r="I32" s="391"/>
      <c r="J32" s="391"/>
      <c r="K32" s="425"/>
      <c r="L32" s="391">
        <v>118.19869</v>
      </c>
      <c r="M32" s="390"/>
      <c r="N32" s="391"/>
      <c r="O32" s="388">
        <f t="shared" si="0"/>
        <v>0</v>
      </c>
      <c r="P32" s="181" t="s">
        <v>0</v>
      </c>
    </row>
    <row r="33" spans="1:29" ht="16.5" customHeight="1">
      <c r="A33" s="802" t="s">
        <v>433</v>
      </c>
      <c r="B33" s="390"/>
      <c r="C33" s="391"/>
      <c r="D33" s="391"/>
      <c r="E33" s="390"/>
      <c r="F33" s="391"/>
      <c r="G33" s="391">
        <f>-47.95408</f>
        <v>-47.954079999999998</v>
      </c>
      <c r="H33" s="390"/>
      <c r="I33" s="391"/>
      <c r="J33" s="391"/>
      <c r="K33" s="425">
        <v>39.954349999999998</v>
      </c>
      <c r="L33" s="391">
        <v>47.733580000000003</v>
      </c>
      <c r="M33" s="390"/>
      <c r="N33" s="391"/>
      <c r="O33" s="388">
        <f t="shared" si="0"/>
        <v>39.733850000000004</v>
      </c>
      <c r="P33" s="181" t="s">
        <v>0</v>
      </c>
    </row>
    <row r="34" spans="1:29" ht="16.5" customHeight="1">
      <c r="A34" s="802" t="s">
        <v>434</v>
      </c>
      <c r="B34" s="390"/>
      <c r="C34" s="391"/>
      <c r="D34" s="391"/>
      <c r="E34" s="390"/>
      <c r="F34" s="391"/>
      <c r="G34" s="391">
        <f>-154.50263</f>
        <v>-154.50263000000001</v>
      </c>
      <c r="H34" s="390"/>
      <c r="I34" s="391"/>
      <c r="J34" s="391"/>
      <c r="K34" s="425">
        <v>1188.2738999999999</v>
      </c>
      <c r="L34" s="391">
        <v>33.534379999999999</v>
      </c>
      <c r="M34" s="390"/>
      <c r="N34" s="391"/>
      <c r="O34" s="388">
        <f t="shared" si="0"/>
        <v>1067.30565</v>
      </c>
      <c r="P34" s="181" t="s">
        <v>0</v>
      </c>
    </row>
    <row r="35" spans="1:29" ht="16.5" customHeight="1">
      <c r="A35" s="555" t="s">
        <v>261</v>
      </c>
      <c r="B35" s="1251"/>
      <c r="C35" s="399"/>
      <c r="D35" s="399"/>
      <c r="E35" s="1251"/>
      <c r="F35" s="399"/>
      <c r="G35" s="399"/>
      <c r="H35" s="1251"/>
      <c r="I35" s="399"/>
      <c r="J35" s="399"/>
      <c r="K35" s="793">
        <v>176.59700000000001</v>
      </c>
      <c r="L35" s="399"/>
      <c r="M35" s="1251"/>
      <c r="N35" s="399"/>
      <c r="O35" s="398">
        <f t="shared" si="0"/>
        <v>176.59700000000001</v>
      </c>
      <c r="P35" s="181" t="s">
        <v>0</v>
      </c>
    </row>
    <row r="36" spans="1:29" ht="16.5" customHeight="1">
      <c r="A36" s="162" t="s">
        <v>124</v>
      </c>
      <c r="B36" s="267">
        <f>SUM(B12:B35)</f>
        <v>0</v>
      </c>
      <c r="C36" s="268">
        <f>SUM(C12:C35)</f>
        <v>0</v>
      </c>
      <c r="D36" s="166">
        <f>SUM(D12,D14,D19:D35)+1</f>
        <v>275425</v>
      </c>
      <c r="E36" s="267">
        <f>SUM(E12:E35)</f>
        <v>0</v>
      </c>
      <c r="F36" s="268">
        <f>SUM(F12:F35)</f>
        <v>0</v>
      </c>
      <c r="G36" s="166">
        <f>SUM(G12,G14,G19:G35)</f>
        <v>-6322.5168500000009</v>
      </c>
      <c r="H36" s="267">
        <f>SUM(H12:H35)</f>
        <v>0</v>
      </c>
      <c r="I36" s="268">
        <f>SUM(I12:I35)</f>
        <v>0</v>
      </c>
      <c r="J36" s="166">
        <f>SUM(J12+J15+J16+J17+J18+J19+J20+J21+J22+J23+J24+J25+J26+J27+J28+J31+J32+J33+J34)</f>
        <v>13945</v>
      </c>
      <c r="K36" s="754">
        <f>SUM(K12+K13+K14+K19+K20+K21+K22+K23+K24+K25+K26+K27+K28+K29+K30+K31+K32+K33+K34+K347+K35)</f>
        <v>10167.340819999998</v>
      </c>
      <c r="L36" s="1452">
        <f>SUM(L12+L13+L14+L19+L20+L21+L22+L23+L24+L25+L26+L27+L28+L29+L30+L31+L32+L33+L34+L347+L35)</f>
        <v>7537.77826</v>
      </c>
      <c r="M36" s="267">
        <f>SUM(M12:M35)</f>
        <v>0</v>
      </c>
      <c r="N36" s="268">
        <f>SUM(N12:N35)</f>
        <v>0</v>
      </c>
      <c r="O36" s="1350">
        <f>SUM(O12+O13+O14+O19+O20+O21+O22+O23+O24+O25+O26+O27+O28+O29+O30+O31+O32+O33+O34+O347+O35)</f>
        <v>300751.60223000002</v>
      </c>
      <c r="P36" s="181" t="s">
        <v>0</v>
      </c>
    </row>
    <row r="37" spans="1:29" ht="16.5" customHeight="1">
      <c r="A37" s="359" t="s">
        <v>103</v>
      </c>
      <c r="B37" s="381" t="s">
        <v>116</v>
      </c>
      <c r="C37" s="382"/>
      <c r="D37" s="382"/>
      <c r="E37" s="381"/>
      <c r="F37" s="382"/>
      <c r="G37" s="382"/>
      <c r="H37" s="381"/>
      <c r="I37" s="382"/>
      <c r="J37" s="382"/>
      <c r="K37" s="421"/>
      <c r="L37" s="382"/>
      <c r="M37" s="381"/>
      <c r="N37" s="382"/>
      <c r="O37" s="379"/>
      <c r="P37" s="181" t="s">
        <v>0</v>
      </c>
      <c r="Q37" s="559"/>
      <c r="R37" s="559"/>
      <c r="S37" s="559"/>
      <c r="T37" s="559"/>
      <c r="U37" s="559"/>
      <c r="V37" s="559"/>
      <c r="W37" s="559"/>
      <c r="X37" s="559"/>
      <c r="Y37" s="559"/>
      <c r="Z37" s="559"/>
      <c r="AA37" s="559"/>
      <c r="AB37" s="559"/>
      <c r="AC37" s="559"/>
    </row>
    <row r="38" spans="1:29" ht="16.5" customHeight="1">
      <c r="A38" s="359" t="s">
        <v>102</v>
      </c>
      <c r="B38" s="560"/>
      <c r="C38" s="407">
        <f>SUM(C36:C37)</f>
        <v>0</v>
      </c>
      <c r="D38" s="407"/>
      <c r="E38" s="560"/>
      <c r="F38" s="407">
        <f>+F36+F37</f>
        <v>0</v>
      </c>
      <c r="G38" s="407"/>
      <c r="H38" s="560"/>
      <c r="I38" s="407">
        <f>+I36+I37</f>
        <v>0</v>
      </c>
      <c r="J38" s="407"/>
      <c r="K38" s="561"/>
      <c r="L38" s="407"/>
      <c r="M38" s="560"/>
      <c r="N38" s="407">
        <f>SUM(N36:N37)</f>
        <v>0</v>
      </c>
      <c r="O38" s="408"/>
      <c r="P38" s="181" t="s">
        <v>0</v>
      </c>
    </row>
    <row r="39" spans="1:29" ht="16.5" customHeight="1">
      <c r="A39" s="562" t="s">
        <v>104</v>
      </c>
      <c r="B39" s="390"/>
      <c r="C39" s="391"/>
      <c r="D39" s="391"/>
      <c r="E39" s="390"/>
      <c r="F39" s="391"/>
      <c r="G39" s="391"/>
      <c r="H39" s="390"/>
      <c r="I39" s="391"/>
      <c r="J39" s="391"/>
      <c r="K39" s="425"/>
      <c r="L39" s="391"/>
      <c r="M39" s="390"/>
      <c r="N39" s="391"/>
      <c r="O39" s="388"/>
      <c r="P39" s="181" t="s">
        <v>0</v>
      </c>
    </row>
    <row r="40" spans="1:29" ht="16.5" customHeight="1">
      <c r="A40" s="563" t="s">
        <v>31</v>
      </c>
      <c r="B40" s="390"/>
      <c r="C40" s="391"/>
      <c r="D40" s="391"/>
      <c r="E40" s="390"/>
      <c r="F40" s="391"/>
      <c r="G40" s="391"/>
      <c r="H40" s="390"/>
      <c r="I40" s="391"/>
      <c r="J40" s="391"/>
      <c r="K40" s="425"/>
      <c r="L40" s="391"/>
      <c r="M40" s="390"/>
      <c r="N40" s="391"/>
      <c r="O40" s="388"/>
      <c r="P40" s="181" t="s">
        <v>0</v>
      </c>
    </row>
    <row r="41" spans="1:29" ht="16.5" customHeight="1">
      <c r="A41" s="564" t="s">
        <v>60</v>
      </c>
      <c r="B41" s="381"/>
      <c r="C41" s="382"/>
      <c r="D41" s="382"/>
      <c r="E41" s="381"/>
      <c r="F41" s="382"/>
      <c r="G41" s="382"/>
      <c r="H41" s="381"/>
      <c r="I41" s="382"/>
      <c r="J41" s="382"/>
      <c r="K41" s="421"/>
      <c r="L41" s="382"/>
      <c r="M41" s="381"/>
      <c r="N41" s="382"/>
      <c r="O41" s="379"/>
      <c r="P41" s="181" t="s">
        <v>0</v>
      </c>
    </row>
    <row r="42" spans="1:29" ht="16.5" customHeight="1">
      <c r="A42" s="359" t="s">
        <v>105</v>
      </c>
      <c r="B42" s="381"/>
      <c r="C42" s="382">
        <f>C41+C40+C38</f>
        <v>0</v>
      </c>
      <c r="D42" s="565"/>
      <c r="E42" s="381"/>
      <c r="F42" s="382">
        <f>F41+F40+F38</f>
        <v>0</v>
      </c>
      <c r="G42" s="565"/>
      <c r="H42" s="381"/>
      <c r="I42" s="382">
        <f>I41+I40+I38</f>
        <v>0</v>
      </c>
      <c r="J42" s="565"/>
      <c r="K42" s="566"/>
      <c r="L42" s="565"/>
      <c r="M42" s="381"/>
      <c r="N42" s="382">
        <f>N41+N40+N38</f>
        <v>0</v>
      </c>
      <c r="O42" s="567"/>
      <c r="P42" s="181" t="s">
        <v>0</v>
      </c>
    </row>
    <row r="43" spans="1:29" ht="16.5" customHeight="1">
      <c r="B43" s="1"/>
      <c r="C43" s="1"/>
      <c r="D43" s="1"/>
      <c r="E43" s="1"/>
      <c r="F43" s="1"/>
      <c r="G43" s="1"/>
      <c r="H43" s="1"/>
      <c r="I43" s="1"/>
      <c r="J43" s="1"/>
      <c r="K43" s="1"/>
      <c r="L43" s="1"/>
      <c r="M43" s="1"/>
      <c r="N43" s="1"/>
      <c r="O43" s="1"/>
      <c r="P43" s="181" t="s">
        <v>0</v>
      </c>
    </row>
    <row r="44" spans="1:29" ht="16.5" customHeight="1">
      <c r="A44" s="1" t="s">
        <v>593</v>
      </c>
      <c r="C44" s="1"/>
      <c r="D44" s="1"/>
      <c r="E44" s="1"/>
      <c r="F44" s="1"/>
      <c r="G44" s="1"/>
      <c r="H44" s="1"/>
      <c r="I44" s="1"/>
      <c r="J44" s="1"/>
      <c r="K44" s="1"/>
      <c r="L44" s="1"/>
      <c r="M44" s="1"/>
      <c r="N44" s="1"/>
      <c r="O44" s="1"/>
      <c r="P44" s="181" t="s">
        <v>0</v>
      </c>
    </row>
    <row r="45" spans="1:29" ht="16.5" customHeight="1">
      <c r="A45" s="1" t="s">
        <v>679</v>
      </c>
      <c r="C45" s="1"/>
      <c r="D45" s="1"/>
      <c r="E45" s="1"/>
      <c r="F45" s="1"/>
      <c r="G45" s="1"/>
      <c r="H45" s="1"/>
      <c r="I45" s="1"/>
      <c r="J45" s="1"/>
      <c r="K45" s="1"/>
      <c r="L45" s="1"/>
      <c r="M45" s="1"/>
      <c r="N45" s="1"/>
      <c r="O45" s="1"/>
      <c r="P45" s="181" t="s">
        <v>0</v>
      </c>
    </row>
    <row r="46" spans="1:29" ht="16.5" customHeight="1">
      <c r="A46" s="1353" t="s">
        <v>680</v>
      </c>
      <c r="B46" s="1351"/>
      <c r="C46" s="1353"/>
      <c r="D46" s="1353"/>
      <c r="E46" s="1353"/>
      <c r="F46" s="1353"/>
      <c r="G46" s="1353"/>
      <c r="H46" s="1353"/>
      <c r="I46" s="1353"/>
      <c r="J46" s="1353"/>
      <c r="K46" s="1353"/>
      <c r="L46" s="1353"/>
      <c r="M46" s="1"/>
      <c r="N46" s="1"/>
      <c r="O46" s="1"/>
      <c r="P46" s="568" t="s">
        <v>13</v>
      </c>
    </row>
    <row r="47" spans="1:29" ht="16.5" customHeight="1">
      <c r="A47" s="1"/>
      <c r="C47" s="1"/>
      <c r="D47" s="1"/>
      <c r="E47" s="1"/>
      <c r="F47" s="1"/>
      <c r="G47" s="1"/>
      <c r="H47" s="1"/>
      <c r="I47" s="1"/>
      <c r="J47" s="1"/>
      <c r="K47" s="1"/>
      <c r="L47" s="1"/>
      <c r="M47" s="1"/>
      <c r="N47" s="1"/>
      <c r="O47" s="1"/>
      <c r="P47" s="181"/>
    </row>
    <row r="48" spans="1:29" ht="16.5" customHeight="1">
      <c r="A48" s="1"/>
      <c r="B48" s="367"/>
      <c r="C48" s="367"/>
      <c r="D48" s="367"/>
      <c r="E48" s="367"/>
      <c r="F48" s="367"/>
      <c r="G48" s="367"/>
      <c r="H48" s="367"/>
      <c r="I48" s="367"/>
      <c r="J48" s="367"/>
      <c r="K48" s="367"/>
      <c r="L48" s="367"/>
      <c r="M48" s="1"/>
      <c r="N48" s="1"/>
      <c r="O48" s="1"/>
      <c r="P48" s="181"/>
    </row>
    <row r="49" spans="1:16" ht="16.5" customHeight="1">
      <c r="A49" s="151"/>
      <c r="B49" s="1"/>
      <c r="C49" s="1"/>
      <c r="D49" s="1"/>
      <c r="E49" s="1"/>
      <c r="F49" s="1"/>
      <c r="G49" s="1"/>
      <c r="H49" s="1"/>
      <c r="I49" s="1"/>
      <c r="J49" s="1"/>
      <c r="K49" s="1"/>
      <c r="L49" s="1"/>
      <c r="M49" s="1"/>
      <c r="N49" s="1"/>
      <c r="O49" s="1"/>
      <c r="P49" s="181"/>
    </row>
    <row r="50" spans="1:16" ht="16.5" customHeight="1">
      <c r="A50" s="26"/>
      <c r="B50" s="26"/>
      <c r="C50" s="26"/>
      <c r="D50" s="26"/>
      <c r="E50" s="26"/>
      <c r="F50" s="26"/>
      <c r="G50" s="26"/>
      <c r="H50" s="1"/>
      <c r="I50" s="1"/>
      <c r="J50" s="1"/>
      <c r="K50" s="1"/>
      <c r="L50" s="1"/>
      <c r="M50" s="1"/>
      <c r="N50" s="1"/>
      <c r="O50" s="1"/>
    </row>
    <row r="51" spans="1:16" ht="16.5" customHeight="1">
      <c r="A51" s="1672"/>
      <c r="B51" s="1663"/>
      <c r="C51" s="1663"/>
      <c r="D51" s="1663"/>
      <c r="E51" s="1663"/>
      <c r="F51" s="1663"/>
      <c r="G51" s="1663"/>
      <c r="H51" s="1663"/>
      <c r="I51" s="1663"/>
      <c r="J51" s="1663"/>
      <c r="K51" s="1663"/>
      <c r="L51" s="1663"/>
      <c r="M51" s="1663"/>
      <c r="N51" s="1663"/>
      <c r="O51" s="1663"/>
      <c r="P51" s="18"/>
    </row>
    <row r="52" spans="1:16" ht="16.5" customHeight="1"/>
    <row r="53" spans="1:16" ht="16.5" customHeight="1"/>
    <row r="54" spans="1:16" ht="16.5" customHeight="1"/>
    <row r="55" spans="1:16" ht="16.5" customHeight="1"/>
  </sheetData>
  <customSheetViews>
    <customSheetView guid="{DA38F665-F06D-4DFB-B852-747D93BB00EF}" scale="70" showPageBreaks="1" showGridLines="0" outlineSymbols="0" fitToPage="1" printArea="1" view="pageBreakPreview">
      <selection activeCell="B210" sqref="B210"/>
      <pageMargins left="0.5" right="0.5" top="0.5" bottom="0.55000000000000004" header="0" footer="0"/>
      <printOptions horizontalCentered="1"/>
      <pageSetup scale="55" firstPageNumber="2" orientation="landscape" useFirstPageNumber="1" horizontalDpi="300" verticalDpi="300" r:id="rId1"/>
      <headerFooter alignWithMargins="0">
        <oddFooter>&amp;C&amp;"Times New Roman,Regular"Exhibit F - Crosswalk of 2011 Availability&amp;R&amp;"Times New Roman,Regular"Juvenile Justice Programs</oddFooter>
      </headerFooter>
    </customSheetView>
    <customSheetView guid="{4D0F9E3D-0229-48CC-A08B-F132802E9D7B}" scale="70" showPageBreaks="1" showGridLines="0" outlineSymbols="0" fitToPage="1" printArea="1" view="pageBreakPreview" topLeftCell="A4">
      <selection activeCell="D38" sqref="D38:L38"/>
      <pageMargins left="0.5" right="0.5" top="0.5" bottom="0.55000000000000004" header="0" footer="0"/>
      <printOptions horizontalCentered="1"/>
      <pageSetup scale="52" firstPageNumber="2" orientation="landscape" useFirstPageNumber="1" horizontalDpi="300" verticalDpi="300" r:id="rId2"/>
      <headerFooter alignWithMargins="0">
        <oddFooter>&amp;C&amp;"Times New Roman,Regular"Exhibit F - Crosswalk of 2011 Availability&amp;R&amp;"Times New Roman,Regular"Juvenile Justice Programs</oddFooter>
      </headerFooter>
    </customSheetView>
    <customSheetView guid="{F6772377-6B25-4EEA-B255-4C2F62B37855}" scale="70" showPageBreaks="1" showGridLines="0" outlineSymbols="0" fitToPage="1" printArea="1" view="pageBreakPreview" topLeftCell="A16">
      <selection activeCell="D19" sqref="D19"/>
      <pageMargins left="0.5" right="0.5" top="0.5" bottom="0.55000000000000004" header="0" footer="0"/>
      <printOptions horizontalCentered="1"/>
      <pageSetup scale="55" firstPageNumber="2" orientation="landscape" useFirstPageNumber="1" horizontalDpi="300" verticalDpi="300" r:id="rId3"/>
      <headerFooter alignWithMargins="0">
        <oddFooter>&amp;C&amp;"Times New Roman,Regular"Exhibit F - Crosswalk of 2011 Availability&amp;R&amp;"Times New Roman,Regular"Juvenile Justice Programs</oddFooter>
      </headerFooter>
    </customSheetView>
    <customSheetView guid="{27B9C207-C13F-4981-9CED-E69585BBD779}" scale="70" showPageBreaks="1" showGridLines="0" outlineSymbols="0" fitToPage="1" printArea="1" view="pageBreakPreview" topLeftCell="A13">
      <selection activeCell="A16" sqref="A16"/>
      <pageMargins left="0.5" right="0.5" top="0.5" bottom="0.55000000000000004" header="0" footer="0"/>
      <printOptions horizontalCentered="1"/>
      <pageSetup scale="62" firstPageNumber="2" orientation="landscape" useFirstPageNumber="1" horizontalDpi="300" verticalDpi="300" r:id="rId4"/>
      <headerFooter alignWithMargins="0">
        <oddFooter>&amp;C&amp;"Times New Roman,Regular"Exhibit F - Crosswalk of 2011 Availability&amp;R&amp;"Times New Roman,Regular"Juvenile Justice Programs</oddFooter>
      </headerFooter>
    </customSheetView>
  </customSheetViews>
  <mergeCells count="16">
    <mergeCell ref="A6:O6"/>
    <mergeCell ref="A1:O1"/>
    <mergeCell ref="A2:O2"/>
    <mergeCell ref="A3:O3"/>
    <mergeCell ref="A4:O4"/>
    <mergeCell ref="A5:O5"/>
    <mergeCell ref="A51:O51"/>
    <mergeCell ref="A7:O7"/>
    <mergeCell ref="A8:O8"/>
    <mergeCell ref="A9:A11"/>
    <mergeCell ref="B9:D10"/>
    <mergeCell ref="E9:G10"/>
    <mergeCell ref="H9:J10"/>
    <mergeCell ref="K9:K10"/>
    <mergeCell ref="L9:L10"/>
    <mergeCell ref="M9:O10"/>
  </mergeCells>
  <printOptions horizontalCentered="1"/>
  <pageMargins left="0.5" right="0.5" top="0.5" bottom="0.55000000000000004" header="0" footer="0"/>
  <pageSetup scale="62" firstPageNumber="2" orientation="landscape" useFirstPageNumber="1" horizontalDpi="300" verticalDpi="300" r:id="rId5"/>
  <headerFooter alignWithMargins="0">
    <oddFooter>&amp;C&amp;"Times New Roman,Regular"Exhibit F - Crosswalk of 2011 Availability&amp;R&amp;"Times New Roman,Regular"Juvenile Justice Programs</oddFooter>
  </headerFooter>
</worksheet>
</file>

<file path=xl/worksheets/sheet33.xml><?xml version="1.0" encoding="utf-8"?>
<worksheet xmlns="http://schemas.openxmlformats.org/spreadsheetml/2006/main" xmlns:r="http://schemas.openxmlformats.org/officeDocument/2006/relationships">
  <sheetPr>
    <pageSetUpPr fitToPage="1"/>
  </sheetPr>
  <dimension ref="A1:T40"/>
  <sheetViews>
    <sheetView view="pageBreakPreview" zoomScale="75" zoomScaleNormal="100" zoomScaleSheetLayoutView="75" workbookViewId="0">
      <selection activeCell="A3" sqref="A3:R3"/>
    </sheetView>
  </sheetViews>
  <sheetFormatPr defaultRowHeight="15.75"/>
  <cols>
    <col min="1" max="1" width="60.21875" style="363" customWidth="1"/>
    <col min="2" max="7" width="8.88671875" style="363"/>
    <col min="8" max="8" width="8.88671875" style="363" hidden="1" customWidth="1"/>
    <col min="9" max="9" width="8.88671875" style="236" hidden="1" customWidth="1"/>
    <col min="10" max="10" width="8.88671875" style="363" hidden="1" customWidth="1"/>
    <col min="11" max="13" width="8.88671875" style="363"/>
    <col min="14" max="14" width="9.44140625" style="18" customWidth="1"/>
    <col min="15" max="15" width="10" style="18" customWidth="1"/>
    <col min="16" max="16384" width="8.88671875" style="363"/>
  </cols>
  <sheetData>
    <row r="1" spans="1:20" ht="20.25">
      <c r="A1" s="1692" t="s">
        <v>203</v>
      </c>
      <c r="B1" s="1693"/>
      <c r="C1" s="1693"/>
      <c r="D1" s="1693"/>
      <c r="E1" s="1693"/>
      <c r="F1" s="1693"/>
      <c r="G1" s="1693"/>
      <c r="H1" s="1693"/>
      <c r="I1" s="1693"/>
      <c r="J1" s="1693"/>
      <c r="K1" s="1693"/>
      <c r="L1" s="1693"/>
      <c r="M1" s="1693"/>
      <c r="N1" s="1693"/>
      <c r="O1" s="1693"/>
      <c r="P1" s="1693"/>
      <c r="Q1" s="1693"/>
      <c r="R1" s="1693"/>
      <c r="S1" s="181" t="s">
        <v>0</v>
      </c>
      <c r="T1" s="18"/>
    </row>
    <row r="2" spans="1:20">
      <c r="A2" s="1901"/>
      <c r="B2" s="1901"/>
      <c r="C2" s="1901"/>
      <c r="D2" s="1901"/>
      <c r="E2" s="1901"/>
      <c r="F2" s="1901"/>
      <c r="G2" s="1901"/>
      <c r="H2" s="1901"/>
      <c r="I2" s="1901"/>
      <c r="J2" s="1901"/>
      <c r="K2" s="1901"/>
      <c r="L2" s="1901"/>
      <c r="M2" s="1901"/>
      <c r="N2" s="1901"/>
      <c r="O2" s="1901"/>
      <c r="P2" s="1901"/>
      <c r="Q2" s="1901"/>
      <c r="R2" s="1901"/>
      <c r="S2" s="181" t="s">
        <v>0</v>
      </c>
      <c r="T2" s="18"/>
    </row>
    <row r="3" spans="1:20" ht="18.75">
      <c r="A3" s="1694" t="s">
        <v>158</v>
      </c>
      <c r="B3" s="1914"/>
      <c r="C3" s="1914"/>
      <c r="D3" s="1914"/>
      <c r="E3" s="1914"/>
      <c r="F3" s="1914"/>
      <c r="G3" s="1914"/>
      <c r="H3" s="1914"/>
      <c r="I3" s="1914"/>
      <c r="J3" s="1914"/>
      <c r="K3" s="1914"/>
      <c r="L3" s="1914"/>
      <c r="M3" s="1914"/>
      <c r="N3" s="1914"/>
      <c r="O3" s="1914"/>
      <c r="P3" s="1914"/>
      <c r="Q3" s="1914"/>
      <c r="R3" s="1914"/>
      <c r="S3" s="181" t="s">
        <v>0</v>
      </c>
      <c r="T3" s="18"/>
    </row>
    <row r="4" spans="1:20" ht="16.5">
      <c r="A4" s="1696" t="str">
        <f>+'[6]B. Summ of Reqs - JJ '!A5</f>
        <v>Office of Justice Programs</v>
      </c>
      <c r="B4" s="1913"/>
      <c r="C4" s="1913"/>
      <c r="D4" s="1913"/>
      <c r="E4" s="1913"/>
      <c r="F4" s="1913"/>
      <c r="G4" s="1913"/>
      <c r="H4" s="1913"/>
      <c r="I4" s="1913"/>
      <c r="J4" s="1913"/>
      <c r="K4" s="1913"/>
      <c r="L4" s="1913"/>
      <c r="M4" s="1913"/>
      <c r="N4" s="1913"/>
      <c r="O4" s="1913"/>
      <c r="P4" s="1913"/>
      <c r="Q4" s="1913"/>
      <c r="R4" s="1913"/>
      <c r="S4" s="181" t="s">
        <v>0</v>
      </c>
      <c r="T4" s="18"/>
    </row>
    <row r="5" spans="1:20" ht="16.5">
      <c r="A5" s="1696" t="str">
        <f>+'[6]B. Summ of Reqs - JJ '!A6</f>
        <v>Juvenile Justice Programs</v>
      </c>
      <c r="B5" s="1914"/>
      <c r="C5" s="1914"/>
      <c r="D5" s="1914"/>
      <c r="E5" s="1914"/>
      <c r="F5" s="1914"/>
      <c r="G5" s="1914"/>
      <c r="H5" s="1914"/>
      <c r="I5" s="1914"/>
      <c r="J5" s="1914"/>
      <c r="K5" s="1914"/>
      <c r="L5" s="1914"/>
      <c r="M5" s="1914"/>
      <c r="N5" s="1914"/>
      <c r="O5" s="1914"/>
      <c r="P5" s="1914"/>
      <c r="Q5" s="1914"/>
      <c r="R5" s="1914"/>
      <c r="S5" s="181" t="s">
        <v>0</v>
      </c>
      <c r="T5" s="18"/>
    </row>
    <row r="6" spans="1:20">
      <c r="A6" s="1690" t="s">
        <v>98</v>
      </c>
      <c r="B6" s="1913"/>
      <c r="C6" s="1913"/>
      <c r="D6" s="1913"/>
      <c r="E6" s="1913"/>
      <c r="F6" s="1913"/>
      <c r="G6" s="1913"/>
      <c r="H6" s="1913"/>
      <c r="I6" s="1913"/>
      <c r="J6" s="1913"/>
      <c r="K6" s="1913"/>
      <c r="L6" s="1913"/>
      <c r="M6" s="1913"/>
      <c r="N6" s="1913"/>
      <c r="O6" s="1913"/>
      <c r="P6" s="1913"/>
      <c r="Q6" s="1913"/>
      <c r="R6" s="1913"/>
      <c r="S6" s="181" t="s">
        <v>0</v>
      </c>
      <c r="T6" s="18"/>
    </row>
    <row r="7" spans="1:20">
      <c r="A7" s="1901"/>
      <c r="B7" s="1901"/>
      <c r="C7" s="1901"/>
      <c r="D7" s="1901"/>
      <c r="E7" s="1901"/>
      <c r="F7" s="1901"/>
      <c r="G7" s="1901"/>
      <c r="H7" s="1901"/>
      <c r="I7" s="1901"/>
      <c r="J7" s="1901"/>
      <c r="K7" s="1901"/>
      <c r="L7" s="1901"/>
      <c r="M7" s="1901"/>
      <c r="N7" s="1901"/>
      <c r="O7" s="1901"/>
      <c r="P7" s="1901"/>
      <c r="Q7" s="1901"/>
      <c r="R7" s="1901"/>
      <c r="S7" s="181" t="s">
        <v>0</v>
      </c>
      <c r="T7" s="18"/>
    </row>
    <row r="8" spans="1:20">
      <c r="A8" s="1902"/>
      <c r="B8" s="1902"/>
      <c r="C8" s="1902"/>
      <c r="D8" s="1902"/>
      <c r="E8" s="1902"/>
      <c r="F8" s="1902"/>
      <c r="G8" s="1902"/>
      <c r="H8" s="1902"/>
      <c r="I8" s="1902"/>
      <c r="J8" s="1902"/>
      <c r="K8" s="1902"/>
      <c r="L8" s="1902"/>
      <c r="M8" s="1902"/>
      <c r="N8" s="1902"/>
      <c r="O8" s="1902"/>
      <c r="P8" s="1902"/>
      <c r="Q8" s="1902"/>
      <c r="R8" s="1902"/>
      <c r="S8" s="181" t="s">
        <v>0</v>
      </c>
      <c r="T8" s="18"/>
    </row>
    <row r="9" spans="1:20" ht="15.75" customHeight="1">
      <c r="A9" s="1682" t="s">
        <v>23</v>
      </c>
      <c r="B9" s="1664" t="s">
        <v>594</v>
      </c>
      <c r="C9" s="1903"/>
      <c r="D9" s="1904"/>
      <c r="E9" s="1676" t="s">
        <v>109</v>
      </c>
      <c r="F9" s="1908"/>
      <c r="G9" s="1909"/>
      <c r="H9" s="1676" t="s">
        <v>110</v>
      </c>
      <c r="I9" s="1908"/>
      <c r="J9" s="1909"/>
      <c r="K9" s="1664" t="s">
        <v>12</v>
      </c>
      <c r="L9" s="1903"/>
      <c r="M9" s="1904"/>
      <c r="N9" s="1674" t="s">
        <v>141</v>
      </c>
      <c r="O9" s="1697" t="s">
        <v>142</v>
      </c>
      <c r="P9" s="1664" t="s">
        <v>157</v>
      </c>
      <c r="Q9" s="1903"/>
      <c r="R9" s="1904"/>
      <c r="S9" s="181" t="s">
        <v>0</v>
      </c>
      <c r="T9" s="18"/>
    </row>
    <row r="10" spans="1:20">
      <c r="A10" s="1683"/>
      <c r="B10" s="1905"/>
      <c r="C10" s="1906"/>
      <c r="D10" s="1907"/>
      <c r="E10" s="1910"/>
      <c r="F10" s="1911"/>
      <c r="G10" s="1912"/>
      <c r="H10" s="1910"/>
      <c r="I10" s="1911"/>
      <c r="J10" s="1912"/>
      <c r="K10" s="1905"/>
      <c r="L10" s="1906"/>
      <c r="M10" s="1907"/>
      <c r="N10" s="1675"/>
      <c r="O10" s="1698"/>
      <c r="P10" s="1905"/>
      <c r="Q10" s="1906"/>
      <c r="R10" s="1907"/>
      <c r="S10" s="181" t="s">
        <v>0</v>
      </c>
      <c r="T10" s="18"/>
    </row>
    <row r="11" spans="1:20" ht="16.5" thickBot="1">
      <c r="A11" s="1684"/>
      <c r="B11" s="156" t="s">
        <v>115</v>
      </c>
      <c r="C11" s="157" t="s">
        <v>25</v>
      </c>
      <c r="D11" s="157" t="s">
        <v>117</v>
      </c>
      <c r="E11" s="156" t="s">
        <v>115</v>
      </c>
      <c r="F11" s="157" t="s">
        <v>25</v>
      </c>
      <c r="G11" s="157" t="s">
        <v>117</v>
      </c>
      <c r="H11" s="156" t="s">
        <v>115</v>
      </c>
      <c r="I11" s="157" t="s">
        <v>25</v>
      </c>
      <c r="J11" s="157" t="s">
        <v>117</v>
      </c>
      <c r="K11" s="156" t="s">
        <v>115</v>
      </c>
      <c r="L11" s="157" t="s">
        <v>25</v>
      </c>
      <c r="M11" s="157" t="s">
        <v>117</v>
      </c>
      <c r="N11" s="265" t="s">
        <v>117</v>
      </c>
      <c r="O11" s="266" t="s">
        <v>117</v>
      </c>
      <c r="P11" s="156" t="s">
        <v>115</v>
      </c>
      <c r="Q11" s="157" t="s">
        <v>25</v>
      </c>
      <c r="R11" s="158" t="s">
        <v>117</v>
      </c>
      <c r="S11" s="181" t="s">
        <v>0</v>
      </c>
      <c r="T11" s="18"/>
    </row>
    <row r="12" spans="1:20" ht="16.5" customHeight="1">
      <c r="A12" s="370" t="s">
        <v>422</v>
      </c>
      <c r="B12" s="390"/>
      <c r="C12" s="391"/>
      <c r="D12" s="391">
        <v>40000</v>
      </c>
      <c r="E12" s="390"/>
      <c r="F12" s="391"/>
      <c r="G12" s="391"/>
      <c r="H12" s="390"/>
      <c r="I12" s="391"/>
      <c r="J12" s="391"/>
      <c r="K12" s="390"/>
      <c r="L12" s="391"/>
      <c r="M12" s="391"/>
      <c r="N12" s="1349">
        <v>501</v>
      </c>
      <c r="O12" s="391">
        <v>1536</v>
      </c>
      <c r="P12" s="390"/>
      <c r="Q12" s="391"/>
      <c r="R12" s="388">
        <f t="shared" ref="R12:R27" si="0">D12+G12+J12+M12+N12+O12</f>
        <v>42037</v>
      </c>
      <c r="S12" s="181" t="s">
        <v>0</v>
      </c>
      <c r="T12" s="18"/>
    </row>
    <row r="13" spans="1:20" ht="16.5" customHeight="1">
      <c r="A13" s="802" t="s">
        <v>405</v>
      </c>
      <c r="B13" s="390"/>
      <c r="C13" s="391"/>
      <c r="D13" s="391">
        <v>20000</v>
      </c>
      <c r="E13" s="390"/>
      <c r="F13" s="391"/>
      <c r="G13" s="391"/>
      <c r="H13" s="390"/>
      <c r="I13" s="391"/>
      <c r="J13" s="391"/>
      <c r="K13" s="390"/>
      <c r="L13" s="391"/>
      <c r="M13" s="391"/>
      <c r="N13" s="1349">
        <v>1759</v>
      </c>
      <c r="O13" s="391">
        <v>2886</v>
      </c>
      <c r="P13" s="390"/>
      <c r="Q13" s="391"/>
      <c r="R13" s="388">
        <f t="shared" si="0"/>
        <v>24645</v>
      </c>
      <c r="S13" s="181" t="s">
        <v>0</v>
      </c>
      <c r="T13" s="18"/>
    </row>
    <row r="14" spans="1:20" ht="16.5" customHeight="1">
      <c r="A14" s="360" t="s">
        <v>414</v>
      </c>
      <c r="B14" s="390"/>
      <c r="C14" s="391"/>
      <c r="D14" s="550">
        <v>10000</v>
      </c>
      <c r="E14" s="390"/>
      <c r="F14" s="391"/>
      <c r="G14" s="391"/>
      <c r="H14" s="390"/>
      <c r="I14" s="391"/>
      <c r="J14" s="391"/>
      <c r="K14" s="390"/>
      <c r="L14" s="391"/>
      <c r="M14" s="391"/>
      <c r="N14" s="1349"/>
      <c r="O14" s="550">
        <v>74.543040000000005</v>
      </c>
      <c r="P14" s="551"/>
      <c r="Q14" s="550"/>
      <c r="R14" s="552">
        <f t="shared" si="0"/>
        <v>10074.54304</v>
      </c>
      <c r="S14" s="181" t="s">
        <v>0</v>
      </c>
      <c r="T14" s="18"/>
    </row>
    <row r="15" spans="1:20" ht="16.5" customHeight="1">
      <c r="A15" s="360" t="s">
        <v>415</v>
      </c>
      <c r="B15" s="390"/>
      <c r="C15" s="391"/>
      <c r="D15" s="550">
        <v>5000</v>
      </c>
      <c r="E15" s="390"/>
      <c r="F15" s="391"/>
      <c r="G15" s="391"/>
      <c r="H15" s="390"/>
      <c r="I15" s="391"/>
      <c r="J15" s="391"/>
      <c r="K15" s="390"/>
      <c r="L15" s="391"/>
      <c r="M15" s="391"/>
      <c r="N15" s="1349"/>
      <c r="O15" s="550">
        <v>316.57589000000002</v>
      </c>
      <c r="P15" s="551"/>
      <c r="Q15" s="550"/>
      <c r="R15" s="552">
        <f t="shared" si="0"/>
        <v>5316.5758900000001</v>
      </c>
      <c r="S15" s="181" t="s">
        <v>0</v>
      </c>
      <c r="T15" s="18"/>
    </row>
    <row r="16" spans="1:20" ht="16.5" customHeight="1">
      <c r="A16" s="360" t="s">
        <v>416</v>
      </c>
      <c r="B16" s="390"/>
      <c r="C16" s="391"/>
      <c r="D16" s="550">
        <v>5000</v>
      </c>
      <c r="E16" s="390"/>
      <c r="F16" s="391"/>
      <c r="G16" s="391"/>
      <c r="H16" s="390"/>
      <c r="I16" s="391"/>
      <c r="J16" s="391"/>
      <c r="K16" s="390"/>
      <c r="L16" s="391"/>
      <c r="M16" s="391"/>
      <c r="N16" s="1349"/>
      <c r="O16" s="550">
        <v>833.49521000000004</v>
      </c>
      <c r="P16" s="551"/>
      <c r="Q16" s="550"/>
      <c r="R16" s="552">
        <f t="shared" si="0"/>
        <v>5833.49521</v>
      </c>
      <c r="S16" s="181" t="s">
        <v>0</v>
      </c>
      <c r="T16" s="18"/>
    </row>
    <row r="17" spans="1:20" ht="16.5" customHeight="1">
      <c r="A17" s="802" t="s">
        <v>409</v>
      </c>
      <c r="B17" s="390"/>
      <c r="C17" s="391"/>
      <c r="D17" s="391">
        <v>18000</v>
      </c>
      <c r="E17" s="390"/>
      <c r="F17" s="391"/>
      <c r="G17" s="391"/>
      <c r="H17" s="390"/>
      <c r="I17" s="391"/>
      <c r="J17" s="391"/>
      <c r="K17" s="390"/>
      <c r="L17" s="391"/>
      <c r="M17" s="391"/>
      <c r="N17" s="1349">
        <v>10</v>
      </c>
      <c r="O17" s="391"/>
      <c r="P17" s="390"/>
      <c r="Q17" s="391"/>
      <c r="R17" s="388">
        <f t="shared" si="0"/>
        <v>18010</v>
      </c>
      <c r="S17" s="181" t="s">
        <v>0</v>
      </c>
      <c r="T17" s="18"/>
    </row>
    <row r="18" spans="1:20" ht="16.5" customHeight="1">
      <c r="A18" s="802" t="s">
        <v>435</v>
      </c>
      <c r="B18" s="390"/>
      <c r="C18" s="391"/>
      <c r="D18" s="391">
        <v>30000</v>
      </c>
      <c r="E18" s="390"/>
      <c r="F18" s="391"/>
      <c r="G18" s="391"/>
      <c r="H18" s="390"/>
      <c r="I18" s="391"/>
      <c r="J18" s="391"/>
      <c r="K18" s="390"/>
      <c r="L18" s="391"/>
      <c r="M18" s="391"/>
      <c r="N18" s="1349"/>
      <c r="O18" s="391">
        <v>1551</v>
      </c>
      <c r="P18" s="390"/>
      <c r="Q18" s="391"/>
      <c r="R18" s="388">
        <f t="shared" si="0"/>
        <v>31551</v>
      </c>
      <c r="S18" s="181" t="s">
        <v>0</v>
      </c>
      <c r="T18" s="18"/>
    </row>
    <row r="19" spans="1:20" ht="16.5" customHeight="1">
      <c r="A19" s="802" t="s">
        <v>406</v>
      </c>
      <c r="B19" s="390"/>
      <c r="C19" s="391"/>
      <c r="D19" s="391">
        <v>8000</v>
      </c>
      <c r="E19" s="390"/>
      <c r="F19" s="391"/>
      <c r="G19" s="391"/>
      <c r="H19" s="390"/>
      <c r="I19" s="391"/>
      <c r="J19" s="391"/>
      <c r="K19" s="390"/>
      <c r="L19" s="391"/>
      <c r="M19" s="391"/>
      <c r="N19" s="1349"/>
      <c r="O19" s="391"/>
      <c r="P19" s="390"/>
      <c r="Q19" s="391"/>
      <c r="R19" s="388">
        <f t="shared" si="0"/>
        <v>8000</v>
      </c>
      <c r="S19" s="181" t="s">
        <v>0</v>
      </c>
      <c r="T19" s="18"/>
    </row>
    <row r="20" spans="1:20" ht="16.5" customHeight="1">
      <c r="A20" s="370" t="s">
        <v>410</v>
      </c>
      <c r="B20" s="390"/>
      <c r="C20" s="391"/>
      <c r="D20" s="391">
        <v>78000</v>
      </c>
      <c r="E20" s="390"/>
      <c r="F20" s="391"/>
      <c r="G20" s="391"/>
      <c r="H20" s="390"/>
      <c r="I20" s="391"/>
      <c r="J20" s="391"/>
      <c r="K20" s="390"/>
      <c r="L20" s="391"/>
      <c r="M20" s="391"/>
      <c r="N20" s="1349">
        <v>323</v>
      </c>
      <c r="O20" s="391">
        <v>1505</v>
      </c>
      <c r="P20" s="390"/>
      <c r="Q20" s="391"/>
      <c r="R20" s="388">
        <f t="shared" si="0"/>
        <v>79828</v>
      </c>
      <c r="S20" s="181" t="s">
        <v>0</v>
      </c>
      <c r="T20" s="18"/>
    </row>
    <row r="21" spans="1:20" ht="16.5" customHeight="1">
      <c r="A21" s="370" t="s">
        <v>223</v>
      </c>
      <c r="B21" s="390"/>
      <c r="C21" s="391"/>
      <c r="D21" s="391">
        <v>65000</v>
      </c>
      <c r="E21" s="390"/>
      <c r="F21" s="391"/>
      <c r="G21" s="391"/>
      <c r="H21" s="390"/>
      <c r="I21" s="391"/>
      <c r="J21" s="391"/>
      <c r="K21" s="390"/>
      <c r="L21" s="391"/>
      <c r="M21" s="391"/>
      <c r="N21" s="1349"/>
      <c r="O21" s="391"/>
      <c r="P21" s="390"/>
      <c r="Q21" s="391"/>
      <c r="R21" s="388">
        <f t="shared" si="0"/>
        <v>65000</v>
      </c>
      <c r="S21" s="181" t="s">
        <v>0</v>
      </c>
      <c r="T21" s="18"/>
    </row>
    <row r="22" spans="1:20" ht="16.5" customHeight="1">
      <c r="A22" s="802" t="s">
        <v>411</v>
      </c>
      <c r="B22" s="390"/>
      <c r="C22" s="391"/>
      <c r="D22" s="391">
        <v>1500</v>
      </c>
      <c r="E22" s="390"/>
      <c r="F22" s="391"/>
      <c r="G22" s="391"/>
      <c r="H22" s="390"/>
      <c r="I22" s="391"/>
      <c r="J22" s="391"/>
      <c r="K22" s="390"/>
      <c r="L22" s="391"/>
      <c r="M22" s="391"/>
      <c r="N22" s="1349"/>
      <c r="O22" s="391"/>
      <c r="P22" s="390"/>
      <c r="Q22" s="391"/>
      <c r="R22" s="388">
        <f t="shared" si="0"/>
        <v>1500</v>
      </c>
      <c r="S22" s="181" t="s">
        <v>0</v>
      </c>
      <c r="T22" s="18"/>
    </row>
    <row r="23" spans="1:20" ht="16.5" customHeight="1">
      <c r="A23" s="370" t="s">
        <v>420</v>
      </c>
      <c r="B23" s="390"/>
      <c r="C23" s="391"/>
      <c r="D23" s="391">
        <v>2000</v>
      </c>
      <c r="E23" s="390"/>
      <c r="F23" s="391"/>
      <c r="G23" s="391"/>
      <c r="H23" s="390"/>
      <c r="I23" s="391"/>
      <c r="J23" s="391"/>
      <c r="K23" s="390"/>
      <c r="L23" s="391"/>
      <c r="M23" s="391"/>
      <c r="N23" s="1349"/>
      <c r="O23" s="391"/>
      <c r="P23" s="390"/>
      <c r="Q23" s="391"/>
      <c r="R23" s="388">
        <f t="shared" si="0"/>
        <v>2000</v>
      </c>
      <c r="S23" s="181" t="s">
        <v>0</v>
      </c>
      <c r="T23" s="18"/>
    </row>
    <row r="24" spans="1:20" ht="16.5" customHeight="1">
      <c r="A24" s="802" t="s">
        <v>423</v>
      </c>
      <c r="B24" s="390"/>
      <c r="C24" s="391"/>
      <c r="D24" s="391"/>
      <c r="E24" s="390"/>
      <c r="F24" s="391"/>
      <c r="G24" s="391"/>
      <c r="H24" s="390"/>
      <c r="I24" s="391"/>
      <c r="J24" s="391"/>
      <c r="K24" s="390"/>
      <c r="L24" s="391"/>
      <c r="M24" s="391"/>
      <c r="N24" s="1349">
        <v>597</v>
      </c>
      <c r="O24" s="391"/>
      <c r="P24" s="390"/>
      <c r="Q24" s="391"/>
      <c r="R24" s="388">
        <f t="shared" si="0"/>
        <v>597</v>
      </c>
      <c r="S24" s="181" t="s">
        <v>0</v>
      </c>
      <c r="T24" s="18"/>
    </row>
    <row r="25" spans="1:20" ht="16.5" customHeight="1">
      <c r="A25" s="802" t="s">
        <v>434</v>
      </c>
      <c r="B25" s="390"/>
      <c r="C25" s="391"/>
      <c r="D25" s="391"/>
      <c r="E25" s="390"/>
      <c r="F25" s="391"/>
      <c r="G25" s="391"/>
      <c r="H25" s="390"/>
      <c r="I25" s="391"/>
      <c r="J25" s="391"/>
      <c r="K25" s="390"/>
      <c r="L25" s="391"/>
      <c r="M25" s="391"/>
      <c r="N25" s="1349">
        <v>1312</v>
      </c>
      <c r="O25" s="391">
        <v>1522</v>
      </c>
      <c r="P25" s="390"/>
      <c r="Q25" s="391"/>
      <c r="R25" s="388">
        <f t="shared" si="0"/>
        <v>2834</v>
      </c>
      <c r="S25" s="181" t="s">
        <v>0</v>
      </c>
      <c r="T25" s="18"/>
    </row>
    <row r="26" spans="1:20" s="1326" customFormat="1" ht="16.5" customHeight="1">
      <c r="A26" s="802" t="s">
        <v>647</v>
      </c>
      <c r="B26" s="390"/>
      <c r="C26" s="391"/>
      <c r="D26" s="391"/>
      <c r="E26" s="390"/>
      <c r="F26" s="391"/>
      <c r="G26" s="391"/>
      <c r="H26" s="390"/>
      <c r="I26" s="391"/>
      <c r="J26" s="391"/>
      <c r="K26" s="390"/>
      <c r="L26" s="391"/>
      <c r="M26" s="391"/>
      <c r="N26" s="1349">
        <v>879</v>
      </c>
      <c r="O26" s="391"/>
      <c r="P26" s="390"/>
      <c r="Q26" s="391"/>
      <c r="R26" s="388">
        <f t="shared" si="0"/>
        <v>879</v>
      </c>
      <c r="S26" s="181"/>
      <c r="T26" s="18"/>
    </row>
    <row r="27" spans="1:20" ht="16.5" customHeight="1">
      <c r="A27" s="555" t="s">
        <v>262</v>
      </c>
      <c r="B27" s="1251"/>
      <c r="C27" s="399"/>
      <c r="D27" s="399"/>
      <c r="E27" s="1251"/>
      <c r="F27" s="399"/>
      <c r="G27" s="399">
        <v>-9000</v>
      </c>
      <c r="H27" s="1251"/>
      <c r="I27" s="399"/>
      <c r="J27" s="399"/>
      <c r="K27" s="1251"/>
      <c r="L27" s="399"/>
      <c r="M27" s="399"/>
      <c r="N27" s="1451"/>
      <c r="O27" s="1366"/>
      <c r="P27" s="1251"/>
      <c r="Q27" s="399"/>
      <c r="R27" s="398">
        <f t="shared" si="0"/>
        <v>-9000</v>
      </c>
      <c r="S27" s="181" t="s">
        <v>0</v>
      </c>
      <c r="T27" s="18"/>
    </row>
    <row r="28" spans="1:20" ht="16.5" customHeight="1">
      <c r="A28" s="162" t="s">
        <v>124</v>
      </c>
      <c r="B28" s="267">
        <f>SUM(B22:B27)</f>
        <v>0</v>
      </c>
      <c r="C28" s="268">
        <f>SUM(C22:C27)</f>
        <v>0</v>
      </c>
      <c r="D28" s="166">
        <f>SUM(D12+D13+D17+D18+D19+D20+D21+D22+D23)</f>
        <v>262500</v>
      </c>
      <c r="E28" s="267">
        <f>SUM(E22:E27)</f>
        <v>0</v>
      </c>
      <c r="F28" s="268">
        <f>SUM(F22:F27)</f>
        <v>0</v>
      </c>
      <c r="G28" s="166">
        <f>SUM(G12+G13+G17+G18+G19+G20+G21+G22+G23+G27)</f>
        <v>-9000</v>
      </c>
      <c r="H28" s="267">
        <f t="shared" ref="H28:M28" si="1">SUM(H22:H27)</f>
        <v>0</v>
      </c>
      <c r="I28" s="268">
        <f t="shared" si="1"/>
        <v>0</v>
      </c>
      <c r="J28" s="166">
        <f t="shared" si="1"/>
        <v>0</v>
      </c>
      <c r="K28" s="267">
        <f t="shared" si="1"/>
        <v>0</v>
      </c>
      <c r="L28" s="268">
        <f t="shared" si="1"/>
        <v>0</v>
      </c>
      <c r="M28" s="166">
        <f t="shared" si="1"/>
        <v>0</v>
      </c>
      <c r="N28" s="1452">
        <f>SUM(N12:N27)</f>
        <v>5381</v>
      </c>
      <c r="O28" s="1347">
        <f>SUM(O12+O13+O17+O18+O19+O20+O21+O22+O23+O25+O26+O27)</f>
        <v>9000</v>
      </c>
      <c r="P28" s="267">
        <f>SUM(P22:P27)</f>
        <v>0</v>
      </c>
      <c r="Q28" s="268">
        <f>SUM(Q22:Q27)</f>
        <v>0</v>
      </c>
      <c r="R28" s="755">
        <f>SUM(R12+R13+R17+R18+R19+R20+R21+R22+R23+R24+R25+R26+R27)</f>
        <v>267881</v>
      </c>
      <c r="S28" s="181" t="s">
        <v>0</v>
      </c>
      <c r="T28" s="18"/>
    </row>
    <row r="29" spans="1:20" ht="16.5" customHeight="1">
      <c r="A29" s="359" t="s">
        <v>103</v>
      </c>
      <c r="B29" s="381" t="s">
        <v>116</v>
      </c>
      <c r="C29" s="382"/>
      <c r="D29" s="382"/>
      <c r="E29" s="381"/>
      <c r="F29" s="382"/>
      <c r="G29" s="382"/>
      <c r="H29" s="381"/>
      <c r="I29" s="382"/>
      <c r="J29" s="382"/>
      <c r="K29" s="381"/>
      <c r="L29" s="382"/>
      <c r="M29" s="382"/>
      <c r="N29" s="421"/>
      <c r="O29" s="382"/>
      <c r="P29" s="381"/>
      <c r="Q29" s="382"/>
      <c r="R29" s="379"/>
      <c r="S29" s="181" t="s">
        <v>0</v>
      </c>
      <c r="T29" s="559"/>
    </row>
    <row r="30" spans="1:20" ht="16.5" customHeight="1">
      <c r="A30" s="359" t="s">
        <v>102</v>
      </c>
      <c r="B30" s="560"/>
      <c r="C30" s="407">
        <f>SUM(C28:C29)</f>
        <v>0</v>
      </c>
      <c r="D30" s="407"/>
      <c r="E30" s="560"/>
      <c r="F30" s="407">
        <f>+F28+F29</f>
        <v>0</v>
      </c>
      <c r="G30" s="407"/>
      <c r="H30" s="560"/>
      <c r="I30" s="407">
        <f>+I28+I29</f>
        <v>0</v>
      </c>
      <c r="J30" s="407"/>
      <c r="K30" s="560"/>
      <c r="L30" s="407">
        <f>+L28+L29</f>
        <v>0</v>
      </c>
      <c r="M30" s="407"/>
      <c r="N30" s="561"/>
      <c r="O30" s="407"/>
      <c r="P30" s="560"/>
      <c r="Q30" s="407">
        <f>SUM(Q28:Q29)</f>
        <v>0</v>
      </c>
      <c r="R30" s="408"/>
      <c r="S30" s="181" t="s">
        <v>0</v>
      </c>
      <c r="T30" s="18"/>
    </row>
    <row r="31" spans="1:20" ht="16.5" customHeight="1">
      <c r="A31" s="562" t="s">
        <v>104</v>
      </c>
      <c r="B31" s="390"/>
      <c r="C31" s="391"/>
      <c r="D31" s="391"/>
      <c r="E31" s="390"/>
      <c r="F31" s="391"/>
      <c r="G31" s="391"/>
      <c r="H31" s="390"/>
      <c r="I31" s="391"/>
      <c r="J31" s="391"/>
      <c r="K31" s="390"/>
      <c r="L31" s="391"/>
      <c r="M31" s="391"/>
      <c r="N31" s="425"/>
      <c r="O31" s="391"/>
      <c r="P31" s="390"/>
      <c r="Q31" s="391"/>
      <c r="R31" s="388"/>
      <c r="S31" s="181" t="s">
        <v>0</v>
      </c>
      <c r="T31" s="18"/>
    </row>
    <row r="32" spans="1:20" ht="16.5" customHeight="1">
      <c r="A32" s="563" t="s">
        <v>31</v>
      </c>
      <c r="B32" s="390"/>
      <c r="C32" s="391"/>
      <c r="D32" s="391"/>
      <c r="E32" s="390"/>
      <c r="F32" s="391"/>
      <c r="G32" s="391"/>
      <c r="H32" s="390"/>
      <c r="I32" s="391"/>
      <c r="J32" s="391"/>
      <c r="K32" s="390"/>
      <c r="L32" s="391"/>
      <c r="M32" s="391"/>
      <c r="N32" s="425"/>
      <c r="O32" s="391"/>
      <c r="P32" s="390"/>
      <c r="Q32" s="391"/>
      <c r="R32" s="388"/>
      <c r="S32" s="181" t="s">
        <v>0</v>
      </c>
      <c r="T32" s="18"/>
    </row>
    <row r="33" spans="1:20" ht="16.5" customHeight="1">
      <c r="A33" s="564" t="s">
        <v>60</v>
      </c>
      <c r="B33" s="381"/>
      <c r="C33" s="382"/>
      <c r="D33" s="382"/>
      <c r="E33" s="381"/>
      <c r="F33" s="382"/>
      <c r="G33" s="382"/>
      <c r="H33" s="381"/>
      <c r="I33" s="382"/>
      <c r="J33" s="382"/>
      <c r="K33" s="381"/>
      <c r="L33" s="382"/>
      <c r="M33" s="382"/>
      <c r="N33" s="421"/>
      <c r="O33" s="382"/>
      <c r="P33" s="381"/>
      <c r="Q33" s="382"/>
      <c r="R33" s="379"/>
      <c r="S33" s="181" t="s">
        <v>0</v>
      </c>
      <c r="T33" s="18"/>
    </row>
    <row r="34" spans="1:20" ht="16.5" customHeight="1">
      <c r="A34" s="359" t="s">
        <v>105</v>
      </c>
      <c r="B34" s="381"/>
      <c r="C34" s="382">
        <f>C33+C32+C30</f>
        <v>0</v>
      </c>
      <c r="D34" s="565"/>
      <c r="E34" s="381"/>
      <c r="F34" s="382">
        <f>F33+F32+F30</f>
        <v>0</v>
      </c>
      <c r="G34" s="565"/>
      <c r="H34" s="381"/>
      <c r="I34" s="382">
        <f>I33+I32+I30</f>
        <v>0</v>
      </c>
      <c r="J34" s="565"/>
      <c r="K34" s="381"/>
      <c r="L34" s="382">
        <f>L33+L32+L30</f>
        <v>0</v>
      </c>
      <c r="M34" s="565"/>
      <c r="N34" s="566"/>
      <c r="O34" s="565"/>
      <c r="P34" s="381"/>
      <c r="Q34" s="382">
        <f>Q33+Q32+Q30</f>
        <v>0</v>
      </c>
      <c r="R34" s="567"/>
      <c r="S34" s="181" t="s">
        <v>0</v>
      </c>
      <c r="T34" s="18"/>
    </row>
    <row r="35" spans="1:20">
      <c r="A35" s="804"/>
      <c r="B35" s="399"/>
      <c r="C35" s="399"/>
      <c r="D35" s="805"/>
      <c r="E35" s="399"/>
      <c r="F35" s="399"/>
      <c r="G35" s="805"/>
      <c r="H35" s="399"/>
      <c r="I35" s="399"/>
      <c r="J35" s="805"/>
      <c r="K35" s="399"/>
      <c r="L35" s="399"/>
      <c r="M35" s="805"/>
      <c r="N35" s="805"/>
      <c r="O35" s="805"/>
      <c r="P35" s="399"/>
      <c r="Q35" s="399"/>
      <c r="R35" s="805"/>
      <c r="S35" s="181" t="s">
        <v>0</v>
      </c>
      <c r="T35" s="18"/>
    </row>
    <row r="36" spans="1:20">
      <c r="A36" s="1" t="s">
        <v>436</v>
      </c>
      <c r="B36" s="399"/>
      <c r="C36" s="399"/>
      <c r="D36" s="805"/>
      <c r="E36" s="399"/>
      <c r="F36" s="399"/>
      <c r="G36" s="805"/>
      <c r="H36" s="399"/>
      <c r="I36" s="399"/>
      <c r="J36" s="805"/>
      <c r="K36" s="399"/>
      <c r="L36" s="399"/>
      <c r="M36" s="805"/>
      <c r="N36" s="805"/>
      <c r="O36" s="805"/>
      <c r="P36" s="399"/>
      <c r="Q36" s="399"/>
      <c r="R36" s="805"/>
      <c r="S36" s="181" t="s">
        <v>0</v>
      </c>
      <c r="T36" s="18"/>
    </row>
    <row r="37" spans="1:20">
      <c r="A37" s="1" t="s">
        <v>695</v>
      </c>
      <c r="B37" s="399"/>
      <c r="C37" s="399"/>
      <c r="D37" s="805"/>
      <c r="E37" s="399"/>
      <c r="F37" s="399"/>
      <c r="G37" s="805"/>
      <c r="H37" s="399"/>
      <c r="I37" s="399"/>
      <c r="J37" s="805"/>
      <c r="K37" s="399"/>
      <c r="L37" s="399"/>
      <c r="M37" s="805"/>
      <c r="N37" s="805"/>
      <c r="O37" s="805"/>
      <c r="P37" s="399"/>
      <c r="Q37" s="399"/>
      <c r="R37" s="805"/>
      <c r="S37" s="568" t="s">
        <v>13</v>
      </c>
      <c r="T37" s="18"/>
    </row>
    <row r="38" spans="1:20">
      <c r="A38" s="18"/>
      <c r="B38" s="1"/>
      <c r="C38" s="1"/>
      <c r="D38" s="1"/>
      <c r="E38" s="1"/>
      <c r="F38" s="1"/>
      <c r="G38" s="1"/>
      <c r="H38" s="1"/>
      <c r="I38" s="1"/>
      <c r="J38" s="1"/>
      <c r="K38" s="1"/>
      <c r="L38" s="1"/>
      <c r="M38" s="1"/>
      <c r="N38" s="1"/>
      <c r="O38" s="1"/>
      <c r="P38" s="1"/>
      <c r="Q38" s="1"/>
      <c r="R38" s="1"/>
      <c r="T38" s="18"/>
    </row>
    <row r="39" spans="1:20">
      <c r="A39" s="1"/>
      <c r="B39" s="18"/>
      <c r="C39" s="1"/>
      <c r="D39" s="1"/>
      <c r="E39" s="1"/>
      <c r="F39" s="1"/>
      <c r="G39" s="1"/>
      <c r="H39" s="1"/>
      <c r="I39" s="1"/>
      <c r="J39" s="2"/>
      <c r="K39" s="1"/>
      <c r="L39" s="1"/>
      <c r="M39" s="1"/>
      <c r="N39" s="1"/>
      <c r="O39" s="1"/>
      <c r="P39" s="1"/>
      <c r="Q39" s="1"/>
      <c r="R39" s="1"/>
      <c r="S39" s="181"/>
      <c r="T39" s="18"/>
    </row>
    <row r="40" spans="1:20" ht="18">
      <c r="A40" s="571"/>
      <c r="B40" s="18"/>
      <c r="C40" s="18"/>
      <c r="D40" s="18"/>
      <c r="E40" s="18"/>
      <c r="F40" s="18"/>
      <c r="G40" s="18"/>
      <c r="H40" s="18"/>
      <c r="I40" s="18"/>
      <c r="J40" s="18"/>
      <c r="K40" s="18"/>
      <c r="L40" s="18"/>
      <c r="M40" s="18"/>
      <c r="P40" s="18"/>
      <c r="Q40" s="18"/>
      <c r="R40" s="18"/>
      <c r="S40" s="18"/>
      <c r="T40" s="182"/>
    </row>
  </sheetData>
  <customSheetViews>
    <customSheetView guid="{DA38F665-F06D-4DFB-B852-747D93BB00EF}" scale="75" showPageBreaks="1" fitToPage="1" printArea="1" hiddenColumns="1" view="pageBreakPreview" topLeftCell="A7">
      <selection activeCell="B210" sqref="B210"/>
      <pageMargins left="0.75" right="0.75" top="1" bottom="1" header="0.5" footer="0.5"/>
      <pageSetup scale="62" orientation="landscape" r:id="rId1"/>
      <headerFooter alignWithMargins="0">
        <oddFooter>&amp;C&amp;"Times New Roman,Regular"Exhibit G:  Crosswalk of 2012 Availability&amp;R&amp;"Times New Roman,Regular"Juvenile Justice Programs</oddFooter>
      </headerFooter>
    </customSheetView>
    <customSheetView guid="{4D0F9E3D-0229-48CC-A08B-F132802E9D7B}" scale="75" showPageBreaks="1" fitToPage="1" printArea="1" hiddenColumns="1" view="pageBreakPreview" topLeftCell="A2">
      <selection activeCell="D29" sqref="D29:O29"/>
      <pageMargins left="0.75" right="0.75" top="1" bottom="1" header="0.5" footer="0.5"/>
      <pageSetup scale="62" orientation="landscape" r:id="rId2"/>
      <headerFooter alignWithMargins="0">
        <oddFooter>&amp;C&amp;"Times New Roman,Regular"Exhibit G:  Crosswalk of 2012 Availability&amp;R&amp;"Times New Roman,Regular"Juvenile Justice Programs</oddFooter>
      </headerFooter>
    </customSheetView>
    <customSheetView guid="{F6772377-6B25-4EEA-B255-4C2F62B37855}" scale="75" showPageBreaks="1" fitToPage="1" printArea="1" hiddenColumns="1" view="pageBreakPreview" topLeftCell="A7">
      <selection activeCell="F41" sqref="F41"/>
      <pageMargins left="0.75" right="0.75" top="1" bottom="1" header="0.5" footer="0.5"/>
      <pageSetup scale="62" orientation="landscape" r:id="rId3"/>
      <headerFooter alignWithMargins="0">
        <oddFooter>&amp;C&amp;"Times New Roman,Regular"Exhibit G:  Crosswalk of 2012 Availability&amp;R&amp;"Times New Roman,Regular"Juvenile Justice Programs</oddFooter>
      </headerFooter>
    </customSheetView>
    <customSheetView guid="{27B9C207-C13F-4981-9CED-E69585BBD779}" scale="75" showPageBreaks="1" fitToPage="1" printArea="1" hiddenColumns="1" view="pageBreakPreview" topLeftCell="A10">
      <selection activeCell="E36" sqref="E36"/>
      <pageMargins left="0.75" right="0.75" top="1" bottom="1" header="0.5" footer="0.5"/>
      <pageSetup scale="54" orientation="landscape" r:id="rId4"/>
      <headerFooter alignWithMargins="0">
        <oddFooter>&amp;C&amp;"Times New Roman,Regular"Exhibit G:  Crosswalk of 2012 Availability&amp;R&amp;"Times New Roman,Regular"Juvenile Justice Programs</oddFooter>
      </headerFooter>
    </customSheetView>
  </customSheetViews>
  <mergeCells count="16">
    <mergeCell ref="A6:R6"/>
    <mergeCell ref="A1:R1"/>
    <mergeCell ref="A2:R2"/>
    <mergeCell ref="A3:R3"/>
    <mergeCell ref="A4:R4"/>
    <mergeCell ref="A5:R5"/>
    <mergeCell ref="A7:R7"/>
    <mergeCell ref="A8:R8"/>
    <mergeCell ref="A9:A11"/>
    <mergeCell ref="B9:D10"/>
    <mergeCell ref="E9:G10"/>
    <mergeCell ref="H9:J10"/>
    <mergeCell ref="K9:M10"/>
    <mergeCell ref="N9:N10"/>
    <mergeCell ref="O9:O10"/>
    <mergeCell ref="P9:R10"/>
  </mergeCells>
  <pageMargins left="0.75" right="0.75" top="1" bottom="1" header="0.5" footer="0.5"/>
  <pageSetup scale="54" orientation="landscape" r:id="rId5"/>
  <headerFooter alignWithMargins="0">
    <oddFooter>&amp;C&amp;"Times New Roman,Regular"Exhibit G:  Crosswalk of 2012 Availability&amp;R&amp;"Times New Roman,Regular"Juvenile Justice Programs</oddFooter>
  </headerFooter>
</worksheet>
</file>

<file path=xl/worksheets/sheet34.xml><?xml version="1.0" encoding="utf-8"?>
<worksheet xmlns="http://schemas.openxmlformats.org/spreadsheetml/2006/main" xmlns:r="http://schemas.openxmlformats.org/officeDocument/2006/relationships">
  <sheetPr>
    <pageSetUpPr fitToPage="1"/>
  </sheetPr>
  <dimension ref="A1:AF16"/>
  <sheetViews>
    <sheetView showGridLines="0" showOutlineSymbols="0" view="pageBreakPreview" topLeftCell="B1" zoomScale="75" zoomScaleNormal="75" workbookViewId="0">
      <selection activeCell="D14" sqref="D14"/>
    </sheetView>
  </sheetViews>
  <sheetFormatPr defaultColWidth="9.6640625" defaultRowHeight="15.75"/>
  <cols>
    <col min="1" max="1" width="4.44140625" style="18" customWidth="1"/>
    <col min="2" max="2" width="45.6640625" style="18" customWidth="1"/>
    <col min="3" max="3" width="6.5546875" style="18" customWidth="1"/>
    <col min="4" max="4" width="5.6640625" style="18" customWidth="1"/>
    <col min="5" max="5" width="10.44140625" style="18" bestFit="1" customWidth="1"/>
    <col min="6" max="7" width="5.6640625" style="18" customWidth="1"/>
    <col min="8" max="8" width="11.77734375" style="18" customWidth="1"/>
    <col min="9" max="10" width="5.6640625" style="18" customWidth="1"/>
    <col min="11" max="11" width="10.44140625" style="18" bestFit="1" customWidth="1"/>
    <col min="12" max="13" width="5.6640625" style="18" customWidth="1"/>
    <col min="14" max="14" width="7.6640625" style="18" customWidth="1"/>
    <col min="15" max="15" width="8.77734375" style="61" customWidth="1"/>
    <col min="16" max="16" width="27.5546875" style="18" customWidth="1"/>
    <col min="17" max="20" width="7.6640625" style="18" customWidth="1"/>
    <col min="21" max="21" width="3.6640625" style="18" customWidth="1"/>
    <col min="22" max="24" width="7.6640625" style="18" customWidth="1"/>
    <col min="25" max="25" width="3.6640625" style="18" customWidth="1"/>
    <col min="26" max="28" width="7.6640625" style="18" customWidth="1"/>
    <col min="29" max="29" width="3.6640625" style="18" customWidth="1"/>
    <col min="30" max="32" width="7.6640625" style="18" customWidth="1"/>
    <col min="33" max="16384" width="9.6640625" style="18"/>
  </cols>
  <sheetData>
    <row r="1" spans="1:32" ht="20.25">
      <c r="A1" s="1592" t="s">
        <v>147</v>
      </c>
      <c r="B1" s="1699"/>
      <c r="C1" s="1699"/>
      <c r="D1" s="1699"/>
      <c r="E1" s="1699"/>
      <c r="F1" s="1699"/>
      <c r="G1" s="1699"/>
      <c r="H1" s="1699"/>
      <c r="I1" s="1699"/>
      <c r="J1" s="1699"/>
      <c r="K1" s="1699"/>
      <c r="L1" s="1699"/>
      <c r="M1" s="1699"/>
      <c r="N1" s="1699"/>
      <c r="O1" s="60" t="s">
        <v>0</v>
      </c>
      <c r="P1" s="1"/>
      <c r="Q1" s="1"/>
      <c r="R1" s="1"/>
      <c r="S1" s="1"/>
      <c r="T1" s="1"/>
      <c r="U1" s="1"/>
    </row>
    <row r="2" spans="1:32" ht="13.9" customHeight="1">
      <c r="A2" s="364"/>
      <c r="O2" s="60" t="s">
        <v>0</v>
      </c>
      <c r="P2" s="1"/>
      <c r="Q2" s="1"/>
      <c r="R2" s="1"/>
      <c r="S2" s="1"/>
      <c r="T2" s="1"/>
      <c r="U2" s="1"/>
    </row>
    <row r="3" spans="1:32" ht="18.75">
      <c r="A3" s="1700" t="s">
        <v>55</v>
      </c>
      <c r="B3" s="1916"/>
      <c r="C3" s="1916"/>
      <c r="D3" s="1916"/>
      <c r="E3" s="1916"/>
      <c r="F3" s="1916"/>
      <c r="G3" s="1916"/>
      <c r="H3" s="1916"/>
      <c r="I3" s="1916"/>
      <c r="J3" s="1916"/>
      <c r="K3" s="1916"/>
      <c r="L3" s="1916"/>
      <c r="M3" s="1916"/>
      <c r="N3" s="1916"/>
      <c r="O3" s="60" t="s">
        <v>0</v>
      </c>
      <c r="P3" s="1"/>
      <c r="Q3" s="1"/>
      <c r="R3" s="1"/>
      <c r="S3" s="1"/>
      <c r="T3" s="1"/>
      <c r="U3" s="1"/>
    </row>
    <row r="4" spans="1:32" ht="16.5">
      <c r="A4" s="1702" t="str">
        <f>+'[6]B. Summ of Reqs - JJ '!A5</f>
        <v>Office of Justice Programs</v>
      </c>
      <c r="B4" s="1917"/>
      <c r="C4" s="1917"/>
      <c r="D4" s="1917"/>
      <c r="E4" s="1917"/>
      <c r="F4" s="1917"/>
      <c r="G4" s="1917"/>
      <c r="H4" s="1917"/>
      <c r="I4" s="1917"/>
      <c r="J4" s="1917"/>
      <c r="K4" s="1917"/>
      <c r="L4" s="1917"/>
      <c r="M4" s="1917"/>
      <c r="N4" s="1917"/>
      <c r="O4" s="60" t="s">
        <v>0</v>
      </c>
      <c r="P4" s="1"/>
      <c r="Q4" s="1"/>
      <c r="R4" s="1"/>
      <c r="S4" s="1"/>
      <c r="T4" s="1"/>
      <c r="U4" s="1"/>
    </row>
    <row r="5" spans="1:32" ht="16.5">
      <c r="A5" s="1702" t="str">
        <f>+'[6]B. Summ of Reqs - JJ '!A6</f>
        <v>Juvenile Justice Programs</v>
      </c>
      <c r="B5" s="1916"/>
      <c r="C5" s="1916"/>
      <c r="D5" s="1916"/>
      <c r="E5" s="1916"/>
      <c r="F5" s="1916"/>
      <c r="G5" s="1916"/>
      <c r="H5" s="1916"/>
      <c r="I5" s="1916"/>
      <c r="J5" s="1916"/>
      <c r="K5" s="1916"/>
      <c r="L5" s="1916"/>
      <c r="M5" s="1916"/>
      <c r="N5" s="1916"/>
      <c r="O5" s="60" t="s">
        <v>0</v>
      </c>
      <c r="P5" s="1"/>
      <c r="Q5" s="1"/>
      <c r="R5" s="1"/>
      <c r="S5" s="1"/>
      <c r="T5" s="1"/>
      <c r="U5" s="1"/>
    </row>
    <row r="6" spans="1:32">
      <c r="A6" s="1704" t="s">
        <v>98</v>
      </c>
      <c r="B6" s="1917"/>
      <c r="C6" s="1917"/>
      <c r="D6" s="1917"/>
      <c r="E6" s="1917"/>
      <c r="F6" s="1917"/>
      <c r="G6" s="1917"/>
      <c r="H6" s="1917"/>
      <c r="I6" s="1917"/>
      <c r="J6" s="1917"/>
      <c r="K6" s="1917"/>
      <c r="L6" s="1917"/>
      <c r="M6" s="1917"/>
      <c r="N6" s="1917"/>
      <c r="O6" s="60" t="s">
        <v>0</v>
      </c>
      <c r="P6" s="1"/>
      <c r="Q6" s="1"/>
      <c r="R6" s="1"/>
      <c r="S6" s="1"/>
      <c r="T6" s="1"/>
      <c r="U6" s="1"/>
    </row>
    <row r="7" spans="1:32">
      <c r="F7" s="572"/>
      <c r="G7" s="572"/>
      <c r="H7" s="572"/>
      <c r="O7" s="60" t="s">
        <v>0</v>
      </c>
      <c r="P7" s="1"/>
      <c r="Q7" s="1"/>
      <c r="R7" s="1"/>
      <c r="S7" s="1"/>
      <c r="T7" s="1"/>
      <c r="U7" s="1"/>
    </row>
    <row r="8" spans="1:32">
      <c r="A8" s="1569" t="s">
        <v>112</v>
      </c>
      <c r="B8" s="1918"/>
      <c r="C8" s="1708" t="s">
        <v>167</v>
      </c>
      <c r="D8" s="1921"/>
      <c r="E8" s="1922"/>
      <c r="F8" s="1708" t="s">
        <v>159</v>
      </c>
      <c r="G8" s="1921"/>
      <c r="H8" s="1922"/>
      <c r="I8" s="1708" t="s">
        <v>154</v>
      </c>
      <c r="J8" s="1921"/>
      <c r="K8" s="1922"/>
      <c r="L8" s="1708" t="s">
        <v>22</v>
      </c>
      <c r="M8" s="1921"/>
      <c r="N8" s="1922"/>
      <c r="O8" s="60" t="s">
        <v>0</v>
      </c>
      <c r="P8" s="1"/>
      <c r="Q8" s="1"/>
      <c r="R8" s="1"/>
      <c r="S8" s="1"/>
      <c r="T8" s="1"/>
      <c r="U8" s="1"/>
    </row>
    <row r="9" spans="1:32" ht="16.5" thickBot="1">
      <c r="A9" s="1919"/>
      <c r="B9" s="1920"/>
      <c r="C9" s="156" t="s">
        <v>115</v>
      </c>
      <c r="D9" s="157" t="s">
        <v>25</v>
      </c>
      <c r="E9" s="158" t="s">
        <v>117</v>
      </c>
      <c r="F9" s="156" t="s">
        <v>115</v>
      </c>
      <c r="G9" s="157" t="s">
        <v>25</v>
      </c>
      <c r="H9" s="157" t="s">
        <v>117</v>
      </c>
      <c r="I9" s="156" t="s">
        <v>115</v>
      </c>
      <c r="J9" s="157" t="s">
        <v>25</v>
      </c>
      <c r="K9" s="157" t="s">
        <v>117</v>
      </c>
      <c r="L9" s="156" t="s">
        <v>115</v>
      </c>
      <c r="M9" s="157" t="s">
        <v>25</v>
      </c>
      <c r="N9" s="158" t="s">
        <v>117</v>
      </c>
      <c r="O9" s="60" t="s">
        <v>0</v>
      </c>
      <c r="P9" s="1"/>
      <c r="Q9" s="1"/>
      <c r="R9" s="1"/>
      <c r="S9" s="1"/>
      <c r="T9" s="1"/>
      <c r="U9" s="1"/>
    </row>
    <row r="10" spans="1:32">
      <c r="A10" s="1720" t="s">
        <v>386</v>
      </c>
      <c r="B10" s="1923"/>
      <c r="C10" s="806"/>
      <c r="D10" s="807"/>
      <c r="E10" s="808">
        <v>4150</v>
      </c>
      <c r="F10" s="806"/>
      <c r="G10" s="807"/>
      <c r="H10" s="807">
        <v>2133.473</v>
      </c>
      <c r="I10" s="806"/>
      <c r="J10" s="807"/>
      <c r="K10" s="807">
        <v>2133.473</v>
      </c>
      <c r="L10" s="806"/>
      <c r="M10" s="807"/>
      <c r="N10" s="808">
        <f>K10-H10</f>
        <v>0</v>
      </c>
      <c r="O10" s="60" t="s">
        <v>0</v>
      </c>
      <c r="P10" s="1"/>
      <c r="Q10" s="1"/>
      <c r="R10" s="1"/>
      <c r="S10" s="1"/>
      <c r="T10" s="1"/>
      <c r="U10" s="1"/>
    </row>
    <row r="11" spans="1:32">
      <c r="A11" s="1925"/>
      <c r="B11" s="1926"/>
      <c r="C11" s="184"/>
      <c r="D11" s="185"/>
      <c r="E11" s="186"/>
      <c r="F11" s="184"/>
      <c r="G11" s="187"/>
      <c r="H11" s="187"/>
      <c r="I11" s="184"/>
      <c r="J11" s="187"/>
      <c r="K11" s="187"/>
      <c r="L11" s="184"/>
      <c r="M11" s="187"/>
      <c r="N11" s="186"/>
      <c r="O11" s="60" t="s">
        <v>0</v>
      </c>
      <c r="P11" s="1"/>
      <c r="Q11" s="1"/>
      <c r="R11" s="1"/>
      <c r="S11" s="1"/>
      <c r="T11" s="1"/>
      <c r="U11" s="1"/>
    </row>
    <row r="12" spans="1:32">
      <c r="A12" s="1718" t="s">
        <v>113</v>
      </c>
      <c r="B12" s="1719"/>
      <c r="C12" s="163">
        <f t="shared" ref="C12:N12" si="0">SUM(C10:C11)</f>
        <v>0</v>
      </c>
      <c r="D12" s="164">
        <f t="shared" si="0"/>
        <v>0</v>
      </c>
      <c r="E12" s="167">
        <f t="shared" si="0"/>
        <v>4150</v>
      </c>
      <c r="F12" s="163">
        <f t="shared" si="0"/>
        <v>0</v>
      </c>
      <c r="G12" s="164">
        <f t="shared" si="0"/>
        <v>0</v>
      </c>
      <c r="H12" s="165">
        <f t="shared" si="0"/>
        <v>2133.473</v>
      </c>
      <c r="I12" s="163">
        <f t="shared" si="0"/>
        <v>0</v>
      </c>
      <c r="J12" s="164">
        <f t="shared" si="0"/>
        <v>0</v>
      </c>
      <c r="K12" s="165">
        <f t="shared" si="0"/>
        <v>2133.473</v>
      </c>
      <c r="L12" s="163">
        <f t="shared" si="0"/>
        <v>0</v>
      </c>
      <c r="M12" s="164">
        <f t="shared" si="0"/>
        <v>0</v>
      </c>
      <c r="N12" s="167">
        <f t="shared" si="0"/>
        <v>0</v>
      </c>
      <c r="O12" s="60" t="s">
        <v>0</v>
      </c>
      <c r="P12" s="1"/>
      <c r="Q12" s="1"/>
      <c r="R12" s="1"/>
      <c r="S12" s="1"/>
      <c r="T12" s="1"/>
      <c r="U12" s="1"/>
    </row>
    <row r="13" spans="1:32">
      <c r="A13" s="178"/>
      <c r="B13" s="178"/>
      <c r="C13" s="179"/>
      <c r="D13" s="179"/>
      <c r="E13" s="180"/>
      <c r="F13" s="179"/>
      <c r="G13" s="179"/>
      <c r="H13" s="180"/>
      <c r="I13" s="179"/>
      <c r="J13" s="179"/>
      <c r="K13" s="180"/>
      <c r="L13" s="179"/>
      <c r="M13" s="179"/>
      <c r="N13" s="180"/>
      <c r="O13" s="1717" t="s">
        <v>13</v>
      </c>
      <c r="P13" s="1717"/>
      <c r="Q13" s="1"/>
      <c r="R13" s="1"/>
      <c r="S13" s="1"/>
      <c r="T13" s="1"/>
      <c r="U13" s="1"/>
    </row>
    <row r="14" spans="1:32">
      <c r="A14" s="178"/>
      <c r="B14" s="178"/>
      <c r="C14" s="179"/>
      <c r="D14" s="179"/>
      <c r="E14" s="180"/>
      <c r="F14" s="179"/>
      <c r="G14" s="179"/>
      <c r="H14" s="180"/>
      <c r="I14" s="179"/>
      <c r="J14" s="179"/>
      <c r="K14" s="180"/>
      <c r="L14" s="179"/>
      <c r="M14" s="179"/>
      <c r="N14" s="180"/>
      <c r="O14" s="1717"/>
      <c r="P14" s="1717"/>
      <c r="Q14" s="1"/>
      <c r="R14" s="1"/>
      <c r="S14" s="1"/>
      <c r="T14" s="1"/>
      <c r="U14" s="1"/>
    </row>
    <row r="15" spans="1:32">
      <c r="A15" s="2007"/>
      <c r="B15" s="2089"/>
      <c r="C15" s="2089"/>
      <c r="D15" s="2089"/>
      <c r="E15" s="2089"/>
      <c r="F15" s="2089"/>
      <c r="G15" s="2089"/>
      <c r="H15" s="2089"/>
      <c r="I15" s="2089"/>
      <c r="J15" s="2089"/>
      <c r="K15" s="2089"/>
      <c r="L15" s="2089"/>
      <c r="M15" s="2089"/>
      <c r="N15" s="2089"/>
      <c r="O15" s="1717"/>
      <c r="P15" s="1717"/>
      <c r="Q15" s="19"/>
      <c r="R15" s="19"/>
      <c r="S15" s="19"/>
      <c r="T15" s="19"/>
      <c r="U15" s="19"/>
      <c r="V15" s="19"/>
      <c r="W15" s="19"/>
      <c r="X15" s="19"/>
      <c r="Y15" s="19"/>
      <c r="Z15" s="19"/>
      <c r="AA15" s="19"/>
      <c r="AB15" s="19"/>
      <c r="AC15" s="19"/>
      <c r="AD15" s="19"/>
      <c r="AE15" s="19"/>
      <c r="AF15" s="19"/>
    </row>
    <row r="16" spans="1:32">
      <c r="A16" s="1"/>
      <c r="B16" s="1"/>
      <c r="C16" s="2"/>
      <c r="D16" s="2"/>
      <c r="E16" s="2"/>
      <c r="F16" s="2"/>
      <c r="G16" s="2"/>
      <c r="H16" s="2"/>
      <c r="I16" s="2"/>
      <c r="J16" s="2"/>
      <c r="K16" s="2"/>
      <c r="L16" s="2"/>
      <c r="M16" s="2"/>
      <c r="N16" s="2"/>
      <c r="P16" s="19"/>
      <c r="Q16" s="19"/>
      <c r="R16" s="19"/>
      <c r="S16" s="19"/>
      <c r="T16" s="19"/>
      <c r="U16" s="19"/>
      <c r="V16" s="19"/>
      <c r="W16" s="19"/>
      <c r="X16" s="19"/>
      <c r="Y16" s="19"/>
      <c r="Z16" s="19"/>
      <c r="AA16" s="19"/>
      <c r="AB16" s="19"/>
      <c r="AC16" s="19"/>
      <c r="AD16" s="19"/>
      <c r="AE16" s="19"/>
      <c r="AF16" s="19"/>
    </row>
  </sheetData>
  <customSheetViews>
    <customSheetView guid="{DA38F665-F06D-4DFB-B852-747D93BB00EF}" scale="75" showPageBreaks="1" showGridLines="0" outlineSymbols="0" fitToPage="1" printArea="1" view="pageBreakPreview">
      <selection activeCell="B210" sqref="B210"/>
      <pageMargins left="1" right="1" top="0.5" bottom="0.55000000000000004" header="0" footer="0"/>
      <printOptions horizontalCentered="1"/>
      <pageSetup scale="70" orientation="landscape" horizontalDpi="300" verticalDpi="300" r:id="rId1"/>
      <headerFooter alignWithMargins="0">
        <oddFooter>&amp;C&amp;"Times New Roman,Regular"Exhibit H - Summary of Reimbursable Resources&amp;R&amp;"Times New Roman,Regular"Juvenile Justice Programs</oddFooter>
      </headerFooter>
    </customSheetView>
    <customSheetView guid="{4D0F9E3D-0229-48CC-A08B-F132802E9D7B}" scale="75" showPageBreaks="1" showGridLines="0" outlineSymbols="0" fitToPage="1" printArea="1" view="pageBreakPreview">
      <selection activeCell="H26" sqref="H26"/>
      <pageMargins left="1" right="1" top="0.5" bottom="0.55000000000000004" header="0" footer="0"/>
      <printOptions horizontalCentered="1"/>
      <pageSetup scale="70" orientation="landscape" horizontalDpi="300" verticalDpi="300" r:id="rId2"/>
      <headerFooter alignWithMargins="0">
        <oddFooter>&amp;C&amp;"Times New Roman,Regular"Exhibit H - Summary of Reimbursable Resources&amp;R&amp;"Times New Roman,Regular"Juvenile Justice Programs</oddFooter>
      </headerFooter>
    </customSheetView>
    <customSheetView guid="{F6772377-6B25-4EEA-B255-4C2F62B37855}" scale="75" showPageBreaks="1" showGridLines="0" outlineSymbols="0" fitToPage="1" printArea="1" view="pageBreakPreview">
      <selection activeCell="P11" sqref="P11"/>
      <pageMargins left="1" right="1" top="0.5" bottom="0.55000000000000004" header="0" footer="0"/>
      <printOptions horizontalCentered="1"/>
      <pageSetup scale="70" orientation="landscape" horizontalDpi="300" verticalDpi="300" r:id="rId3"/>
      <headerFooter alignWithMargins="0">
        <oddFooter>&amp;C&amp;"Times New Roman,Regular"Exhibit H - Summary of Reimbursable Resources&amp;R&amp;"Times New Roman,Regular"Juvenile Justice Programs</oddFooter>
      </headerFooter>
    </customSheetView>
    <customSheetView guid="{27B9C207-C13F-4981-9CED-E69585BBD779}" scale="75" showPageBreaks="1" showGridLines="0" outlineSymbols="0" fitToPage="1" printArea="1" view="pageBreakPreview">
      <selection activeCell="D14" sqref="D14"/>
      <pageMargins left="1" right="1" top="0.5" bottom="0.55000000000000004" header="0" footer="0"/>
      <printOptions horizontalCentered="1"/>
      <pageSetup scale="70" orientation="landscape" horizontalDpi="300" verticalDpi="300" r:id="rId4"/>
      <headerFooter alignWithMargins="0">
        <oddFooter>&amp;C&amp;"Times New Roman,Regular"Exhibit H - Summary of Reimbursable Resources&amp;R&amp;"Times New Roman,Regular"Juvenile Justice Programs</oddFooter>
      </headerFooter>
    </customSheetView>
  </customSheetViews>
  <mergeCells count="15">
    <mergeCell ref="A8:B9"/>
    <mergeCell ref="C8:E8"/>
    <mergeCell ref="F8:H8"/>
    <mergeCell ref="I8:K8"/>
    <mergeCell ref="L8:N8"/>
    <mergeCell ref="A1:N1"/>
    <mergeCell ref="A3:N3"/>
    <mergeCell ref="A4:N4"/>
    <mergeCell ref="A5:N5"/>
    <mergeCell ref="A6:N6"/>
    <mergeCell ref="A10:B10"/>
    <mergeCell ref="A11:B11"/>
    <mergeCell ref="A12:B12"/>
    <mergeCell ref="O13:P15"/>
    <mergeCell ref="A15:N15"/>
  </mergeCells>
  <printOptions horizontalCentered="1"/>
  <pageMargins left="1" right="1" top="0.5" bottom="0.55000000000000004" header="0" footer="0"/>
  <pageSetup scale="70" orientation="landscape" horizontalDpi="300" verticalDpi="300" r:id="rId5"/>
  <headerFooter alignWithMargins="0">
    <oddFooter>&amp;C&amp;"Times New Roman,Regular"Exhibit H - Summary of Reimbursable Resources&amp;R&amp;"Times New Roman,Regular"Juvenile Justice Programs</oddFooter>
  </headerFooter>
</worksheet>
</file>

<file path=xl/worksheets/sheet35.xml><?xml version="1.0" encoding="utf-8"?>
<worksheet xmlns="http://schemas.openxmlformats.org/spreadsheetml/2006/main" xmlns:r="http://schemas.openxmlformats.org/officeDocument/2006/relationships">
  <sheetPr>
    <pageSetUpPr fitToPage="1"/>
  </sheetPr>
  <dimension ref="A1:T20"/>
  <sheetViews>
    <sheetView view="pageBreakPreview" zoomScale="70" zoomScaleNormal="75" zoomScaleSheetLayoutView="70" workbookViewId="0">
      <selection activeCell="A12" sqref="A12"/>
    </sheetView>
  </sheetViews>
  <sheetFormatPr defaultRowHeight="15"/>
  <cols>
    <col min="1" max="1" width="55.109375" style="363" customWidth="1"/>
    <col min="2" max="2" width="4.77734375" style="363" customWidth="1"/>
    <col min="3" max="3" width="9.77734375" style="321" customWidth="1"/>
    <col min="4" max="4" width="4.77734375" style="363" customWidth="1"/>
    <col min="5" max="5" width="9.77734375" style="321" customWidth="1"/>
    <col min="6" max="6" width="6.21875" style="363" customWidth="1"/>
    <col min="7" max="7" width="9.77734375" style="321" customWidth="1"/>
    <col min="8" max="8" width="6.21875" style="363" customWidth="1"/>
    <col min="9" max="9" width="9.77734375" style="321" customWidth="1"/>
    <col min="10" max="10" width="6.21875" style="363" customWidth="1"/>
    <col min="11" max="11" width="9.77734375" style="321" customWidth="1"/>
    <col min="12" max="12" width="6.21875" style="363" customWidth="1"/>
    <col min="13" max="13" width="8.33203125" style="321" customWidth="1"/>
    <col min="14" max="14" width="6.21875" style="363" customWidth="1"/>
    <col min="15" max="15" width="9.77734375" style="321" customWidth="1"/>
    <col min="16" max="16" width="6.21875" style="363" customWidth="1"/>
    <col min="17" max="17" width="9.77734375" style="321" customWidth="1"/>
    <col min="18" max="18" width="6.6640625" style="363" customWidth="1"/>
    <col min="19" max="19" width="9.77734375" style="321" customWidth="1"/>
    <col min="20" max="20" width="8" style="62" customWidth="1"/>
    <col min="21" max="16384" width="8.88671875" style="363"/>
  </cols>
  <sheetData>
    <row r="1" spans="1:20" ht="20.25">
      <c r="A1" s="374" t="s">
        <v>263</v>
      </c>
      <c r="B1" s="573"/>
      <c r="C1" s="574"/>
      <c r="D1" s="573"/>
      <c r="E1" s="574"/>
      <c r="F1" s="573"/>
      <c r="G1" s="574"/>
      <c r="H1" s="573"/>
      <c r="I1" s="574"/>
      <c r="J1" s="573"/>
      <c r="K1" s="574"/>
      <c r="L1" s="573"/>
      <c r="M1" s="574"/>
      <c r="N1" s="573"/>
      <c r="O1" s="574"/>
      <c r="P1" s="573"/>
      <c r="Q1" s="574"/>
      <c r="R1" s="573"/>
      <c r="S1" s="575"/>
      <c r="T1" s="576" t="s">
        <v>0</v>
      </c>
    </row>
    <row r="2" spans="1:20" ht="13.15" customHeight="1">
      <c r="A2" s="1946"/>
      <c r="B2" s="1946"/>
      <c r="C2" s="1946"/>
      <c r="D2" s="1946"/>
      <c r="E2" s="1946"/>
      <c r="F2" s="1946"/>
      <c r="G2" s="1946"/>
      <c r="H2" s="1946"/>
      <c r="I2" s="1946"/>
      <c r="J2" s="1946"/>
      <c r="K2" s="1946"/>
      <c r="L2" s="1946"/>
      <c r="M2" s="1946"/>
      <c r="N2" s="1946"/>
      <c r="O2" s="1946"/>
      <c r="P2" s="1946"/>
      <c r="Q2" s="1946"/>
      <c r="R2" s="1946"/>
      <c r="S2" s="1945"/>
      <c r="T2" s="576" t="s">
        <v>0</v>
      </c>
    </row>
    <row r="3" spans="1:20" ht="18.75">
      <c r="A3" s="1947" t="s">
        <v>264</v>
      </c>
      <c r="B3" s="1947"/>
      <c r="C3" s="1947"/>
      <c r="D3" s="1947"/>
      <c r="E3" s="1947"/>
      <c r="F3" s="1947"/>
      <c r="G3" s="1947"/>
      <c r="H3" s="1947"/>
      <c r="I3" s="1947"/>
      <c r="J3" s="1947"/>
      <c r="K3" s="1947"/>
      <c r="L3" s="1947"/>
      <c r="M3" s="1947"/>
      <c r="N3" s="1947"/>
      <c r="O3" s="1947"/>
      <c r="P3" s="1947"/>
      <c r="Q3" s="1947"/>
      <c r="R3" s="1947"/>
      <c r="S3" s="1947"/>
      <c r="T3" s="576" t="s">
        <v>0</v>
      </c>
    </row>
    <row r="4" spans="1:20" ht="16.5">
      <c r="A4" s="1948" t="str">
        <f>+'[6]B. Summ of Reqs - JJ '!A5</f>
        <v>Office of Justice Programs</v>
      </c>
      <c r="B4" s="1948"/>
      <c r="C4" s="1948"/>
      <c r="D4" s="1948"/>
      <c r="E4" s="1948"/>
      <c r="F4" s="1948"/>
      <c r="G4" s="1948"/>
      <c r="H4" s="1948"/>
      <c r="I4" s="1948"/>
      <c r="J4" s="1948"/>
      <c r="K4" s="1948"/>
      <c r="L4" s="1948"/>
      <c r="M4" s="1948"/>
      <c r="N4" s="1948"/>
      <c r="O4" s="1948"/>
      <c r="P4" s="1948"/>
      <c r="Q4" s="1948"/>
      <c r="R4" s="1948"/>
      <c r="S4" s="1948"/>
      <c r="T4" s="576" t="s">
        <v>0</v>
      </c>
    </row>
    <row r="5" spans="1:20" ht="16.5">
      <c r="A5" s="1948" t="str">
        <f>+'[6]B. Summ of Reqs - JJ '!A6</f>
        <v>Juvenile Justice Programs</v>
      </c>
      <c r="B5" s="1948"/>
      <c r="C5" s="1948"/>
      <c r="D5" s="1948"/>
      <c r="E5" s="1948"/>
      <c r="F5" s="1948"/>
      <c r="G5" s="1948"/>
      <c r="H5" s="1948"/>
      <c r="I5" s="1948"/>
      <c r="J5" s="1948"/>
      <c r="K5" s="1948"/>
      <c r="L5" s="1948"/>
      <c r="M5" s="1948"/>
      <c r="N5" s="1948"/>
      <c r="O5" s="1948"/>
      <c r="P5" s="1948"/>
      <c r="Q5" s="1948"/>
      <c r="R5" s="1948"/>
      <c r="S5" s="1948"/>
      <c r="T5" s="576" t="s">
        <v>0</v>
      </c>
    </row>
    <row r="6" spans="1:20">
      <c r="A6" s="1949" t="s">
        <v>98</v>
      </c>
      <c r="B6" s="1949"/>
      <c r="C6" s="1949"/>
      <c r="D6" s="1949"/>
      <c r="E6" s="1949"/>
      <c r="F6" s="1949"/>
      <c r="G6" s="1949"/>
      <c r="H6" s="1949"/>
      <c r="I6" s="1949"/>
      <c r="J6" s="1949"/>
      <c r="K6" s="1949"/>
      <c r="L6" s="1949"/>
      <c r="M6" s="1949"/>
      <c r="N6" s="1949"/>
      <c r="O6" s="1949"/>
      <c r="P6" s="1949"/>
      <c r="Q6" s="1949"/>
      <c r="R6" s="1949"/>
      <c r="S6" s="1949"/>
      <c r="T6" s="576" t="s">
        <v>0</v>
      </c>
    </row>
    <row r="7" spans="1:20">
      <c r="A7" s="2061"/>
      <c r="B7" s="2061"/>
      <c r="C7" s="2061"/>
      <c r="D7" s="2061"/>
      <c r="E7" s="2061"/>
      <c r="F7" s="2061"/>
      <c r="G7" s="2061"/>
      <c r="H7" s="2061"/>
      <c r="I7" s="2061"/>
      <c r="J7" s="2061"/>
      <c r="K7" s="2061"/>
      <c r="L7" s="2061"/>
      <c r="M7" s="2061"/>
      <c r="N7" s="2061"/>
      <c r="O7" s="2061"/>
      <c r="P7" s="2061"/>
      <c r="Q7" s="2061"/>
      <c r="R7" s="2061"/>
      <c r="S7" s="2061"/>
      <c r="T7" s="576" t="s">
        <v>0</v>
      </c>
    </row>
    <row r="8" spans="1:20" ht="18.75" customHeight="1">
      <c r="A8" s="2098"/>
      <c r="B8" s="2094" t="s">
        <v>399</v>
      </c>
      <c r="C8" s="2095"/>
      <c r="D8" s="2095"/>
      <c r="E8" s="2095"/>
      <c r="F8" s="2095"/>
      <c r="G8" s="2095"/>
      <c r="H8" s="2096"/>
      <c r="I8" s="2096"/>
      <c r="J8" s="2096"/>
      <c r="K8" s="2096"/>
      <c r="L8" s="2096"/>
      <c r="M8" s="2096"/>
      <c r="N8" s="2096"/>
      <c r="O8" s="2096"/>
      <c r="P8" s="2096"/>
      <c r="Q8" s="2097"/>
      <c r="R8" s="2094" t="s">
        <v>62</v>
      </c>
      <c r="S8" s="2102"/>
      <c r="T8" s="576" t="s">
        <v>0</v>
      </c>
    </row>
    <row r="9" spans="1:20" ht="20.25" customHeight="1">
      <c r="A9" s="2099"/>
      <c r="B9" s="2107" t="s">
        <v>265</v>
      </c>
      <c r="C9" s="2108"/>
      <c r="D9" s="2107" t="s">
        <v>265</v>
      </c>
      <c r="E9" s="2109"/>
      <c r="F9" s="2110" t="s">
        <v>265</v>
      </c>
      <c r="G9" s="2109"/>
      <c r="H9" s="2107" t="s">
        <v>265</v>
      </c>
      <c r="I9" s="2108"/>
      <c r="J9" s="2111" t="s">
        <v>267</v>
      </c>
      <c r="K9" s="2112"/>
      <c r="L9" s="2113" t="s">
        <v>267</v>
      </c>
      <c r="M9" s="2112"/>
      <c r="N9" s="2090" t="s">
        <v>267</v>
      </c>
      <c r="O9" s="2091"/>
      <c r="P9" s="2090" t="s">
        <v>267</v>
      </c>
      <c r="Q9" s="2090"/>
      <c r="R9" s="2103"/>
      <c r="S9" s="2104"/>
      <c r="T9" s="576" t="s">
        <v>0</v>
      </c>
    </row>
    <row r="10" spans="1:20" ht="113.25" customHeight="1">
      <c r="A10" s="2100"/>
      <c r="B10" s="2092" t="s">
        <v>404</v>
      </c>
      <c r="C10" s="2093"/>
      <c r="D10" s="2092" t="s">
        <v>405</v>
      </c>
      <c r="E10" s="2092"/>
      <c r="F10" s="2092" t="s">
        <v>406</v>
      </c>
      <c r="G10" s="2092"/>
      <c r="H10" s="2092" t="s">
        <v>407</v>
      </c>
      <c r="I10" s="2093"/>
      <c r="J10" s="2092" t="s">
        <v>409</v>
      </c>
      <c r="K10" s="2092"/>
      <c r="L10" s="2092" t="s">
        <v>410</v>
      </c>
      <c r="M10" s="2092"/>
      <c r="N10" s="2092" t="s">
        <v>411</v>
      </c>
      <c r="O10" s="2093"/>
      <c r="P10" s="2092" t="s">
        <v>223</v>
      </c>
      <c r="Q10" s="2092"/>
      <c r="R10" s="2105"/>
      <c r="S10" s="2106"/>
      <c r="T10" s="576" t="s">
        <v>0</v>
      </c>
    </row>
    <row r="11" spans="1:20" ht="36" customHeight="1" thickBot="1">
      <c r="A11" s="2101"/>
      <c r="B11" s="809" t="s">
        <v>115</v>
      </c>
      <c r="C11" s="810" t="s">
        <v>270</v>
      </c>
      <c r="D11" s="811" t="s">
        <v>115</v>
      </c>
      <c r="E11" s="810" t="s">
        <v>270</v>
      </c>
      <c r="F11" s="811" t="s">
        <v>115</v>
      </c>
      <c r="G11" s="810" t="s">
        <v>270</v>
      </c>
      <c r="H11" s="809" t="s">
        <v>115</v>
      </c>
      <c r="I11" s="810" t="s">
        <v>270</v>
      </c>
      <c r="J11" s="811" t="s">
        <v>115</v>
      </c>
      <c r="K11" s="810" t="s">
        <v>270</v>
      </c>
      <c r="L11" s="811" t="s">
        <v>115</v>
      </c>
      <c r="M11" s="810" t="s">
        <v>270</v>
      </c>
      <c r="N11" s="809" t="s">
        <v>115</v>
      </c>
      <c r="O11" s="810" t="s">
        <v>270</v>
      </c>
      <c r="P11" s="811" t="s">
        <v>115</v>
      </c>
      <c r="Q11" s="810" t="s">
        <v>270</v>
      </c>
      <c r="R11" s="812" t="s">
        <v>115</v>
      </c>
      <c r="S11" s="813" t="s">
        <v>270</v>
      </c>
      <c r="T11" s="576" t="s">
        <v>0</v>
      </c>
    </row>
    <row r="12" spans="1:20" ht="20.25">
      <c r="A12" s="814" t="s">
        <v>273</v>
      </c>
      <c r="B12" s="815"/>
      <c r="C12" s="1072">
        <v>6.2098493294452171</v>
      </c>
      <c r="D12" s="1073"/>
      <c r="E12" s="1074">
        <v>4.1398995529634783</v>
      </c>
      <c r="F12" s="1073"/>
      <c r="G12" s="1073">
        <v>3.5189146200189563</v>
      </c>
      <c r="H12" s="1075"/>
      <c r="I12" s="1072">
        <v>4.1398995529634783</v>
      </c>
      <c r="J12" s="1073"/>
      <c r="K12" s="1074">
        <v>-3.7259095976671301</v>
      </c>
      <c r="L12" s="1073"/>
      <c r="M12" s="1073">
        <v>-4.1398995529634783</v>
      </c>
      <c r="N12" s="1075"/>
      <c r="O12" s="1072">
        <v>-0.31049246647226086</v>
      </c>
      <c r="P12" s="1073"/>
      <c r="Q12" s="1074">
        <v>-12.362123947025646</v>
      </c>
      <c r="R12" s="1076"/>
      <c r="S12" s="1077">
        <f t="shared" ref="S12:S16" si="0">C12+E12+G12+I12+K12+M12+O12+P12+Q12</f>
        <v>-2.5298625087373861</v>
      </c>
      <c r="T12" s="576" t="s">
        <v>0</v>
      </c>
    </row>
    <row r="13" spans="1:20" ht="20.25">
      <c r="A13" s="814" t="s">
        <v>274</v>
      </c>
      <c r="B13" s="815"/>
      <c r="C13" s="1072">
        <v>996.19056611310634</v>
      </c>
      <c r="D13" s="1073"/>
      <c r="E13" s="1074">
        <v>664.12704407540423</v>
      </c>
      <c r="F13" s="1073"/>
      <c r="G13" s="1073">
        <v>564.50798746409362</v>
      </c>
      <c r="H13" s="1075"/>
      <c r="I13" s="1072">
        <v>664.12704407540423</v>
      </c>
      <c r="J13" s="1073"/>
      <c r="K13" s="1074">
        <v>-597.71433966786378</v>
      </c>
      <c r="L13" s="1073"/>
      <c r="M13" s="1073">
        <v>-664.12704407540423</v>
      </c>
      <c r="N13" s="1075"/>
      <c r="O13" s="1072">
        <v>-49.809528305655313</v>
      </c>
      <c r="P13" s="1073"/>
      <c r="Q13" s="1074">
        <v>-1983.1449363439035</v>
      </c>
      <c r="R13" s="1076"/>
      <c r="S13" s="1077">
        <f t="shared" si="0"/>
        <v>-405.84320666481835</v>
      </c>
      <c r="T13" s="576" t="s">
        <v>0</v>
      </c>
    </row>
    <row r="14" spans="1:20" ht="20.25">
      <c r="A14" s="814" t="s">
        <v>275</v>
      </c>
      <c r="B14" s="815"/>
      <c r="C14" s="1072">
        <v>46.737287058456111</v>
      </c>
      <c r="D14" s="1073"/>
      <c r="E14" s="1074">
        <v>31.158191372304074</v>
      </c>
      <c r="F14" s="1073"/>
      <c r="G14" s="1073">
        <v>26.484462666458462</v>
      </c>
      <c r="H14" s="1075"/>
      <c r="I14" s="1072">
        <v>31.158191372304074</v>
      </c>
      <c r="J14" s="1073"/>
      <c r="K14" s="1074">
        <v>-28.042372235073664</v>
      </c>
      <c r="L14" s="1073"/>
      <c r="M14" s="1073">
        <v>-31.158191372304074</v>
      </c>
      <c r="N14" s="1075"/>
      <c r="O14" s="1072">
        <v>-2.3368643529228055</v>
      </c>
      <c r="P14" s="1073"/>
      <c r="Q14" s="1074">
        <v>-93.041248653929856</v>
      </c>
      <c r="R14" s="1076"/>
      <c r="S14" s="1077">
        <f t="shared" si="0"/>
        <v>-19.040544144707653</v>
      </c>
      <c r="T14" s="576" t="s">
        <v>0</v>
      </c>
    </row>
    <row r="15" spans="1:20" ht="40.5">
      <c r="A15" s="823" t="s">
        <v>276</v>
      </c>
      <c r="B15" s="815"/>
      <c r="C15" s="1072">
        <v>244.36301834992321</v>
      </c>
      <c r="D15" s="1073"/>
      <c r="E15" s="1074">
        <v>162.9086788999488</v>
      </c>
      <c r="F15" s="1073"/>
      <c r="G15" s="1073">
        <v>138.9</v>
      </c>
      <c r="H15" s="1075"/>
      <c r="I15" s="1072">
        <v>162.9086788999488</v>
      </c>
      <c r="J15" s="1073"/>
      <c r="K15" s="1074">
        <v>-146.61781100995393</v>
      </c>
      <c r="L15" s="1073"/>
      <c r="M15" s="1073">
        <v>-162.9086788999488</v>
      </c>
      <c r="N15" s="1075"/>
      <c r="O15" s="1072">
        <v>-12.21815091749616</v>
      </c>
      <c r="P15" s="1073"/>
      <c r="Q15" s="1074">
        <v>-486.46042128383374</v>
      </c>
      <c r="R15" s="1076"/>
      <c r="S15" s="1077">
        <f t="shared" si="0"/>
        <v>-99.124685961411842</v>
      </c>
      <c r="T15" s="576" t="s">
        <v>0</v>
      </c>
    </row>
    <row r="16" spans="1:20" ht="20.25">
      <c r="A16" s="824" t="s">
        <v>277</v>
      </c>
      <c r="B16" s="825"/>
      <c r="C16" s="1078">
        <v>28706</v>
      </c>
      <c r="D16" s="1079"/>
      <c r="E16" s="1080">
        <v>19137.520926465942</v>
      </c>
      <c r="F16" s="1079"/>
      <c r="G16" s="1079">
        <v>16266.892787496052</v>
      </c>
      <c r="H16" s="1081"/>
      <c r="I16" s="1078">
        <v>19137.520926465942</v>
      </c>
      <c r="J16" s="1079"/>
      <c r="K16" s="1080">
        <v>-17223.768833819347</v>
      </c>
      <c r="L16" s="1079"/>
      <c r="M16" s="1079">
        <v>-19137.520926465942</v>
      </c>
      <c r="N16" s="1081"/>
      <c r="O16" s="1078">
        <v>-1435.3140694849458</v>
      </c>
      <c r="P16" s="1079"/>
      <c r="Q16" s="1080">
        <v>-62424.557511036321</v>
      </c>
      <c r="R16" s="1076"/>
      <c r="S16" s="1077">
        <f t="shared" si="0"/>
        <v>-16973.226700378611</v>
      </c>
      <c r="T16" s="576" t="s">
        <v>0</v>
      </c>
    </row>
    <row r="17" spans="1:20" ht="21" thickBot="1">
      <c r="A17" s="826" t="s">
        <v>278</v>
      </c>
      <c r="B17" s="827">
        <f t="shared" ref="B17:S17" si="1">SUM(B12:B16)</f>
        <v>0</v>
      </c>
      <c r="C17" s="1082">
        <f t="shared" si="1"/>
        <v>29999.500720850931</v>
      </c>
      <c r="D17" s="1083">
        <f t="shared" si="1"/>
        <v>0</v>
      </c>
      <c r="E17" s="1082">
        <f t="shared" si="1"/>
        <v>19999.854740366562</v>
      </c>
      <c r="F17" s="1083">
        <f t="shared" si="1"/>
        <v>0</v>
      </c>
      <c r="G17" s="1084">
        <f t="shared" si="1"/>
        <v>17000.304152246623</v>
      </c>
      <c r="H17" s="1085">
        <f t="shared" si="1"/>
        <v>0</v>
      </c>
      <c r="I17" s="1082">
        <f t="shared" si="1"/>
        <v>19999.854740366562</v>
      </c>
      <c r="J17" s="1086">
        <f t="shared" si="1"/>
        <v>0</v>
      </c>
      <c r="K17" s="1082">
        <f t="shared" si="1"/>
        <v>-17999.869266329904</v>
      </c>
      <c r="L17" s="1086">
        <f t="shared" si="1"/>
        <v>0</v>
      </c>
      <c r="M17" s="1084">
        <f t="shared" si="1"/>
        <v>-19999.854740366562</v>
      </c>
      <c r="N17" s="1087">
        <f t="shared" si="1"/>
        <v>0</v>
      </c>
      <c r="O17" s="1082">
        <f t="shared" si="1"/>
        <v>-1499.9891055274923</v>
      </c>
      <c r="P17" s="1086">
        <f t="shared" si="1"/>
        <v>0</v>
      </c>
      <c r="Q17" s="1082">
        <f t="shared" si="1"/>
        <v>-64999.566241265013</v>
      </c>
      <c r="R17" s="1087">
        <f t="shared" si="1"/>
        <v>0</v>
      </c>
      <c r="S17" s="1088">
        <f t="shared" si="1"/>
        <v>-17499.764999658288</v>
      </c>
      <c r="T17" s="576" t="s">
        <v>13</v>
      </c>
    </row>
    <row r="20" spans="1:20">
      <c r="C20" s="834"/>
      <c r="S20" s="587"/>
    </row>
  </sheetData>
  <customSheetViews>
    <customSheetView guid="{DA38F665-F06D-4DFB-B852-747D93BB00EF}" scale="70" showPageBreaks="1" fitToPage="1" printArea="1" view="pageBreakPreview">
      <pane xSplit="1" ySplit="11" topLeftCell="G12" activePane="bottomRight" state="frozen"/>
      <selection pane="bottomRight" activeCell="B210" sqref="B210"/>
      <pageMargins left="0.25" right="0.25" top="0.5" bottom="0.5" header="0.5" footer="0.5"/>
      <printOptions horizontalCentered="1"/>
      <pageSetup scale="57" fitToHeight="0" orientation="landscape" r:id="rId1"/>
      <headerFooter alignWithMargins="0">
        <oddFooter>&amp;C&amp;"Times New Roman,Regular"&amp;14Exhibit J - Financial Analysis of Program Changes&amp;12
&amp;R&amp;"Times New Roman,Regular"Juvenile Justice Programs</oddFooter>
      </headerFooter>
    </customSheetView>
    <customSheetView guid="{4D0F9E3D-0229-48CC-A08B-F132802E9D7B}" scale="70" showPageBreaks="1" fitToPage="1" printArea="1" view="pageBreakPreview">
      <pane xSplit="1" ySplit="11" topLeftCell="B12" activePane="bottomRight" state="frozen"/>
      <selection pane="bottomRight" activeCell="G23" sqref="G23"/>
      <pageMargins left="0.25" right="0.25" top="0.5" bottom="0.5" header="0.5" footer="0.5"/>
      <printOptions horizontalCentered="1"/>
      <pageSetup scale="57" fitToHeight="0" orientation="landscape" r:id="rId2"/>
      <headerFooter alignWithMargins="0">
        <oddFooter>&amp;C&amp;"Times New Roman,Regular"&amp;14Exhibit J - Financial Analysis of Program Changes&amp;12
&amp;R&amp;"Times New Roman,Regular"Juvenile Justice Programs</oddFooter>
      </headerFooter>
    </customSheetView>
    <customSheetView guid="{F6772377-6B25-4EEA-B255-4C2F62B37855}" scale="70" showPageBreaks="1" fitToPage="1" printArea="1" view="pageBreakPreview">
      <pane xSplit="1" ySplit="11" topLeftCell="G12" activePane="bottomRight" state="frozen"/>
      <selection pane="bottomRight" activeCell="S28" sqref="S28"/>
      <pageMargins left="0.25" right="0.25" top="0.5" bottom="0.5" header="0.5" footer="0.5"/>
      <printOptions horizontalCentered="1"/>
      <pageSetup scale="57" fitToHeight="0" orientation="landscape" r:id="rId3"/>
      <headerFooter alignWithMargins="0">
        <oddFooter>&amp;C&amp;"Times New Roman,Regular"&amp;14Exhibit J - Financial Analysis of Program Changes&amp;12
&amp;R&amp;"Times New Roman,Regular"Juvenile Justice Programs</oddFooter>
      </headerFooter>
    </customSheetView>
    <customSheetView guid="{27B9C207-C13F-4981-9CED-E69585BBD779}" scale="70" showPageBreaks="1" fitToPage="1" printArea="1" view="pageBreakPreview">
      <selection activeCell="D10" sqref="D10:E10"/>
      <pageMargins left="0.25" right="0.25" top="0.5" bottom="0.5" header="0.5" footer="0.5"/>
      <printOptions horizontalCentered="1"/>
      <pageSetup scale="57" fitToHeight="0" orientation="landscape" r:id="rId4"/>
      <headerFooter alignWithMargins="0">
        <oddFooter>&amp;C&amp;"Times New Roman,Regular"&amp;14Exhibit J - Financial Analysis of Program Changes&amp;12
&amp;R&amp;"Times New Roman,Regular"Juvenile Justice Programs</oddFooter>
      </headerFooter>
    </customSheetView>
  </customSheetViews>
  <mergeCells count="25">
    <mergeCell ref="B8:Q8"/>
    <mergeCell ref="A7:S7"/>
    <mergeCell ref="A2:S2"/>
    <mergeCell ref="A3:S3"/>
    <mergeCell ref="A4:S4"/>
    <mergeCell ref="A5:S5"/>
    <mergeCell ref="A6:S6"/>
    <mergeCell ref="A8:A11"/>
    <mergeCell ref="R8:S10"/>
    <mergeCell ref="B9:C9"/>
    <mergeCell ref="D9:E9"/>
    <mergeCell ref="F9:G9"/>
    <mergeCell ref="H9:I9"/>
    <mergeCell ref="J9:K9"/>
    <mergeCell ref="P10:Q10"/>
    <mergeCell ref="L9:M9"/>
    <mergeCell ref="N9:O9"/>
    <mergeCell ref="P9:Q9"/>
    <mergeCell ref="B10:C10"/>
    <mergeCell ref="D10:E10"/>
    <mergeCell ref="F10:G10"/>
    <mergeCell ref="H10:I10"/>
    <mergeCell ref="J10:K10"/>
    <mergeCell ref="L10:M10"/>
    <mergeCell ref="N10:O10"/>
  </mergeCells>
  <printOptions horizontalCentered="1"/>
  <pageMargins left="0.25" right="0.25" top="0.5" bottom="0.5" header="0.5" footer="0.5"/>
  <pageSetup scale="57" fitToHeight="0" orientation="landscape" r:id="rId5"/>
  <headerFooter alignWithMargins="0">
    <oddFooter>&amp;C&amp;"Times New Roman,Regular"&amp;14Exhibit J - Financial Analysis of Program Changes&amp;12
&amp;R&amp;"Times New Roman,Regular"Juvenile Justice Programs</oddFooter>
  </headerFooter>
</worksheet>
</file>

<file path=xl/worksheets/sheet36.xml><?xml version="1.0" encoding="utf-8"?>
<worksheet xmlns="http://schemas.openxmlformats.org/spreadsheetml/2006/main" xmlns:r="http://schemas.openxmlformats.org/officeDocument/2006/relationships">
  <dimension ref="A1:V191"/>
  <sheetViews>
    <sheetView view="pageBreakPreview" zoomScale="75" zoomScaleNormal="75" zoomScaleSheetLayoutView="50" workbookViewId="0">
      <selection activeCell="A16" sqref="A16"/>
    </sheetView>
  </sheetViews>
  <sheetFormatPr defaultRowHeight="15.75"/>
  <cols>
    <col min="1" max="1" width="65.33203125" style="294" customWidth="1"/>
    <col min="2" max="2" width="8.88671875" style="294"/>
    <col min="3" max="3" width="10.109375" style="294" customWidth="1"/>
    <col min="4" max="4" width="8.88671875" style="294"/>
    <col min="5" max="5" width="10.6640625" style="294" customWidth="1"/>
    <col min="6" max="6" width="8.88671875" style="294"/>
    <col min="7" max="7" width="10.5546875" style="294" bestFit="1" customWidth="1"/>
    <col min="8" max="8" width="8.88671875" style="294"/>
    <col min="9" max="9" width="10.33203125" style="294" customWidth="1"/>
    <col min="10" max="10" width="9.109375" style="59" customWidth="1"/>
    <col min="11" max="11" width="8.88671875" style="363"/>
    <col min="12" max="16384" width="8.88671875" style="294"/>
  </cols>
  <sheetData>
    <row r="1" spans="1:10" ht="19.149999999999999" customHeight="1">
      <c r="A1" s="1779" t="s">
        <v>89</v>
      </c>
      <c r="B1" s="1780"/>
      <c r="C1" s="1780"/>
      <c r="D1" s="1780"/>
      <c r="E1" s="1780"/>
      <c r="F1" s="1780"/>
      <c r="G1" s="1780"/>
      <c r="H1" s="1780"/>
      <c r="I1" s="1780"/>
      <c r="J1" s="58" t="s">
        <v>0</v>
      </c>
    </row>
    <row r="2" spans="1:10" ht="19.149999999999999" customHeight="1">
      <c r="A2" s="1781"/>
      <c r="B2" s="1782"/>
      <c r="C2" s="1782"/>
      <c r="D2" s="1782"/>
      <c r="E2" s="1782"/>
      <c r="F2" s="1782"/>
      <c r="G2" s="1782"/>
      <c r="H2" s="1782"/>
      <c r="I2" s="1782"/>
      <c r="J2" s="58" t="s">
        <v>0</v>
      </c>
    </row>
    <row r="3" spans="1:10" ht="18.75">
      <c r="A3" s="1783" t="s">
        <v>59</v>
      </c>
      <c r="B3" s="1780"/>
      <c r="C3" s="1780"/>
      <c r="D3" s="1780"/>
      <c r="E3" s="1780"/>
      <c r="F3" s="1780"/>
      <c r="G3" s="1780"/>
      <c r="H3" s="1780"/>
      <c r="I3" s="1780"/>
      <c r="J3" s="58" t="s">
        <v>0</v>
      </c>
    </row>
    <row r="4" spans="1:10" ht="16.5">
      <c r="A4" s="1784" t="str">
        <f>+'[6]B. Summ of Reqs - JJ '!A5</f>
        <v>Office of Justice Programs</v>
      </c>
      <c r="B4" s="1780"/>
      <c r="C4" s="1780"/>
      <c r="D4" s="1780"/>
      <c r="E4" s="1780"/>
      <c r="F4" s="1780"/>
      <c r="G4" s="1780"/>
      <c r="H4" s="1780"/>
      <c r="I4" s="1780"/>
      <c r="J4" s="58" t="s">
        <v>0</v>
      </c>
    </row>
    <row r="5" spans="1:10" ht="16.5">
      <c r="A5" s="1784" t="str">
        <f>+'[6]B. Summ of Reqs - JJ '!A6</f>
        <v>Juvenile Justice Programs</v>
      </c>
      <c r="B5" s="1780"/>
      <c r="C5" s="1780"/>
      <c r="D5" s="1780"/>
      <c r="E5" s="1780"/>
      <c r="F5" s="1780"/>
      <c r="G5" s="1780"/>
      <c r="H5" s="1780"/>
      <c r="I5" s="1780"/>
      <c r="J5" s="58" t="s">
        <v>0</v>
      </c>
    </row>
    <row r="6" spans="1:10">
      <c r="A6" s="1798" t="s">
        <v>98</v>
      </c>
      <c r="B6" s="1780"/>
      <c r="C6" s="1780"/>
      <c r="D6" s="1780"/>
      <c r="E6" s="1780"/>
      <c r="F6" s="1780"/>
      <c r="G6" s="1780"/>
      <c r="H6" s="1780"/>
      <c r="I6" s="1780"/>
      <c r="J6" s="58" t="s">
        <v>0</v>
      </c>
    </row>
    <row r="7" spans="1:10" ht="11.25" customHeight="1">
      <c r="A7" s="1951"/>
      <c r="B7" s="1951"/>
      <c r="C7" s="1951"/>
      <c r="D7" s="1951"/>
      <c r="E7" s="1951"/>
      <c r="F7" s="1951"/>
      <c r="G7" s="1951"/>
      <c r="H7" s="1951"/>
      <c r="I7" s="1951"/>
      <c r="J7" s="58" t="s">
        <v>0</v>
      </c>
    </row>
    <row r="8" spans="1:10" ht="44.25" customHeight="1">
      <c r="A8" s="1796" t="s">
        <v>53</v>
      </c>
      <c r="B8" s="1799" t="s">
        <v>162</v>
      </c>
      <c r="C8" s="1800"/>
      <c r="D8" s="2114" t="s">
        <v>616</v>
      </c>
      <c r="E8" s="2115"/>
      <c r="F8" s="1801" t="s">
        <v>154</v>
      </c>
      <c r="G8" s="1803"/>
      <c r="H8" s="1801" t="s">
        <v>143</v>
      </c>
      <c r="I8" s="1802"/>
      <c r="J8" s="58" t="s">
        <v>0</v>
      </c>
    </row>
    <row r="9" spans="1:10" ht="25.5" customHeight="1" thickBot="1">
      <c r="A9" s="1797"/>
      <c r="B9" s="352" t="s">
        <v>25</v>
      </c>
      <c r="C9" s="353" t="s">
        <v>117</v>
      </c>
      <c r="D9" s="352" t="s">
        <v>25</v>
      </c>
      <c r="E9" s="353" t="s">
        <v>117</v>
      </c>
      <c r="F9" s="352" t="s">
        <v>25</v>
      </c>
      <c r="G9" s="353" t="s">
        <v>117</v>
      </c>
      <c r="H9" s="352" t="s">
        <v>25</v>
      </c>
      <c r="I9" s="354" t="s">
        <v>117</v>
      </c>
      <c r="J9" s="58" t="s">
        <v>0</v>
      </c>
    </row>
    <row r="10" spans="1:10">
      <c r="A10" s="625" t="s">
        <v>8</v>
      </c>
      <c r="B10" s="595"/>
      <c r="C10" s="596"/>
      <c r="D10" s="595"/>
      <c r="E10" s="596"/>
      <c r="F10" s="595"/>
      <c r="G10" s="596"/>
      <c r="H10" s="595"/>
      <c r="I10" s="594"/>
      <c r="J10" s="58" t="s">
        <v>0</v>
      </c>
    </row>
    <row r="11" spans="1:10">
      <c r="A11" s="597" t="s">
        <v>50</v>
      </c>
      <c r="B11" s="595"/>
      <c r="C11" s="601"/>
      <c r="D11" s="595"/>
      <c r="E11" s="601"/>
      <c r="F11" s="595"/>
      <c r="G11" s="601"/>
      <c r="H11" s="595"/>
      <c r="I11" s="600"/>
      <c r="J11" s="58" t="s">
        <v>0</v>
      </c>
    </row>
    <row r="12" spans="1:10">
      <c r="A12" s="597" t="s">
        <v>32</v>
      </c>
      <c r="B12" s="624"/>
      <c r="C12" s="601"/>
      <c r="D12" s="624"/>
      <c r="E12" s="601"/>
      <c r="F12" s="624"/>
      <c r="G12" s="601"/>
      <c r="H12" s="595"/>
      <c r="I12" s="600"/>
      <c r="J12" s="58" t="s">
        <v>0</v>
      </c>
    </row>
    <row r="13" spans="1:10">
      <c r="A13" s="623" t="s">
        <v>34</v>
      </c>
      <c r="B13" s="621"/>
      <c r="C13" s="622"/>
      <c r="D13" s="621"/>
      <c r="E13" s="622"/>
      <c r="F13" s="621"/>
      <c r="G13" s="622"/>
      <c r="H13" s="621"/>
      <c r="I13" s="620"/>
      <c r="J13" s="58" t="s">
        <v>0</v>
      </c>
    </row>
    <row r="14" spans="1:10">
      <c r="A14" s="623" t="s">
        <v>33</v>
      </c>
      <c r="B14" s="621"/>
      <c r="C14" s="622"/>
      <c r="D14" s="621"/>
      <c r="E14" s="622"/>
      <c r="F14" s="621"/>
      <c r="G14" s="622"/>
      <c r="H14" s="621"/>
      <c r="I14" s="620"/>
      <c r="J14" s="58" t="s">
        <v>0</v>
      </c>
    </row>
    <row r="15" spans="1:10">
      <c r="A15" s="593" t="s">
        <v>35</v>
      </c>
      <c r="B15" s="619"/>
      <c r="C15" s="618"/>
      <c r="D15" s="619"/>
      <c r="E15" s="618"/>
      <c r="F15" s="619"/>
      <c r="G15" s="618"/>
      <c r="H15" s="595"/>
      <c r="I15" s="600"/>
      <c r="J15" s="58" t="s">
        <v>0</v>
      </c>
    </row>
    <row r="16" spans="1:10">
      <c r="A16" s="859" t="s">
        <v>9</v>
      </c>
      <c r="B16" s="617">
        <f>+B10+B11+B12+B15</f>
        <v>0</v>
      </c>
      <c r="C16" s="616">
        <f t="shared" ref="C16:I16" si="0">+C10+C11+C12+C15</f>
        <v>0</v>
      </c>
      <c r="D16" s="617">
        <f>+D10+D11+D12+D15</f>
        <v>0</v>
      </c>
      <c r="E16" s="616">
        <f t="shared" si="0"/>
        <v>0</v>
      </c>
      <c r="F16" s="617">
        <f t="shared" si="0"/>
        <v>0</v>
      </c>
      <c r="G16" s="615">
        <f t="shared" si="0"/>
        <v>0</v>
      </c>
      <c r="H16" s="616">
        <f>+H10+H11+H12+H15</f>
        <v>0</v>
      </c>
      <c r="I16" s="615">
        <f t="shared" si="0"/>
        <v>0</v>
      </c>
      <c r="J16" s="58" t="s">
        <v>0</v>
      </c>
    </row>
    <row r="17" spans="1:10">
      <c r="A17" s="602" t="s">
        <v>54</v>
      </c>
      <c r="B17" s="595"/>
      <c r="C17" s="601"/>
      <c r="D17" s="595"/>
      <c r="E17" s="601"/>
      <c r="F17" s="595"/>
      <c r="G17" s="601"/>
      <c r="H17" s="595"/>
      <c r="I17" s="600"/>
      <c r="J17" s="58" t="s">
        <v>0</v>
      </c>
    </row>
    <row r="18" spans="1:10">
      <c r="A18" s="599" t="s">
        <v>37</v>
      </c>
      <c r="B18" s="595"/>
      <c r="C18" s="601"/>
      <c r="D18" s="595"/>
      <c r="E18" s="601"/>
      <c r="F18" s="595"/>
      <c r="G18" s="601"/>
      <c r="H18" s="595"/>
      <c r="I18" s="600"/>
      <c r="J18" s="58" t="s">
        <v>0</v>
      </c>
    </row>
    <row r="19" spans="1:10">
      <c r="A19" s="599" t="s">
        <v>38</v>
      </c>
      <c r="B19" s="595"/>
      <c r="C19" s="601"/>
      <c r="D19" s="595"/>
      <c r="E19" s="601"/>
      <c r="F19" s="595"/>
      <c r="G19" s="601"/>
      <c r="H19" s="595"/>
      <c r="I19" s="600"/>
      <c r="J19" s="58" t="s">
        <v>0</v>
      </c>
    </row>
    <row r="20" spans="1:10">
      <c r="A20" s="599" t="s">
        <v>39</v>
      </c>
      <c r="B20" s="595"/>
      <c r="C20" s="601"/>
      <c r="D20" s="595"/>
      <c r="E20" s="601"/>
      <c r="F20" s="595"/>
      <c r="G20" s="601"/>
      <c r="H20" s="595"/>
      <c r="I20" s="600"/>
      <c r="J20" s="58" t="s">
        <v>0</v>
      </c>
    </row>
    <row r="21" spans="1:10">
      <c r="A21" s="599" t="s">
        <v>87</v>
      </c>
      <c r="B21" s="595"/>
      <c r="C21" s="601"/>
      <c r="D21" s="595"/>
      <c r="E21" s="601"/>
      <c r="F21" s="595"/>
      <c r="G21" s="601"/>
      <c r="H21" s="595"/>
      <c r="I21" s="600"/>
      <c r="J21" s="58" t="s">
        <v>0</v>
      </c>
    </row>
    <row r="22" spans="1:10">
      <c r="A22" s="599" t="s">
        <v>19</v>
      </c>
      <c r="B22" s="595"/>
      <c r="C22" s="601"/>
      <c r="D22" s="595"/>
      <c r="E22" s="601"/>
      <c r="F22" s="595"/>
      <c r="G22" s="601"/>
      <c r="H22" s="595"/>
      <c r="I22" s="600"/>
      <c r="J22" s="58" t="s">
        <v>0</v>
      </c>
    </row>
    <row r="23" spans="1:10">
      <c r="A23" s="599" t="s">
        <v>40</v>
      </c>
      <c r="B23" s="595"/>
      <c r="C23" s="601"/>
      <c r="D23" s="595"/>
      <c r="E23" s="601"/>
      <c r="F23" s="595"/>
      <c r="G23" s="601"/>
      <c r="H23" s="595"/>
      <c r="I23" s="600"/>
      <c r="J23" s="58" t="s">
        <v>0</v>
      </c>
    </row>
    <row r="24" spans="1:10">
      <c r="A24" s="599" t="s">
        <v>41</v>
      </c>
      <c r="B24" s="595"/>
      <c r="C24" s="601">
        <v>57</v>
      </c>
      <c r="D24" s="595"/>
      <c r="E24" s="601">
        <v>57</v>
      </c>
      <c r="F24" s="595"/>
      <c r="G24" s="601">
        <f>((E24/$E$34)*-17500)+E24</f>
        <v>53.276331654727286</v>
      </c>
      <c r="H24" s="595"/>
      <c r="I24" s="600">
        <f t="shared" ref="I24:I33" si="1">G24-E24</f>
        <v>-3.7236683452727135</v>
      </c>
      <c r="J24" s="58" t="s">
        <v>0</v>
      </c>
    </row>
    <row r="25" spans="1:10">
      <c r="A25" s="599" t="s">
        <v>42</v>
      </c>
      <c r="B25" s="595"/>
      <c r="C25" s="601">
        <v>9144</v>
      </c>
      <c r="D25" s="595"/>
      <c r="E25" s="601"/>
      <c r="F25" s="595"/>
      <c r="G25" s="601"/>
      <c r="H25" s="595"/>
      <c r="I25" s="600"/>
      <c r="J25" s="58" t="s">
        <v>0</v>
      </c>
    </row>
    <row r="26" spans="1:10">
      <c r="A26" s="599" t="s">
        <v>43</v>
      </c>
      <c r="B26" s="595"/>
      <c r="C26" s="601">
        <v>429</v>
      </c>
      <c r="D26" s="595"/>
      <c r="E26" s="601">
        <v>9573</v>
      </c>
      <c r="F26" s="595"/>
      <c r="G26" s="601">
        <v>8935</v>
      </c>
      <c r="H26" s="595"/>
      <c r="I26" s="600">
        <f t="shared" si="1"/>
        <v>-638</v>
      </c>
      <c r="J26" s="58" t="s">
        <v>0</v>
      </c>
    </row>
    <row r="27" spans="1:10">
      <c r="A27" s="599" t="s">
        <v>163</v>
      </c>
      <c r="B27" s="595"/>
      <c r="C27" s="601">
        <v>2243</v>
      </c>
      <c r="D27" s="595"/>
      <c r="E27" s="601">
        <v>2243</v>
      </c>
      <c r="F27" s="595"/>
      <c r="G27" s="601">
        <v>2093</v>
      </c>
      <c r="H27" s="595"/>
      <c r="I27" s="600">
        <f t="shared" si="1"/>
        <v>-150</v>
      </c>
      <c r="J27" s="58" t="s">
        <v>0</v>
      </c>
    </row>
    <row r="28" spans="1:10">
      <c r="A28" s="599" t="s">
        <v>88</v>
      </c>
      <c r="B28" s="835"/>
      <c r="C28" s="601"/>
      <c r="D28" s="595"/>
      <c r="E28" s="601"/>
      <c r="F28" s="595"/>
      <c r="G28" s="601"/>
      <c r="H28" s="595"/>
      <c r="I28" s="600"/>
      <c r="J28" s="58" t="s">
        <v>0</v>
      </c>
    </row>
    <row r="29" spans="1:10">
      <c r="A29" s="599" t="s">
        <v>280</v>
      </c>
      <c r="B29" s="595"/>
      <c r="C29" s="601"/>
      <c r="D29" s="595"/>
      <c r="E29" s="601"/>
      <c r="F29" s="595"/>
      <c r="G29" s="601"/>
      <c r="H29" s="595"/>
      <c r="I29" s="600"/>
      <c r="J29" s="58" t="s">
        <v>0</v>
      </c>
    </row>
    <row r="30" spans="1:10">
      <c r="A30" s="599" t="s">
        <v>92</v>
      </c>
      <c r="B30" s="595"/>
      <c r="C30" s="601"/>
      <c r="D30" s="595"/>
      <c r="E30" s="601"/>
      <c r="F30" s="595"/>
      <c r="G30" s="601"/>
      <c r="H30" s="595"/>
      <c r="I30" s="600"/>
      <c r="J30" s="58" t="s">
        <v>0</v>
      </c>
    </row>
    <row r="31" spans="1:10">
      <c r="A31" s="599" t="s">
        <v>44</v>
      </c>
      <c r="B31" s="595"/>
      <c r="C31" s="601">
        <v>2</v>
      </c>
      <c r="D31" s="595"/>
      <c r="E31" s="601">
        <v>2</v>
      </c>
      <c r="F31" s="595"/>
      <c r="G31" s="601">
        <f t="shared" ref="G31" si="2">((E31/$E$34)*-17500)+E31</f>
        <v>1.8693449703413083</v>
      </c>
      <c r="H31" s="595"/>
      <c r="I31" s="600">
        <f t="shared" si="1"/>
        <v>-0.13065502965869169</v>
      </c>
      <c r="J31" s="58" t="s">
        <v>0</v>
      </c>
    </row>
    <row r="32" spans="1:10">
      <c r="A32" s="599" t="s">
        <v>45</v>
      </c>
      <c r="B32" s="595"/>
      <c r="C32" s="601"/>
      <c r="D32" s="595"/>
      <c r="E32" s="601"/>
      <c r="F32" s="595"/>
      <c r="G32" s="601"/>
      <c r="H32" s="595"/>
      <c r="I32" s="600"/>
      <c r="J32" s="58" t="s">
        <v>0</v>
      </c>
    </row>
    <row r="33" spans="1:22">
      <c r="A33" s="599" t="s">
        <v>437</v>
      </c>
      <c r="B33" s="595"/>
      <c r="C33" s="601">
        <f>263494+20000</f>
        <v>283494</v>
      </c>
      <c r="D33" s="595"/>
      <c r="E33" s="601">
        <v>256006</v>
      </c>
      <c r="F33" s="595"/>
      <c r="G33" s="601">
        <v>233917</v>
      </c>
      <c r="H33" s="595"/>
      <c r="I33" s="600">
        <f t="shared" si="1"/>
        <v>-22089</v>
      </c>
      <c r="J33" s="58" t="s">
        <v>0</v>
      </c>
    </row>
    <row r="34" spans="1:22">
      <c r="A34" s="613" t="s">
        <v>46</v>
      </c>
      <c r="B34" s="611"/>
      <c r="C34" s="612">
        <f>SUM(C16:C33)</f>
        <v>295369</v>
      </c>
      <c r="D34" s="611"/>
      <c r="E34" s="1343">
        <f>SUM(E16:E33)</f>
        <v>267881</v>
      </c>
      <c r="F34" s="611"/>
      <c r="G34" s="612">
        <f>SUM(G16:G33)</f>
        <v>245000.14567662508</v>
      </c>
      <c r="H34" s="611"/>
      <c r="I34" s="610">
        <f>SUM(I16:I33)</f>
        <v>-22880.85432337493</v>
      </c>
      <c r="J34" s="58" t="s">
        <v>0</v>
      </c>
    </row>
    <row r="35" spans="1:22" ht="16.899999999999999" customHeight="1">
      <c r="A35" s="599" t="s">
        <v>47</v>
      </c>
      <c r="B35" s="595"/>
      <c r="C35" s="601">
        <v>-10167.340819999999</v>
      </c>
      <c r="D35" s="595"/>
      <c r="E35" s="601">
        <v>-5381</v>
      </c>
      <c r="F35" s="595"/>
      <c r="G35" s="601"/>
      <c r="H35" s="595"/>
      <c r="I35" s="600"/>
      <c r="J35" s="58" t="s">
        <v>0</v>
      </c>
    </row>
    <row r="36" spans="1:22">
      <c r="A36" s="599" t="s">
        <v>48</v>
      </c>
      <c r="B36" s="595"/>
      <c r="C36" s="601">
        <v>5381</v>
      </c>
      <c r="D36" s="595"/>
      <c r="E36" s="601"/>
      <c r="F36" s="595"/>
      <c r="G36" s="601"/>
      <c r="H36" s="595"/>
      <c r="I36" s="600"/>
      <c r="J36" s="58" t="s">
        <v>0</v>
      </c>
    </row>
    <row r="37" spans="1:22">
      <c r="A37" s="599" t="s">
        <v>394</v>
      </c>
      <c r="B37" s="595"/>
      <c r="C37" s="601">
        <v>6323</v>
      </c>
      <c r="D37" s="595"/>
      <c r="E37" s="601">
        <v>9000</v>
      </c>
      <c r="F37" s="595"/>
      <c r="G37" s="601">
        <v>7000</v>
      </c>
      <c r="H37" s="595"/>
      <c r="I37" s="600"/>
      <c r="J37" s="58" t="s">
        <v>0</v>
      </c>
    </row>
    <row r="38" spans="1:22">
      <c r="A38" s="599" t="s">
        <v>438</v>
      </c>
      <c r="B38" s="595"/>
      <c r="C38" s="601">
        <v>6055</v>
      </c>
      <c r="D38" s="595"/>
      <c r="E38" s="601"/>
      <c r="F38" s="595"/>
      <c r="G38" s="601"/>
      <c r="H38" s="595"/>
      <c r="I38" s="600"/>
      <c r="J38" s="58" t="s">
        <v>0</v>
      </c>
    </row>
    <row r="39" spans="1:22">
      <c r="A39" s="599" t="s">
        <v>421</v>
      </c>
      <c r="B39" s="595"/>
      <c r="C39" s="601">
        <v>-20000</v>
      </c>
      <c r="D39" s="595"/>
      <c r="E39" s="601"/>
      <c r="F39" s="595"/>
      <c r="G39" s="601"/>
      <c r="H39" s="595"/>
      <c r="I39" s="600"/>
      <c r="J39" s="58" t="s">
        <v>0</v>
      </c>
    </row>
    <row r="40" spans="1:22">
      <c r="A40" s="599" t="s">
        <v>49</v>
      </c>
      <c r="B40" s="595"/>
      <c r="C40" s="601">
        <v>-7538</v>
      </c>
      <c r="D40" s="595"/>
      <c r="E40" s="601">
        <v>-9000</v>
      </c>
      <c r="F40" s="595"/>
      <c r="G40" s="601">
        <v>-7000</v>
      </c>
      <c r="H40" s="595"/>
      <c r="I40" s="600"/>
      <c r="J40" s="58" t="s">
        <v>0</v>
      </c>
    </row>
    <row r="41" spans="1:22" ht="16.5" customHeight="1" thickBot="1">
      <c r="A41" s="609" t="s">
        <v>1</v>
      </c>
      <c r="B41" s="608"/>
      <c r="C41" s="1333">
        <f>SUM(C34,C35,C36,C37,C38,C39,C40)</f>
        <v>275422.65918000002</v>
      </c>
      <c r="D41" s="608"/>
      <c r="E41" s="1335">
        <f>SUM(E34:E40)</f>
        <v>262500</v>
      </c>
      <c r="F41" s="608"/>
      <c r="G41" s="1362">
        <f>SUM(G34:G40)</f>
        <v>245000.14567662508</v>
      </c>
      <c r="H41" s="608"/>
      <c r="I41" s="1338"/>
      <c r="J41" s="58" t="s">
        <v>0</v>
      </c>
      <c r="L41" s="1794"/>
      <c r="M41" s="1794"/>
      <c r="N41" s="1794"/>
      <c r="O41" s="1794"/>
      <c r="P41" s="1794"/>
      <c r="Q41" s="1794"/>
      <c r="R41" s="1794"/>
      <c r="S41" s="1794"/>
      <c r="T41" s="1794"/>
      <c r="U41" s="1794"/>
      <c r="V41" s="1794"/>
    </row>
    <row r="42" spans="1:22">
      <c r="A42" s="606"/>
      <c r="B42" s="604"/>
      <c r="C42" s="605"/>
      <c r="D42" s="604"/>
      <c r="E42" s="605"/>
      <c r="F42" s="604"/>
      <c r="G42" s="605"/>
      <c r="H42" s="604"/>
      <c r="I42" s="603"/>
      <c r="J42" s="58" t="s">
        <v>0</v>
      </c>
      <c r="L42" s="1794"/>
      <c r="M42" s="1794"/>
      <c r="N42" s="1794"/>
      <c r="O42" s="1794"/>
      <c r="P42" s="1794"/>
      <c r="Q42" s="1794"/>
      <c r="R42" s="1794"/>
      <c r="S42" s="1794"/>
      <c r="T42" s="1794"/>
      <c r="U42" s="1794"/>
      <c r="V42" s="1794"/>
    </row>
    <row r="43" spans="1:22">
      <c r="A43" s="602" t="s">
        <v>108</v>
      </c>
      <c r="B43" s="595"/>
      <c r="C43" s="601"/>
      <c r="D43" s="595"/>
      <c r="E43" s="601"/>
      <c r="F43" s="595"/>
      <c r="G43" s="601"/>
      <c r="H43" s="595"/>
      <c r="I43" s="600"/>
      <c r="J43" s="58" t="s">
        <v>0</v>
      </c>
      <c r="L43" s="1794"/>
      <c r="M43" s="1794"/>
      <c r="N43" s="1794"/>
      <c r="O43" s="1794"/>
      <c r="P43" s="1794"/>
      <c r="Q43" s="1794"/>
      <c r="R43" s="1794"/>
      <c r="S43" s="1794"/>
      <c r="T43" s="1794"/>
      <c r="U43" s="1794"/>
      <c r="V43" s="1794"/>
    </row>
    <row r="44" spans="1:22">
      <c r="A44" s="599" t="s">
        <v>36</v>
      </c>
      <c r="B44" s="598">
        <v>0</v>
      </c>
      <c r="C44" s="596">
        <v>0</v>
      </c>
      <c r="D44" s="598">
        <v>0</v>
      </c>
      <c r="E44" s="596">
        <v>0</v>
      </c>
      <c r="F44" s="598">
        <v>0</v>
      </c>
      <c r="G44" s="596">
        <v>0</v>
      </c>
      <c r="H44" s="595"/>
      <c r="I44" s="594"/>
      <c r="J44" s="58" t="s">
        <v>0</v>
      </c>
    </row>
    <row r="45" spans="1:22">
      <c r="A45" s="597" t="s">
        <v>2</v>
      </c>
      <c r="B45" s="595"/>
      <c r="C45" s="596">
        <v>0</v>
      </c>
      <c r="D45" s="595"/>
      <c r="E45" s="596">
        <v>0</v>
      </c>
      <c r="F45" s="595"/>
      <c r="G45" s="596">
        <v>0</v>
      </c>
      <c r="H45" s="595"/>
      <c r="I45" s="594"/>
      <c r="J45" s="58" t="s">
        <v>0</v>
      </c>
    </row>
    <row r="46" spans="1:22">
      <c r="A46" s="593" t="s">
        <v>3</v>
      </c>
      <c r="B46" s="591"/>
      <c r="C46" s="592">
        <v>0</v>
      </c>
      <c r="D46" s="591"/>
      <c r="E46" s="592">
        <v>0</v>
      </c>
      <c r="F46" s="591"/>
      <c r="G46" s="592">
        <v>0</v>
      </c>
      <c r="H46" s="591"/>
      <c r="I46" s="590"/>
      <c r="J46" s="58" t="s">
        <v>0</v>
      </c>
    </row>
    <row r="47" spans="1:22">
      <c r="A47" s="589"/>
      <c r="B47" s="588"/>
      <c r="C47" s="588"/>
      <c r="D47" s="588"/>
      <c r="E47" s="588"/>
      <c r="F47" s="588"/>
      <c r="G47" s="588"/>
      <c r="H47" s="588"/>
      <c r="I47" s="588"/>
      <c r="J47" s="58" t="s">
        <v>13</v>
      </c>
    </row>
    <row r="48" spans="1:22">
      <c r="A48" s="1791"/>
      <c r="B48" s="1792"/>
      <c r="C48" s="1792"/>
      <c r="D48" s="1792"/>
      <c r="E48" s="1792"/>
      <c r="F48" s="1792"/>
      <c r="G48" s="1792"/>
      <c r="H48" s="1792"/>
      <c r="I48" s="1792"/>
      <c r="J48" s="1792"/>
    </row>
    <row r="49" spans="1:11">
      <c r="H49" s="15"/>
      <c r="I49" s="15"/>
      <c r="J49" s="295"/>
      <c r="K49" s="296"/>
    </row>
    <row r="50" spans="1:11" s="18" customFormat="1" ht="22.9" customHeight="1">
      <c r="A50" s="297"/>
      <c r="B50" s="1786"/>
      <c r="C50" s="1786"/>
      <c r="D50" s="1786"/>
      <c r="E50" s="1786"/>
      <c r="F50" s="1786"/>
      <c r="G50" s="1786"/>
      <c r="H50" s="1786"/>
      <c r="I50" s="1786"/>
      <c r="J50" s="182"/>
      <c r="K50" s="298"/>
    </row>
    <row r="51" spans="1:11" s="18" customFormat="1">
      <c r="A51" s="297"/>
      <c r="B51" s="297"/>
      <c r="C51" s="297"/>
      <c r="D51" s="297"/>
      <c r="E51" s="297"/>
      <c r="F51" s="297"/>
      <c r="G51" s="297"/>
      <c r="H51" s="30"/>
      <c r="I51" s="31"/>
      <c r="J51" s="182"/>
      <c r="K51" s="298"/>
    </row>
    <row r="52" spans="1:11">
      <c r="A52" s="299"/>
      <c r="B52" s="299"/>
      <c r="C52" s="299"/>
      <c r="D52" s="299"/>
      <c r="E52" s="299"/>
      <c r="F52" s="299"/>
      <c r="G52" s="299"/>
      <c r="H52" s="31"/>
      <c r="I52" s="31"/>
      <c r="J52" s="295"/>
      <c r="K52" s="296"/>
    </row>
    <row r="53" spans="1:11">
      <c r="A53" s="299"/>
      <c r="B53" s="299"/>
      <c r="C53" s="299"/>
      <c r="D53" s="299"/>
      <c r="E53" s="299"/>
      <c r="F53" s="299"/>
      <c r="G53" s="299"/>
      <c r="H53" s="31"/>
      <c r="I53" s="31"/>
      <c r="J53" s="295"/>
      <c r="K53" s="296"/>
    </row>
    <row r="54" spans="1:11" ht="65.45" customHeight="1">
      <c r="A54" s="299"/>
      <c r="B54" s="1785"/>
      <c r="C54" s="1785"/>
      <c r="D54" s="1785"/>
      <c r="E54" s="1785"/>
      <c r="F54" s="1785"/>
      <c r="G54" s="1785"/>
      <c r="H54" s="1785"/>
      <c r="I54" s="1785"/>
      <c r="J54" s="295"/>
      <c r="K54" s="296"/>
    </row>
    <row r="55" spans="1:11">
      <c r="H55" s="13"/>
      <c r="I55" s="13"/>
    </row>
    <row r="56" spans="1:11">
      <c r="H56" s="13"/>
      <c r="I56" s="54"/>
    </row>
    <row r="57" spans="1:11">
      <c r="H57" s="13"/>
      <c r="I57" s="13"/>
    </row>
    <row r="58" spans="1:11">
      <c r="H58" s="13"/>
      <c r="I58" s="13"/>
    </row>
    <row r="59" spans="1:11">
      <c r="H59" s="13"/>
      <c r="I59" s="13"/>
    </row>
    <row r="60" spans="1:11">
      <c r="H60" s="13"/>
      <c r="I60" s="13"/>
    </row>
    <row r="61" spans="1:11">
      <c r="H61" s="13"/>
      <c r="I61" s="13"/>
    </row>
    <row r="62" spans="1:11">
      <c r="H62" s="13"/>
      <c r="I62" s="13"/>
    </row>
    <row r="63" spans="1:11">
      <c r="H63" s="13"/>
      <c r="I63" s="13"/>
    </row>
    <row r="64" spans="1:11">
      <c r="H64" s="13"/>
      <c r="I64" s="13"/>
    </row>
    <row r="65" spans="8:9">
      <c r="H65" s="13"/>
      <c r="I65" s="13"/>
    </row>
    <row r="66" spans="8:9">
      <c r="H66" s="13"/>
      <c r="I66" s="13"/>
    </row>
    <row r="67" spans="8:9">
      <c r="H67" s="13"/>
      <c r="I67" s="14"/>
    </row>
    <row r="68" spans="8:9">
      <c r="H68" s="13"/>
      <c r="I68" s="14"/>
    </row>
    <row r="69" spans="8:9">
      <c r="H69" s="13"/>
      <c r="I69" s="13"/>
    </row>
    <row r="70" spans="8:9">
      <c r="H70" s="13"/>
      <c r="I70" s="13"/>
    </row>
    <row r="71" spans="8:9">
      <c r="H71" s="13"/>
      <c r="I71" s="13"/>
    </row>
    <row r="72" spans="8:9">
      <c r="H72" s="13"/>
      <c r="I72" s="13"/>
    </row>
    <row r="73" spans="8:9">
      <c r="H73" s="13"/>
      <c r="I73" s="13"/>
    </row>
    <row r="74" spans="8:9">
      <c r="H74" s="13"/>
      <c r="I74" s="13"/>
    </row>
    <row r="75" spans="8:9">
      <c r="H75" s="13"/>
      <c r="I75" s="13"/>
    </row>
    <row r="76" spans="8:9">
      <c r="H76" s="13"/>
      <c r="I76" s="13"/>
    </row>
    <row r="77" spans="8:9">
      <c r="H77" s="13"/>
      <c r="I77" s="13"/>
    </row>
    <row r="78" spans="8:9">
      <c r="H78" s="13"/>
      <c r="I78" s="13"/>
    </row>
    <row r="79" spans="8:9">
      <c r="H79" s="13"/>
      <c r="I79" s="13"/>
    </row>
    <row r="80" spans="8:9">
      <c r="H80" s="13"/>
      <c r="I80" s="13"/>
    </row>
    <row r="81" spans="8:9">
      <c r="H81" s="13"/>
      <c r="I81" s="13"/>
    </row>
    <row r="82" spans="8:9">
      <c r="H82" s="16"/>
      <c r="I82" s="13"/>
    </row>
    <row r="83" spans="8:9">
      <c r="H83" s="18"/>
      <c r="I83" s="18"/>
    </row>
    <row r="84" spans="8:9">
      <c r="H84" s="6"/>
      <c r="I84" s="6"/>
    </row>
    <row r="85" spans="8:9">
      <c r="H85" s="6"/>
      <c r="I85" s="6"/>
    </row>
    <row r="86" spans="8:9">
      <c r="H86" s="6"/>
      <c r="I86" s="6"/>
    </row>
    <row r="87" spans="8:9">
      <c r="H87" s="6"/>
      <c r="I87" s="6"/>
    </row>
    <row r="191" spans="1:1">
      <c r="A191" s="294" t="s">
        <v>85</v>
      </c>
    </row>
  </sheetData>
  <customSheetViews>
    <customSheetView guid="{DA38F665-F06D-4DFB-B852-747D93BB00EF}" scale="75" showPageBreaks="1" printArea="1" view="pageBreakPreview">
      <pane xSplit="1" ySplit="9" topLeftCell="B34" activePane="bottomRight" state="frozen"/>
      <selection pane="bottomRight" activeCell="B210" sqref="B210"/>
      <pageMargins left="0.5" right="0.5" top="0.5" bottom="0.25" header="0.5" footer="0.5"/>
      <printOptions horizontalCentered="1"/>
      <pageSetup scale="70" orientation="landscape" r:id="rId1"/>
      <headerFooter alignWithMargins="0">
        <oddFooter>&amp;C&amp;"Times New Roman,Regular"Exhibit L - Summary of Requirements by Object Class&amp;R&amp;"Times New Roman,Regular"Juvenile Justice Programs</oddFooter>
      </headerFooter>
    </customSheetView>
    <customSheetView guid="{4D0F9E3D-0229-48CC-A08B-F132802E9D7B}" scale="75" showPageBreaks="1" printArea="1" hiddenColumns="1" view="pageBreakPreview">
      <pane xSplit="1" ySplit="9" topLeftCell="B10" activePane="bottomRight" state="frozen"/>
      <selection pane="bottomRight" activeCell="C34" sqref="C34"/>
      <pageMargins left="0.5" right="0.5" top="0.5" bottom="0.25" header="0.5" footer="0.5"/>
      <printOptions horizontalCentered="1"/>
      <pageSetup scale="70" orientation="landscape" r:id="rId2"/>
      <headerFooter alignWithMargins="0">
        <oddFooter>&amp;C&amp;"Times New Roman,Regular"Exhibit L - Summary of Requirements by Object Class&amp;R&amp;"Times New Roman,Regular"Juvenile Justice Programs</oddFooter>
      </headerFooter>
    </customSheetView>
    <customSheetView guid="{F6772377-6B25-4EEA-B255-4C2F62B37855}" scale="75" showPageBreaks="1" printArea="1" view="pageBreakPreview">
      <pane xSplit="1" ySplit="9" topLeftCell="B20" activePane="bottomRight" state="frozen"/>
      <selection pane="bottomRight" activeCell="N35" sqref="N2:V35"/>
      <pageMargins left="0.5" right="0.5" top="0.5" bottom="0.25" header="0.5" footer="0.5"/>
      <printOptions horizontalCentered="1"/>
      <pageSetup scale="70" orientation="landscape" r:id="rId3"/>
      <headerFooter alignWithMargins="0">
        <oddFooter>&amp;C&amp;"Times New Roman,Regular"Exhibit L - Summary of Requirements by Object Class&amp;R&amp;"Times New Roman,Regular"Juvenile Justice Programs</oddFooter>
      </headerFooter>
    </customSheetView>
    <customSheetView guid="{27B9C207-C13F-4981-9CED-E69585BBD779}" scale="75" showPageBreaks="1" printArea="1" view="pageBreakPreview">
      <selection activeCell="E37" sqref="E37"/>
      <pageMargins left="0.5" right="0.5" top="0.5" bottom="0.25" header="0.5" footer="0.5"/>
      <printOptions horizontalCentered="1"/>
      <pageSetup scale="70" orientation="landscape" r:id="rId4"/>
      <headerFooter alignWithMargins="0">
        <oddFooter>&amp;C&amp;"Times New Roman,Regular"Exhibit L - Summary of Requirements by Object Class&amp;R&amp;"Times New Roman,Regular"Juvenile Justice Programs</oddFooter>
      </headerFooter>
    </customSheetView>
  </customSheetViews>
  <mergeCells count="16">
    <mergeCell ref="A6:I6"/>
    <mergeCell ref="A1:I1"/>
    <mergeCell ref="A2:I2"/>
    <mergeCell ref="A3:I3"/>
    <mergeCell ref="A4:I4"/>
    <mergeCell ref="A5:I5"/>
    <mergeCell ref="L41:V43"/>
    <mergeCell ref="A48:J48"/>
    <mergeCell ref="B50:I50"/>
    <mergeCell ref="B54:I54"/>
    <mergeCell ref="A7:I7"/>
    <mergeCell ref="A8:A9"/>
    <mergeCell ref="B8:C8"/>
    <mergeCell ref="D8:E8"/>
    <mergeCell ref="F8:G8"/>
    <mergeCell ref="H8:I8"/>
  </mergeCells>
  <printOptions horizontalCentered="1"/>
  <pageMargins left="0.5" right="0.5" top="0.5" bottom="0.25" header="0.5" footer="0.5"/>
  <pageSetup scale="70" orientation="landscape" r:id="rId5"/>
  <headerFooter alignWithMargins="0">
    <oddFooter>&amp;C&amp;"Times New Roman,Regular"Exhibit L - Summary of Requirements by Object Class&amp;R&amp;"Times New Roman,Regular"Juvenile Justice Programs</oddFooter>
  </headerFooter>
</worksheet>
</file>

<file path=xl/worksheets/sheet37.xml><?xml version="1.0" encoding="utf-8"?>
<worksheet xmlns="http://schemas.openxmlformats.org/spreadsheetml/2006/main" xmlns:r="http://schemas.openxmlformats.org/officeDocument/2006/relationships">
  <sheetPr>
    <pageSetUpPr fitToPage="1"/>
  </sheetPr>
  <dimension ref="A1:Y67"/>
  <sheetViews>
    <sheetView showGridLines="0" showOutlineSymbols="0" view="pageBreakPreview" topLeftCell="A37" zoomScale="65" zoomScaleNormal="100" zoomScaleSheetLayoutView="65" workbookViewId="0">
      <selection activeCell="B57" sqref="B57:C57"/>
    </sheetView>
  </sheetViews>
  <sheetFormatPr defaultColWidth="8.88671875" defaultRowHeight="15.75"/>
  <cols>
    <col min="1" max="2" width="2.5546875" style="271" customWidth="1"/>
    <col min="3" max="3" width="26.5546875" style="271" customWidth="1"/>
    <col min="4" max="4" width="8.21875" style="18" customWidth="1"/>
    <col min="5" max="5" width="6.21875" style="18" customWidth="1"/>
    <col min="6" max="6" width="10.21875" style="18" customWidth="1"/>
    <col min="7" max="7" width="8.44140625" style="18" bestFit="1" customWidth="1"/>
    <col min="8" max="8" width="6.21875" style="18" customWidth="1"/>
    <col min="9" max="9" width="9.77734375" style="18" customWidth="1"/>
    <col min="10" max="10" width="6.21875" style="18" bestFit="1" customWidth="1"/>
    <col min="11" max="11" width="5.6640625" style="18" customWidth="1"/>
    <col min="12" max="12" width="9.33203125" style="18" bestFit="1" customWidth="1"/>
    <col min="13" max="13" width="7" style="18" bestFit="1" customWidth="1"/>
    <col min="14" max="14" width="6.109375" style="18" customWidth="1"/>
    <col min="15" max="15" width="9.77734375" style="18" customWidth="1"/>
    <col min="16" max="17" width="5.6640625" style="18" customWidth="1"/>
    <col min="18" max="18" width="8.5546875" style="18" customWidth="1"/>
    <col min="19" max="19" width="6.109375" style="18" customWidth="1"/>
    <col min="20" max="20" width="5.6640625" style="18" customWidth="1"/>
    <col min="21" max="21" width="7" style="18" customWidth="1"/>
    <col min="22" max="22" width="9.5546875" style="18" customWidth="1"/>
    <col min="23" max="23" width="9.77734375" style="18" bestFit="1" customWidth="1"/>
    <col min="24" max="24" width="13.21875" style="18" customWidth="1"/>
    <col min="25" max="25" width="6.5546875" style="68" customWidth="1"/>
    <col min="26" max="26" width="7.6640625" style="271" customWidth="1"/>
    <col min="27" max="16384" width="8.88671875" style="271"/>
  </cols>
  <sheetData>
    <row r="1" spans="1:25" ht="20.25">
      <c r="A1" s="1592" t="s">
        <v>144</v>
      </c>
      <c r="B1" s="1593"/>
      <c r="C1" s="1593"/>
      <c r="D1" s="1593"/>
      <c r="E1" s="1593"/>
      <c r="F1" s="1593"/>
      <c r="G1" s="1593"/>
      <c r="H1" s="1593"/>
      <c r="I1" s="1593"/>
      <c r="J1" s="1593"/>
      <c r="K1" s="1593"/>
      <c r="L1" s="1593"/>
      <c r="M1" s="1593"/>
      <c r="N1" s="1593"/>
      <c r="O1" s="1593"/>
      <c r="P1" s="1593"/>
      <c r="Q1" s="1593"/>
      <c r="R1" s="1593"/>
      <c r="S1" s="1593"/>
      <c r="T1" s="1593"/>
      <c r="U1" s="1593"/>
      <c r="V1" s="1593"/>
      <c r="W1" s="1593"/>
      <c r="X1" s="1593"/>
      <c r="Y1" s="67" t="s">
        <v>0</v>
      </c>
    </row>
    <row r="2" spans="1:25">
      <c r="A2" s="1867"/>
      <c r="B2" s="1867"/>
      <c r="C2" s="1867"/>
      <c r="D2" s="1867"/>
      <c r="E2" s="1867"/>
      <c r="F2" s="1867"/>
      <c r="G2" s="1867"/>
      <c r="H2" s="1867"/>
      <c r="I2" s="1867"/>
      <c r="J2" s="1867"/>
      <c r="K2" s="1867"/>
      <c r="L2" s="1867"/>
      <c r="M2" s="1867"/>
      <c r="N2" s="1867"/>
      <c r="O2" s="1867"/>
      <c r="P2" s="1867"/>
      <c r="Q2" s="1867"/>
      <c r="R2" s="1867"/>
      <c r="S2" s="1867"/>
      <c r="T2" s="1867"/>
      <c r="U2" s="1867"/>
      <c r="V2" s="1867"/>
      <c r="W2" s="1867"/>
      <c r="X2" s="1867"/>
      <c r="Y2" s="67" t="s">
        <v>0</v>
      </c>
    </row>
    <row r="3" spans="1:25">
      <c r="A3" s="1595"/>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67" t="s">
        <v>0</v>
      </c>
    </row>
    <row r="4" spans="1:25" ht="22.5">
      <c r="A4" s="1568" t="s">
        <v>107</v>
      </c>
      <c r="B4" s="1561"/>
      <c r="C4" s="1561"/>
      <c r="D4" s="1561"/>
      <c r="E4" s="1561"/>
      <c r="F4" s="1561"/>
      <c r="G4" s="1561"/>
      <c r="H4" s="1561"/>
      <c r="I4" s="1561"/>
      <c r="J4" s="1561"/>
      <c r="K4" s="1561"/>
      <c r="L4" s="1561"/>
      <c r="M4" s="1561"/>
      <c r="N4" s="1561"/>
      <c r="O4" s="1561"/>
      <c r="P4" s="1561"/>
      <c r="Q4" s="1561"/>
      <c r="R4" s="1561"/>
      <c r="S4" s="1561"/>
      <c r="T4" s="1561"/>
      <c r="U4" s="1561"/>
      <c r="V4" s="1561"/>
      <c r="W4" s="1561"/>
      <c r="X4" s="1561"/>
      <c r="Y4" s="67" t="s">
        <v>0</v>
      </c>
    </row>
    <row r="5" spans="1:25" ht="23.25">
      <c r="A5" s="1553" t="s">
        <v>190</v>
      </c>
      <c r="B5" s="1562"/>
      <c r="C5" s="1562"/>
      <c r="D5" s="1562"/>
      <c r="E5" s="1562"/>
      <c r="F5" s="1562"/>
      <c r="G5" s="1562"/>
      <c r="H5" s="1562"/>
      <c r="I5" s="1562"/>
      <c r="J5" s="1562"/>
      <c r="K5" s="1562"/>
      <c r="L5" s="1562"/>
      <c r="M5" s="1562"/>
      <c r="N5" s="1562"/>
      <c r="O5" s="1562"/>
      <c r="P5" s="1562"/>
      <c r="Q5" s="1562"/>
      <c r="R5" s="1562"/>
      <c r="S5" s="1562"/>
      <c r="T5" s="1562"/>
      <c r="U5" s="1562"/>
      <c r="V5" s="1562"/>
      <c r="W5" s="1562"/>
      <c r="X5" s="1562"/>
      <c r="Y5" s="67" t="s">
        <v>0</v>
      </c>
    </row>
    <row r="6" spans="1:25" ht="23.25">
      <c r="A6" s="1553" t="s">
        <v>439</v>
      </c>
      <c r="B6" s="1561"/>
      <c r="C6" s="1561"/>
      <c r="D6" s="1561"/>
      <c r="E6" s="1561"/>
      <c r="F6" s="1561"/>
      <c r="G6" s="1561"/>
      <c r="H6" s="1561"/>
      <c r="I6" s="1561"/>
      <c r="J6" s="1561"/>
      <c r="K6" s="1561"/>
      <c r="L6" s="1561"/>
      <c r="M6" s="1561"/>
      <c r="N6" s="1561"/>
      <c r="O6" s="1561"/>
      <c r="P6" s="1561"/>
      <c r="Q6" s="1561"/>
      <c r="R6" s="1561"/>
      <c r="S6" s="1561"/>
      <c r="T6" s="1561"/>
      <c r="U6" s="1561"/>
      <c r="V6" s="1561"/>
      <c r="W6" s="1561"/>
      <c r="X6" s="1561"/>
      <c r="Y6" s="67" t="s">
        <v>0</v>
      </c>
    </row>
    <row r="7" spans="1:25" ht="23.25">
      <c r="A7" s="1553" t="s">
        <v>98</v>
      </c>
      <c r="B7" s="1562"/>
      <c r="C7" s="1562"/>
      <c r="D7" s="1562"/>
      <c r="E7" s="1562"/>
      <c r="F7" s="1562"/>
      <c r="G7" s="1562"/>
      <c r="H7" s="1562"/>
      <c r="I7" s="1562"/>
      <c r="J7" s="1562"/>
      <c r="K7" s="1562"/>
      <c r="L7" s="1562"/>
      <c r="M7" s="1562"/>
      <c r="N7" s="1562"/>
      <c r="O7" s="1562"/>
      <c r="P7" s="1562"/>
      <c r="Q7" s="1562"/>
      <c r="R7" s="1562"/>
      <c r="S7" s="1562"/>
      <c r="T7" s="1562"/>
      <c r="U7" s="1562"/>
      <c r="V7" s="1562"/>
      <c r="W7" s="1562"/>
      <c r="X7" s="1562"/>
      <c r="Y7" s="67" t="s">
        <v>0</v>
      </c>
    </row>
    <row r="8" spans="1:25" ht="23.25">
      <c r="A8" s="1596"/>
      <c r="B8" s="1596"/>
      <c r="C8" s="1596"/>
      <c r="D8" s="1596"/>
      <c r="E8" s="1596"/>
      <c r="F8" s="1596"/>
      <c r="G8" s="1596"/>
      <c r="H8" s="1596"/>
      <c r="I8" s="1596"/>
      <c r="J8" s="1596"/>
      <c r="K8" s="1596"/>
      <c r="L8" s="1596"/>
      <c r="M8" s="1596"/>
      <c r="N8" s="1596"/>
      <c r="O8" s="1596"/>
      <c r="P8" s="1596"/>
      <c r="Q8" s="1596"/>
      <c r="R8" s="1596"/>
      <c r="S8" s="1596"/>
      <c r="T8" s="1596"/>
      <c r="U8" s="1596"/>
      <c r="V8" s="1596"/>
      <c r="W8" s="1596"/>
      <c r="X8" s="1596"/>
      <c r="Y8" s="67" t="s">
        <v>0</v>
      </c>
    </row>
    <row r="9" spans="1:25" ht="23.25">
      <c r="A9" s="1596"/>
      <c r="B9" s="1596"/>
      <c r="C9" s="1596"/>
      <c r="D9" s="1596"/>
      <c r="E9" s="1596"/>
      <c r="F9" s="1596"/>
      <c r="G9" s="1596"/>
      <c r="H9" s="1596"/>
      <c r="I9" s="1596"/>
      <c r="J9" s="1596"/>
      <c r="K9" s="1596"/>
      <c r="L9" s="1596"/>
      <c r="M9" s="1596"/>
      <c r="N9" s="1596"/>
      <c r="O9" s="1596"/>
      <c r="P9" s="1596"/>
      <c r="Q9" s="1596"/>
      <c r="R9" s="1596"/>
      <c r="S9" s="1596"/>
      <c r="T9" s="1596"/>
      <c r="U9" s="1596"/>
      <c r="V9" s="1596"/>
      <c r="W9" s="1596"/>
      <c r="X9" s="1596"/>
      <c r="Y9" s="67" t="s">
        <v>0</v>
      </c>
    </row>
    <row r="10" spans="1:25" ht="23.25">
      <c r="A10" s="1596"/>
      <c r="B10" s="1596"/>
      <c r="C10" s="1596"/>
      <c r="D10" s="1596"/>
      <c r="E10" s="1596"/>
      <c r="F10" s="1596"/>
      <c r="G10" s="1596"/>
      <c r="H10" s="1596"/>
      <c r="I10" s="1596"/>
      <c r="J10" s="1596"/>
      <c r="K10" s="1596"/>
      <c r="L10" s="1596"/>
      <c r="M10" s="1596"/>
      <c r="N10" s="1596"/>
      <c r="O10" s="1596"/>
      <c r="P10" s="1596"/>
      <c r="Q10" s="1596"/>
      <c r="R10" s="1596"/>
      <c r="S10" s="1596"/>
      <c r="T10" s="1596"/>
      <c r="U10" s="1596"/>
      <c r="V10" s="1596"/>
      <c r="W10" s="1596"/>
      <c r="X10" s="1596"/>
      <c r="Y10" s="67" t="s">
        <v>0</v>
      </c>
    </row>
    <row r="11" spans="1:25">
      <c r="A11" s="1595"/>
      <c r="B11" s="1595"/>
      <c r="C11" s="1595"/>
      <c r="D11" s="1595"/>
      <c r="E11" s="1595"/>
      <c r="F11" s="1595"/>
      <c r="G11" s="1595"/>
      <c r="H11" s="1595"/>
      <c r="I11" s="1595"/>
      <c r="J11" s="1595"/>
      <c r="K11" s="1595"/>
      <c r="L11" s="1595"/>
      <c r="M11" s="1595"/>
      <c r="N11" s="1595"/>
      <c r="O11" s="1595"/>
      <c r="P11" s="1595"/>
      <c r="Q11" s="1595"/>
      <c r="R11" s="1595"/>
      <c r="S11" s="1595"/>
      <c r="T11" s="1595"/>
      <c r="U11" s="1603"/>
      <c r="V11" s="1600" t="s">
        <v>148</v>
      </c>
      <c r="W11" s="1601"/>
      <c r="X11" s="1602"/>
      <c r="Y11" s="67" t="s">
        <v>0</v>
      </c>
    </row>
    <row r="12" spans="1:25">
      <c r="A12" s="1595"/>
      <c r="B12" s="1595"/>
      <c r="C12" s="1595"/>
      <c r="D12" s="1595"/>
      <c r="E12" s="1595"/>
      <c r="F12" s="1595"/>
      <c r="G12" s="1595"/>
      <c r="H12" s="1595"/>
      <c r="I12" s="1595"/>
      <c r="J12" s="1595"/>
      <c r="K12" s="1595"/>
      <c r="L12" s="1595"/>
      <c r="M12" s="1595"/>
      <c r="N12" s="1595"/>
      <c r="O12" s="1595"/>
      <c r="P12" s="1595"/>
      <c r="Q12" s="1595"/>
      <c r="R12" s="1595"/>
      <c r="S12" s="1595"/>
      <c r="T12" s="1595"/>
      <c r="U12" s="1603"/>
      <c r="V12" s="1606" t="s">
        <v>11</v>
      </c>
      <c r="W12" s="1599" t="s">
        <v>25</v>
      </c>
      <c r="X12" s="1597" t="s">
        <v>117</v>
      </c>
      <c r="Y12" s="67" t="s">
        <v>0</v>
      </c>
    </row>
    <row r="13" spans="1:25" ht="16.5" thickBot="1">
      <c r="A13" s="1604"/>
      <c r="B13" s="1604"/>
      <c r="C13" s="1604"/>
      <c r="D13" s="1604"/>
      <c r="E13" s="1604"/>
      <c r="F13" s="1604"/>
      <c r="G13" s="1604"/>
      <c r="H13" s="1604"/>
      <c r="I13" s="1604"/>
      <c r="J13" s="1604"/>
      <c r="K13" s="1604"/>
      <c r="L13" s="1604"/>
      <c r="M13" s="1604"/>
      <c r="N13" s="1604"/>
      <c r="O13" s="1604"/>
      <c r="P13" s="1604"/>
      <c r="Q13" s="1604"/>
      <c r="R13" s="1604"/>
      <c r="S13" s="1604"/>
      <c r="T13" s="1604"/>
      <c r="U13" s="1605"/>
      <c r="V13" s="1607"/>
      <c r="W13" s="1598"/>
      <c r="X13" s="1598"/>
      <c r="Y13" s="67" t="s">
        <v>0</v>
      </c>
    </row>
    <row r="14" spans="1:25">
      <c r="A14" s="1579" t="s">
        <v>172</v>
      </c>
      <c r="B14" s="1852"/>
      <c r="C14" s="1852"/>
      <c r="D14" s="1852"/>
      <c r="E14" s="1852"/>
      <c r="F14" s="1852"/>
      <c r="G14" s="1852"/>
      <c r="H14" s="1852"/>
      <c r="I14" s="1852"/>
      <c r="J14" s="1852"/>
      <c r="K14" s="1852"/>
      <c r="L14" s="1852"/>
      <c r="M14" s="1852"/>
      <c r="N14" s="1852"/>
      <c r="O14" s="1852"/>
      <c r="P14" s="1852"/>
      <c r="Q14" s="1852"/>
      <c r="R14" s="1852"/>
      <c r="S14" s="1852"/>
      <c r="T14" s="1852"/>
      <c r="U14" s="1852"/>
      <c r="V14" s="105">
        <v>0</v>
      </c>
      <c r="W14" s="105">
        <v>0</v>
      </c>
      <c r="X14" s="102">
        <v>75082</v>
      </c>
      <c r="Y14" s="67" t="s">
        <v>0</v>
      </c>
    </row>
    <row r="15" spans="1:25">
      <c r="A15" s="1579" t="s">
        <v>171</v>
      </c>
      <c r="B15" s="1852"/>
      <c r="C15" s="1852"/>
      <c r="D15" s="1852"/>
      <c r="E15" s="1852"/>
      <c r="F15" s="1852"/>
      <c r="G15" s="1852"/>
      <c r="H15" s="1852"/>
      <c r="I15" s="1852"/>
      <c r="J15" s="1852"/>
      <c r="K15" s="1852"/>
      <c r="L15" s="1852"/>
      <c r="M15" s="1852"/>
      <c r="N15" s="1852"/>
      <c r="O15" s="1852"/>
      <c r="P15" s="1852"/>
      <c r="Q15" s="1852"/>
      <c r="R15" s="1852"/>
      <c r="S15" s="1852"/>
      <c r="T15" s="1852"/>
      <c r="U15" s="1852"/>
      <c r="V15" s="430"/>
      <c r="W15" s="430"/>
      <c r="X15" s="429">
        <v>78300</v>
      </c>
      <c r="Y15" s="67" t="s">
        <v>0</v>
      </c>
    </row>
    <row r="16" spans="1:25" ht="18.75" customHeight="1">
      <c r="A16" s="1849" t="s">
        <v>149</v>
      </c>
      <c r="B16" s="1850"/>
      <c r="C16" s="1850"/>
      <c r="D16" s="1850"/>
      <c r="E16" s="1850"/>
      <c r="F16" s="1850"/>
      <c r="G16" s="1850"/>
      <c r="H16" s="1850"/>
      <c r="I16" s="1850"/>
      <c r="J16" s="1850"/>
      <c r="K16" s="1850"/>
      <c r="L16" s="1850"/>
      <c r="M16" s="1850"/>
      <c r="N16" s="1850"/>
      <c r="O16" s="1850"/>
      <c r="P16" s="1850"/>
      <c r="Q16" s="1850"/>
      <c r="R16" s="1850"/>
      <c r="S16" s="1850"/>
      <c r="T16" s="1850"/>
      <c r="U16" s="1850"/>
      <c r="V16" s="428"/>
      <c r="W16" s="428"/>
      <c r="X16" s="427">
        <v>0</v>
      </c>
      <c r="Y16" s="67" t="s">
        <v>0</v>
      </c>
    </row>
    <row r="17" spans="1:25">
      <c r="A17" s="1583" t="s">
        <v>237</v>
      </c>
      <c r="B17" s="1859"/>
      <c r="C17" s="1859"/>
      <c r="D17" s="1859"/>
      <c r="E17" s="1859"/>
      <c r="F17" s="1859"/>
      <c r="G17" s="1859"/>
      <c r="H17" s="1859"/>
      <c r="I17" s="1859"/>
      <c r="J17" s="1859"/>
      <c r="K17" s="1859"/>
      <c r="L17" s="1859"/>
      <c r="M17" s="1859"/>
      <c r="N17" s="1859"/>
      <c r="O17" s="1859"/>
      <c r="P17" s="1859"/>
      <c r="Q17" s="1859"/>
      <c r="R17" s="1859"/>
      <c r="S17" s="1859"/>
      <c r="T17" s="1859"/>
      <c r="U17" s="1859"/>
      <c r="V17" s="106">
        <f>+V16+V15</f>
        <v>0</v>
      </c>
      <c r="W17" s="106">
        <f>+W16+W15</f>
        <v>0</v>
      </c>
      <c r="X17" s="70">
        <f>+X16+X15</f>
        <v>78300</v>
      </c>
      <c r="Y17" s="67" t="s">
        <v>0</v>
      </c>
    </row>
    <row r="18" spans="1:25">
      <c r="A18" s="1589" t="s">
        <v>150</v>
      </c>
      <c r="B18" s="1590"/>
      <c r="C18" s="1590"/>
      <c r="D18" s="1590"/>
      <c r="E18" s="1590"/>
      <c r="F18" s="1590"/>
      <c r="G18" s="1590"/>
      <c r="H18" s="1590"/>
      <c r="I18" s="1590"/>
      <c r="J18" s="1590"/>
      <c r="K18" s="1590"/>
      <c r="L18" s="1590"/>
      <c r="M18" s="1590"/>
      <c r="N18" s="1590"/>
      <c r="O18" s="1590"/>
      <c r="P18" s="1590"/>
      <c r="Q18" s="1590"/>
      <c r="R18" s="1590"/>
      <c r="S18" s="1590"/>
      <c r="T18" s="1590"/>
      <c r="U18" s="1591"/>
      <c r="V18" s="99">
        <f>+V17</f>
        <v>0</v>
      </c>
      <c r="W18" s="99">
        <f>W17</f>
        <v>0</v>
      </c>
      <c r="X18" s="99">
        <f>X17</f>
        <v>78300</v>
      </c>
      <c r="Y18" s="67" t="s">
        <v>0</v>
      </c>
    </row>
    <row r="19" spans="1:25">
      <c r="A19" s="1549" t="s">
        <v>62</v>
      </c>
      <c r="B19" s="1857"/>
      <c r="C19" s="1857"/>
      <c r="D19" s="1857"/>
      <c r="E19" s="1857"/>
      <c r="F19" s="1857"/>
      <c r="G19" s="1857"/>
      <c r="H19" s="1857"/>
      <c r="I19" s="1857"/>
      <c r="J19" s="1857"/>
      <c r="K19" s="1857"/>
      <c r="L19" s="1857"/>
      <c r="M19" s="1857"/>
      <c r="N19" s="1857"/>
      <c r="O19" s="1857"/>
      <c r="P19" s="1857"/>
      <c r="Q19" s="1857"/>
      <c r="R19" s="1857"/>
      <c r="S19" s="1857"/>
      <c r="T19" s="1857"/>
      <c r="U19" s="1857"/>
      <c r="V19" s="425"/>
      <c r="W19" s="425"/>
      <c r="X19" s="388"/>
      <c r="Y19" s="67" t="s">
        <v>0</v>
      </c>
    </row>
    <row r="20" spans="1:25">
      <c r="A20" s="1821" t="s">
        <v>440</v>
      </c>
      <c r="B20" s="1822"/>
      <c r="C20" s="1822"/>
      <c r="D20" s="1822"/>
      <c r="E20" s="1822"/>
      <c r="F20" s="1822"/>
      <c r="G20" s="1822"/>
      <c r="H20" s="1822"/>
      <c r="I20" s="1822"/>
      <c r="J20" s="1822"/>
      <c r="K20" s="1822"/>
      <c r="L20" s="1822"/>
      <c r="M20" s="1822"/>
      <c r="N20" s="1822"/>
      <c r="O20" s="1822"/>
      <c r="P20" s="1822"/>
      <c r="Q20" s="1822"/>
      <c r="R20" s="1822"/>
      <c r="S20" s="1822"/>
      <c r="T20" s="1822"/>
      <c r="U20" s="1823"/>
      <c r="V20" s="425"/>
      <c r="W20" s="425"/>
      <c r="X20" s="388">
        <v>3000</v>
      </c>
      <c r="Y20" s="67" t="s">
        <v>0</v>
      </c>
    </row>
    <row r="21" spans="1:25">
      <c r="A21" s="2118" t="s">
        <v>235</v>
      </c>
      <c r="B21" s="2119"/>
      <c r="C21" s="2119"/>
      <c r="D21" s="2119"/>
      <c r="E21" s="2119"/>
      <c r="F21" s="2119"/>
      <c r="G21" s="2119"/>
      <c r="H21" s="2119"/>
      <c r="I21" s="2119"/>
      <c r="J21" s="2119"/>
      <c r="K21" s="2119"/>
      <c r="L21" s="2119"/>
      <c r="M21" s="2119"/>
      <c r="N21" s="2119"/>
      <c r="O21" s="2119"/>
      <c r="P21" s="2119"/>
      <c r="Q21" s="2119"/>
      <c r="R21" s="2119"/>
      <c r="S21" s="2119"/>
      <c r="T21" s="2119"/>
      <c r="U21" s="2119"/>
      <c r="V21" s="424">
        <f>SUM(V20:V20)</f>
        <v>0</v>
      </c>
      <c r="W21" s="388">
        <f>SUM(W20:W20)</f>
        <v>0</v>
      </c>
      <c r="X21" s="388">
        <f>SUM(X20:X20)</f>
        <v>3000</v>
      </c>
      <c r="Y21" s="67" t="s">
        <v>0</v>
      </c>
    </row>
    <row r="22" spans="1:25" ht="18" customHeight="1">
      <c r="A22" s="1565" t="s">
        <v>63</v>
      </c>
      <c r="B22" s="1827"/>
      <c r="C22" s="1827"/>
      <c r="D22" s="1827"/>
      <c r="E22" s="1827"/>
      <c r="F22" s="1827"/>
      <c r="G22" s="1827"/>
      <c r="H22" s="1827"/>
      <c r="I22" s="1827"/>
      <c r="J22" s="1827"/>
      <c r="K22" s="1827"/>
      <c r="L22" s="1827"/>
      <c r="M22" s="1827"/>
      <c r="N22" s="1827"/>
      <c r="O22" s="1827"/>
      <c r="P22" s="1827"/>
      <c r="Q22" s="1827"/>
      <c r="R22" s="1827"/>
      <c r="S22" s="1827"/>
      <c r="T22" s="1827"/>
      <c r="U22" s="1827"/>
      <c r="V22" s="423">
        <f>SUM(V21)</f>
        <v>0</v>
      </c>
      <c r="W22" s="423">
        <f>SUM(W21)</f>
        <v>0</v>
      </c>
      <c r="X22" s="423">
        <f>SUM(X21)</f>
        <v>3000</v>
      </c>
      <c r="Y22" s="67" t="s">
        <v>0</v>
      </c>
    </row>
    <row r="23" spans="1:25" ht="18" customHeight="1">
      <c r="A23" s="1815" t="s">
        <v>232</v>
      </c>
      <c r="B23" s="1816"/>
      <c r="C23" s="1816"/>
      <c r="D23" s="1816"/>
      <c r="E23" s="1816"/>
      <c r="F23" s="1816"/>
      <c r="G23" s="1816"/>
      <c r="H23" s="1816"/>
      <c r="I23" s="1816"/>
      <c r="J23" s="1816"/>
      <c r="K23" s="1816"/>
      <c r="L23" s="1816"/>
      <c r="M23" s="1816"/>
      <c r="N23" s="1816"/>
      <c r="O23" s="1816"/>
      <c r="P23" s="1816"/>
      <c r="Q23" s="1816"/>
      <c r="R23" s="1816"/>
      <c r="S23" s="1816"/>
      <c r="T23" s="1816"/>
      <c r="U23" s="1816"/>
      <c r="V23" s="277">
        <f>V18+V22</f>
        <v>0</v>
      </c>
      <c r="W23" s="277">
        <f>W18+W22</f>
        <v>0</v>
      </c>
      <c r="X23" s="277">
        <f>X18+X22</f>
        <v>81300</v>
      </c>
      <c r="Y23" s="67" t="s">
        <v>0</v>
      </c>
    </row>
    <row r="24" spans="1:25" ht="18" customHeight="1">
      <c r="A24" s="1551" t="s">
        <v>590</v>
      </c>
      <c r="B24" s="1816"/>
      <c r="C24" s="1816"/>
      <c r="D24" s="1816"/>
      <c r="E24" s="1816"/>
      <c r="F24" s="1816"/>
      <c r="G24" s="1816"/>
      <c r="H24" s="1816"/>
      <c r="I24" s="1816"/>
      <c r="J24" s="1816"/>
      <c r="K24" s="1816"/>
      <c r="L24" s="1816"/>
      <c r="M24" s="1816"/>
      <c r="N24" s="1816"/>
      <c r="O24" s="1816"/>
      <c r="P24" s="1816"/>
      <c r="Q24" s="1816"/>
      <c r="R24" s="1816"/>
      <c r="S24" s="1816"/>
      <c r="T24" s="1816"/>
      <c r="U24" s="1816"/>
      <c r="V24" s="421">
        <f>+V23-V14</f>
        <v>0</v>
      </c>
      <c r="W24" s="421">
        <f>+W23-W14</f>
        <v>0</v>
      </c>
      <c r="X24" s="421">
        <f>+X23-X17</f>
        <v>3000</v>
      </c>
      <c r="Y24" s="67" t="s">
        <v>0</v>
      </c>
    </row>
    <row r="25" spans="1:25" s="1387" customFormat="1" ht="18" customHeight="1">
      <c r="A25" s="1389"/>
      <c r="B25" s="1391"/>
      <c r="C25" s="1391"/>
      <c r="D25" s="1391"/>
      <c r="E25" s="1391"/>
      <c r="F25" s="1391"/>
      <c r="G25" s="1391"/>
      <c r="H25" s="1391"/>
      <c r="I25" s="1391"/>
      <c r="J25" s="1391"/>
      <c r="K25" s="1391"/>
      <c r="L25" s="1391"/>
      <c r="M25" s="1391"/>
      <c r="N25" s="1391"/>
      <c r="O25" s="1391"/>
      <c r="P25" s="1391"/>
      <c r="Q25" s="1391"/>
      <c r="R25" s="1391"/>
      <c r="S25" s="1391"/>
      <c r="T25" s="1391"/>
      <c r="U25" s="1391"/>
      <c r="V25" s="399"/>
      <c r="W25" s="399"/>
      <c r="X25" s="399"/>
      <c r="Y25" s="67" t="s">
        <v>0</v>
      </c>
    </row>
    <row r="26" spans="1:25" ht="33" customHeight="1">
      <c r="A26" s="1577" t="s">
        <v>660</v>
      </c>
      <c r="B26" s="1687"/>
      <c r="C26" s="1687"/>
      <c r="D26" s="1687"/>
      <c r="E26" s="1687"/>
      <c r="F26" s="1687"/>
      <c r="G26" s="1687"/>
      <c r="H26" s="1687"/>
      <c r="I26" s="1687"/>
      <c r="J26" s="1687"/>
      <c r="K26" s="1687"/>
      <c r="L26" s="1687"/>
      <c r="M26" s="1687"/>
      <c r="N26" s="1687"/>
      <c r="O26" s="1687"/>
      <c r="P26" s="1687"/>
      <c r="Q26" s="1687"/>
      <c r="R26" s="1687"/>
      <c r="S26" s="1687"/>
      <c r="T26" s="1687"/>
      <c r="U26" s="1687"/>
      <c r="V26" s="1687"/>
      <c r="W26" s="1687"/>
      <c r="X26" s="1687"/>
      <c r="Y26" s="67" t="s">
        <v>0</v>
      </c>
    </row>
    <row r="27" spans="1:25" ht="18" customHeight="1">
      <c r="A27" s="1361"/>
      <c r="Y27" s="67" t="s">
        <v>0</v>
      </c>
    </row>
    <row r="28" spans="1:25" ht="18" customHeight="1">
      <c r="Y28" s="67" t="s">
        <v>0</v>
      </c>
    </row>
    <row r="29" spans="1:25" ht="18" customHeight="1">
      <c r="Y29" s="67" t="s">
        <v>0</v>
      </c>
    </row>
    <row r="30" spans="1:25" ht="18" customHeight="1">
      <c r="Y30" s="67" t="s">
        <v>0</v>
      </c>
    </row>
    <row r="31" spans="1:25" ht="18" customHeight="1">
      <c r="Y31" s="67" t="s">
        <v>0</v>
      </c>
    </row>
    <row r="32" spans="1:25" ht="18" customHeight="1">
      <c r="Y32" s="67" t="s">
        <v>0</v>
      </c>
    </row>
    <row r="33" spans="1:25" ht="22.5">
      <c r="A33" s="1568" t="s">
        <v>107</v>
      </c>
      <c r="B33" s="1561"/>
      <c r="C33" s="1561"/>
      <c r="D33" s="1561"/>
      <c r="E33" s="1561"/>
      <c r="F33" s="1561"/>
      <c r="G33" s="1561"/>
      <c r="H33" s="1561"/>
      <c r="I33" s="1561"/>
      <c r="J33" s="1561"/>
      <c r="K33" s="1561"/>
      <c r="L33" s="1561"/>
      <c r="M33" s="1561"/>
      <c r="N33" s="1561"/>
      <c r="O33" s="1561"/>
      <c r="P33" s="1561"/>
      <c r="Q33" s="1561"/>
      <c r="R33" s="1561"/>
      <c r="S33" s="1561"/>
      <c r="T33" s="1561"/>
      <c r="U33" s="1561"/>
      <c r="V33" s="1561"/>
      <c r="W33" s="1561"/>
      <c r="X33" s="1561"/>
      <c r="Y33" s="67" t="s">
        <v>0</v>
      </c>
    </row>
    <row r="34" spans="1:25" ht="23.25">
      <c r="A34" s="1553" t="str">
        <f>A5</f>
        <v>Office of Justice Programs</v>
      </c>
      <c r="B34" s="1554"/>
      <c r="C34" s="1554"/>
      <c r="D34" s="1554"/>
      <c r="E34" s="1554"/>
      <c r="F34" s="1554"/>
      <c r="G34" s="1554"/>
      <c r="H34" s="1554"/>
      <c r="I34" s="1554"/>
      <c r="J34" s="1554"/>
      <c r="K34" s="1554"/>
      <c r="L34" s="1554"/>
      <c r="M34" s="1554"/>
      <c r="N34" s="1554"/>
      <c r="O34" s="1554"/>
      <c r="P34" s="1554"/>
      <c r="Q34" s="1554"/>
      <c r="R34" s="1554"/>
      <c r="S34" s="1554"/>
      <c r="T34" s="1554"/>
      <c r="U34" s="1554"/>
      <c r="V34" s="1554"/>
      <c r="W34" s="1554"/>
      <c r="X34" s="1554"/>
      <c r="Y34" s="67" t="s">
        <v>0</v>
      </c>
    </row>
    <row r="35" spans="1:25" ht="23.25">
      <c r="A35" s="1553" t="s">
        <v>439</v>
      </c>
      <c r="B35" s="1561"/>
      <c r="C35" s="1561"/>
      <c r="D35" s="1561"/>
      <c r="E35" s="1561"/>
      <c r="F35" s="1561"/>
      <c r="G35" s="1561"/>
      <c r="H35" s="1561"/>
      <c r="I35" s="1561"/>
      <c r="J35" s="1561"/>
      <c r="K35" s="1561"/>
      <c r="L35" s="1561"/>
      <c r="M35" s="1561"/>
      <c r="N35" s="1561"/>
      <c r="O35" s="1561"/>
      <c r="P35" s="1561"/>
      <c r="Q35" s="1561"/>
      <c r="R35" s="1561"/>
      <c r="S35" s="1561"/>
      <c r="T35" s="1561"/>
      <c r="U35" s="1561"/>
      <c r="V35" s="1561"/>
      <c r="W35" s="1561"/>
      <c r="X35" s="1561"/>
      <c r="Y35" s="67" t="s">
        <v>0</v>
      </c>
    </row>
    <row r="36" spans="1:25" ht="23.25">
      <c r="A36" s="1553" t="s">
        <v>98</v>
      </c>
      <c r="B36" s="1562"/>
      <c r="C36" s="1562"/>
      <c r="D36" s="1562"/>
      <c r="E36" s="1562"/>
      <c r="F36" s="1562"/>
      <c r="G36" s="1562"/>
      <c r="H36" s="1562"/>
      <c r="I36" s="1562"/>
      <c r="J36" s="1562"/>
      <c r="K36" s="1562"/>
      <c r="L36" s="1562"/>
      <c r="M36" s="1562"/>
      <c r="N36" s="1562"/>
      <c r="O36" s="1562"/>
      <c r="P36" s="1562"/>
      <c r="Q36" s="1562"/>
      <c r="R36" s="1562"/>
      <c r="S36" s="1562"/>
      <c r="T36" s="1562"/>
      <c r="U36" s="1562"/>
      <c r="V36" s="1562"/>
      <c r="W36" s="1562"/>
      <c r="X36" s="1562"/>
      <c r="Y36" s="67" t="s">
        <v>0</v>
      </c>
    </row>
    <row r="37" spans="1:25" ht="18" customHeight="1">
      <c r="Y37" s="67" t="s">
        <v>0</v>
      </c>
    </row>
    <row r="38" spans="1:25" ht="18" customHeight="1">
      <c r="Y38" s="67" t="s">
        <v>0</v>
      </c>
    </row>
    <row r="39" spans="1:25" ht="18" customHeight="1">
      <c r="Y39" s="67" t="s">
        <v>0</v>
      </c>
    </row>
    <row r="40" spans="1:25" ht="18" customHeight="1">
      <c r="Y40" s="67" t="s">
        <v>0</v>
      </c>
    </row>
    <row r="41" spans="1:25" ht="18" customHeight="1">
      <c r="A41" s="37"/>
      <c r="B41" s="37"/>
      <c r="C41" s="37"/>
      <c r="D41" s="38"/>
      <c r="E41" s="38"/>
      <c r="F41" s="38"/>
      <c r="G41" s="38"/>
      <c r="H41" s="38"/>
      <c r="I41" s="38"/>
      <c r="J41" s="38"/>
      <c r="K41" s="38"/>
      <c r="L41" s="38"/>
      <c r="M41" s="38"/>
      <c r="N41" s="38"/>
      <c r="O41" s="38"/>
      <c r="P41" s="38"/>
      <c r="Q41" s="38"/>
      <c r="R41" s="38"/>
      <c r="S41" s="38"/>
      <c r="T41" s="38"/>
      <c r="U41" s="38"/>
      <c r="V41" s="38"/>
      <c r="W41" s="38"/>
      <c r="X41" s="38"/>
      <c r="Y41" s="67" t="s">
        <v>0</v>
      </c>
    </row>
    <row r="42" spans="1:25" ht="22.5" customHeight="1">
      <c r="A42" s="1569" t="s">
        <v>114</v>
      </c>
      <c r="B42" s="1831"/>
      <c r="C42" s="1831"/>
      <c r="D42" s="1540" t="s">
        <v>169</v>
      </c>
      <c r="E42" s="1841"/>
      <c r="F42" s="1842"/>
      <c r="G42" s="1540" t="s">
        <v>591</v>
      </c>
      <c r="H42" s="1836"/>
      <c r="I42" s="1837"/>
      <c r="J42" s="1540" t="s">
        <v>151</v>
      </c>
      <c r="K42" s="1841"/>
      <c r="L42" s="1842"/>
      <c r="M42" s="1540" t="s">
        <v>150</v>
      </c>
      <c r="N42" s="1841"/>
      <c r="O42" s="1842"/>
      <c r="P42" s="1540" t="s">
        <v>152</v>
      </c>
      <c r="Q42" s="1846"/>
      <c r="R42" s="1846"/>
      <c r="S42" s="1540" t="s">
        <v>153</v>
      </c>
      <c r="T42" s="1841"/>
      <c r="U42" s="1841"/>
      <c r="V42" s="1540" t="s">
        <v>154</v>
      </c>
      <c r="W42" s="1841"/>
      <c r="X42" s="1842"/>
      <c r="Y42" s="67" t="s">
        <v>0</v>
      </c>
    </row>
    <row r="43" spans="1:25" ht="27.75" customHeight="1">
      <c r="A43" s="1832"/>
      <c r="B43" s="1833"/>
      <c r="C43" s="1833"/>
      <c r="D43" s="1843"/>
      <c r="E43" s="1844"/>
      <c r="F43" s="1845"/>
      <c r="G43" s="1838"/>
      <c r="H43" s="1839"/>
      <c r="I43" s="1840"/>
      <c r="J43" s="1843"/>
      <c r="K43" s="1844"/>
      <c r="L43" s="1845"/>
      <c r="M43" s="1843"/>
      <c r="N43" s="1844"/>
      <c r="O43" s="1845"/>
      <c r="P43" s="1847"/>
      <c r="Q43" s="1848"/>
      <c r="R43" s="1848"/>
      <c r="S43" s="1843"/>
      <c r="T43" s="1844"/>
      <c r="U43" s="1844"/>
      <c r="V43" s="1843"/>
      <c r="W43" s="1844"/>
      <c r="X43" s="1845"/>
      <c r="Y43" s="67" t="s">
        <v>0</v>
      </c>
    </row>
    <row r="44" spans="1:25" ht="16.5" thickBot="1">
      <c r="A44" s="1834"/>
      <c r="B44" s="1835"/>
      <c r="C44" s="1835"/>
      <c r="D44" s="420" t="s">
        <v>115</v>
      </c>
      <c r="E44" s="417" t="s">
        <v>25</v>
      </c>
      <c r="F44" s="419" t="s">
        <v>117</v>
      </c>
      <c r="G44" s="420" t="s">
        <v>115</v>
      </c>
      <c r="H44" s="417" t="s">
        <v>25</v>
      </c>
      <c r="I44" s="419" t="s">
        <v>117</v>
      </c>
      <c r="J44" s="420" t="s">
        <v>115</v>
      </c>
      <c r="K44" s="417" t="s">
        <v>25</v>
      </c>
      <c r="L44" s="419" t="s">
        <v>117</v>
      </c>
      <c r="M44" s="420" t="s">
        <v>115</v>
      </c>
      <c r="N44" s="417" t="s">
        <v>25</v>
      </c>
      <c r="O44" s="419" t="s">
        <v>117</v>
      </c>
      <c r="P44" s="420" t="s">
        <v>115</v>
      </c>
      <c r="Q44" s="417" t="s">
        <v>25</v>
      </c>
      <c r="R44" s="419" t="s">
        <v>117</v>
      </c>
      <c r="S44" s="420" t="s">
        <v>115</v>
      </c>
      <c r="T44" s="417" t="s">
        <v>25</v>
      </c>
      <c r="U44" s="419" t="s">
        <v>117</v>
      </c>
      <c r="V44" s="418" t="s">
        <v>115</v>
      </c>
      <c r="W44" s="417" t="s">
        <v>25</v>
      </c>
      <c r="X44" s="416" t="s">
        <v>117</v>
      </c>
      <c r="Y44" s="67" t="s">
        <v>0</v>
      </c>
    </row>
    <row r="45" spans="1:25">
      <c r="A45" s="648" t="s">
        <v>441</v>
      </c>
      <c r="B45" s="1516"/>
      <c r="C45" s="1517"/>
      <c r="D45" s="394"/>
      <c r="E45" s="392"/>
      <c r="F45" s="391">
        <v>66000</v>
      </c>
      <c r="G45" s="394"/>
      <c r="H45" s="392"/>
      <c r="I45" s="391">
        <v>62000</v>
      </c>
      <c r="J45" s="394"/>
      <c r="K45" s="392"/>
      <c r="L45" s="391"/>
      <c r="M45" s="394"/>
      <c r="N45" s="392"/>
      <c r="O45" s="391">
        <v>62000</v>
      </c>
      <c r="P45" s="394"/>
      <c r="Q45" s="392"/>
      <c r="R45" s="391">
        <v>3000</v>
      </c>
      <c r="S45" s="394"/>
      <c r="T45" s="392"/>
      <c r="U45" s="391"/>
      <c r="V45" s="394"/>
      <c r="W45" s="392"/>
      <c r="X45" s="410">
        <f>R45+O45+U45</f>
        <v>65000</v>
      </c>
      <c r="Y45" s="67" t="s">
        <v>0</v>
      </c>
    </row>
    <row r="46" spans="1:25">
      <c r="A46" s="1492" t="s">
        <v>442</v>
      </c>
      <c r="B46" s="739"/>
      <c r="C46" s="1493"/>
      <c r="D46" s="394"/>
      <c r="E46" s="392"/>
      <c r="F46" s="393">
        <v>9082</v>
      </c>
      <c r="G46" s="394"/>
      <c r="H46" s="392"/>
      <c r="I46" s="393">
        <v>16300</v>
      </c>
      <c r="J46" s="394"/>
      <c r="K46" s="392"/>
      <c r="L46" s="393"/>
      <c r="M46" s="394"/>
      <c r="N46" s="392"/>
      <c r="O46" s="393">
        <v>16300</v>
      </c>
      <c r="P46" s="394"/>
      <c r="Q46" s="392"/>
      <c r="R46" s="393"/>
      <c r="S46" s="394"/>
      <c r="T46" s="392"/>
      <c r="U46" s="393"/>
      <c r="V46" s="394"/>
      <c r="W46" s="392"/>
      <c r="X46" s="410">
        <f>R46+O46+U46</f>
        <v>16300</v>
      </c>
      <c r="Y46" s="67" t="s">
        <v>0</v>
      </c>
    </row>
    <row r="47" spans="1:25">
      <c r="A47" s="689" t="s">
        <v>26</v>
      </c>
      <c r="B47" s="690"/>
      <c r="C47" s="1521"/>
      <c r="D47" s="140">
        <f t="shared" ref="D47:X47" si="0">SUM(D45:D46)</f>
        <v>0</v>
      </c>
      <c r="E47" s="141">
        <f t="shared" si="0"/>
        <v>0</v>
      </c>
      <c r="F47" s="111">
        <f t="shared" si="0"/>
        <v>75082</v>
      </c>
      <c r="G47" s="140">
        <f t="shared" si="0"/>
        <v>0</v>
      </c>
      <c r="H47" s="141">
        <f t="shared" si="0"/>
        <v>0</v>
      </c>
      <c r="I47" s="111">
        <f t="shared" si="0"/>
        <v>78300</v>
      </c>
      <c r="J47" s="140">
        <f t="shared" si="0"/>
        <v>0</v>
      </c>
      <c r="K47" s="141">
        <f t="shared" si="0"/>
        <v>0</v>
      </c>
      <c r="L47" s="111">
        <f t="shared" si="0"/>
        <v>0</v>
      </c>
      <c r="M47" s="140">
        <f t="shared" si="0"/>
        <v>0</v>
      </c>
      <c r="N47" s="141">
        <f t="shared" si="0"/>
        <v>0</v>
      </c>
      <c r="O47" s="111">
        <f t="shared" si="0"/>
        <v>78300</v>
      </c>
      <c r="P47" s="140">
        <f t="shared" si="0"/>
        <v>0</v>
      </c>
      <c r="Q47" s="141">
        <f t="shared" si="0"/>
        <v>0</v>
      </c>
      <c r="R47" s="111">
        <f t="shared" si="0"/>
        <v>3000</v>
      </c>
      <c r="S47" s="140">
        <f t="shared" si="0"/>
        <v>0</v>
      </c>
      <c r="T47" s="141">
        <f t="shared" si="0"/>
        <v>0</v>
      </c>
      <c r="U47" s="111">
        <f t="shared" si="0"/>
        <v>0</v>
      </c>
      <c r="V47" s="140">
        <f t="shared" si="0"/>
        <v>0</v>
      </c>
      <c r="W47" s="141">
        <f t="shared" si="0"/>
        <v>0</v>
      </c>
      <c r="X47" s="112">
        <f t="shared" si="0"/>
        <v>81300</v>
      </c>
      <c r="Y47" s="67" t="s">
        <v>0</v>
      </c>
    </row>
    <row r="48" spans="1:25" ht="17.25" customHeight="1">
      <c r="A48" s="646"/>
      <c r="B48" s="2074"/>
      <c r="C48" s="1926"/>
      <c r="D48" s="403"/>
      <c r="E48" s="402"/>
      <c r="F48" s="271"/>
      <c r="G48" s="400"/>
      <c r="H48" s="401"/>
      <c r="I48" s="401"/>
      <c r="J48" s="400"/>
      <c r="K48" s="401"/>
      <c r="L48" s="401"/>
      <c r="M48" s="400"/>
      <c r="N48" s="401"/>
      <c r="O48" s="401"/>
      <c r="P48" s="400"/>
      <c r="Q48" s="401"/>
      <c r="R48" s="401"/>
      <c r="S48" s="400"/>
      <c r="T48" s="401"/>
      <c r="U48" s="401"/>
      <c r="V48" s="400"/>
      <c r="W48" s="399"/>
      <c r="X48" s="398"/>
      <c r="Y48" s="67" t="s">
        <v>0</v>
      </c>
    </row>
    <row r="49" spans="1:25">
      <c r="A49" s="385"/>
      <c r="B49" s="1811" t="s">
        <v>103</v>
      </c>
      <c r="C49" s="1812"/>
      <c r="D49" s="384"/>
      <c r="E49" s="380"/>
      <c r="F49" s="383"/>
      <c r="G49" s="381"/>
      <c r="H49" s="382"/>
      <c r="I49" s="382"/>
      <c r="J49" s="381"/>
      <c r="K49" s="382"/>
      <c r="L49" s="382"/>
      <c r="M49" s="381"/>
      <c r="N49" s="382"/>
      <c r="O49" s="382"/>
      <c r="P49" s="381"/>
      <c r="Q49" s="382"/>
      <c r="R49" s="382"/>
      <c r="S49" s="381"/>
      <c r="T49" s="382"/>
      <c r="U49" s="382"/>
      <c r="V49" s="381"/>
      <c r="W49" s="380"/>
      <c r="X49" s="379"/>
      <c r="Y49" s="67" t="s">
        <v>0</v>
      </c>
    </row>
    <row r="50" spans="1:25">
      <c r="A50" s="397"/>
      <c r="B50" s="1809" t="s">
        <v>102</v>
      </c>
      <c r="C50" s="1810"/>
      <c r="D50" s="394"/>
      <c r="E50" s="392">
        <f>+E47+E49</f>
        <v>0</v>
      </c>
      <c r="F50" s="393"/>
      <c r="G50" s="390"/>
      <c r="H50" s="392">
        <f>+H47+H49</f>
        <v>0</v>
      </c>
      <c r="I50" s="391"/>
      <c r="J50" s="390"/>
      <c r="K50" s="392">
        <f>+K47+K49</f>
        <v>0</v>
      </c>
      <c r="L50" s="391"/>
      <c r="M50" s="390"/>
      <c r="N50" s="392">
        <f>+N47+N49</f>
        <v>0</v>
      </c>
      <c r="O50" s="391"/>
      <c r="P50" s="390"/>
      <c r="Q50" s="392">
        <f>+Q47+Q49</f>
        <v>0</v>
      </c>
      <c r="R50" s="391"/>
      <c r="S50" s="390"/>
      <c r="T50" s="392">
        <f>+T47+T49</f>
        <v>0</v>
      </c>
      <c r="U50" s="391"/>
      <c r="V50" s="390"/>
      <c r="W50" s="392">
        <f>+W47+W49</f>
        <v>0</v>
      </c>
      <c r="X50" s="388"/>
      <c r="Y50" s="67" t="s">
        <v>0</v>
      </c>
    </row>
    <row r="51" spans="1:25">
      <c r="A51" s="335"/>
      <c r="B51" s="1813"/>
      <c r="C51" s="1814"/>
      <c r="D51" s="403"/>
      <c r="E51" s="402"/>
      <c r="F51" s="271"/>
      <c r="G51" s="400"/>
      <c r="H51" s="401"/>
      <c r="I51" s="401"/>
      <c r="J51" s="400"/>
      <c r="K51" s="401"/>
      <c r="L51" s="401"/>
      <c r="M51" s="400"/>
      <c r="N51" s="401"/>
      <c r="O51" s="401"/>
      <c r="P51" s="400"/>
      <c r="Q51" s="401"/>
      <c r="R51" s="401"/>
      <c r="S51" s="400"/>
      <c r="T51" s="401"/>
      <c r="U51" s="401"/>
      <c r="V51" s="400"/>
      <c r="W51" s="399"/>
      <c r="X51" s="398"/>
      <c r="Y51" s="67" t="s">
        <v>0</v>
      </c>
    </row>
    <row r="52" spans="1:25">
      <c r="A52" s="397"/>
      <c r="B52" s="1809" t="s">
        <v>100</v>
      </c>
      <c r="C52" s="1810"/>
      <c r="D52" s="394"/>
      <c r="E52" s="392"/>
      <c r="F52" s="393"/>
      <c r="G52" s="390"/>
      <c r="H52" s="391"/>
      <c r="I52" s="391"/>
      <c r="J52" s="390"/>
      <c r="K52" s="391"/>
      <c r="L52" s="391"/>
      <c r="M52" s="390"/>
      <c r="N52" s="391"/>
      <c r="O52" s="391"/>
      <c r="P52" s="390"/>
      <c r="Q52" s="391"/>
      <c r="R52" s="391"/>
      <c r="S52" s="390"/>
      <c r="T52" s="391"/>
      <c r="U52" s="391"/>
      <c r="V52" s="390"/>
      <c r="W52" s="391"/>
      <c r="X52" s="388"/>
      <c r="Y52" s="67" t="s">
        <v>0</v>
      </c>
    </row>
    <row r="53" spans="1:25">
      <c r="A53" s="397"/>
      <c r="B53" s="396"/>
      <c r="C53" s="395" t="s">
        <v>31</v>
      </c>
      <c r="D53" s="394"/>
      <c r="E53" s="392"/>
      <c r="F53" s="393"/>
      <c r="G53" s="390"/>
      <c r="H53" s="391"/>
      <c r="I53" s="391"/>
      <c r="J53" s="390"/>
      <c r="K53" s="392"/>
      <c r="L53" s="391"/>
      <c r="M53" s="390"/>
      <c r="N53" s="392"/>
      <c r="O53" s="391"/>
      <c r="P53" s="390"/>
      <c r="Q53" s="392"/>
      <c r="R53" s="391"/>
      <c r="S53" s="390"/>
      <c r="T53" s="392"/>
      <c r="U53" s="391"/>
      <c r="V53" s="390"/>
      <c r="W53" s="389"/>
      <c r="X53" s="388"/>
      <c r="Y53" s="67" t="s">
        <v>0</v>
      </c>
    </row>
    <row r="54" spans="1:25">
      <c r="A54" s="385"/>
      <c r="B54" s="387"/>
      <c r="C54" s="386" t="s">
        <v>60</v>
      </c>
      <c r="D54" s="384"/>
      <c r="E54" s="380"/>
      <c r="F54" s="383"/>
      <c r="G54" s="381"/>
      <c r="H54" s="382"/>
      <c r="I54" s="382"/>
      <c r="J54" s="381"/>
      <c r="K54" s="380"/>
      <c r="L54" s="382"/>
      <c r="M54" s="381"/>
      <c r="N54" s="380"/>
      <c r="O54" s="382"/>
      <c r="P54" s="381"/>
      <c r="Q54" s="380"/>
      <c r="R54" s="382"/>
      <c r="S54" s="381"/>
      <c r="T54" s="380"/>
      <c r="U54" s="382"/>
      <c r="V54" s="381"/>
      <c r="W54" s="380"/>
      <c r="X54" s="379"/>
      <c r="Y54" s="67" t="s">
        <v>0</v>
      </c>
    </row>
    <row r="55" spans="1:25">
      <c r="A55" s="385"/>
      <c r="B55" s="1807" t="s">
        <v>101</v>
      </c>
      <c r="C55" s="1808"/>
      <c r="D55" s="384"/>
      <c r="E55" s="380">
        <f>E54+E53+E50</f>
        <v>0</v>
      </c>
      <c r="F55" s="383"/>
      <c r="G55" s="381"/>
      <c r="H55" s="380">
        <f>H54+H53+H50</f>
        <v>0</v>
      </c>
      <c r="I55" s="382"/>
      <c r="J55" s="381"/>
      <c r="K55" s="380">
        <f>K54+K53+K50</f>
        <v>0</v>
      </c>
      <c r="L55" s="382"/>
      <c r="M55" s="381"/>
      <c r="N55" s="380">
        <f>N54+N53+N50</f>
        <v>0</v>
      </c>
      <c r="O55" s="382"/>
      <c r="P55" s="381"/>
      <c r="Q55" s="380">
        <f>Q54+Q53+Q50</f>
        <v>0</v>
      </c>
      <c r="R55" s="382"/>
      <c r="S55" s="381"/>
      <c r="T55" s="380">
        <f>T54+T53+T50</f>
        <v>0</v>
      </c>
      <c r="U55" s="382"/>
      <c r="V55" s="381"/>
      <c r="W55" s="380">
        <f>W54+W53+W50</f>
        <v>0</v>
      </c>
      <c r="X55" s="379"/>
      <c r="Y55" s="67" t="s">
        <v>13</v>
      </c>
    </row>
    <row r="56" spans="1:25">
      <c r="C56" s="378"/>
    </row>
    <row r="57" spans="1:25" ht="119.25" customHeight="1">
      <c r="B57" s="2116"/>
      <c r="C57" s="2116"/>
      <c r="D57" s="1952"/>
      <c r="E57" s="1952"/>
      <c r="F57" s="1952"/>
      <c r="G57" s="2117"/>
      <c r="H57" s="2117"/>
      <c r="I57" s="2117"/>
      <c r="J57" s="2117"/>
      <c r="K57" s="2117"/>
      <c r="L57" s="2117"/>
      <c r="M57" s="2117"/>
      <c r="N57" s="2117"/>
      <c r="O57" s="2117"/>
      <c r="P57" s="2117"/>
      <c r="Q57" s="2117"/>
      <c r="R57" s="2117"/>
      <c r="S57" s="2117"/>
      <c r="T57" s="2117"/>
      <c r="U57" s="2117"/>
      <c r="V57" s="2117"/>
      <c r="W57" s="2117"/>
      <c r="X57" s="2117"/>
    </row>
    <row r="58" spans="1:25" s="253" customFormat="1" ht="15">
      <c r="D58" s="254"/>
      <c r="E58" s="254"/>
      <c r="F58" s="254"/>
      <c r="G58" s="254"/>
      <c r="H58" s="254"/>
      <c r="I58" s="254"/>
      <c r="J58" s="254"/>
      <c r="K58" s="254"/>
      <c r="L58" s="254"/>
      <c r="M58" s="254"/>
      <c r="N58" s="254"/>
      <c r="O58" s="254"/>
      <c r="P58" s="254"/>
      <c r="Q58" s="254"/>
      <c r="R58" s="254"/>
      <c r="S58" s="254"/>
      <c r="T58" s="254"/>
      <c r="U58" s="254"/>
      <c r="V58" s="254"/>
      <c r="W58" s="254"/>
      <c r="X58" s="254"/>
      <c r="Y58" s="255"/>
    </row>
    <row r="59" spans="1:25" s="253" customFormat="1" ht="15">
      <c r="D59" s="254"/>
      <c r="E59" s="254"/>
      <c r="F59" s="254"/>
      <c r="G59" s="254"/>
      <c r="H59" s="254"/>
      <c r="I59" s="254"/>
      <c r="J59" s="254"/>
      <c r="K59" s="254"/>
      <c r="L59" s="254"/>
      <c r="M59" s="254"/>
      <c r="N59" s="254"/>
      <c r="O59" s="254"/>
      <c r="P59" s="254"/>
      <c r="Q59" s="254"/>
      <c r="R59" s="254"/>
      <c r="S59" s="254"/>
      <c r="T59" s="254"/>
      <c r="U59" s="254"/>
      <c r="V59" s="254"/>
      <c r="W59" s="254"/>
      <c r="X59" s="254"/>
      <c r="Y59" s="255"/>
    </row>
    <row r="60" spans="1:25" s="253" customFormat="1" ht="15">
      <c r="D60" s="254"/>
      <c r="E60" s="254"/>
      <c r="F60" s="254"/>
      <c r="G60" s="254"/>
      <c r="H60" s="254"/>
      <c r="I60" s="254"/>
      <c r="J60" s="254"/>
      <c r="K60" s="254"/>
      <c r="L60" s="254"/>
      <c r="M60" s="254"/>
      <c r="N60" s="254"/>
      <c r="O60" s="254"/>
      <c r="P60" s="254"/>
      <c r="Q60" s="254"/>
      <c r="R60" s="254"/>
      <c r="S60" s="254"/>
      <c r="T60" s="254"/>
      <c r="U60" s="254"/>
      <c r="V60" s="254"/>
      <c r="W60" s="254"/>
      <c r="X60" s="254"/>
      <c r="Y60" s="255"/>
    </row>
    <row r="61" spans="1:25" s="253" customFormat="1" ht="15">
      <c r="D61" s="254"/>
      <c r="E61" s="254"/>
      <c r="F61" s="254"/>
      <c r="G61" s="254"/>
      <c r="H61" s="254"/>
      <c r="I61" s="254"/>
      <c r="J61" s="254"/>
      <c r="K61" s="254"/>
      <c r="L61" s="254"/>
      <c r="M61" s="254"/>
      <c r="N61" s="254"/>
      <c r="O61" s="254"/>
      <c r="P61" s="254"/>
      <c r="Q61" s="254"/>
      <c r="R61" s="254"/>
      <c r="S61" s="254"/>
      <c r="T61" s="254"/>
      <c r="U61" s="254"/>
      <c r="V61" s="254"/>
      <c r="W61" s="254"/>
      <c r="X61" s="254"/>
      <c r="Y61" s="255"/>
    </row>
    <row r="62" spans="1:25" s="253" customFormat="1" ht="15">
      <c r="D62" s="254"/>
      <c r="E62" s="254"/>
      <c r="F62" s="254"/>
      <c r="G62" s="254"/>
      <c r="H62" s="254"/>
      <c r="I62" s="254"/>
      <c r="J62" s="254"/>
      <c r="K62" s="254"/>
      <c r="L62" s="254"/>
      <c r="M62" s="254"/>
      <c r="N62" s="254"/>
      <c r="O62" s="254"/>
      <c r="P62" s="254"/>
      <c r="Q62" s="254"/>
      <c r="R62" s="254"/>
      <c r="S62" s="254"/>
      <c r="T62" s="254"/>
      <c r="U62" s="254"/>
      <c r="V62" s="254"/>
      <c r="W62" s="254"/>
      <c r="X62" s="254"/>
      <c r="Y62" s="255"/>
    </row>
    <row r="63" spans="1:25" s="253" customFormat="1" ht="15">
      <c r="A63" s="256"/>
      <c r="B63" s="256"/>
      <c r="C63" s="256"/>
      <c r="D63" s="41"/>
      <c r="E63" s="41"/>
      <c r="F63" s="41"/>
      <c r="G63" s="41"/>
      <c r="H63" s="41"/>
      <c r="I63" s="41"/>
      <c r="J63" s="41"/>
      <c r="K63" s="41"/>
      <c r="L63" s="41"/>
      <c r="M63" s="41"/>
      <c r="N63" s="41"/>
      <c r="O63" s="41"/>
      <c r="P63" s="41"/>
      <c r="Q63" s="41"/>
      <c r="R63" s="41"/>
      <c r="S63" s="41"/>
      <c r="T63" s="41"/>
      <c r="U63" s="41"/>
      <c r="V63" s="41"/>
      <c r="W63" s="257"/>
      <c r="X63" s="257"/>
      <c r="Y63" s="255"/>
    </row>
    <row r="64" spans="1:25" s="253" customFormat="1" ht="15">
      <c r="A64" s="256"/>
      <c r="B64" s="256"/>
      <c r="C64" s="272"/>
      <c r="D64" s="273"/>
      <c r="E64" s="273"/>
      <c r="F64" s="273"/>
      <c r="G64" s="273"/>
      <c r="H64" s="273"/>
      <c r="I64" s="273"/>
      <c r="J64" s="273"/>
      <c r="K64" s="273"/>
      <c r="L64" s="273"/>
      <c r="M64" s="273"/>
      <c r="N64" s="273"/>
      <c r="O64" s="273"/>
      <c r="P64" s="273"/>
      <c r="Q64" s="273"/>
      <c r="R64" s="273"/>
      <c r="S64" s="273"/>
      <c r="T64" s="273"/>
      <c r="U64" s="273"/>
      <c r="V64" s="273"/>
      <c r="W64" s="273"/>
      <c r="X64" s="273"/>
      <c r="Y64" s="255"/>
    </row>
    <row r="65" spans="1:25" s="253" customFormat="1" ht="30" customHeight="1">
      <c r="A65" s="1806"/>
      <c r="B65" s="1806"/>
      <c r="C65" s="1806"/>
      <c r="D65" s="1806"/>
      <c r="E65" s="1806"/>
      <c r="F65" s="1806"/>
      <c r="G65" s="1806"/>
      <c r="H65" s="1806"/>
      <c r="I65" s="1806"/>
      <c r="J65" s="1806"/>
      <c r="K65" s="1806"/>
      <c r="L65" s="1806"/>
      <c r="M65" s="1806"/>
      <c r="N65" s="1806"/>
      <c r="O65" s="1806"/>
      <c r="P65" s="1806"/>
      <c r="Q65" s="1806"/>
      <c r="R65" s="1806"/>
      <c r="S65" s="1806"/>
      <c r="T65" s="1806"/>
      <c r="U65" s="1806"/>
      <c r="V65" s="1806"/>
      <c r="W65" s="49"/>
      <c r="X65" s="49"/>
      <c r="Y65" s="255"/>
    </row>
    <row r="66" spans="1:25">
      <c r="W66" s="377"/>
      <c r="X66" s="377"/>
    </row>
    <row r="67" spans="1:25">
      <c r="K67" s="53"/>
    </row>
  </sheetData>
  <customSheetViews>
    <customSheetView guid="{DA38F665-F06D-4DFB-B852-747D93BB00EF}" scale="65" showPageBreaks="1" showGridLines="0" outlineSymbols="0" fitToPage="1" printArea="1" view="pageBreakPreview" topLeftCell="E1">
      <selection activeCell="B210" sqref="B210"/>
      <rowBreaks count="1" manualBreakCount="1">
        <brk id="24" max="23" man="1"/>
      </rowBreaks>
      <pageMargins left="0.5" right="0.4" top="0.5" bottom="0.25" header="0" footer="0"/>
      <printOptions horizontalCentered="1"/>
      <pageSetup scale="55" firstPageNumber="8" fitToHeight="0" orientation="landscape" useFirstPageNumber="1" r:id="rId1"/>
      <headerFooter alignWithMargins="0">
        <oddFooter>&amp;C&amp;"Times New Roman,Regular"Exhibit B - Summary of Requirements&amp;R&amp;"Times New Roman,Regular"Public Safety Officers' Benefits</oddFooter>
      </headerFooter>
    </customSheetView>
    <customSheetView guid="{4D0F9E3D-0229-48CC-A08B-F132802E9D7B}" scale="65" showPageBreaks="1" showGridLines="0" outlineSymbols="0" fitToPage="1" printArea="1" view="pageBreakPreview" topLeftCell="A8">
      <selection activeCell="I53" sqref="I53"/>
      <rowBreaks count="1" manualBreakCount="1">
        <brk id="24" max="23" man="1"/>
      </rowBreaks>
      <pageMargins left="0.5" right="0.4" top="0.5" bottom="0.25" header="0" footer="0"/>
      <printOptions horizontalCentered="1"/>
      <pageSetup scale="55" firstPageNumber="8" fitToHeight="0" orientation="landscape" useFirstPageNumber="1" r:id="rId2"/>
      <headerFooter alignWithMargins="0">
        <oddFooter>&amp;C&amp;"Times New Roman,Regular"Exhibit B - Summary of Requirements&amp;R&amp;"Times New Roman,Regular"Public Safety Officers' Benefits</oddFooter>
      </headerFooter>
    </customSheetView>
    <customSheetView guid="{F6772377-6B25-4EEA-B255-4C2F62B37855}" scale="65" showPageBreaks="1" showGridLines="0" outlineSymbols="0" fitToPage="1" printArea="1" view="pageBreakPreview" topLeftCell="A20">
      <selection activeCell="Y43" sqref="Y43"/>
      <rowBreaks count="1" manualBreakCount="1">
        <brk id="26" max="23" man="1"/>
      </rowBreaks>
      <pageMargins left="0.5" right="0.4" top="0.5" bottom="0.25" header="0" footer="0"/>
      <printOptions horizontalCentered="1"/>
      <pageSetup scale="55" firstPageNumber="8" fitToHeight="0" orientation="landscape" useFirstPageNumber="1" r:id="rId3"/>
      <headerFooter alignWithMargins="0">
        <oddFooter>&amp;C&amp;"Times New Roman,Regular"Exhibit B - Summary of Requirements&amp;R&amp;"Times New Roman,Regular"Public Safety Officers' Benefits</oddFooter>
      </headerFooter>
    </customSheetView>
    <customSheetView guid="{27B9C207-C13F-4981-9CED-E69585BBD779}" scale="65" showPageBreaks="1" showGridLines="0" outlineSymbols="0" fitToPage="1" printArea="1" view="pageBreakPreview" topLeftCell="C1">
      <selection activeCell="W27" sqref="W27"/>
      <rowBreaks count="1" manualBreakCount="1">
        <brk id="28" max="23" man="1"/>
      </rowBreaks>
      <pageMargins left="0.5" right="0.4" top="0.5" bottom="0.25" header="0" footer="0"/>
      <printOptions horizontalCentered="1"/>
      <pageSetup scale="55" firstPageNumber="8" fitToHeight="0" orientation="landscape" useFirstPageNumber="1" r:id="rId4"/>
      <headerFooter alignWithMargins="0">
        <oddFooter>&amp;C&amp;"Times New Roman,Regular"Exhibit B - Summary of Requirements&amp;R&amp;"Times New Roman,Regular"Public Safety Officers' Benefits</oddFooter>
      </headerFooter>
    </customSheetView>
  </customSheetViews>
  <mergeCells count="54">
    <mergeCell ref="A6:X6"/>
    <mergeCell ref="A1:X1"/>
    <mergeCell ref="A2:X2"/>
    <mergeCell ref="A3:X3"/>
    <mergeCell ref="A4:X4"/>
    <mergeCell ref="A5:X5"/>
    <mergeCell ref="A7:X7"/>
    <mergeCell ref="A8:X8"/>
    <mergeCell ref="A9:X9"/>
    <mergeCell ref="A10:X10"/>
    <mergeCell ref="A11:U13"/>
    <mergeCell ref="V11:X11"/>
    <mergeCell ref="V12:V13"/>
    <mergeCell ref="W12:W13"/>
    <mergeCell ref="X12:X13"/>
    <mergeCell ref="A33:X33"/>
    <mergeCell ref="A14:U14"/>
    <mergeCell ref="A15:U15"/>
    <mergeCell ref="A16:U16"/>
    <mergeCell ref="A17:U17"/>
    <mergeCell ref="A18:U18"/>
    <mergeCell ref="A19:U19"/>
    <mergeCell ref="A20:U20"/>
    <mergeCell ref="A21:U21"/>
    <mergeCell ref="A22:U22"/>
    <mergeCell ref="A23:U23"/>
    <mergeCell ref="A24:U24"/>
    <mergeCell ref="A26:X26"/>
    <mergeCell ref="B50:C50"/>
    <mergeCell ref="A34:X34"/>
    <mergeCell ref="A35:X35"/>
    <mergeCell ref="A36:X36"/>
    <mergeCell ref="A42:C44"/>
    <mergeCell ref="D42:F43"/>
    <mergeCell ref="G42:I43"/>
    <mergeCell ref="J42:L43"/>
    <mergeCell ref="M42:O43"/>
    <mergeCell ref="P42:R43"/>
    <mergeCell ref="S42:U43"/>
    <mergeCell ref="V42:X43"/>
    <mergeCell ref="B48:C48"/>
    <mergeCell ref="B49:C49"/>
    <mergeCell ref="A65:V65"/>
    <mergeCell ref="B51:C51"/>
    <mergeCell ref="B52:C52"/>
    <mergeCell ref="B55:C55"/>
    <mergeCell ref="B57:C57"/>
    <mergeCell ref="D57:F57"/>
    <mergeCell ref="G57:I57"/>
    <mergeCell ref="J57:L57"/>
    <mergeCell ref="M57:O57"/>
    <mergeCell ref="P57:R57"/>
    <mergeCell ref="S57:U57"/>
    <mergeCell ref="V57:X57"/>
  </mergeCells>
  <printOptions horizontalCentered="1"/>
  <pageMargins left="0.5" right="0.4" top="0.5" bottom="0.25" header="0" footer="0"/>
  <pageSetup scale="55" firstPageNumber="8" fitToHeight="0" orientation="landscape" useFirstPageNumber="1" r:id="rId5"/>
  <headerFooter alignWithMargins="0">
    <oddFooter>&amp;C&amp;"Times New Roman,Regular"Exhibit B - Summary of Requirements&amp;R&amp;"Times New Roman,Regular"Public Safety Officers' Benefits</oddFooter>
  </headerFooter>
  <rowBreaks count="1" manualBreakCount="1">
    <brk id="28" max="23" man="1"/>
  </rowBreaks>
</worksheet>
</file>

<file path=xl/worksheets/sheet38.xml><?xml version="1.0" encoding="utf-8"?>
<worksheet xmlns="http://schemas.openxmlformats.org/spreadsheetml/2006/main" xmlns:r="http://schemas.openxmlformats.org/officeDocument/2006/relationships">
  <sheetPr>
    <pageSetUpPr fitToPage="1"/>
  </sheetPr>
  <dimension ref="A1:T19"/>
  <sheetViews>
    <sheetView view="pageBreakPreview" zoomScale="70" zoomScaleNormal="100" zoomScaleSheetLayoutView="70" workbookViewId="0">
      <selection activeCell="X18" sqref="X18"/>
    </sheetView>
  </sheetViews>
  <sheetFormatPr defaultColWidth="8.88671875" defaultRowHeight="12.75"/>
  <cols>
    <col min="1" max="1" width="25.33203125" style="433" customWidth="1"/>
    <col min="2" max="2" width="21.109375" style="433" customWidth="1"/>
    <col min="3" max="3" width="4.6640625" style="433" customWidth="1"/>
    <col min="4" max="4" width="8.33203125" style="433" customWidth="1"/>
    <col min="5" max="5" width="4.6640625" style="433" customWidth="1"/>
    <col min="6" max="6" width="7.21875" style="433" customWidth="1"/>
    <col min="7" max="7" width="4.6640625" style="433" hidden="1" customWidth="1"/>
    <col min="8" max="8" width="8.33203125" style="433" hidden="1" customWidth="1"/>
    <col min="9" max="9" width="4.6640625" style="433" hidden="1" customWidth="1"/>
    <col min="10" max="10" width="7.21875" style="433" hidden="1" customWidth="1"/>
    <col min="11" max="11" width="4.6640625" style="433" hidden="1" customWidth="1"/>
    <col min="12" max="12" width="8.21875" style="433" hidden="1" customWidth="1"/>
    <col min="13" max="13" width="4.5546875" style="433" hidden="1" customWidth="1"/>
    <col min="14" max="14" width="7.88671875" style="433" hidden="1" customWidth="1"/>
    <col min="15" max="15" width="4.6640625" style="433" hidden="1" customWidth="1"/>
    <col min="16" max="16" width="8.109375" style="433" hidden="1" customWidth="1"/>
    <col min="17" max="17" width="4.6640625" style="433" hidden="1" customWidth="1"/>
    <col min="18" max="18" width="7.88671875" style="433" hidden="1" customWidth="1"/>
    <col min="19" max="19" width="11.33203125" style="433" customWidth="1"/>
    <col min="20" max="20" width="8.88671875" style="471" customWidth="1"/>
    <col min="21" max="16384" width="8.88671875" style="433"/>
  </cols>
  <sheetData>
    <row r="1" spans="1:20" ht="20.25">
      <c r="A1" s="1692" t="s">
        <v>240</v>
      </c>
      <c r="B1" s="1693"/>
      <c r="C1" s="1693"/>
      <c r="D1" s="1693"/>
      <c r="E1" s="1693"/>
      <c r="F1" s="1693"/>
      <c r="G1" s="1693"/>
      <c r="H1" s="1693"/>
      <c r="I1" s="1693"/>
      <c r="J1" s="1693"/>
      <c r="K1" s="1693"/>
      <c r="L1" s="1693"/>
      <c r="M1" s="1693"/>
      <c r="N1" s="1693"/>
      <c r="O1" s="1693"/>
      <c r="P1" s="1693"/>
      <c r="Q1" s="1693"/>
      <c r="R1" s="1693"/>
      <c r="S1" s="1693"/>
      <c r="T1" s="432" t="s">
        <v>0</v>
      </c>
    </row>
    <row r="2" spans="1:20" ht="20.25">
      <c r="A2" s="1733"/>
      <c r="B2" s="1733"/>
      <c r="C2" s="1733"/>
      <c r="D2" s="1733"/>
      <c r="E2" s="1733"/>
      <c r="F2" s="1733"/>
      <c r="G2" s="1733"/>
      <c r="H2" s="1733"/>
      <c r="I2" s="1733"/>
      <c r="J2" s="1733"/>
      <c r="K2" s="1733"/>
      <c r="L2" s="1733"/>
      <c r="M2" s="1733"/>
      <c r="N2" s="1733"/>
      <c r="O2" s="1733"/>
      <c r="P2" s="1733"/>
      <c r="Q2" s="1733"/>
      <c r="R2" s="1733"/>
      <c r="S2" s="1733"/>
      <c r="T2" s="432" t="s">
        <v>0</v>
      </c>
    </row>
    <row r="3" spans="1:20">
      <c r="A3" s="1886"/>
      <c r="B3" s="1886"/>
      <c r="C3" s="1886"/>
      <c r="D3" s="1886"/>
      <c r="E3" s="1886"/>
      <c r="F3" s="1886"/>
      <c r="G3" s="1886"/>
      <c r="H3" s="1886"/>
      <c r="I3" s="1886"/>
      <c r="J3" s="1886"/>
      <c r="K3" s="1886"/>
      <c r="L3" s="1886"/>
      <c r="M3" s="1886"/>
      <c r="N3" s="1886"/>
      <c r="O3" s="1886"/>
      <c r="P3" s="1886"/>
      <c r="Q3" s="1886"/>
      <c r="R3" s="1886"/>
      <c r="S3" s="1886"/>
      <c r="T3" s="432" t="s">
        <v>0</v>
      </c>
    </row>
    <row r="4" spans="1:20" ht="23.25">
      <c r="A4" s="1887" t="s">
        <v>241</v>
      </c>
      <c r="B4" s="1875"/>
      <c r="C4" s="1875"/>
      <c r="D4" s="1875"/>
      <c r="E4" s="1875"/>
      <c r="F4" s="1875"/>
      <c r="G4" s="1875"/>
      <c r="H4" s="1875"/>
      <c r="I4" s="1875"/>
      <c r="J4" s="1875"/>
      <c r="K4" s="1875"/>
      <c r="L4" s="1875"/>
      <c r="M4" s="1875"/>
      <c r="N4" s="1875"/>
      <c r="O4" s="1875"/>
      <c r="P4" s="1875"/>
      <c r="Q4" s="1875"/>
      <c r="R4" s="1875"/>
      <c r="S4" s="1875"/>
      <c r="T4" s="432" t="s">
        <v>0</v>
      </c>
    </row>
    <row r="5" spans="1:20" ht="23.25">
      <c r="A5" s="1885" t="str">
        <f>'[5]B. Summ of Reqs - PSOB '!A34</f>
        <v>Office of Justice Programs</v>
      </c>
      <c r="B5" s="1888"/>
      <c r="C5" s="1888"/>
      <c r="D5" s="1888"/>
      <c r="E5" s="1888"/>
      <c r="F5" s="1888"/>
      <c r="G5" s="1888"/>
      <c r="H5" s="1888"/>
      <c r="I5" s="1888"/>
      <c r="J5" s="1888"/>
      <c r="K5" s="1888"/>
      <c r="L5" s="1888"/>
      <c r="M5" s="1888"/>
      <c r="N5" s="1888"/>
      <c r="O5" s="1888"/>
      <c r="P5" s="1888"/>
      <c r="Q5" s="1888"/>
      <c r="R5" s="1888"/>
      <c r="S5" s="1888"/>
      <c r="T5" s="432" t="s">
        <v>0</v>
      </c>
    </row>
    <row r="6" spans="1:20" ht="23.25">
      <c r="A6" s="1885" t="str">
        <f>'[5]B. Summ of Reqs - PSOB '!A35</f>
        <v>Public Safety Officers' Benefits</v>
      </c>
      <c r="B6" s="1885"/>
      <c r="C6" s="1885"/>
      <c r="D6" s="1885"/>
      <c r="E6" s="1885"/>
      <c r="F6" s="1885"/>
      <c r="G6" s="1885"/>
      <c r="H6" s="1885"/>
      <c r="I6" s="1885"/>
      <c r="J6" s="1885"/>
      <c r="K6" s="1885"/>
      <c r="L6" s="1885"/>
      <c r="M6" s="1885"/>
      <c r="N6" s="1885"/>
      <c r="O6" s="1885"/>
      <c r="P6" s="1885"/>
      <c r="Q6" s="1885"/>
      <c r="R6" s="1885"/>
      <c r="S6" s="1885"/>
      <c r="T6" s="432" t="s">
        <v>0</v>
      </c>
    </row>
    <row r="7" spans="1:20" ht="23.25">
      <c r="A7" s="1874" t="s">
        <v>98</v>
      </c>
      <c r="B7" s="1875"/>
      <c r="C7" s="1875"/>
      <c r="D7" s="1875"/>
      <c r="E7" s="1875"/>
      <c r="F7" s="1875"/>
      <c r="G7" s="1875"/>
      <c r="H7" s="1875"/>
      <c r="I7" s="1875"/>
      <c r="J7" s="1875"/>
      <c r="K7" s="1875"/>
      <c r="L7" s="1875"/>
      <c r="M7" s="1875"/>
      <c r="N7" s="1875"/>
      <c r="O7" s="1875"/>
      <c r="P7" s="1875"/>
      <c r="Q7" s="1875"/>
      <c r="R7" s="1875"/>
      <c r="S7" s="1875"/>
      <c r="T7" s="432" t="s">
        <v>0</v>
      </c>
    </row>
    <row r="8" spans="1:20">
      <c r="A8" s="1876"/>
      <c r="B8" s="1876"/>
      <c r="C8" s="1876"/>
      <c r="D8" s="1876"/>
      <c r="E8" s="1876"/>
      <c r="F8" s="1876"/>
      <c r="G8" s="1876"/>
      <c r="H8" s="1876"/>
      <c r="I8" s="1876"/>
      <c r="J8" s="1876"/>
      <c r="K8" s="1876"/>
      <c r="L8" s="1876"/>
      <c r="M8" s="1876"/>
      <c r="N8" s="1876"/>
      <c r="O8" s="1876"/>
      <c r="P8" s="1876"/>
      <c r="Q8" s="1876"/>
      <c r="R8" s="1876"/>
      <c r="S8" s="1876"/>
      <c r="T8" s="432" t="s">
        <v>0</v>
      </c>
    </row>
    <row r="9" spans="1:20">
      <c r="A9" s="1877"/>
      <c r="B9" s="1877"/>
      <c r="C9" s="1877"/>
      <c r="D9" s="1877"/>
      <c r="E9" s="1877"/>
      <c r="F9" s="1877"/>
      <c r="G9" s="1877"/>
      <c r="H9" s="1877"/>
      <c r="I9" s="1877"/>
      <c r="J9" s="1877"/>
      <c r="K9" s="1877"/>
      <c r="L9" s="1877"/>
      <c r="M9" s="1877"/>
      <c r="N9" s="1877"/>
      <c r="O9" s="1877"/>
      <c r="P9" s="1877"/>
      <c r="Q9" s="1877"/>
      <c r="R9" s="1877"/>
      <c r="S9" s="1877"/>
      <c r="T9" s="432" t="s">
        <v>0</v>
      </c>
    </row>
    <row r="10" spans="1:20">
      <c r="A10" s="1878" t="s">
        <v>91</v>
      </c>
      <c r="B10" s="1880" t="s">
        <v>242</v>
      </c>
      <c r="C10" s="1997" t="s">
        <v>443</v>
      </c>
      <c r="D10" s="2124"/>
      <c r="E10" s="2124"/>
      <c r="F10" s="2125"/>
      <c r="G10" s="2126" t="s">
        <v>56</v>
      </c>
      <c r="H10" s="2124"/>
      <c r="I10" s="2124"/>
      <c r="J10" s="2125"/>
      <c r="K10" s="1997" t="s">
        <v>57</v>
      </c>
      <c r="L10" s="2124"/>
      <c r="M10" s="2124"/>
      <c r="N10" s="2125"/>
      <c r="O10" s="1997" t="s">
        <v>58</v>
      </c>
      <c r="P10" s="2124"/>
      <c r="Q10" s="2124"/>
      <c r="R10" s="2124"/>
      <c r="S10" s="1880" t="s">
        <v>244</v>
      </c>
      <c r="T10" s="432" t="s">
        <v>0</v>
      </c>
    </row>
    <row r="11" spans="1:20">
      <c r="A11" s="2122"/>
      <c r="B11" s="2123"/>
      <c r="C11" s="836" t="s">
        <v>115</v>
      </c>
      <c r="D11" s="434" t="s">
        <v>4</v>
      </c>
      <c r="E11" s="434" t="s">
        <v>25</v>
      </c>
      <c r="F11" s="435" t="s">
        <v>117</v>
      </c>
      <c r="G11" s="434" t="s">
        <v>115</v>
      </c>
      <c r="H11" s="434" t="s">
        <v>4</v>
      </c>
      <c r="I11" s="434" t="s">
        <v>25</v>
      </c>
      <c r="J11" s="435" t="s">
        <v>117</v>
      </c>
      <c r="K11" s="434" t="s">
        <v>115</v>
      </c>
      <c r="L11" s="434" t="s">
        <v>4</v>
      </c>
      <c r="M11" s="434" t="s">
        <v>25</v>
      </c>
      <c r="N11" s="435" t="s">
        <v>117</v>
      </c>
      <c r="O11" s="434" t="s">
        <v>115</v>
      </c>
      <c r="P11" s="434" t="s">
        <v>4</v>
      </c>
      <c r="Q11" s="434" t="s">
        <v>25</v>
      </c>
      <c r="R11" s="434" t="s">
        <v>117</v>
      </c>
      <c r="S11" s="2123"/>
      <c r="T11" s="432" t="s">
        <v>0</v>
      </c>
    </row>
    <row r="12" spans="1:20">
      <c r="A12" s="436"/>
      <c r="B12" s="437"/>
      <c r="C12" s="1177"/>
      <c r="D12" s="708"/>
      <c r="E12" s="708"/>
      <c r="F12" s="709"/>
      <c r="G12" s="1178"/>
      <c r="H12" s="708"/>
      <c r="I12" s="708"/>
      <c r="J12" s="709"/>
      <c r="K12" s="1177"/>
      <c r="L12" s="708"/>
      <c r="M12" s="708"/>
      <c r="N12" s="709"/>
      <c r="O12" s="1177"/>
      <c r="P12" s="708"/>
      <c r="Q12" s="708"/>
      <c r="R12" s="708"/>
      <c r="S12" s="1179"/>
      <c r="T12" s="432" t="s">
        <v>0</v>
      </c>
    </row>
    <row r="13" spans="1:20" ht="18.75" customHeight="1">
      <c r="A13" s="436" t="s">
        <v>441</v>
      </c>
      <c r="B13" s="437" t="s">
        <v>439</v>
      </c>
      <c r="C13" s="711"/>
      <c r="D13" s="708"/>
      <c r="E13" s="708"/>
      <c r="F13" s="709">
        <v>3000</v>
      </c>
      <c r="G13" s="720"/>
      <c r="H13" s="708"/>
      <c r="I13" s="708"/>
      <c r="J13" s="709"/>
      <c r="K13" s="711"/>
      <c r="L13" s="708"/>
      <c r="M13" s="708"/>
      <c r="N13" s="709"/>
      <c r="O13" s="711"/>
      <c r="P13" s="708"/>
      <c r="Q13" s="708"/>
      <c r="R13" s="708"/>
      <c r="S13" s="1179">
        <f>+F13+J13+N13+R13</f>
        <v>3000</v>
      </c>
      <c r="T13" s="432" t="s">
        <v>0</v>
      </c>
    </row>
    <row r="14" spans="1:20" ht="18.75" customHeight="1">
      <c r="A14" s="443"/>
      <c r="B14" s="889"/>
      <c r="C14" s="713"/>
      <c r="D14" s="714"/>
      <c r="E14" s="714"/>
      <c r="F14" s="715"/>
      <c r="G14" s="714"/>
      <c r="H14" s="714"/>
      <c r="I14" s="714"/>
      <c r="J14" s="715"/>
      <c r="K14" s="713"/>
      <c r="L14" s="714"/>
      <c r="M14" s="714"/>
      <c r="N14" s="715"/>
      <c r="O14" s="713"/>
      <c r="P14" s="714"/>
      <c r="Q14" s="714"/>
      <c r="R14" s="714"/>
      <c r="S14" s="291"/>
      <c r="T14" s="432" t="s">
        <v>0</v>
      </c>
    </row>
    <row r="15" spans="1:20" ht="18.75" customHeight="1">
      <c r="A15" s="837" t="s">
        <v>246</v>
      </c>
      <c r="B15" s="888"/>
      <c r="C15" s="838">
        <f t="shared" ref="C15:S15" si="0">SUM(C12:C14)</f>
        <v>0</v>
      </c>
      <c r="D15" s="839">
        <f t="shared" si="0"/>
        <v>0</v>
      </c>
      <c r="E15" s="839">
        <f t="shared" si="0"/>
        <v>0</v>
      </c>
      <c r="F15" s="840">
        <f t="shared" si="0"/>
        <v>3000</v>
      </c>
      <c r="G15" s="452">
        <f t="shared" si="0"/>
        <v>0</v>
      </c>
      <c r="H15" s="452">
        <f t="shared" si="0"/>
        <v>0</v>
      </c>
      <c r="I15" s="452">
        <f t="shared" si="0"/>
        <v>0</v>
      </c>
      <c r="J15" s="453">
        <f t="shared" si="0"/>
        <v>0</v>
      </c>
      <c r="K15" s="451">
        <f t="shared" si="0"/>
        <v>0</v>
      </c>
      <c r="L15" s="452">
        <f t="shared" si="0"/>
        <v>0</v>
      </c>
      <c r="M15" s="452">
        <f t="shared" si="0"/>
        <v>0</v>
      </c>
      <c r="N15" s="453">
        <f t="shared" si="0"/>
        <v>0</v>
      </c>
      <c r="O15" s="451">
        <f t="shared" si="0"/>
        <v>0</v>
      </c>
      <c r="P15" s="452">
        <f t="shared" si="0"/>
        <v>0</v>
      </c>
      <c r="Q15" s="452">
        <f t="shared" si="0"/>
        <v>0</v>
      </c>
      <c r="R15" s="453">
        <f t="shared" si="0"/>
        <v>0</v>
      </c>
      <c r="S15" s="841">
        <f t="shared" si="0"/>
        <v>3000</v>
      </c>
      <c r="T15" s="432" t="s">
        <v>0</v>
      </c>
    </row>
    <row r="16" spans="1:20" ht="18.75" customHeight="1">
      <c r="A16" s="443"/>
      <c r="B16" s="443"/>
      <c r="C16" s="454"/>
      <c r="D16" s="455"/>
      <c r="E16" s="455"/>
      <c r="F16" s="456"/>
      <c r="G16" s="455"/>
      <c r="H16" s="455"/>
      <c r="I16" s="455"/>
      <c r="J16" s="455"/>
      <c r="K16" s="454"/>
      <c r="L16" s="455"/>
      <c r="M16" s="455"/>
      <c r="N16" s="456"/>
      <c r="O16" s="454"/>
      <c r="P16" s="455"/>
      <c r="Q16" s="455"/>
      <c r="R16" s="455"/>
      <c r="S16" s="443"/>
      <c r="T16" s="432" t="s">
        <v>13</v>
      </c>
    </row>
    <row r="17" spans="1:20" ht="210.75" customHeight="1">
      <c r="A17" s="470"/>
      <c r="B17" s="470"/>
      <c r="C17" s="2120"/>
      <c r="D17" s="2121"/>
      <c r="E17" s="2121"/>
      <c r="F17" s="2121"/>
      <c r="S17" s="470"/>
      <c r="T17" s="432"/>
    </row>
    <row r="18" spans="1:20" ht="15" customHeight="1">
      <c r="A18" s="473"/>
      <c r="B18" s="474"/>
      <c r="C18" s="474"/>
      <c r="D18" s="474"/>
      <c r="E18" s="474"/>
      <c r="F18" s="474"/>
      <c r="G18" s="474"/>
      <c r="H18" s="474"/>
      <c r="I18" s="474"/>
      <c r="J18" s="474"/>
      <c r="K18" s="474"/>
      <c r="L18" s="474"/>
      <c r="M18" s="474"/>
      <c r="O18" s="474"/>
      <c r="P18" s="474"/>
      <c r="Q18" s="474"/>
      <c r="S18" s="475"/>
    </row>
    <row r="19" spans="1:20">
      <c r="A19" s="474"/>
      <c r="B19" s="474"/>
      <c r="C19" s="474"/>
      <c r="D19" s="474"/>
      <c r="E19" s="474"/>
      <c r="F19" s="474"/>
      <c r="G19" s="474"/>
      <c r="H19" s="474"/>
      <c r="I19" s="474"/>
      <c r="J19" s="474"/>
      <c r="K19" s="474"/>
      <c r="L19" s="474"/>
      <c r="M19" s="474"/>
      <c r="O19" s="474"/>
      <c r="P19" s="474"/>
      <c r="Q19" s="474"/>
    </row>
  </sheetData>
  <customSheetViews>
    <customSheetView guid="{DA38F665-F06D-4DFB-B852-747D93BB00EF}" scale="75" showPageBreaks="1" fitToPage="1" printArea="1" hiddenColumns="1" view="pageBreakPreview">
      <selection activeCell="B210" sqref="B210"/>
      <pageMargins left="0.75" right="0.75" top="1" bottom="1" header="0.5" footer="0.5"/>
      <printOptions horizontalCentered="1"/>
      <pageSetup orientation="landscape" r:id="rId1"/>
      <headerFooter alignWithMargins="0">
        <oddFooter>&amp;C&amp;"Times New Roman,Regular"Exhibit C - Program Increases/Offsets By Decision Unit&amp;R&amp;"Times New Roman,Regular"Public Safety Officers' Benefits</oddFooter>
      </headerFooter>
    </customSheetView>
    <customSheetView guid="{4D0F9E3D-0229-48CC-A08B-F132802E9D7B}" scale="75" showPageBreaks="1" fitToPage="1" printArea="1" hiddenColumns="1" view="pageBreakPreview">
      <selection activeCell="D23" sqref="D23"/>
      <pageMargins left="0.75" right="0.75" top="1" bottom="1" header="0.5" footer="0.5"/>
      <printOptions horizontalCentered="1"/>
      <pageSetup orientation="landscape" r:id="rId2"/>
      <headerFooter alignWithMargins="0">
        <oddFooter>&amp;C&amp;"Times New Roman,Regular"Exhibit C - Program Increases/Offsets By Decision Unit&amp;R&amp;"Times New Roman,Regular"Public Safety Officers' Benefits</oddFooter>
      </headerFooter>
    </customSheetView>
    <customSheetView guid="{F6772377-6B25-4EEA-B255-4C2F62B37855}" scale="75" showPageBreaks="1" fitToPage="1" printArea="1" hiddenColumns="1" view="pageBreakPreview">
      <selection activeCell="S17" sqref="S17"/>
      <pageMargins left="0.75" right="0.75" top="1" bottom="1" header="0.5" footer="0.5"/>
      <printOptions horizontalCentered="1"/>
      <pageSetup orientation="landscape" r:id="rId3"/>
      <headerFooter alignWithMargins="0">
        <oddFooter>&amp;C&amp;"Times New Roman,Regular"Exhibit C - Program Increases/Offsets By Decision Unit&amp;R&amp;"Times New Roman,Regular"Public Safety Officers' Benefits</oddFooter>
      </headerFooter>
    </customSheetView>
    <customSheetView guid="{27B9C207-C13F-4981-9CED-E69585BBD779}" scale="70" showPageBreaks="1" fitToPage="1" printArea="1" hiddenColumns="1" view="pageBreakPreview">
      <selection activeCell="X17" sqref="X17"/>
      <pageMargins left="0.75" right="0.75" top="1" bottom="1" header="0.5" footer="0.5"/>
      <printOptions horizontalCentered="1"/>
      <pageSetup orientation="landscape" r:id="rId4"/>
      <headerFooter alignWithMargins="0">
        <oddFooter>&amp;C&amp;"Times New Roman,Regular"Exhibit C - Program Increases/Offsets By Decision Unit&amp;R&amp;"Times New Roman,Regular"Public Safety Officers' Benefits</oddFooter>
      </headerFooter>
    </customSheetView>
  </customSheetViews>
  <mergeCells count="17">
    <mergeCell ref="A6:S6"/>
    <mergeCell ref="A1:S1"/>
    <mergeCell ref="A2:S2"/>
    <mergeCell ref="A3:S3"/>
    <mergeCell ref="A4:S4"/>
    <mergeCell ref="A5:S5"/>
    <mergeCell ref="C17:F17"/>
    <mergeCell ref="A7:S7"/>
    <mergeCell ref="A8:S8"/>
    <mergeCell ref="A9:S9"/>
    <mergeCell ref="A10:A11"/>
    <mergeCell ref="B10:B11"/>
    <mergeCell ref="C10:F10"/>
    <mergeCell ref="G10:J10"/>
    <mergeCell ref="K10:N10"/>
    <mergeCell ref="O10:R10"/>
    <mergeCell ref="S10:S11"/>
  </mergeCells>
  <printOptions horizontalCentered="1"/>
  <pageMargins left="0.75" right="0.75" top="1" bottom="1" header="0.5" footer="0.5"/>
  <pageSetup orientation="landscape" r:id="rId5"/>
  <headerFooter alignWithMargins="0">
    <oddFooter>&amp;C&amp;"Times New Roman,Regular"Exhibit C - Program Increases/Offsets By Decision Unit&amp;R&amp;"Times New Roman,Regular"Public Safety Officers' Benefits</oddFooter>
  </headerFooter>
</worksheet>
</file>

<file path=xl/worksheets/sheet39.xml><?xml version="1.0" encoding="utf-8"?>
<worksheet xmlns="http://schemas.openxmlformats.org/spreadsheetml/2006/main" xmlns:r="http://schemas.openxmlformats.org/officeDocument/2006/relationships">
  <dimension ref="A1:T47"/>
  <sheetViews>
    <sheetView view="pageBreakPreview" topLeftCell="A10" zoomScale="60" zoomScaleNormal="75" workbookViewId="0">
      <selection activeCell="A26" sqref="A26"/>
    </sheetView>
  </sheetViews>
  <sheetFormatPr defaultColWidth="8.88671875" defaultRowHeight="12.75"/>
  <cols>
    <col min="1" max="1" width="53.88671875" style="477" customWidth="1"/>
    <col min="2" max="2" width="1.21875" style="477" customWidth="1"/>
    <col min="3" max="3" width="10.77734375" style="477" customWidth="1"/>
    <col min="4" max="4" width="11" style="477" customWidth="1"/>
    <col min="5" max="5" width="1.21875" style="477" customWidth="1"/>
    <col min="6" max="7" width="11.21875" style="477" customWidth="1"/>
    <col min="8" max="8" width="1.21875" style="477" customWidth="1"/>
    <col min="9" max="16" width="10.77734375" style="477" customWidth="1"/>
    <col min="17" max="17" width="9.88671875" style="477" customWidth="1"/>
    <col min="18" max="16384" width="8.88671875" style="477"/>
  </cols>
  <sheetData>
    <row r="1" spans="1:20" ht="20.25">
      <c r="A1" s="1897" t="s">
        <v>145</v>
      </c>
      <c r="B1" s="1609"/>
      <c r="C1" s="1609"/>
      <c r="D1" s="1609"/>
      <c r="E1" s="1609"/>
      <c r="F1" s="1609"/>
      <c r="G1" s="1609"/>
      <c r="H1" s="1609"/>
      <c r="I1" s="1609"/>
      <c r="J1" s="1609"/>
      <c r="K1" s="1609"/>
      <c r="L1" s="1609"/>
      <c r="M1" s="1609"/>
      <c r="N1" s="1609"/>
      <c r="O1" s="1609"/>
      <c r="P1" s="1609"/>
      <c r="Q1" s="476" t="s">
        <v>0</v>
      </c>
      <c r="R1" s="189"/>
      <c r="S1" s="189"/>
    </row>
    <row r="2" spans="1:20" ht="19.149999999999999" customHeight="1">
      <c r="A2" s="478"/>
      <c r="Q2" s="476" t="s">
        <v>0</v>
      </c>
      <c r="T2" s="476"/>
    </row>
    <row r="3" spans="1:20" ht="15.75">
      <c r="A3" s="1898" t="s">
        <v>126</v>
      </c>
      <c r="B3" s="1611"/>
      <c r="C3" s="1611"/>
      <c r="D3" s="1611"/>
      <c r="E3" s="1611"/>
      <c r="F3" s="1611"/>
      <c r="G3" s="1611"/>
      <c r="H3" s="1611"/>
      <c r="I3" s="1611"/>
      <c r="J3" s="1611"/>
      <c r="K3" s="1611"/>
      <c r="L3" s="1611"/>
      <c r="M3" s="1611"/>
      <c r="N3" s="1611"/>
      <c r="O3" s="1611"/>
      <c r="P3" s="1611"/>
      <c r="Q3" s="476" t="s">
        <v>0</v>
      </c>
      <c r="R3" s="321"/>
      <c r="S3" s="321"/>
      <c r="T3" s="476"/>
    </row>
    <row r="4" spans="1:20" ht="15.75">
      <c r="A4" s="1899" t="str">
        <f>'[5]B. Summ of Reqs - PSOB '!A5:X5</f>
        <v>Office of Justice Programs</v>
      </c>
      <c r="B4" s="1611"/>
      <c r="C4" s="1611"/>
      <c r="D4" s="1611"/>
      <c r="E4" s="1611"/>
      <c r="F4" s="1611"/>
      <c r="G4" s="1611"/>
      <c r="H4" s="1611"/>
      <c r="I4" s="1611"/>
      <c r="J4" s="1611"/>
      <c r="K4" s="1611"/>
      <c r="L4" s="1611"/>
      <c r="M4" s="1611"/>
      <c r="N4" s="1611"/>
      <c r="O4" s="1611"/>
      <c r="P4" s="1611"/>
      <c r="Q4" s="476" t="s">
        <v>0</v>
      </c>
      <c r="R4" s="365"/>
      <c r="S4" s="365"/>
    </row>
    <row r="5" spans="1:20" ht="15.75">
      <c r="A5" s="1899" t="str">
        <f>'[5]B. Summ of Reqs - PSOB '!A6:X6</f>
        <v>Public Safety Officers' Benefits</v>
      </c>
      <c r="B5" s="1611"/>
      <c r="C5" s="1611"/>
      <c r="D5" s="1611"/>
      <c r="E5" s="1611"/>
      <c r="F5" s="1611"/>
      <c r="G5" s="1611"/>
      <c r="H5" s="1611"/>
      <c r="I5" s="1611"/>
      <c r="J5" s="1611"/>
      <c r="K5" s="1611"/>
      <c r="L5" s="1611"/>
      <c r="M5" s="1611"/>
      <c r="N5" s="1611"/>
      <c r="O5" s="1611"/>
      <c r="P5" s="1611"/>
      <c r="Q5" s="476" t="s">
        <v>0</v>
      </c>
      <c r="R5" s="365"/>
      <c r="S5" s="365"/>
    </row>
    <row r="6" spans="1:20" ht="15">
      <c r="A6" s="1900" t="s">
        <v>98</v>
      </c>
      <c r="B6" s="1611"/>
      <c r="C6" s="1611"/>
      <c r="D6" s="1611"/>
      <c r="E6" s="1611"/>
      <c r="F6" s="1611"/>
      <c r="G6" s="1611"/>
      <c r="H6" s="1611"/>
      <c r="I6" s="1611"/>
      <c r="J6" s="1611"/>
      <c r="K6" s="1611"/>
      <c r="L6" s="1611"/>
      <c r="M6" s="1611"/>
      <c r="N6" s="1611"/>
      <c r="O6" s="1611"/>
      <c r="P6" s="1611"/>
      <c r="Q6" s="476" t="s">
        <v>0</v>
      </c>
      <c r="R6" s="321"/>
      <c r="S6" s="321"/>
      <c r="T6" s="476"/>
    </row>
    <row r="7" spans="1:20">
      <c r="Q7" s="476" t="s">
        <v>0</v>
      </c>
      <c r="T7" s="476"/>
    </row>
    <row r="8" spans="1:20" ht="13.5" thickBot="1">
      <c r="Q8" s="476" t="s">
        <v>0</v>
      </c>
      <c r="T8" s="476"/>
    </row>
    <row r="9" spans="1:20" ht="37.5" customHeight="1">
      <c r="A9" s="479"/>
      <c r="B9" s="480"/>
      <c r="C9" s="1894" t="s">
        <v>173</v>
      </c>
      <c r="D9" s="1615"/>
      <c r="E9" s="481"/>
      <c r="F9" s="1894" t="s">
        <v>166</v>
      </c>
      <c r="G9" s="1615"/>
      <c r="H9" s="481"/>
      <c r="I9" s="1895" t="s">
        <v>150</v>
      </c>
      <c r="J9" s="1615"/>
      <c r="K9" s="1896">
        <v>2013</v>
      </c>
      <c r="L9" s="1629"/>
      <c r="M9" s="1629"/>
      <c r="N9" s="1630"/>
      <c r="O9" s="1895" t="s">
        <v>154</v>
      </c>
      <c r="P9" s="1615"/>
      <c r="Q9" s="476" t="s">
        <v>0</v>
      </c>
      <c r="S9" s="482"/>
      <c r="T9" s="476"/>
    </row>
    <row r="10" spans="1:20" ht="14.25" customHeight="1">
      <c r="A10" s="480"/>
      <c r="B10" s="480"/>
      <c r="C10" s="1616"/>
      <c r="D10" s="1617"/>
      <c r="E10" s="481"/>
      <c r="F10" s="1625"/>
      <c r="G10" s="1626"/>
      <c r="H10" s="481"/>
      <c r="I10" s="1625"/>
      <c r="J10" s="1626"/>
      <c r="K10" s="1889" t="s">
        <v>118</v>
      </c>
      <c r="L10" s="1890"/>
      <c r="M10" s="1891" t="s">
        <v>127</v>
      </c>
      <c r="N10" s="1622"/>
      <c r="O10" s="1625"/>
      <c r="P10" s="1626"/>
      <c r="Q10" s="476" t="s">
        <v>0</v>
      </c>
      <c r="S10" s="482"/>
      <c r="T10" s="476"/>
    </row>
    <row r="11" spans="1:20" hidden="1">
      <c r="A11" s="1892" t="s">
        <v>128</v>
      </c>
      <c r="B11" s="480"/>
      <c r="C11" s="483"/>
      <c r="D11" s="484"/>
      <c r="E11" s="485"/>
      <c r="F11" s="483"/>
      <c r="G11" s="484"/>
      <c r="H11" s="485"/>
      <c r="I11" s="483"/>
      <c r="J11" s="484"/>
      <c r="K11" s="483"/>
      <c r="L11" s="484"/>
      <c r="M11" s="486"/>
      <c r="N11" s="484"/>
      <c r="O11" s="483"/>
      <c r="P11" s="484"/>
      <c r="Q11" s="476" t="s">
        <v>0</v>
      </c>
      <c r="S11" s="486"/>
      <c r="T11" s="476"/>
    </row>
    <row r="12" spans="1:20" ht="25.5">
      <c r="A12" s="1893"/>
      <c r="B12" s="480"/>
      <c r="C12" s="487" t="s">
        <v>129</v>
      </c>
      <c r="D12" s="488" t="s">
        <v>130</v>
      </c>
      <c r="E12" s="485"/>
      <c r="F12" s="487" t="s">
        <v>129</v>
      </c>
      <c r="G12" s="488" t="s">
        <v>130</v>
      </c>
      <c r="H12" s="485"/>
      <c r="I12" s="487" t="s">
        <v>129</v>
      </c>
      <c r="J12" s="488" t="s">
        <v>130</v>
      </c>
      <c r="K12" s="487" t="s">
        <v>129</v>
      </c>
      <c r="L12" s="488" t="s">
        <v>130</v>
      </c>
      <c r="M12" s="487" t="s">
        <v>129</v>
      </c>
      <c r="N12" s="488" t="s">
        <v>130</v>
      </c>
      <c r="O12" s="487" t="s">
        <v>129</v>
      </c>
      <c r="P12" s="488" t="s">
        <v>130</v>
      </c>
      <c r="Q12" s="476" t="s">
        <v>0</v>
      </c>
      <c r="S12" s="489"/>
      <c r="T12" s="476"/>
    </row>
    <row r="13" spans="1:20">
      <c r="A13" s="490"/>
      <c r="B13" s="480"/>
      <c r="C13" s="491"/>
      <c r="D13" s="492"/>
      <c r="E13" s="493"/>
      <c r="F13" s="491"/>
      <c r="G13" s="492"/>
      <c r="H13" s="493"/>
      <c r="I13" s="491"/>
      <c r="J13" s="492"/>
      <c r="K13" s="491"/>
      <c r="L13" s="494"/>
      <c r="M13" s="495"/>
      <c r="N13" s="492"/>
      <c r="O13" s="491"/>
      <c r="P13" s="492"/>
      <c r="Q13" s="476" t="s">
        <v>0</v>
      </c>
      <c r="S13" s="496"/>
      <c r="T13" s="476"/>
    </row>
    <row r="14" spans="1:20" ht="25.5">
      <c r="A14" s="497" t="s">
        <v>187</v>
      </c>
      <c r="B14" s="480"/>
      <c r="C14" s="491"/>
      <c r="D14" s="498"/>
      <c r="E14" s="493"/>
      <c r="F14" s="491"/>
      <c r="G14" s="498"/>
      <c r="H14" s="493"/>
      <c r="I14" s="491"/>
      <c r="J14" s="498"/>
      <c r="K14" s="491"/>
      <c r="L14" s="494"/>
      <c r="M14" s="491"/>
      <c r="N14" s="498"/>
      <c r="O14" s="491"/>
      <c r="P14" s="498"/>
      <c r="Q14" s="476" t="s">
        <v>0</v>
      </c>
      <c r="S14" s="499"/>
      <c r="T14" s="476"/>
    </row>
    <row r="15" spans="1:20">
      <c r="A15" s="307" t="s">
        <v>131</v>
      </c>
      <c r="B15" s="480"/>
      <c r="C15" s="491"/>
      <c r="D15" s="498"/>
      <c r="E15" s="493"/>
      <c r="F15" s="491"/>
      <c r="G15" s="498"/>
      <c r="H15" s="493"/>
      <c r="I15" s="491"/>
      <c r="J15" s="492"/>
      <c r="K15" s="491"/>
      <c r="L15" s="494"/>
      <c r="M15" s="491"/>
      <c r="N15" s="498"/>
      <c r="O15" s="491"/>
      <c r="P15" s="492"/>
      <c r="Q15" s="476" t="s">
        <v>0</v>
      </c>
      <c r="S15" s="499"/>
      <c r="T15" s="476"/>
    </row>
    <row r="16" spans="1:20">
      <c r="A16" s="306" t="s">
        <v>175</v>
      </c>
      <c r="B16" s="480"/>
      <c r="C16" s="491"/>
      <c r="D16" s="498"/>
      <c r="E16" s="493"/>
      <c r="F16" s="491"/>
      <c r="G16" s="498"/>
      <c r="H16" s="493"/>
      <c r="I16" s="491"/>
      <c r="J16" s="492"/>
      <c r="K16" s="491"/>
      <c r="L16" s="494"/>
      <c r="M16" s="491"/>
      <c r="N16" s="498"/>
      <c r="O16" s="491"/>
      <c r="P16" s="492"/>
      <c r="Q16" s="476" t="s">
        <v>0</v>
      </c>
      <c r="S16" s="499"/>
      <c r="T16" s="476"/>
    </row>
    <row r="17" spans="1:20" ht="13.5" customHeight="1">
      <c r="A17" s="307" t="s">
        <v>176</v>
      </c>
      <c r="B17" s="500"/>
      <c r="C17" s="501"/>
      <c r="D17" s="502"/>
      <c r="E17" s="503"/>
      <c r="F17" s="501"/>
      <c r="G17" s="502"/>
      <c r="H17" s="504"/>
      <c r="I17" s="491"/>
      <c r="J17" s="492"/>
      <c r="K17" s="501"/>
      <c r="L17" s="505"/>
      <c r="M17" s="501"/>
      <c r="N17" s="502"/>
      <c r="O17" s="501"/>
      <c r="P17" s="502"/>
      <c r="Q17" s="476" t="s">
        <v>0</v>
      </c>
      <c r="S17" s="506"/>
      <c r="T17" s="476"/>
    </row>
    <row r="18" spans="1:20" s="514" customFormat="1">
      <c r="A18" s="507" t="s">
        <v>132</v>
      </c>
      <c r="B18" s="508"/>
      <c r="C18" s="509">
        <f>SUM(C15:C17)</f>
        <v>0</v>
      </c>
      <c r="D18" s="510">
        <f>SUM(D15:D17)</f>
        <v>0</v>
      </c>
      <c r="E18" s="511"/>
      <c r="F18" s="509">
        <f>SUM(F15:F17)</f>
        <v>0</v>
      </c>
      <c r="G18" s="510">
        <f>SUM(G15:G17)</f>
        <v>0</v>
      </c>
      <c r="H18" s="512"/>
      <c r="I18" s="509">
        <f t="shared" ref="I18:P18" si="0">SUM(I15:I17)</f>
        <v>0</v>
      </c>
      <c r="J18" s="510">
        <f t="shared" si="0"/>
        <v>0</v>
      </c>
      <c r="K18" s="509">
        <f t="shared" si="0"/>
        <v>0</v>
      </c>
      <c r="L18" s="510">
        <f t="shared" si="0"/>
        <v>0</v>
      </c>
      <c r="M18" s="509">
        <f t="shared" si="0"/>
        <v>0</v>
      </c>
      <c r="N18" s="510">
        <f t="shared" si="0"/>
        <v>0</v>
      </c>
      <c r="O18" s="509">
        <f t="shared" si="0"/>
        <v>0</v>
      </c>
      <c r="P18" s="510">
        <f t="shared" si="0"/>
        <v>0</v>
      </c>
      <c r="Q18" s="476" t="s">
        <v>0</v>
      </c>
      <c r="R18" s="477"/>
      <c r="S18" s="513"/>
      <c r="T18" s="476"/>
    </row>
    <row r="19" spans="1:20">
      <c r="A19" s="515"/>
      <c r="B19" s="480"/>
      <c r="C19" s="491"/>
      <c r="D19" s="492"/>
      <c r="E19" s="516"/>
      <c r="F19" s="491"/>
      <c r="G19" s="492"/>
      <c r="H19" s="516"/>
      <c r="I19" s="491"/>
      <c r="J19" s="492"/>
      <c r="K19" s="491"/>
      <c r="L19" s="494"/>
      <c r="M19" s="491"/>
      <c r="N19" s="492"/>
      <c r="O19" s="491"/>
      <c r="P19" s="492"/>
      <c r="Q19" s="476" t="s">
        <v>0</v>
      </c>
      <c r="S19" s="496"/>
      <c r="T19" s="476"/>
    </row>
    <row r="20" spans="1:20" ht="25.5">
      <c r="A20" s="497" t="s">
        <v>188</v>
      </c>
      <c r="B20" s="480"/>
      <c r="C20" s="491"/>
      <c r="D20" s="492"/>
      <c r="E20" s="517"/>
      <c r="F20" s="491"/>
      <c r="G20" s="492"/>
      <c r="H20" s="517"/>
      <c r="I20" s="491"/>
      <c r="J20" s="492"/>
      <c r="K20" s="491"/>
      <c r="L20" s="494"/>
      <c r="M20" s="491"/>
      <c r="N20" s="492"/>
      <c r="O20" s="518"/>
      <c r="P20" s="519"/>
      <c r="Q20" s="476" t="s">
        <v>0</v>
      </c>
      <c r="S20" s="496"/>
      <c r="T20" s="476"/>
    </row>
    <row r="21" spans="1:20">
      <c r="A21" s="307" t="s">
        <v>177</v>
      </c>
      <c r="B21" s="480"/>
      <c r="C21" s="491"/>
      <c r="D21" s="492"/>
      <c r="E21" s="517"/>
      <c r="F21" s="491"/>
      <c r="G21" s="492"/>
      <c r="H21" s="517"/>
      <c r="I21" s="491"/>
      <c r="J21" s="492"/>
      <c r="K21" s="491"/>
      <c r="L21" s="494"/>
      <c r="M21" s="491"/>
      <c r="N21" s="492"/>
      <c r="O21" s="491"/>
      <c r="P21" s="492"/>
      <c r="Q21" s="476" t="s">
        <v>0</v>
      </c>
      <c r="S21" s="496"/>
      <c r="T21" s="476"/>
    </row>
    <row r="22" spans="1:20" ht="31.5" customHeight="1">
      <c r="A22" s="306" t="s">
        <v>182</v>
      </c>
      <c r="B22" s="480"/>
      <c r="C22" s="491"/>
      <c r="D22" s="492"/>
      <c r="E22" s="517"/>
      <c r="F22" s="491"/>
      <c r="G22" s="492"/>
      <c r="H22" s="517"/>
      <c r="I22" s="491"/>
      <c r="J22" s="492"/>
      <c r="K22" s="491"/>
      <c r="L22" s="494"/>
      <c r="M22" s="491"/>
      <c r="N22" s="492"/>
      <c r="O22" s="491"/>
      <c r="P22" s="492"/>
      <c r="Q22" s="476" t="s">
        <v>0</v>
      </c>
      <c r="S22" s="496"/>
      <c r="T22" s="476"/>
    </row>
    <row r="23" spans="1:20" ht="25.5">
      <c r="A23" s="306" t="s">
        <v>483</v>
      </c>
      <c r="B23" s="480"/>
      <c r="C23" s="491"/>
      <c r="D23" s="492"/>
      <c r="E23" s="517"/>
      <c r="F23" s="491"/>
      <c r="G23" s="492"/>
      <c r="H23" s="517"/>
      <c r="I23" s="491"/>
      <c r="J23" s="492"/>
      <c r="K23" s="491"/>
      <c r="L23" s="494"/>
      <c r="M23" s="491"/>
      <c r="N23" s="492"/>
      <c r="O23" s="491"/>
      <c r="P23" s="492"/>
      <c r="Q23" s="476" t="s">
        <v>0</v>
      </c>
      <c r="S23" s="496"/>
      <c r="T23" s="476"/>
    </row>
    <row r="24" spans="1:20">
      <c r="A24" s="306" t="s">
        <v>178</v>
      </c>
      <c r="B24" s="480"/>
      <c r="C24" s="491"/>
      <c r="D24" s="492"/>
      <c r="E24" s="517"/>
      <c r="F24" s="491"/>
      <c r="G24" s="492"/>
      <c r="H24" s="517"/>
      <c r="I24" s="491"/>
      <c r="J24" s="492"/>
      <c r="K24" s="491"/>
      <c r="L24" s="494"/>
      <c r="M24" s="491"/>
      <c r="N24" s="492"/>
      <c r="O24" s="491"/>
      <c r="P24" s="492"/>
      <c r="Q24" s="476" t="s">
        <v>0</v>
      </c>
      <c r="S24" s="496"/>
      <c r="T24" s="476"/>
    </row>
    <row r="25" spans="1:20">
      <c r="A25" s="307" t="s">
        <v>179</v>
      </c>
      <c r="B25" s="480"/>
      <c r="C25" s="491"/>
      <c r="D25" s="492"/>
      <c r="E25" s="517"/>
      <c r="F25" s="491"/>
      <c r="G25" s="492"/>
      <c r="H25" s="517"/>
      <c r="I25" s="491"/>
      <c r="J25" s="492"/>
      <c r="K25" s="491"/>
      <c r="L25" s="494"/>
      <c r="M25" s="491"/>
      <c r="N25" s="492"/>
      <c r="O25" s="491"/>
      <c r="P25" s="492"/>
      <c r="Q25" s="476" t="s">
        <v>0</v>
      </c>
      <c r="S25" s="496"/>
      <c r="T25" s="476"/>
    </row>
    <row r="26" spans="1:20">
      <c r="A26" s="306" t="s">
        <v>180</v>
      </c>
      <c r="B26" s="480"/>
      <c r="C26" s="491"/>
      <c r="D26" s="492"/>
      <c r="E26" s="517"/>
      <c r="F26" s="491"/>
      <c r="G26" s="492"/>
      <c r="H26" s="517"/>
      <c r="I26" s="491"/>
      <c r="J26" s="492"/>
      <c r="K26" s="491"/>
      <c r="L26" s="494"/>
      <c r="M26" s="491"/>
      <c r="N26" s="492"/>
      <c r="O26" s="491"/>
      <c r="P26" s="492"/>
      <c r="Q26" s="476" t="s">
        <v>0</v>
      </c>
      <c r="R26" s="496"/>
      <c r="S26" s="496"/>
      <c r="T26" s="476"/>
    </row>
    <row r="27" spans="1:20">
      <c r="A27" s="507" t="s">
        <v>133</v>
      </c>
      <c r="B27" s="508"/>
      <c r="C27" s="509">
        <f>SUM(C21:C26)</f>
        <v>0</v>
      </c>
      <c r="D27" s="510">
        <f>SUM(D21:D26)</f>
        <v>0</v>
      </c>
      <c r="E27" s="520"/>
      <c r="F27" s="509">
        <f>SUM(F21:F26)</f>
        <v>0</v>
      </c>
      <c r="G27" s="510">
        <f>SUM(G21:G26)</f>
        <v>0</v>
      </c>
      <c r="H27" s="521"/>
      <c r="I27" s="509">
        <f t="shared" ref="I27:P27" si="1">SUM(I21:I26)</f>
        <v>0</v>
      </c>
      <c r="J27" s="510">
        <f t="shared" si="1"/>
        <v>0</v>
      </c>
      <c r="K27" s="509">
        <f t="shared" si="1"/>
        <v>0</v>
      </c>
      <c r="L27" s="522">
        <f t="shared" si="1"/>
        <v>0</v>
      </c>
      <c r="M27" s="509">
        <f t="shared" si="1"/>
        <v>0</v>
      </c>
      <c r="N27" s="510">
        <f t="shared" si="1"/>
        <v>0</v>
      </c>
      <c r="O27" s="509">
        <f t="shared" si="1"/>
        <v>0</v>
      </c>
      <c r="P27" s="510">
        <f t="shared" si="1"/>
        <v>0</v>
      </c>
      <c r="Q27" s="476" t="s">
        <v>0</v>
      </c>
      <c r="R27" s="513"/>
      <c r="S27" s="513"/>
      <c r="T27" s="476"/>
    </row>
    <row r="28" spans="1:20">
      <c r="A28" s="515"/>
      <c r="B28" s="480"/>
      <c r="C28" s="491"/>
      <c r="D28" s="492"/>
      <c r="E28" s="480"/>
      <c r="F28" s="491"/>
      <c r="G28" s="492"/>
      <c r="H28" s="480"/>
      <c r="I28" s="491"/>
      <c r="J28" s="492"/>
      <c r="K28" s="491"/>
      <c r="L28" s="494"/>
      <c r="M28" s="491"/>
      <c r="N28" s="492"/>
      <c r="O28" s="491"/>
      <c r="P28" s="492"/>
      <c r="Q28" s="476" t="s">
        <v>0</v>
      </c>
      <c r="R28" s="496"/>
      <c r="S28" s="496"/>
      <c r="T28" s="476"/>
    </row>
    <row r="29" spans="1:20" ht="39" customHeight="1">
      <c r="A29" s="497" t="s">
        <v>189</v>
      </c>
      <c r="B29" s="480"/>
      <c r="C29" s="491"/>
      <c r="D29" s="492"/>
      <c r="E29" s="493"/>
      <c r="F29" s="491"/>
      <c r="G29" s="492"/>
      <c r="H29" s="493"/>
      <c r="I29" s="491"/>
      <c r="J29" s="492"/>
      <c r="K29" s="491"/>
      <c r="L29" s="494"/>
      <c r="M29" s="491"/>
      <c r="N29" s="492"/>
      <c r="O29" s="491"/>
      <c r="P29" s="492"/>
      <c r="Q29" s="476" t="s">
        <v>0</v>
      </c>
      <c r="R29" s="496"/>
      <c r="S29" s="496"/>
      <c r="T29" s="476"/>
    </row>
    <row r="30" spans="1:20" ht="30" customHeight="1">
      <c r="A30" s="306" t="s">
        <v>482</v>
      </c>
      <c r="B30" s="480"/>
      <c r="C30" s="491"/>
      <c r="D30" s="492">
        <v>75082</v>
      </c>
      <c r="E30" s="493"/>
      <c r="F30" s="491"/>
      <c r="G30" s="492">
        <v>78300</v>
      </c>
      <c r="H30" s="493"/>
      <c r="I30" s="491"/>
      <c r="J30" s="492">
        <v>78300</v>
      </c>
      <c r="K30" s="491"/>
      <c r="L30" s="494">
        <v>3000</v>
      </c>
      <c r="M30" s="491"/>
      <c r="N30" s="492">
        <v>0</v>
      </c>
      <c r="O30" s="491"/>
      <c r="P30" s="492">
        <f>+J30+L30+N30</f>
        <v>81300</v>
      </c>
      <c r="Q30" s="476" t="s">
        <v>0</v>
      </c>
      <c r="R30" s="496"/>
      <c r="S30" s="496"/>
      <c r="T30" s="476"/>
    </row>
    <row r="31" spans="1:20" ht="38.25">
      <c r="A31" s="306" t="s">
        <v>184</v>
      </c>
      <c r="B31" s="480"/>
      <c r="C31" s="491"/>
      <c r="D31" s="492"/>
      <c r="E31" s="493"/>
      <c r="F31" s="491"/>
      <c r="G31" s="492"/>
      <c r="H31" s="493"/>
      <c r="I31" s="491"/>
      <c r="J31" s="492"/>
      <c r="K31" s="491"/>
      <c r="L31" s="494"/>
      <c r="M31" s="491"/>
      <c r="N31" s="492"/>
      <c r="O31" s="491"/>
      <c r="P31" s="492"/>
      <c r="Q31" s="476" t="s">
        <v>0</v>
      </c>
      <c r="R31" s="496"/>
      <c r="S31" s="496"/>
      <c r="T31" s="476"/>
    </row>
    <row r="32" spans="1:20" ht="42" customHeight="1">
      <c r="A32" s="306" t="s">
        <v>185</v>
      </c>
      <c r="B32" s="480"/>
      <c r="C32" s="491"/>
      <c r="D32" s="492"/>
      <c r="E32" s="493"/>
      <c r="F32" s="491"/>
      <c r="G32" s="492"/>
      <c r="H32" s="493"/>
      <c r="I32" s="491"/>
      <c r="J32" s="492"/>
      <c r="K32" s="491"/>
      <c r="L32" s="494"/>
      <c r="M32" s="491"/>
      <c r="N32" s="492"/>
      <c r="O32" s="491"/>
      <c r="P32" s="492"/>
      <c r="Q32" s="476" t="s">
        <v>0</v>
      </c>
      <c r="R32" s="496"/>
      <c r="S32" s="496"/>
      <c r="T32" s="476"/>
    </row>
    <row r="33" spans="1:20" ht="25.5">
      <c r="A33" s="306" t="s">
        <v>481</v>
      </c>
      <c r="B33" s="480"/>
      <c r="C33" s="491"/>
      <c r="D33" s="492"/>
      <c r="E33" s="493"/>
      <c r="F33" s="491"/>
      <c r="G33" s="492"/>
      <c r="H33" s="493"/>
      <c r="I33" s="523"/>
      <c r="J33" s="524"/>
      <c r="K33" s="491"/>
      <c r="L33" s="494"/>
      <c r="M33" s="491"/>
      <c r="N33" s="492"/>
      <c r="O33" s="491"/>
      <c r="P33" s="492"/>
      <c r="Q33" s="476" t="s">
        <v>0</v>
      </c>
      <c r="R33" s="496"/>
      <c r="S33" s="496"/>
      <c r="T33" s="476"/>
    </row>
    <row r="34" spans="1:20">
      <c r="A34" s="507" t="s">
        <v>134</v>
      </c>
      <c r="B34" s="508"/>
      <c r="C34" s="509">
        <f>SUM(C30:C33)</f>
        <v>0</v>
      </c>
      <c r="D34" s="510">
        <f>SUM(D30:D33)</f>
        <v>75082</v>
      </c>
      <c r="E34" s="511"/>
      <c r="F34" s="509">
        <f>SUM(F30:F33)</f>
        <v>0</v>
      </c>
      <c r="G34" s="510">
        <f>SUM(G30:G33)</f>
        <v>78300</v>
      </c>
      <c r="H34" s="512"/>
      <c r="I34" s="509">
        <f t="shared" ref="I34:P34" si="2">SUM(I30:I33)</f>
        <v>0</v>
      </c>
      <c r="J34" s="510">
        <f t="shared" si="2"/>
        <v>78300</v>
      </c>
      <c r="K34" s="509">
        <f t="shared" si="2"/>
        <v>0</v>
      </c>
      <c r="L34" s="522">
        <f t="shared" si="2"/>
        <v>3000</v>
      </c>
      <c r="M34" s="509">
        <f t="shared" si="2"/>
        <v>0</v>
      </c>
      <c r="N34" s="510">
        <f t="shared" si="2"/>
        <v>0</v>
      </c>
      <c r="O34" s="509">
        <f t="shared" si="2"/>
        <v>0</v>
      </c>
      <c r="P34" s="510">
        <f t="shared" si="2"/>
        <v>81300</v>
      </c>
      <c r="Q34" s="476" t="s">
        <v>0</v>
      </c>
      <c r="R34" s="513"/>
      <c r="S34" s="513"/>
      <c r="T34" s="476"/>
    </row>
    <row r="35" spans="1:20" ht="13.5" thickBot="1">
      <c r="A35" s="480"/>
      <c r="B35" s="480"/>
      <c r="C35" s="480"/>
      <c r="D35" s="480"/>
      <c r="E35" s="480"/>
      <c r="F35" s="480"/>
      <c r="G35" s="480"/>
      <c r="H35" s="480"/>
      <c r="I35" s="480"/>
      <c r="J35" s="480"/>
      <c r="K35" s="733"/>
      <c r="L35" s="733"/>
      <c r="M35" s="842"/>
      <c r="N35" s="480"/>
      <c r="O35" s="480"/>
      <c r="P35" s="480"/>
      <c r="Q35" s="476" t="s">
        <v>0</v>
      </c>
      <c r="R35" s="496"/>
      <c r="S35" s="496"/>
      <c r="T35" s="476"/>
    </row>
    <row r="36" spans="1:20" s="542" customFormat="1" ht="18.75" customHeight="1" thickBot="1">
      <c r="A36" s="535" t="s">
        <v>135</v>
      </c>
      <c r="B36" s="536"/>
      <c r="C36" s="537">
        <f>C18+C27+C34</f>
        <v>0</v>
      </c>
      <c r="D36" s="538">
        <f>D18+D27+D34</f>
        <v>75082</v>
      </c>
      <c r="E36" s="539"/>
      <c r="F36" s="537">
        <f>F18+F27+F34</f>
        <v>0</v>
      </c>
      <c r="G36" s="538">
        <f>G18+G27+G34</f>
        <v>78300</v>
      </c>
      <c r="H36" s="539"/>
      <c r="I36" s="537">
        <f t="shared" ref="I36:P36" si="3">I18+I27+I34</f>
        <v>0</v>
      </c>
      <c r="J36" s="538">
        <f t="shared" si="3"/>
        <v>78300</v>
      </c>
      <c r="K36" s="537">
        <f t="shared" si="3"/>
        <v>0</v>
      </c>
      <c r="L36" s="538">
        <f t="shared" si="3"/>
        <v>3000</v>
      </c>
      <c r="M36" s="537">
        <f t="shared" si="3"/>
        <v>0</v>
      </c>
      <c r="N36" s="538">
        <f t="shared" si="3"/>
        <v>0</v>
      </c>
      <c r="O36" s="537">
        <f t="shared" si="3"/>
        <v>0</v>
      </c>
      <c r="P36" s="538">
        <f t="shared" si="3"/>
        <v>81300</v>
      </c>
      <c r="Q36" s="476" t="s">
        <v>13</v>
      </c>
      <c r="R36" s="540"/>
      <c r="S36" s="541"/>
      <c r="T36" s="476"/>
    </row>
    <row r="37" spans="1:20">
      <c r="A37" s="543"/>
      <c r="B37" s="543"/>
      <c r="C37" s="540"/>
      <c r="D37" s="541"/>
      <c r="E37" s="543"/>
      <c r="F37" s="540"/>
      <c r="G37" s="541"/>
      <c r="H37" s="543"/>
      <c r="I37" s="540"/>
      <c r="J37" s="541"/>
      <c r="K37" s="542"/>
      <c r="L37" s="542"/>
      <c r="M37" s="542"/>
      <c r="N37" s="542"/>
      <c r="O37" s="542"/>
      <c r="P37" s="542"/>
      <c r="Q37" s="542"/>
      <c r="R37" s="544"/>
      <c r="S37" s="544"/>
      <c r="T37" s="476"/>
    </row>
    <row r="38" spans="1:20">
      <c r="A38" s="543"/>
      <c r="B38" s="543"/>
      <c r="C38" s="540"/>
      <c r="D38" s="541"/>
      <c r="E38" s="543"/>
      <c r="F38" s="540"/>
      <c r="G38" s="541"/>
      <c r="H38" s="543"/>
      <c r="I38" s="540"/>
      <c r="J38" s="541"/>
      <c r="K38" s="542"/>
      <c r="L38" s="542"/>
      <c r="M38" s="542"/>
      <c r="N38" s="542"/>
      <c r="O38" s="542"/>
      <c r="P38" s="542"/>
      <c r="Q38" s="542"/>
      <c r="R38" s="544"/>
      <c r="S38" s="544"/>
      <c r="T38" s="476"/>
    </row>
    <row r="39" spans="1:20">
      <c r="A39" s="543"/>
      <c r="B39" s="543"/>
      <c r="C39" s="540"/>
      <c r="D39" s="541"/>
      <c r="E39" s="543"/>
      <c r="F39" s="540"/>
      <c r="G39" s="541"/>
      <c r="H39" s="543"/>
      <c r="I39" s="540"/>
      <c r="J39" s="541"/>
      <c r="K39" s="542"/>
      <c r="L39" s="542"/>
      <c r="M39" s="542"/>
      <c r="N39" s="542"/>
      <c r="O39" s="542"/>
      <c r="P39" s="542"/>
      <c r="Q39" s="542"/>
      <c r="R39" s="544"/>
      <c r="S39" s="544"/>
    </row>
    <row r="40" spans="1:20" ht="204.75" customHeight="1">
      <c r="A40" s="545"/>
      <c r="C40" s="545"/>
      <c r="D40" s="546"/>
    </row>
    <row r="41" spans="1:20" ht="15">
      <c r="A41" s="1633"/>
      <c r="B41" s="1634"/>
      <c r="C41" s="1634"/>
      <c r="D41" s="1634"/>
      <c r="E41" s="1634"/>
      <c r="F41" s="1634"/>
      <c r="G41" s="1634"/>
      <c r="H41" s="234"/>
      <c r="I41" s="45"/>
      <c r="J41" s="45"/>
      <c r="K41" s="45"/>
      <c r="L41" s="45"/>
      <c r="M41" s="45"/>
      <c r="N41" s="45"/>
      <c r="O41" s="45"/>
      <c r="P41" s="45"/>
      <c r="Q41" s="45"/>
      <c r="R41" s="45"/>
      <c r="S41" s="45"/>
    </row>
    <row r="42" spans="1:20">
      <c r="A42" s="547"/>
      <c r="B42" s="547"/>
      <c r="C42" s="547"/>
      <c r="D42" s="547"/>
      <c r="E42" s="547"/>
      <c r="F42" s="547"/>
      <c r="G42" s="547"/>
      <c r="H42" s="547"/>
      <c r="I42" s="548"/>
      <c r="J42" s="548"/>
      <c r="K42" s="548"/>
      <c r="L42" s="548"/>
      <c r="M42" s="548"/>
      <c r="N42" s="548"/>
      <c r="O42" s="548"/>
      <c r="P42" s="548"/>
      <c r="Q42" s="548"/>
      <c r="R42" s="548"/>
      <c r="S42" s="548"/>
    </row>
    <row r="43" spans="1:20" ht="57" customHeight="1">
      <c r="A43" s="1635"/>
      <c r="B43" s="1636"/>
      <c r="C43" s="1636"/>
      <c r="D43" s="1636"/>
      <c r="E43" s="1636"/>
      <c r="F43" s="1636"/>
      <c r="G43" s="1636"/>
      <c r="H43" s="233"/>
      <c r="I43" s="44"/>
      <c r="J43" s="232"/>
      <c r="K43" s="232"/>
      <c r="L43" s="232"/>
      <c r="M43" s="232"/>
      <c r="N43" s="232"/>
      <c r="O43" s="232"/>
      <c r="P43" s="232"/>
      <c r="Q43" s="232"/>
      <c r="R43" s="232"/>
      <c r="S43" s="232"/>
    </row>
    <row r="44" spans="1:20" ht="33.75" customHeight="1">
      <c r="A44" s="1635"/>
      <c r="B44" s="1636"/>
      <c r="C44" s="1636"/>
      <c r="D44" s="1636"/>
      <c r="E44" s="1636"/>
      <c r="F44" s="1636"/>
      <c r="G44" s="1636"/>
      <c r="H44" s="233"/>
      <c r="I44" s="44"/>
      <c r="J44" s="232"/>
      <c r="K44" s="232"/>
      <c r="L44" s="232"/>
      <c r="M44" s="232"/>
      <c r="N44" s="232"/>
      <c r="O44" s="232"/>
      <c r="P44" s="232"/>
      <c r="Q44" s="232"/>
      <c r="R44" s="232"/>
      <c r="S44" s="232"/>
    </row>
    <row r="45" spans="1:20" ht="15">
      <c r="A45" s="1618"/>
      <c r="B45" s="1619"/>
      <c r="C45" s="1619"/>
      <c r="D45" s="1619"/>
      <c r="E45" s="1619"/>
      <c r="F45" s="1619"/>
      <c r="G45" s="1619"/>
      <c r="H45" s="1619"/>
      <c r="I45" s="1619"/>
      <c r="J45" s="1620"/>
      <c r="K45" s="1620"/>
      <c r="L45" s="1620"/>
      <c r="M45" s="1620"/>
      <c r="N45" s="1620"/>
      <c r="O45" s="1620"/>
      <c r="P45" s="1620"/>
      <c r="Q45" s="1620"/>
      <c r="R45" s="1620"/>
      <c r="S45" s="1620"/>
    </row>
    <row r="46" spans="1:20" ht="15">
      <c r="A46" s="1618"/>
      <c r="B46" s="1619"/>
      <c r="C46" s="1619"/>
      <c r="D46" s="1619"/>
      <c r="E46" s="1619"/>
      <c r="F46" s="1619"/>
      <c r="G46" s="1619"/>
      <c r="H46" s="1619"/>
      <c r="I46" s="1619"/>
      <c r="J46" s="1620"/>
      <c r="K46" s="1620"/>
      <c r="L46" s="1620"/>
      <c r="M46" s="1620"/>
      <c r="N46" s="1620"/>
      <c r="O46" s="1620"/>
      <c r="P46" s="1620"/>
      <c r="Q46" s="1620"/>
      <c r="R46" s="1620"/>
      <c r="S46" s="1620"/>
    </row>
    <row r="47" spans="1:20">
      <c r="S47" s="476"/>
    </row>
  </sheetData>
  <customSheetViews>
    <customSheetView guid="{DA38F665-F06D-4DFB-B852-747D93BB00EF}" scale="60" showPageBreaks="1" printArea="1" hiddenRows="1" view="pageBreakPreview">
      <selection activeCell="B210" sqref="B210"/>
      <pageMargins left="0.75" right="0.75" top="1" bottom="0.79" header="0.5" footer="0.5"/>
      <printOptions horizontalCentered="1"/>
      <pageSetup scale="54" orientation="landscape" r:id="rId1"/>
      <headerFooter alignWithMargins="0">
        <oddFooter>&amp;C&amp;"Times New Roman,Regular"Exhibit D - Resources by DOJ Strategic Goals &amp; Strategic Objectives&amp;R&amp;"Times New Roman,Regular"Public Safety Officers' Benefits</oddFooter>
      </headerFooter>
    </customSheetView>
    <customSheetView guid="{4D0F9E3D-0229-48CC-A08B-F132802E9D7B}" scale="60" showPageBreaks="1" printArea="1" hiddenRows="1" view="pageBreakPreview" topLeftCell="A7">
      <selection activeCell="J30" sqref="J30"/>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Objectives&amp;R&amp;"Times New Roman,Regular"Public Safety Officers' Benefits</oddFooter>
      </headerFooter>
    </customSheetView>
    <customSheetView guid="{F6772377-6B25-4EEA-B255-4C2F62B37855}" scale="60" showPageBreaks="1" printArea="1" hiddenRows="1" view="pageBreakPreview">
      <selection activeCell="T30" sqref="T30"/>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Objectives&amp;R&amp;"Times New Roman,Regular"Public Safety Officers' Benefits</oddFooter>
      </headerFooter>
    </customSheetView>
    <customSheetView guid="{27B9C207-C13F-4981-9CED-E69585BBD779}" scale="60" showPageBreaks="1" printArea="1" hiddenRows="1" view="pageBreakPreview" topLeftCell="A19">
      <selection activeCell="M40" sqref="M40"/>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Objectives&amp;R&amp;"Times New Roman,Regular"Public Safety Officers' Benefits</oddFooter>
      </headerFooter>
    </customSheetView>
  </customSheetViews>
  <mergeCells count="18">
    <mergeCell ref="A1:P1"/>
    <mergeCell ref="A3:P3"/>
    <mergeCell ref="A4:P4"/>
    <mergeCell ref="A5:P5"/>
    <mergeCell ref="A6:P6"/>
    <mergeCell ref="A45:S45"/>
    <mergeCell ref="A46:S46"/>
    <mergeCell ref="K10:L10"/>
    <mergeCell ref="M10:N10"/>
    <mergeCell ref="A11:A12"/>
    <mergeCell ref="A41:G41"/>
    <mergeCell ref="A43:G43"/>
    <mergeCell ref="A44:G44"/>
    <mergeCell ref="C9:D10"/>
    <mergeCell ref="F9:G10"/>
    <mergeCell ref="I9:J10"/>
    <mergeCell ref="K9:N9"/>
    <mergeCell ref="O9:P10"/>
  </mergeCells>
  <printOptions horizontalCentered="1"/>
  <pageMargins left="0.75" right="0.75" top="1" bottom="0.79" header="0.5" footer="0.5"/>
  <pageSetup scale="54" orientation="landscape" r:id="rId5"/>
  <headerFooter alignWithMargins="0">
    <oddFooter>&amp;C&amp;"Times New Roman,Regular"Exhibit D - Resources by DOJ Strategic Goals &amp; Strategic Objectives&amp;R&amp;"Times New Roman,Regular"Public Safety Officers' Benefits</oddFooter>
  </headerFooter>
</worksheet>
</file>

<file path=xl/worksheets/sheet40.xml><?xml version="1.0" encoding="utf-8"?>
<worksheet xmlns="http://schemas.openxmlformats.org/spreadsheetml/2006/main" xmlns:r="http://schemas.openxmlformats.org/officeDocument/2006/relationships">
  <sheetPr>
    <pageSetUpPr fitToPage="1"/>
  </sheetPr>
  <dimension ref="A1:AC40"/>
  <sheetViews>
    <sheetView showGridLines="0" showOutlineSymbols="0" view="pageBreakPreview" zoomScale="75" zoomScaleNormal="75" zoomScaleSheetLayoutView="75" workbookViewId="0">
      <selection activeCell="A29" sqref="A29:O29"/>
    </sheetView>
  </sheetViews>
  <sheetFormatPr defaultColWidth="8.88671875" defaultRowHeight="15.75"/>
  <cols>
    <col min="1" max="1" width="30.21875" style="18" customWidth="1"/>
    <col min="2" max="2" width="7.5546875" style="18" bestFit="1" customWidth="1"/>
    <col min="3" max="3" width="6.77734375" style="18" customWidth="1"/>
    <col min="4" max="4" width="10.88671875" style="18" bestFit="1" customWidth="1"/>
    <col min="5" max="5" width="5.77734375" style="18" customWidth="1"/>
    <col min="6" max="6" width="5.6640625" style="18" customWidth="1"/>
    <col min="7" max="7" width="7.77734375" style="18" customWidth="1"/>
    <col min="8" max="8" width="5.5546875" style="18" customWidth="1"/>
    <col min="9" max="9" width="5.6640625" style="18" customWidth="1"/>
    <col min="10" max="10" width="7.77734375" style="18" customWidth="1"/>
    <col min="11" max="11" width="8.77734375" style="18" customWidth="1"/>
    <col min="12" max="12" width="10" style="18" customWidth="1"/>
    <col min="13" max="13" width="7.5546875" style="18" bestFit="1" customWidth="1"/>
    <col min="14" max="14" width="6.77734375" style="18" customWidth="1"/>
    <col min="15" max="15" width="10.88671875" style="18" bestFit="1" customWidth="1"/>
    <col min="16" max="16" width="1" style="182" customWidth="1"/>
    <col min="17" max="16384" width="8.88671875" style="18"/>
  </cols>
  <sheetData>
    <row r="1" spans="1:29" ht="20.25">
      <c r="A1" s="1692" t="s">
        <v>156</v>
      </c>
      <c r="B1" s="1693"/>
      <c r="C1" s="1693"/>
      <c r="D1" s="1693"/>
      <c r="E1" s="1693"/>
      <c r="F1" s="1693"/>
      <c r="G1" s="1693"/>
      <c r="H1" s="1693"/>
      <c r="I1" s="1693"/>
      <c r="J1" s="1693"/>
      <c r="K1" s="1693"/>
      <c r="L1" s="1693"/>
      <c r="M1" s="1693"/>
      <c r="N1" s="1693"/>
      <c r="O1" s="1693"/>
      <c r="P1" s="181" t="s">
        <v>0</v>
      </c>
    </row>
    <row r="2" spans="1:29" ht="16.5" customHeight="1">
      <c r="A2" s="1901"/>
      <c r="B2" s="1901"/>
      <c r="C2" s="1901"/>
      <c r="D2" s="1901"/>
      <c r="E2" s="1901"/>
      <c r="F2" s="1901"/>
      <c r="G2" s="1901"/>
      <c r="H2" s="1901"/>
      <c r="I2" s="1901"/>
      <c r="J2" s="1901"/>
      <c r="K2" s="1901"/>
      <c r="L2" s="1901"/>
      <c r="M2" s="1901"/>
      <c r="N2" s="1901"/>
      <c r="O2" s="1901"/>
      <c r="P2" s="181" t="s">
        <v>0</v>
      </c>
    </row>
    <row r="3" spans="1:29" ht="16.5" customHeight="1">
      <c r="A3" s="1694" t="s">
        <v>136</v>
      </c>
      <c r="B3" s="1914"/>
      <c r="C3" s="1914"/>
      <c r="D3" s="1914"/>
      <c r="E3" s="1914"/>
      <c r="F3" s="1914"/>
      <c r="G3" s="1914"/>
      <c r="H3" s="1914"/>
      <c r="I3" s="1914"/>
      <c r="J3" s="1914"/>
      <c r="K3" s="1914"/>
      <c r="L3" s="1914"/>
      <c r="M3" s="1914"/>
      <c r="N3" s="1914"/>
      <c r="O3" s="1914"/>
      <c r="P3" s="181" t="s">
        <v>0</v>
      </c>
    </row>
    <row r="4" spans="1:29" ht="16.5" customHeight="1">
      <c r="A4" s="1696" t="str">
        <f>+'[5]B. Summ of Reqs - PSOB '!A5</f>
        <v>Office of Justice Programs</v>
      </c>
      <c r="B4" s="1913"/>
      <c r="C4" s="1913"/>
      <c r="D4" s="1913"/>
      <c r="E4" s="1913"/>
      <c r="F4" s="1913"/>
      <c r="G4" s="1913"/>
      <c r="H4" s="1913"/>
      <c r="I4" s="1913"/>
      <c r="J4" s="1913"/>
      <c r="K4" s="1913"/>
      <c r="L4" s="1913"/>
      <c r="M4" s="1913"/>
      <c r="N4" s="1913"/>
      <c r="O4" s="1913"/>
      <c r="P4" s="181" t="s">
        <v>0</v>
      </c>
    </row>
    <row r="5" spans="1:29" ht="16.5" customHeight="1">
      <c r="A5" s="1696" t="str">
        <f>+'[5]B. Summ of Reqs - PSOB '!A6</f>
        <v>Public Safety Officers' Benefits</v>
      </c>
      <c r="B5" s="1914"/>
      <c r="C5" s="1914"/>
      <c r="D5" s="1914"/>
      <c r="E5" s="1914"/>
      <c r="F5" s="1914"/>
      <c r="G5" s="1914"/>
      <c r="H5" s="1914"/>
      <c r="I5" s="1914"/>
      <c r="J5" s="1914"/>
      <c r="K5" s="1914"/>
      <c r="L5" s="1914"/>
      <c r="M5" s="1914"/>
      <c r="N5" s="1914"/>
      <c r="O5" s="1914"/>
      <c r="P5" s="181" t="s">
        <v>0</v>
      </c>
    </row>
    <row r="6" spans="1:29" ht="16.5" customHeight="1">
      <c r="A6" s="1690" t="s">
        <v>98</v>
      </c>
      <c r="B6" s="1913"/>
      <c r="C6" s="1913"/>
      <c r="D6" s="1913"/>
      <c r="E6" s="1913"/>
      <c r="F6" s="1913"/>
      <c r="G6" s="1913"/>
      <c r="H6" s="1913"/>
      <c r="I6" s="1913"/>
      <c r="J6" s="1913"/>
      <c r="K6" s="1913"/>
      <c r="L6" s="1913"/>
      <c r="M6" s="1913"/>
      <c r="N6" s="1913"/>
      <c r="O6" s="1913"/>
      <c r="P6" s="181" t="s">
        <v>0</v>
      </c>
    </row>
    <row r="7" spans="1:29" ht="16.5" customHeight="1">
      <c r="A7" s="1901"/>
      <c r="B7" s="1901"/>
      <c r="C7" s="1901"/>
      <c r="D7" s="1901"/>
      <c r="E7" s="1901"/>
      <c r="F7" s="1901"/>
      <c r="G7" s="1901"/>
      <c r="H7" s="1901"/>
      <c r="I7" s="1901"/>
      <c r="J7" s="1901"/>
      <c r="K7" s="1901"/>
      <c r="L7" s="1901"/>
      <c r="M7" s="1901"/>
      <c r="N7" s="1901"/>
      <c r="O7" s="1901"/>
      <c r="P7" s="181" t="s">
        <v>0</v>
      </c>
    </row>
    <row r="8" spans="1:29" ht="16.5" customHeight="1">
      <c r="A8" s="1902"/>
      <c r="B8" s="1902"/>
      <c r="C8" s="1902"/>
      <c r="D8" s="1902"/>
      <c r="E8" s="1902"/>
      <c r="F8" s="1902"/>
      <c r="G8" s="1902"/>
      <c r="H8" s="1902"/>
      <c r="I8" s="1902"/>
      <c r="J8" s="1902"/>
      <c r="K8" s="1902"/>
      <c r="L8" s="1902"/>
      <c r="M8" s="1902"/>
      <c r="N8" s="1902"/>
      <c r="O8" s="1902"/>
      <c r="P8" s="181" t="s">
        <v>0</v>
      </c>
    </row>
    <row r="9" spans="1:29" ht="16.5" customHeight="1">
      <c r="A9" s="1682" t="s">
        <v>23</v>
      </c>
      <c r="B9" s="1664" t="s">
        <v>592</v>
      </c>
      <c r="C9" s="1903"/>
      <c r="D9" s="1904"/>
      <c r="E9" s="1676" t="s">
        <v>109</v>
      </c>
      <c r="F9" s="1908"/>
      <c r="G9" s="1909"/>
      <c r="H9" s="1664" t="s">
        <v>12</v>
      </c>
      <c r="I9" s="1903"/>
      <c r="J9" s="1903"/>
      <c r="K9" s="1674" t="s">
        <v>141</v>
      </c>
      <c r="L9" s="1674" t="s">
        <v>142</v>
      </c>
      <c r="M9" s="1664" t="s">
        <v>137</v>
      </c>
      <c r="N9" s="1903"/>
      <c r="O9" s="1904"/>
      <c r="P9" s="181" t="s">
        <v>0</v>
      </c>
    </row>
    <row r="10" spans="1:29" ht="16.5" customHeight="1">
      <c r="A10" s="1683"/>
      <c r="B10" s="1905"/>
      <c r="C10" s="1906"/>
      <c r="D10" s="1907"/>
      <c r="E10" s="1910"/>
      <c r="F10" s="1911"/>
      <c r="G10" s="1912"/>
      <c r="H10" s="1905"/>
      <c r="I10" s="1906"/>
      <c r="J10" s="1906"/>
      <c r="K10" s="1675"/>
      <c r="L10" s="1675"/>
      <c r="M10" s="1905"/>
      <c r="N10" s="1906"/>
      <c r="O10" s="1907"/>
      <c r="P10" s="181" t="s">
        <v>0</v>
      </c>
    </row>
    <row r="11" spans="1:29" ht="16.5" customHeight="1" thickBot="1">
      <c r="A11" s="1684"/>
      <c r="B11" s="156" t="s">
        <v>115</v>
      </c>
      <c r="C11" s="157" t="s">
        <v>25</v>
      </c>
      <c r="D11" s="157" t="s">
        <v>117</v>
      </c>
      <c r="E11" s="156" t="s">
        <v>115</v>
      </c>
      <c r="F11" s="157" t="s">
        <v>25</v>
      </c>
      <c r="G11" s="157" t="s">
        <v>117</v>
      </c>
      <c r="H11" s="156" t="s">
        <v>115</v>
      </c>
      <c r="I11" s="157" t="s">
        <v>25</v>
      </c>
      <c r="J11" s="157" t="s">
        <v>117</v>
      </c>
      <c r="K11" s="265" t="s">
        <v>117</v>
      </c>
      <c r="L11" s="266" t="s">
        <v>117</v>
      </c>
      <c r="M11" s="156" t="s">
        <v>115</v>
      </c>
      <c r="N11" s="157" t="s">
        <v>25</v>
      </c>
      <c r="O11" s="158" t="s">
        <v>117</v>
      </c>
      <c r="P11" s="181" t="s">
        <v>0</v>
      </c>
    </row>
    <row r="12" spans="1:29" ht="16.5" customHeight="1">
      <c r="A12" s="373" t="s">
        <v>441</v>
      </c>
      <c r="B12" s="390"/>
      <c r="C12" s="391"/>
      <c r="D12" s="391">
        <v>66000</v>
      </c>
      <c r="E12" s="390"/>
      <c r="F12" s="391"/>
      <c r="G12" s="391">
        <v>0</v>
      </c>
      <c r="H12" s="390"/>
      <c r="I12" s="391"/>
      <c r="J12" s="391">
        <v>0</v>
      </c>
      <c r="K12" s="425">
        <v>590</v>
      </c>
      <c r="L12" s="391">
        <v>75</v>
      </c>
      <c r="M12" s="390"/>
      <c r="N12" s="391"/>
      <c r="O12" s="388">
        <f>D12+G12+J12+K12+L12</f>
        <v>66665</v>
      </c>
      <c r="P12" s="181" t="s">
        <v>0</v>
      </c>
    </row>
    <row r="13" spans="1:29" ht="16.5" customHeight="1">
      <c r="A13" s="370" t="s">
        <v>442</v>
      </c>
      <c r="B13" s="747"/>
      <c r="C13" s="671"/>
      <c r="D13" s="671">
        <v>9082</v>
      </c>
      <c r="E13" s="747"/>
      <c r="F13" s="671"/>
      <c r="G13" s="671">
        <v>0</v>
      </c>
      <c r="H13" s="747"/>
      <c r="I13" s="671"/>
      <c r="J13" s="671">
        <v>0</v>
      </c>
      <c r="K13" s="1365">
        <v>1501</v>
      </c>
      <c r="L13" s="671">
        <v>26</v>
      </c>
      <c r="M13" s="747"/>
      <c r="N13" s="671"/>
      <c r="O13" s="672">
        <f>D13+G13+J13+K13+L13</f>
        <v>10609</v>
      </c>
      <c r="P13" s="181" t="s">
        <v>0</v>
      </c>
    </row>
    <row r="14" spans="1:29" ht="16.5" customHeight="1">
      <c r="A14" s="162" t="s">
        <v>124</v>
      </c>
      <c r="B14" s="163">
        <f t="shared" ref="B14:O14" si="0">SUM(B12:B13)</f>
        <v>0</v>
      </c>
      <c r="C14" s="164">
        <f t="shared" si="0"/>
        <v>0</v>
      </c>
      <c r="D14" s="165">
        <f t="shared" si="0"/>
        <v>75082</v>
      </c>
      <c r="E14" s="163">
        <f t="shared" si="0"/>
        <v>0</v>
      </c>
      <c r="F14" s="164">
        <f t="shared" si="0"/>
        <v>0</v>
      </c>
      <c r="G14" s="165">
        <f t="shared" si="0"/>
        <v>0</v>
      </c>
      <c r="H14" s="163">
        <f t="shared" si="0"/>
        <v>0</v>
      </c>
      <c r="I14" s="164">
        <f t="shared" si="0"/>
        <v>0</v>
      </c>
      <c r="J14" s="165">
        <f t="shared" si="0"/>
        <v>0</v>
      </c>
      <c r="K14" s="262">
        <f t="shared" si="0"/>
        <v>2091</v>
      </c>
      <c r="L14" s="165">
        <f t="shared" si="0"/>
        <v>101</v>
      </c>
      <c r="M14" s="163">
        <f t="shared" si="0"/>
        <v>0</v>
      </c>
      <c r="N14" s="164">
        <f t="shared" si="0"/>
        <v>0</v>
      </c>
      <c r="O14" s="167">
        <f t="shared" si="0"/>
        <v>77274</v>
      </c>
      <c r="P14" s="181" t="s">
        <v>0</v>
      </c>
    </row>
    <row r="15" spans="1:29" ht="16.5" hidden="1" customHeight="1">
      <c r="A15" s="359" t="s">
        <v>103</v>
      </c>
      <c r="B15" s="381" t="s">
        <v>116</v>
      </c>
      <c r="C15" s="382"/>
      <c r="D15" s="382"/>
      <c r="E15" s="381"/>
      <c r="F15" s="382"/>
      <c r="G15" s="382"/>
      <c r="H15" s="381"/>
      <c r="I15" s="382"/>
      <c r="J15" s="382"/>
      <c r="K15" s="421"/>
      <c r="L15" s="382"/>
      <c r="M15" s="381"/>
      <c r="N15" s="382">
        <f>C15+F15+I15</f>
        <v>0</v>
      </c>
      <c r="O15" s="379"/>
      <c r="P15" s="181" t="s">
        <v>0</v>
      </c>
      <c r="Q15" s="559"/>
      <c r="R15" s="559"/>
      <c r="S15" s="559"/>
      <c r="T15" s="559"/>
      <c r="U15" s="559"/>
      <c r="V15" s="559"/>
      <c r="W15" s="559"/>
      <c r="X15" s="559"/>
      <c r="Y15" s="559"/>
      <c r="Z15" s="559"/>
      <c r="AA15" s="559"/>
      <c r="AB15" s="559"/>
      <c r="AC15" s="559"/>
    </row>
    <row r="16" spans="1:29" ht="16.5" hidden="1" customHeight="1">
      <c r="A16" s="359" t="s">
        <v>102</v>
      </c>
      <c r="B16" s="560"/>
      <c r="C16" s="407">
        <f>SUM(C14:C15)</f>
        <v>0</v>
      </c>
      <c r="D16" s="407"/>
      <c r="E16" s="560"/>
      <c r="F16" s="407">
        <f>+F14+F15</f>
        <v>0</v>
      </c>
      <c r="G16" s="407"/>
      <c r="H16" s="560"/>
      <c r="I16" s="407">
        <f>+I14+I15</f>
        <v>0</v>
      </c>
      <c r="J16" s="407"/>
      <c r="K16" s="561"/>
      <c r="L16" s="407"/>
      <c r="M16" s="560"/>
      <c r="N16" s="407">
        <f>SUM(N14:N15)</f>
        <v>0</v>
      </c>
      <c r="O16" s="408"/>
      <c r="P16" s="181" t="s">
        <v>0</v>
      </c>
    </row>
    <row r="17" spans="1:16" ht="16.5" hidden="1" customHeight="1">
      <c r="A17" s="562" t="s">
        <v>104</v>
      </c>
      <c r="B17" s="390"/>
      <c r="C17" s="391"/>
      <c r="D17" s="391"/>
      <c r="E17" s="390"/>
      <c r="F17" s="391"/>
      <c r="G17" s="391"/>
      <c r="H17" s="390"/>
      <c r="I17" s="391"/>
      <c r="J17" s="391"/>
      <c r="K17" s="425"/>
      <c r="L17" s="391"/>
      <c r="M17" s="390"/>
      <c r="N17" s="391"/>
      <c r="O17" s="388"/>
      <c r="P17" s="181" t="s">
        <v>0</v>
      </c>
    </row>
    <row r="18" spans="1:16" ht="16.5" hidden="1" customHeight="1">
      <c r="A18" s="563" t="s">
        <v>31</v>
      </c>
      <c r="B18" s="390"/>
      <c r="C18" s="391"/>
      <c r="D18" s="391"/>
      <c r="E18" s="390"/>
      <c r="F18" s="391"/>
      <c r="G18" s="391"/>
      <c r="H18" s="390"/>
      <c r="I18" s="391"/>
      <c r="J18" s="391"/>
      <c r="K18" s="425"/>
      <c r="L18" s="391"/>
      <c r="M18" s="390"/>
      <c r="N18" s="391">
        <f>C18+F18+I18</f>
        <v>0</v>
      </c>
      <c r="O18" s="388"/>
      <c r="P18" s="181" t="s">
        <v>0</v>
      </c>
    </row>
    <row r="19" spans="1:16" ht="16.5" hidden="1" customHeight="1">
      <c r="A19" s="564" t="s">
        <v>60</v>
      </c>
      <c r="B19" s="381"/>
      <c r="C19" s="382"/>
      <c r="D19" s="382"/>
      <c r="E19" s="381"/>
      <c r="F19" s="382"/>
      <c r="G19" s="382"/>
      <c r="H19" s="381"/>
      <c r="I19" s="382"/>
      <c r="J19" s="382"/>
      <c r="K19" s="421"/>
      <c r="L19" s="382"/>
      <c r="M19" s="381"/>
      <c r="N19" s="382">
        <f>C19+F19+I19</f>
        <v>0</v>
      </c>
      <c r="O19" s="379"/>
      <c r="P19" s="181" t="s">
        <v>0</v>
      </c>
    </row>
    <row r="20" spans="1:16" ht="16.5" hidden="1" customHeight="1">
      <c r="A20" s="359" t="s">
        <v>105</v>
      </c>
      <c r="B20" s="381"/>
      <c r="C20" s="382">
        <f>C19+C18+C16</f>
        <v>0</v>
      </c>
      <c r="D20" s="565"/>
      <c r="E20" s="381"/>
      <c r="F20" s="382">
        <f>F19+F18+F16</f>
        <v>0</v>
      </c>
      <c r="G20" s="565"/>
      <c r="H20" s="381"/>
      <c r="I20" s="382">
        <f>I19+I18+I16</f>
        <v>0</v>
      </c>
      <c r="J20" s="565"/>
      <c r="K20" s="566"/>
      <c r="L20" s="565"/>
      <c r="M20" s="381"/>
      <c r="N20" s="382">
        <f>N19+N18+N16</f>
        <v>0</v>
      </c>
      <c r="O20" s="567"/>
      <c r="P20" s="181" t="s">
        <v>0</v>
      </c>
    </row>
    <row r="21" spans="1:16" ht="16.5" customHeight="1">
      <c r="B21" s="1"/>
      <c r="C21" s="1"/>
      <c r="D21" s="1"/>
      <c r="E21" s="1"/>
      <c r="F21" s="1"/>
      <c r="G21" s="1"/>
      <c r="H21" s="1"/>
      <c r="I21" s="1"/>
      <c r="J21" s="1"/>
      <c r="K21" s="1"/>
      <c r="L21" s="1"/>
      <c r="M21" s="1"/>
      <c r="N21" s="1"/>
      <c r="O21" s="1"/>
      <c r="P21" s="181" t="s">
        <v>0</v>
      </c>
    </row>
    <row r="22" spans="1:16" ht="16.5" customHeight="1">
      <c r="A22" s="1" t="s">
        <v>681</v>
      </c>
      <c r="C22" s="1"/>
      <c r="D22" s="1"/>
      <c r="E22" s="1"/>
      <c r="F22" s="1"/>
      <c r="G22" s="1"/>
      <c r="H22" s="1"/>
      <c r="I22" s="1"/>
      <c r="J22" s="1"/>
      <c r="K22" s="1"/>
      <c r="L22" s="1"/>
      <c r="M22" s="1"/>
      <c r="N22" s="1"/>
      <c r="O22" s="1"/>
      <c r="P22" s="181" t="s">
        <v>0</v>
      </c>
    </row>
    <row r="23" spans="1:16" ht="16.5" customHeight="1">
      <c r="A23" s="1"/>
      <c r="C23" s="1"/>
      <c r="D23" s="1"/>
      <c r="E23" s="1"/>
      <c r="F23" s="1"/>
      <c r="G23" s="1"/>
      <c r="H23" s="1"/>
      <c r="I23" s="1"/>
      <c r="J23" s="1"/>
      <c r="K23" s="1"/>
      <c r="L23" s="1"/>
      <c r="M23" s="1"/>
      <c r="N23" s="1"/>
      <c r="O23" s="1"/>
      <c r="P23" s="181" t="s">
        <v>0</v>
      </c>
    </row>
    <row r="24" spans="1:16" ht="16.5" customHeight="1">
      <c r="A24" s="1"/>
      <c r="C24" s="1"/>
      <c r="D24" s="1"/>
      <c r="E24" s="1"/>
      <c r="F24" s="1"/>
      <c r="G24" s="1"/>
      <c r="H24" s="1"/>
      <c r="I24" s="1"/>
      <c r="J24" s="1"/>
      <c r="K24" s="1"/>
      <c r="L24" s="1"/>
      <c r="M24" s="1"/>
      <c r="N24" s="1"/>
      <c r="O24" s="1"/>
      <c r="P24" s="568" t="s">
        <v>13</v>
      </c>
    </row>
    <row r="25" spans="1:16" ht="16.5" customHeight="1">
      <c r="A25" s="1"/>
      <c r="C25" s="1"/>
      <c r="D25" s="1"/>
      <c r="E25" s="1"/>
      <c r="F25" s="1"/>
      <c r="G25" s="1"/>
      <c r="H25" s="1"/>
      <c r="I25" s="1"/>
      <c r="J25" s="1"/>
      <c r="K25" s="1"/>
      <c r="L25" s="1"/>
      <c r="M25" s="1"/>
      <c r="N25" s="1"/>
      <c r="O25" s="1"/>
      <c r="P25" s="181"/>
    </row>
    <row r="26" spans="1:16" ht="16.5" customHeight="1">
      <c r="A26" s="1"/>
      <c r="B26" s="367"/>
      <c r="C26" s="367"/>
      <c r="D26" s="367"/>
      <c r="E26" s="367"/>
      <c r="F26" s="367"/>
      <c r="G26" s="367"/>
      <c r="H26" s="367"/>
      <c r="I26" s="367"/>
      <c r="J26" s="367"/>
      <c r="K26" s="367"/>
      <c r="L26" s="367"/>
      <c r="M26" s="1"/>
      <c r="N26" s="1"/>
      <c r="O26" s="1"/>
      <c r="P26" s="181"/>
    </row>
    <row r="27" spans="1:16" ht="16.5" customHeight="1">
      <c r="A27" s="151"/>
      <c r="B27" s="1"/>
      <c r="C27" s="1"/>
      <c r="D27" s="1"/>
      <c r="E27" s="1"/>
      <c r="F27" s="1"/>
      <c r="G27" s="1"/>
      <c r="H27" s="1"/>
      <c r="I27" s="1"/>
      <c r="J27" s="1"/>
      <c r="K27" s="1"/>
      <c r="L27" s="1"/>
      <c r="M27" s="1"/>
      <c r="N27" s="1"/>
      <c r="O27" s="1"/>
    </row>
    <row r="28" spans="1:16" ht="16.5" customHeight="1">
      <c r="A28" s="26"/>
      <c r="B28" s="26"/>
      <c r="C28" s="26"/>
      <c r="D28" s="26"/>
      <c r="E28" s="26"/>
      <c r="F28" s="26"/>
      <c r="G28" s="26"/>
      <c r="H28" s="1"/>
      <c r="I28" s="1"/>
      <c r="J28" s="1"/>
      <c r="K28" s="1"/>
      <c r="L28" s="1"/>
      <c r="M28" s="1"/>
      <c r="N28" s="1"/>
      <c r="O28" s="1"/>
      <c r="P28" s="568"/>
    </row>
    <row r="29" spans="1:16" ht="23.25" customHeight="1">
      <c r="A29" s="1672"/>
      <c r="B29" s="1663"/>
      <c r="C29" s="1663"/>
      <c r="D29" s="1663"/>
      <c r="E29" s="1663"/>
      <c r="F29" s="1663"/>
      <c r="G29" s="1663"/>
      <c r="H29" s="1663"/>
      <c r="I29" s="1663"/>
      <c r="J29" s="1663"/>
      <c r="K29" s="1663"/>
      <c r="L29" s="1663"/>
      <c r="M29" s="1663"/>
      <c r="N29" s="1663"/>
      <c r="O29" s="1663"/>
      <c r="P29" s="18"/>
    </row>
    <row r="30" spans="1:16" ht="16.5" customHeight="1">
      <c r="A30" s="1685"/>
      <c r="B30" s="1685"/>
      <c r="C30" s="1685"/>
      <c r="D30" s="1685"/>
      <c r="E30" s="1685"/>
      <c r="F30" s="1685"/>
      <c r="G30" s="1685"/>
      <c r="H30" s="1685"/>
      <c r="I30" s="1685"/>
      <c r="J30" s="1685"/>
      <c r="K30" s="1685"/>
      <c r="L30" s="1685"/>
      <c r="M30" s="1685"/>
      <c r="N30" s="1685"/>
      <c r="O30" s="1685"/>
      <c r="P30" s="18"/>
    </row>
    <row r="31" spans="1:16" ht="16.5" customHeight="1">
      <c r="A31" s="1670"/>
      <c r="B31" s="1671"/>
      <c r="C31" s="1671"/>
      <c r="D31" s="1671"/>
      <c r="E31" s="1671"/>
      <c r="F31" s="1671"/>
      <c r="G31" s="1671"/>
      <c r="H31" s="1671"/>
      <c r="I31" s="1671"/>
      <c r="J31" s="1671"/>
      <c r="K31" s="1671"/>
      <c r="L31" s="1671"/>
      <c r="M31" s="1671"/>
      <c r="N31" s="1671"/>
      <c r="O31" s="1671"/>
      <c r="P31" s="18"/>
    </row>
    <row r="32" spans="1:16" ht="16.5" customHeight="1">
      <c r="A32" s="259"/>
      <c r="B32" s="368"/>
      <c r="C32" s="368"/>
      <c r="D32" s="368"/>
      <c r="E32" s="368"/>
      <c r="F32" s="368"/>
      <c r="G32" s="368"/>
      <c r="H32" s="368"/>
      <c r="I32" s="368"/>
      <c r="J32" s="368"/>
      <c r="K32" s="368"/>
      <c r="L32" s="368"/>
      <c r="M32" s="368"/>
      <c r="N32" s="368"/>
      <c r="O32" s="368"/>
      <c r="P32" s="18"/>
    </row>
    <row r="33" spans="1:16" ht="35.25" customHeight="1">
      <c r="A33" s="1673"/>
      <c r="B33" s="1670"/>
      <c r="C33" s="1670"/>
      <c r="D33" s="1670"/>
      <c r="E33" s="1670"/>
      <c r="F33" s="1670"/>
      <c r="G33" s="1670"/>
      <c r="H33" s="1670"/>
      <c r="I33" s="1670"/>
      <c r="J33" s="1670"/>
      <c r="K33" s="1670"/>
      <c r="L33" s="1670"/>
      <c r="M33" s="1670"/>
      <c r="N33" s="1670"/>
      <c r="O33" s="1670"/>
      <c r="P33" s="18"/>
    </row>
    <row r="34" spans="1:16" ht="35.25" customHeight="1">
      <c r="A34" s="1670"/>
      <c r="B34" s="1670"/>
      <c r="C34" s="1670"/>
      <c r="D34" s="1670"/>
      <c r="E34" s="1670"/>
      <c r="F34" s="1670"/>
      <c r="G34" s="1670"/>
      <c r="H34" s="1670"/>
      <c r="I34" s="1670"/>
      <c r="J34" s="1670"/>
      <c r="K34" s="1670"/>
      <c r="L34" s="1670"/>
      <c r="M34" s="1670"/>
      <c r="N34" s="1670"/>
      <c r="O34" s="1670"/>
      <c r="P34" s="18"/>
    </row>
    <row r="35" spans="1:16" ht="16.5" customHeight="1">
      <c r="A35" s="1670"/>
      <c r="B35" s="1671"/>
      <c r="C35" s="1671"/>
      <c r="D35" s="1671"/>
      <c r="E35" s="1671"/>
      <c r="F35" s="1671"/>
      <c r="G35" s="1671"/>
      <c r="H35" s="1671"/>
      <c r="I35" s="1671"/>
      <c r="J35" s="1671"/>
      <c r="K35" s="1671"/>
      <c r="L35" s="1671"/>
      <c r="M35" s="1671"/>
      <c r="N35" s="1671"/>
      <c r="O35" s="1671"/>
      <c r="P35" s="18"/>
    </row>
    <row r="36" spans="1:16" ht="16.5" customHeight="1">
      <c r="A36" s="1662"/>
      <c r="B36" s="1663"/>
      <c r="C36" s="1663"/>
      <c r="D36" s="1663"/>
      <c r="E36" s="1663"/>
      <c r="F36" s="1663"/>
      <c r="G36" s="1663"/>
      <c r="H36" s="1663"/>
      <c r="I36" s="1663"/>
      <c r="J36" s="1663"/>
      <c r="K36" s="1663"/>
      <c r="L36" s="1663"/>
      <c r="M36" s="1663"/>
      <c r="N36" s="1663"/>
      <c r="O36" s="1663"/>
      <c r="P36" s="1663"/>
    </row>
    <row r="37" spans="1:16" ht="16.5" customHeight="1"/>
    <row r="38" spans="1:16" ht="16.5" customHeight="1"/>
    <row r="39" spans="1:16" ht="16.5" customHeight="1"/>
    <row r="40" spans="1:16" ht="16.5" customHeight="1"/>
  </sheetData>
  <customSheetViews>
    <customSheetView guid="{DA38F665-F06D-4DFB-B852-747D93BB00EF}" scale="75" showPageBreaks="1" showGridLines="0" outlineSymbols="0" fitToPage="1" printArea="1" hiddenRows="1" view="pageBreakPreview">
      <selection activeCell="B210" sqref="B210"/>
      <pageMargins left="0.5" right="0.5" top="0.5" bottom="0.55000000000000004" header="0" footer="0"/>
      <printOptions horizontalCentered="1"/>
      <pageSetup scale="77" firstPageNumber="2" orientation="landscape" useFirstPageNumber="1" horizontalDpi="300" verticalDpi="300" r:id="rId1"/>
      <headerFooter alignWithMargins="0">
        <oddFooter>&amp;C&amp;"Times New Roman,Regular"Exhibit F - Crosswalk of 2011 Availability&amp;R&amp;"Times New Roman,Regular"Public Safety Officers' Benefits</oddFooter>
      </headerFooter>
    </customSheetView>
    <customSheetView guid="{4D0F9E3D-0229-48CC-A08B-F132802E9D7B}" scale="75" showPageBreaks="1" showGridLines="0" outlineSymbols="0" fitToPage="1" printArea="1" hiddenRows="1" view="pageBreakPreview">
      <selection activeCell="O45" sqref="O45"/>
      <pageMargins left="0.5" right="0.5" top="0.5" bottom="0.55000000000000004" header="0" footer="0"/>
      <printOptions horizontalCentered="1"/>
      <pageSetup scale="77" firstPageNumber="2" orientation="landscape" useFirstPageNumber="1" horizontalDpi="300" verticalDpi="300" r:id="rId2"/>
      <headerFooter alignWithMargins="0">
        <oddFooter>&amp;C&amp;"Times New Roman,Regular"Exhibit F - Crosswalk of 2011 Availability&amp;R&amp;"Times New Roman,Regular"Public Safety Officers' Benefits</oddFooter>
      </headerFooter>
    </customSheetView>
    <customSheetView guid="{F6772377-6B25-4EEA-B255-4C2F62B37855}" scale="75" showPageBreaks="1" showGridLines="0" outlineSymbols="0" fitToPage="1" printArea="1" hiddenRows="1" view="pageBreakPreview">
      <selection activeCell="N26" sqref="N26"/>
      <pageMargins left="0.5" right="0.5" top="0.5" bottom="0.55000000000000004" header="0" footer="0"/>
      <printOptions horizontalCentered="1"/>
      <pageSetup scale="77" firstPageNumber="2" orientation="landscape" useFirstPageNumber="1" horizontalDpi="300" verticalDpi="300" r:id="rId3"/>
      <headerFooter alignWithMargins="0">
        <oddFooter>&amp;C&amp;"Times New Roman,Regular"Exhibit F - Crosswalk of 2011 Availability&amp;R&amp;"Times New Roman,Regular"Public Safety Officers' Benefits</oddFooter>
      </headerFooter>
    </customSheetView>
    <customSheetView guid="{27B9C207-C13F-4981-9CED-E69585BBD779}" scale="75" showPageBreaks="1" showGridLines="0" outlineSymbols="0" fitToPage="1" printArea="1" hiddenRows="1" view="pageBreakPreview">
      <selection activeCell="H9" sqref="H9:J10"/>
      <pageMargins left="0.5" right="0.5" top="0.5" bottom="0.55000000000000004" header="0" footer="0"/>
      <printOptions horizontalCentered="1"/>
      <pageSetup scale="77" firstPageNumber="2" orientation="landscape" useFirstPageNumber="1" horizontalDpi="300" verticalDpi="300" r:id="rId4"/>
      <headerFooter alignWithMargins="0">
        <oddFooter>&amp;C&amp;"Times New Roman,Regular"Exhibit F - Crosswalk of 2011 Availability&amp;R&amp;"Times New Roman,Regular"Public Safety Officers' Benefits</oddFooter>
      </headerFooter>
    </customSheetView>
  </customSheetViews>
  <mergeCells count="22">
    <mergeCell ref="A6:O6"/>
    <mergeCell ref="A1:O1"/>
    <mergeCell ref="A2:O2"/>
    <mergeCell ref="A3:O3"/>
    <mergeCell ref="A4:O4"/>
    <mergeCell ref="A5:O5"/>
    <mergeCell ref="A7:O7"/>
    <mergeCell ref="A8:O8"/>
    <mergeCell ref="A9:A11"/>
    <mergeCell ref="B9:D10"/>
    <mergeCell ref="E9:G10"/>
    <mergeCell ref="H9:J10"/>
    <mergeCell ref="K9:K10"/>
    <mergeCell ref="L9:L10"/>
    <mergeCell ref="M9:O10"/>
    <mergeCell ref="A36:P36"/>
    <mergeCell ref="A29:O29"/>
    <mergeCell ref="A30:O30"/>
    <mergeCell ref="A31:O31"/>
    <mergeCell ref="A33:O33"/>
    <mergeCell ref="A34:O34"/>
    <mergeCell ref="A35:O35"/>
  </mergeCells>
  <printOptions horizontalCentered="1"/>
  <pageMargins left="0.5" right="0.5" top="0.5" bottom="0.55000000000000004" header="0" footer="0"/>
  <pageSetup scale="77" firstPageNumber="2" orientation="landscape" useFirstPageNumber="1" horizontalDpi="300" verticalDpi="300" r:id="rId5"/>
  <headerFooter alignWithMargins="0">
    <oddFooter>&amp;C&amp;"Times New Roman,Regular"Exhibit F - Crosswalk of 2011 Availability&amp;R&amp;"Times New Roman,Regular"Public Safety Officers' Benefits</oddFooter>
  </headerFooter>
</worksheet>
</file>

<file path=xl/worksheets/sheet41.xml><?xml version="1.0" encoding="utf-8"?>
<worksheet xmlns="http://schemas.openxmlformats.org/spreadsheetml/2006/main" xmlns:r="http://schemas.openxmlformats.org/officeDocument/2006/relationships">
  <sheetPr>
    <pageSetUpPr fitToPage="1"/>
  </sheetPr>
  <dimension ref="A1:T32"/>
  <sheetViews>
    <sheetView view="pageBreakPreview" zoomScale="75" zoomScaleNormal="100" zoomScaleSheetLayoutView="75" workbookViewId="0">
      <selection activeCell="A9" sqref="A9:A11"/>
    </sheetView>
  </sheetViews>
  <sheetFormatPr defaultRowHeight="15.75"/>
  <cols>
    <col min="1" max="1" width="35.21875" style="363" customWidth="1"/>
    <col min="2" max="7" width="8.88671875" style="363"/>
    <col min="8" max="8" width="8.88671875" style="363" hidden="1" customWidth="1"/>
    <col min="9" max="9" width="8.88671875" style="236" hidden="1" customWidth="1"/>
    <col min="10" max="10" width="8.88671875" style="363" hidden="1" customWidth="1"/>
    <col min="11" max="13" width="8.88671875" style="363"/>
    <col min="14" max="14" width="9.44140625" style="18" customWidth="1"/>
    <col min="15" max="15" width="10" style="18" customWidth="1"/>
    <col min="16" max="16384" width="8.88671875" style="363"/>
  </cols>
  <sheetData>
    <row r="1" spans="1:20" ht="20.25">
      <c r="A1" s="1692" t="s">
        <v>203</v>
      </c>
      <c r="B1" s="1693"/>
      <c r="C1" s="1693"/>
      <c r="D1" s="1693"/>
      <c r="E1" s="1693"/>
      <c r="F1" s="1693"/>
      <c r="G1" s="1693"/>
      <c r="H1" s="1693"/>
      <c r="I1" s="1693"/>
      <c r="J1" s="1693"/>
      <c r="K1" s="1693"/>
      <c r="L1" s="1693"/>
      <c r="M1" s="1693"/>
      <c r="N1" s="1693"/>
      <c r="O1" s="1693"/>
      <c r="P1" s="1693"/>
      <c r="Q1" s="1693"/>
      <c r="R1" s="1693"/>
      <c r="S1" s="181" t="s">
        <v>0</v>
      </c>
      <c r="T1" s="18"/>
    </row>
    <row r="2" spans="1:20">
      <c r="A2" s="1901"/>
      <c r="B2" s="1901"/>
      <c r="C2" s="1901"/>
      <c r="D2" s="1901"/>
      <c r="E2" s="1901"/>
      <c r="F2" s="1901"/>
      <c r="G2" s="1901"/>
      <c r="H2" s="1901"/>
      <c r="I2" s="1901"/>
      <c r="J2" s="1901"/>
      <c r="K2" s="1901"/>
      <c r="L2" s="1901"/>
      <c r="M2" s="1901"/>
      <c r="N2" s="1901"/>
      <c r="O2" s="1901"/>
      <c r="P2" s="1901"/>
      <c r="Q2" s="1901"/>
      <c r="R2" s="1901"/>
      <c r="S2" s="181" t="s">
        <v>0</v>
      </c>
      <c r="T2" s="18"/>
    </row>
    <row r="3" spans="1:20" ht="18.75">
      <c r="A3" s="1694" t="s">
        <v>158</v>
      </c>
      <c r="B3" s="1914"/>
      <c r="C3" s="1914"/>
      <c r="D3" s="1914"/>
      <c r="E3" s="1914"/>
      <c r="F3" s="1914"/>
      <c r="G3" s="1914"/>
      <c r="H3" s="1914"/>
      <c r="I3" s="1914"/>
      <c r="J3" s="1914"/>
      <c r="K3" s="1914"/>
      <c r="L3" s="1914"/>
      <c r="M3" s="1914"/>
      <c r="N3" s="1914"/>
      <c r="O3" s="1914"/>
      <c r="P3" s="1914"/>
      <c r="Q3" s="1914"/>
      <c r="R3" s="1914"/>
      <c r="S3" s="181" t="s">
        <v>0</v>
      </c>
      <c r="T3" s="18"/>
    </row>
    <row r="4" spans="1:20" ht="16.5">
      <c r="A4" s="1696" t="str">
        <f>+'[5]B. Summ of Reqs - PSOB '!A5</f>
        <v>Office of Justice Programs</v>
      </c>
      <c r="B4" s="1913"/>
      <c r="C4" s="1913"/>
      <c r="D4" s="1913"/>
      <c r="E4" s="1913"/>
      <c r="F4" s="1913"/>
      <c r="G4" s="1913"/>
      <c r="H4" s="1913"/>
      <c r="I4" s="1913"/>
      <c r="J4" s="1913"/>
      <c r="K4" s="1913"/>
      <c r="L4" s="1913"/>
      <c r="M4" s="1913"/>
      <c r="N4" s="1913"/>
      <c r="O4" s="1913"/>
      <c r="P4" s="1913"/>
      <c r="Q4" s="1913"/>
      <c r="R4" s="1913"/>
      <c r="S4" s="181" t="s">
        <v>0</v>
      </c>
      <c r="T4" s="18"/>
    </row>
    <row r="5" spans="1:20" ht="16.5">
      <c r="A5" s="1696" t="str">
        <f>+'[5]B. Summ of Reqs - PSOB '!A6</f>
        <v>Public Safety Officers' Benefits</v>
      </c>
      <c r="B5" s="1914"/>
      <c r="C5" s="1914"/>
      <c r="D5" s="1914"/>
      <c r="E5" s="1914"/>
      <c r="F5" s="1914"/>
      <c r="G5" s="1914"/>
      <c r="H5" s="1914"/>
      <c r="I5" s="1914"/>
      <c r="J5" s="1914"/>
      <c r="K5" s="1914"/>
      <c r="L5" s="1914"/>
      <c r="M5" s="1914"/>
      <c r="N5" s="1914"/>
      <c r="O5" s="1914"/>
      <c r="P5" s="1914"/>
      <c r="Q5" s="1914"/>
      <c r="R5" s="1914"/>
      <c r="S5" s="181" t="s">
        <v>0</v>
      </c>
      <c r="T5" s="18"/>
    </row>
    <row r="6" spans="1:20">
      <c r="A6" s="1690" t="s">
        <v>98</v>
      </c>
      <c r="B6" s="1913"/>
      <c r="C6" s="1913"/>
      <c r="D6" s="1913"/>
      <c r="E6" s="1913"/>
      <c r="F6" s="1913"/>
      <c r="G6" s="1913"/>
      <c r="H6" s="1913"/>
      <c r="I6" s="1913"/>
      <c r="J6" s="1913"/>
      <c r="K6" s="1913"/>
      <c r="L6" s="1913"/>
      <c r="M6" s="1913"/>
      <c r="N6" s="1913"/>
      <c r="O6" s="1913"/>
      <c r="P6" s="1913"/>
      <c r="Q6" s="1913"/>
      <c r="R6" s="1913"/>
      <c r="S6" s="181" t="s">
        <v>0</v>
      </c>
      <c r="T6" s="18"/>
    </row>
    <row r="7" spans="1:20">
      <c r="A7" s="1901"/>
      <c r="B7" s="1901"/>
      <c r="C7" s="1901"/>
      <c r="D7" s="1901"/>
      <c r="E7" s="1901"/>
      <c r="F7" s="1901"/>
      <c r="G7" s="1901"/>
      <c r="H7" s="1901"/>
      <c r="I7" s="1901"/>
      <c r="J7" s="1901"/>
      <c r="K7" s="1901"/>
      <c r="L7" s="1901"/>
      <c r="M7" s="1901"/>
      <c r="N7" s="1901"/>
      <c r="O7" s="1901"/>
      <c r="P7" s="1901"/>
      <c r="Q7" s="1901"/>
      <c r="R7" s="1901"/>
      <c r="S7" s="181" t="s">
        <v>0</v>
      </c>
      <c r="T7" s="18"/>
    </row>
    <row r="8" spans="1:20">
      <c r="A8" s="1902"/>
      <c r="B8" s="1902"/>
      <c r="C8" s="1902"/>
      <c r="D8" s="1902"/>
      <c r="E8" s="1902"/>
      <c r="F8" s="1902"/>
      <c r="G8" s="1902"/>
      <c r="H8" s="1902"/>
      <c r="I8" s="1902"/>
      <c r="J8" s="1902"/>
      <c r="K8" s="1902"/>
      <c r="L8" s="1902"/>
      <c r="M8" s="1902"/>
      <c r="N8" s="1902"/>
      <c r="O8" s="1902"/>
      <c r="P8" s="1902"/>
      <c r="Q8" s="1902"/>
      <c r="R8" s="1902"/>
      <c r="S8" s="181" t="s">
        <v>0</v>
      </c>
      <c r="T8" s="18"/>
    </row>
    <row r="9" spans="1:20" ht="15.75" customHeight="1">
      <c r="A9" s="1682" t="s">
        <v>23</v>
      </c>
      <c r="B9" s="1664" t="s">
        <v>594</v>
      </c>
      <c r="C9" s="1903"/>
      <c r="D9" s="1904"/>
      <c r="E9" s="1676" t="s">
        <v>109</v>
      </c>
      <c r="F9" s="1908"/>
      <c r="G9" s="1909"/>
      <c r="H9" s="1676" t="s">
        <v>110</v>
      </c>
      <c r="I9" s="1908"/>
      <c r="J9" s="1909"/>
      <c r="K9" s="1664" t="s">
        <v>12</v>
      </c>
      <c r="L9" s="1903"/>
      <c r="M9" s="1904"/>
      <c r="N9" s="1674" t="s">
        <v>141</v>
      </c>
      <c r="O9" s="1697" t="s">
        <v>142</v>
      </c>
      <c r="P9" s="1664" t="s">
        <v>157</v>
      </c>
      <c r="Q9" s="1903"/>
      <c r="R9" s="1904"/>
      <c r="S9" s="181" t="s">
        <v>0</v>
      </c>
      <c r="T9" s="18"/>
    </row>
    <row r="10" spans="1:20">
      <c r="A10" s="1683"/>
      <c r="B10" s="1905"/>
      <c r="C10" s="1906"/>
      <c r="D10" s="1907"/>
      <c r="E10" s="1910"/>
      <c r="F10" s="1911"/>
      <c r="G10" s="1912"/>
      <c r="H10" s="1910"/>
      <c r="I10" s="1911"/>
      <c r="J10" s="1912"/>
      <c r="K10" s="1905"/>
      <c r="L10" s="1906"/>
      <c r="M10" s="1907"/>
      <c r="N10" s="1675"/>
      <c r="O10" s="1698"/>
      <c r="P10" s="1905"/>
      <c r="Q10" s="1906"/>
      <c r="R10" s="1907"/>
      <c r="S10" s="181" t="s">
        <v>0</v>
      </c>
      <c r="T10" s="18"/>
    </row>
    <row r="11" spans="1:20" ht="16.5" thickBot="1">
      <c r="A11" s="1684"/>
      <c r="B11" s="156" t="s">
        <v>115</v>
      </c>
      <c r="C11" s="157" t="s">
        <v>25</v>
      </c>
      <c r="D11" s="157" t="s">
        <v>117</v>
      </c>
      <c r="E11" s="156" t="s">
        <v>115</v>
      </c>
      <c r="F11" s="157" t="s">
        <v>25</v>
      </c>
      <c r="G11" s="157" t="s">
        <v>117</v>
      </c>
      <c r="H11" s="156" t="s">
        <v>115</v>
      </c>
      <c r="I11" s="157" t="s">
        <v>25</v>
      </c>
      <c r="J11" s="157" t="s">
        <v>117</v>
      </c>
      <c r="K11" s="156" t="s">
        <v>115</v>
      </c>
      <c r="L11" s="157" t="s">
        <v>25</v>
      </c>
      <c r="M11" s="157" t="s">
        <v>117</v>
      </c>
      <c r="N11" s="265" t="s">
        <v>117</v>
      </c>
      <c r="O11" s="266" t="s">
        <v>117</v>
      </c>
      <c r="P11" s="156" t="s">
        <v>115</v>
      </c>
      <c r="Q11" s="157" t="s">
        <v>25</v>
      </c>
      <c r="R11" s="158" t="s">
        <v>117</v>
      </c>
      <c r="S11" s="181" t="s">
        <v>0</v>
      </c>
      <c r="T11" s="18"/>
    </row>
    <row r="12" spans="1:20">
      <c r="A12" s="373" t="s">
        <v>444</v>
      </c>
      <c r="B12" s="390"/>
      <c r="C12" s="391"/>
      <c r="D12" s="391">
        <v>62000</v>
      </c>
      <c r="E12" s="390"/>
      <c r="F12" s="391"/>
      <c r="G12" s="391">
        <v>0</v>
      </c>
      <c r="H12" s="390"/>
      <c r="I12" s="391"/>
      <c r="J12" s="391"/>
      <c r="K12" s="390"/>
      <c r="L12" s="391"/>
      <c r="M12" s="391">
        <v>0</v>
      </c>
      <c r="N12" s="1349">
        <v>2049</v>
      </c>
      <c r="O12" s="391">
        <v>345</v>
      </c>
      <c r="P12" s="390"/>
      <c r="Q12" s="391"/>
      <c r="R12" s="388">
        <f>D12+G12+J12+M12+N12+O12</f>
        <v>64394</v>
      </c>
      <c r="S12" s="181" t="s">
        <v>0</v>
      </c>
      <c r="T12" s="18"/>
    </row>
    <row r="13" spans="1:20">
      <c r="A13" s="555" t="s">
        <v>577</v>
      </c>
      <c r="B13" s="1039"/>
      <c r="C13" s="1040"/>
      <c r="D13" s="1040">
        <v>16300</v>
      </c>
      <c r="E13" s="1039"/>
      <c r="F13" s="1040"/>
      <c r="G13" s="1040">
        <v>0</v>
      </c>
      <c r="H13" s="1039"/>
      <c r="I13" s="1040"/>
      <c r="J13" s="1040"/>
      <c r="K13" s="1039"/>
      <c r="L13" s="1040"/>
      <c r="M13" s="1040">
        <v>0</v>
      </c>
      <c r="N13" s="1523">
        <v>2279</v>
      </c>
      <c r="O13" s="1040">
        <v>0</v>
      </c>
      <c r="P13" s="1039"/>
      <c r="Q13" s="1040"/>
      <c r="R13" s="1100">
        <f>D13+G13+J13+M13+N13+O13</f>
        <v>18579</v>
      </c>
      <c r="S13" s="181" t="s">
        <v>0</v>
      </c>
      <c r="T13" s="18"/>
    </row>
    <row r="14" spans="1:20">
      <c r="A14" s="1524" t="s">
        <v>124</v>
      </c>
      <c r="B14" s="267">
        <f t="shared" ref="B14:R14" si="0">SUM(B12:B13)</f>
        <v>0</v>
      </c>
      <c r="C14" s="268">
        <f t="shared" si="0"/>
        <v>0</v>
      </c>
      <c r="D14" s="166">
        <f t="shared" si="0"/>
        <v>78300</v>
      </c>
      <c r="E14" s="267">
        <f t="shared" si="0"/>
        <v>0</v>
      </c>
      <c r="F14" s="268">
        <f t="shared" si="0"/>
        <v>0</v>
      </c>
      <c r="G14" s="166">
        <f t="shared" si="0"/>
        <v>0</v>
      </c>
      <c r="H14" s="267">
        <f t="shared" si="0"/>
        <v>0</v>
      </c>
      <c r="I14" s="268">
        <f t="shared" si="0"/>
        <v>0</v>
      </c>
      <c r="J14" s="166">
        <f t="shared" si="0"/>
        <v>0</v>
      </c>
      <c r="K14" s="267">
        <f t="shared" si="0"/>
        <v>0</v>
      </c>
      <c r="L14" s="268">
        <f t="shared" si="0"/>
        <v>0</v>
      </c>
      <c r="M14" s="166">
        <f t="shared" si="0"/>
        <v>0</v>
      </c>
      <c r="N14" s="754">
        <f>SUM(N12:N13)</f>
        <v>4328</v>
      </c>
      <c r="O14" s="166">
        <f t="shared" si="0"/>
        <v>345</v>
      </c>
      <c r="P14" s="267">
        <f t="shared" si="0"/>
        <v>0</v>
      </c>
      <c r="Q14" s="268">
        <f t="shared" si="0"/>
        <v>0</v>
      </c>
      <c r="R14" s="755">
        <f t="shared" si="0"/>
        <v>82973</v>
      </c>
      <c r="S14" s="181" t="s">
        <v>0</v>
      </c>
      <c r="T14" s="18"/>
    </row>
    <row r="15" spans="1:20">
      <c r="A15" s="359" t="s">
        <v>103</v>
      </c>
      <c r="B15" s="381" t="s">
        <v>116</v>
      </c>
      <c r="C15" s="382"/>
      <c r="D15" s="382"/>
      <c r="E15" s="381"/>
      <c r="F15" s="382"/>
      <c r="G15" s="382"/>
      <c r="H15" s="381"/>
      <c r="I15" s="382"/>
      <c r="J15" s="382"/>
      <c r="K15" s="381"/>
      <c r="L15" s="382"/>
      <c r="M15" s="382"/>
      <c r="N15" s="421"/>
      <c r="O15" s="382"/>
      <c r="P15" s="381"/>
      <c r="Q15" s="382"/>
      <c r="R15" s="379"/>
      <c r="S15" s="181" t="s">
        <v>0</v>
      </c>
      <c r="T15" s="559"/>
    </row>
    <row r="16" spans="1:20">
      <c r="A16" s="359" t="s">
        <v>102</v>
      </c>
      <c r="B16" s="560"/>
      <c r="C16" s="407">
        <f>SUM(C14:C15)</f>
        <v>0</v>
      </c>
      <c r="D16" s="407"/>
      <c r="E16" s="560"/>
      <c r="F16" s="407">
        <f>+F14+F15</f>
        <v>0</v>
      </c>
      <c r="G16" s="407"/>
      <c r="H16" s="560"/>
      <c r="I16" s="407">
        <f>+I14+I15</f>
        <v>0</v>
      </c>
      <c r="J16" s="407"/>
      <c r="K16" s="560"/>
      <c r="L16" s="407">
        <f>+L14+L15</f>
        <v>0</v>
      </c>
      <c r="M16" s="407"/>
      <c r="N16" s="561"/>
      <c r="O16" s="407"/>
      <c r="P16" s="560"/>
      <c r="Q16" s="407">
        <f>SUM(Q14:Q15)</f>
        <v>0</v>
      </c>
      <c r="R16" s="408"/>
      <c r="S16" s="181" t="s">
        <v>0</v>
      </c>
      <c r="T16" s="18"/>
    </row>
    <row r="17" spans="1:20">
      <c r="A17" s="562" t="s">
        <v>104</v>
      </c>
      <c r="B17" s="390"/>
      <c r="C17" s="391"/>
      <c r="D17" s="391"/>
      <c r="E17" s="390"/>
      <c r="F17" s="391"/>
      <c r="G17" s="391"/>
      <c r="H17" s="390"/>
      <c r="I17" s="391"/>
      <c r="J17" s="391"/>
      <c r="K17" s="390"/>
      <c r="L17" s="391"/>
      <c r="M17" s="391"/>
      <c r="N17" s="425"/>
      <c r="O17" s="391"/>
      <c r="P17" s="390"/>
      <c r="Q17" s="391"/>
      <c r="R17" s="388"/>
      <c r="S17" s="181" t="s">
        <v>0</v>
      </c>
      <c r="T17" s="18"/>
    </row>
    <row r="18" spans="1:20">
      <c r="A18" s="563" t="s">
        <v>31</v>
      </c>
      <c r="B18" s="390"/>
      <c r="C18" s="391"/>
      <c r="D18" s="391"/>
      <c r="E18" s="390"/>
      <c r="F18" s="391"/>
      <c r="G18" s="391"/>
      <c r="H18" s="390"/>
      <c r="I18" s="391"/>
      <c r="J18" s="391"/>
      <c r="K18" s="390"/>
      <c r="L18" s="391"/>
      <c r="M18" s="391"/>
      <c r="N18" s="425"/>
      <c r="O18" s="391"/>
      <c r="P18" s="390"/>
      <c r="Q18" s="391"/>
      <c r="R18" s="388"/>
      <c r="S18" s="181" t="s">
        <v>0</v>
      </c>
      <c r="T18" s="18"/>
    </row>
    <row r="19" spans="1:20">
      <c r="A19" s="564" t="s">
        <v>60</v>
      </c>
      <c r="B19" s="381"/>
      <c r="C19" s="382"/>
      <c r="D19" s="382"/>
      <c r="E19" s="381"/>
      <c r="F19" s="382"/>
      <c r="G19" s="382"/>
      <c r="H19" s="381"/>
      <c r="I19" s="382"/>
      <c r="J19" s="382"/>
      <c r="K19" s="381"/>
      <c r="L19" s="382"/>
      <c r="M19" s="382"/>
      <c r="N19" s="421"/>
      <c r="O19" s="382"/>
      <c r="P19" s="381"/>
      <c r="Q19" s="382"/>
      <c r="R19" s="379"/>
      <c r="S19" s="181" t="s">
        <v>0</v>
      </c>
      <c r="T19" s="18"/>
    </row>
    <row r="20" spans="1:20">
      <c r="A20" s="359" t="s">
        <v>105</v>
      </c>
      <c r="B20" s="381"/>
      <c r="C20" s="382">
        <f>C19+C18+C16</f>
        <v>0</v>
      </c>
      <c r="D20" s="565"/>
      <c r="E20" s="381"/>
      <c r="F20" s="382">
        <f>F19+F18+F16</f>
        <v>0</v>
      </c>
      <c r="G20" s="565"/>
      <c r="H20" s="381"/>
      <c r="I20" s="382">
        <f>I19+I18+I16</f>
        <v>0</v>
      </c>
      <c r="J20" s="565"/>
      <c r="K20" s="381"/>
      <c r="L20" s="382">
        <f>L19+L18+L16</f>
        <v>0</v>
      </c>
      <c r="M20" s="565"/>
      <c r="N20" s="566"/>
      <c r="O20" s="565"/>
      <c r="P20" s="381"/>
      <c r="Q20" s="382">
        <f>Q19+Q18+Q16</f>
        <v>0</v>
      </c>
      <c r="R20" s="567"/>
      <c r="S20" s="181" t="s">
        <v>0</v>
      </c>
      <c r="T20" s="18"/>
    </row>
    <row r="21" spans="1:20" s="1051" customFormat="1">
      <c r="A21" s="1061"/>
      <c r="B21" s="399"/>
      <c r="C21" s="399"/>
      <c r="D21" s="805"/>
      <c r="E21" s="399"/>
      <c r="F21" s="399"/>
      <c r="G21" s="805"/>
      <c r="H21" s="399"/>
      <c r="I21" s="399"/>
      <c r="J21" s="805"/>
      <c r="K21" s="399"/>
      <c r="L21" s="399"/>
      <c r="M21" s="805"/>
      <c r="N21" s="805"/>
      <c r="O21" s="805"/>
      <c r="P21" s="399"/>
      <c r="Q21" s="399"/>
      <c r="R21" s="805"/>
      <c r="S21" s="181"/>
      <c r="T21" s="18"/>
    </row>
    <row r="22" spans="1:20" s="1051" customFormat="1">
      <c r="A22" s="1366" t="s">
        <v>686</v>
      </c>
      <c r="B22" s="1366"/>
      <c r="C22" s="1367"/>
      <c r="D22" s="1368"/>
      <c r="E22" s="1366"/>
      <c r="F22" s="1366"/>
      <c r="G22" s="1368"/>
      <c r="H22" s="1366"/>
      <c r="I22" s="1366"/>
      <c r="J22" s="1368"/>
      <c r="K22" s="1366"/>
      <c r="L22" s="1366"/>
      <c r="M22" s="1368"/>
      <c r="N22" s="1368"/>
      <c r="O22" s="1368"/>
      <c r="P22" s="1366"/>
      <c r="Q22" s="1366"/>
      <c r="R22" s="805"/>
      <c r="S22" s="181"/>
      <c r="T22" s="18"/>
    </row>
    <row r="23" spans="1:20">
      <c r="A23" s="18"/>
      <c r="B23" s="1"/>
      <c r="C23" s="1"/>
      <c r="D23" s="1"/>
      <c r="E23" s="1"/>
      <c r="F23" s="1"/>
      <c r="G23" s="1"/>
      <c r="H23" s="1"/>
      <c r="I23" s="1"/>
      <c r="J23" s="1"/>
      <c r="K23" s="1"/>
      <c r="L23" s="1"/>
      <c r="M23" s="1"/>
      <c r="N23" s="1"/>
      <c r="O23" s="1"/>
      <c r="P23" s="1"/>
      <c r="Q23" s="1"/>
      <c r="R23" s="1"/>
      <c r="S23" s="568" t="s">
        <v>13</v>
      </c>
      <c r="T23" s="18"/>
    </row>
    <row r="24" spans="1:20">
      <c r="A24" s="1"/>
      <c r="B24" s="18"/>
      <c r="C24" s="1"/>
      <c r="D24" s="1"/>
      <c r="E24" s="1"/>
      <c r="F24" s="1"/>
      <c r="G24" s="1"/>
      <c r="H24" s="1"/>
      <c r="I24" s="1"/>
      <c r="J24" s="2"/>
      <c r="K24" s="1"/>
      <c r="L24" s="1"/>
      <c r="M24" s="1"/>
      <c r="N24" s="1"/>
      <c r="O24" s="1"/>
      <c r="P24" s="1"/>
      <c r="Q24" s="1"/>
      <c r="R24" s="1"/>
      <c r="S24" s="181"/>
      <c r="T24" s="18"/>
    </row>
    <row r="25" spans="1:20" s="18" customFormat="1" ht="16.5" customHeight="1">
      <c r="A25" s="1685"/>
      <c r="B25" s="1685"/>
      <c r="C25" s="1685"/>
      <c r="D25" s="1685"/>
      <c r="E25" s="1685"/>
      <c r="F25" s="1685"/>
      <c r="G25" s="1685"/>
      <c r="H25" s="1685"/>
      <c r="I25" s="1685"/>
      <c r="J25" s="1685"/>
      <c r="K25" s="1685"/>
      <c r="L25" s="1685"/>
      <c r="M25" s="1685"/>
      <c r="N25" s="1685"/>
      <c r="O25" s="1685"/>
      <c r="P25" s="1685"/>
      <c r="Q25" s="1685"/>
      <c r="R25" s="1685"/>
    </row>
    <row r="26" spans="1:20" s="18" customFormat="1" ht="16.5" customHeight="1">
      <c r="A26" s="1670"/>
      <c r="B26" s="1671"/>
      <c r="C26" s="1671"/>
      <c r="D26" s="1671"/>
      <c r="E26" s="1671"/>
      <c r="F26" s="1671"/>
      <c r="G26" s="1671"/>
      <c r="H26" s="1671"/>
      <c r="I26" s="1671"/>
      <c r="J26" s="1671"/>
      <c r="K26" s="1671"/>
      <c r="L26" s="1671"/>
      <c r="M26" s="1671"/>
      <c r="N26" s="1671"/>
      <c r="O26" s="1671"/>
      <c r="P26" s="1671"/>
      <c r="Q26" s="1671"/>
      <c r="R26" s="1671"/>
    </row>
    <row r="27" spans="1:20" s="18" customFormat="1" ht="16.5" customHeight="1">
      <c r="A27" s="259"/>
      <c r="B27" s="368"/>
      <c r="C27" s="368"/>
      <c r="D27" s="368"/>
      <c r="E27" s="368"/>
      <c r="F27" s="368"/>
      <c r="G27" s="368"/>
      <c r="H27" s="368"/>
      <c r="I27" s="368"/>
      <c r="J27" s="368"/>
      <c r="K27" s="368"/>
      <c r="L27" s="368"/>
      <c r="M27" s="368"/>
      <c r="N27" s="368"/>
      <c r="O27" s="368"/>
      <c r="P27" s="368"/>
      <c r="Q27" s="368"/>
      <c r="R27" s="368"/>
    </row>
    <row r="28" spans="1:20" s="18" customFormat="1" ht="16.5" customHeight="1">
      <c r="A28" s="1673"/>
      <c r="B28" s="1670"/>
      <c r="C28" s="1670"/>
      <c r="D28" s="1670"/>
      <c r="E28" s="1670"/>
      <c r="F28" s="1670"/>
      <c r="G28" s="1670"/>
      <c r="H28" s="1670"/>
      <c r="I28" s="1670"/>
      <c r="J28" s="1670"/>
      <c r="K28" s="1670"/>
      <c r="L28" s="1670"/>
      <c r="M28" s="1670"/>
      <c r="N28" s="1670"/>
      <c r="O28" s="1670"/>
      <c r="P28" s="1670"/>
      <c r="Q28" s="1670"/>
      <c r="R28" s="1670"/>
    </row>
    <row r="29" spans="1:20" s="18" customFormat="1" ht="16.5" customHeight="1">
      <c r="A29" s="1670"/>
      <c r="B29" s="1670"/>
      <c r="C29" s="1670"/>
      <c r="D29" s="1670"/>
      <c r="E29" s="1670"/>
      <c r="F29" s="1670"/>
      <c r="G29" s="1670"/>
      <c r="H29" s="1670"/>
      <c r="I29" s="1670"/>
      <c r="J29" s="1670"/>
      <c r="K29" s="1670"/>
      <c r="L29" s="1670"/>
      <c r="M29" s="1670"/>
      <c r="N29" s="1670"/>
      <c r="O29" s="1670"/>
      <c r="P29" s="1670"/>
      <c r="Q29" s="1670"/>
      <c r="R29" s="1670"/>
    </row>
    <row r="30" spans="1:20" s="18" customFormat="1" ht="16.5" customHeight="1">
      <c r="A30" s="1670"/>
      <c r="B30" s="1671"/>
      <c r="C30" s="1671"/>
      <c r="D30" s="1671"/>
      <c r="E30" s="1671"/>
      <c r="F30" s="1671"/>
      <c r="G30" s="1671"/>
      <c r="H30" s="1671"/>
      <c r="I30" s="1671"/>
      <c r="J30" s="1671"/>
      <c r="K30" s="1671"/>
      <c r="L30" s="1671"/>
      <c r="M30" s="1671"/>
      <c r="N30" s="1671"/>
      <c r="O30" s="1671"/>
      <c r="P30" s="1671"/>
      <c r="Q30" s="1671"/>
      <c r="R30" s="1671"/>
    </row>
    <row r="31" spans="1:20" s="18" customFormat="1" ht="16.5" customHeight="1">
      <c r="A31" s="1662"/>
      <c r="B31" s="1663"/>
      <c r="C31" s="1663"/>
      <c r="D31" s="1663"/>
      <c r="E31" s="1663"/>
      <c r="F31" s="1663"/>
      <c r="G31" s="1663"/>
      <c r="H31" s="1663"/>
      <c r="I31" s="1663"/>
      <c r="J31" s="1663"/>
      <c r="K31" s="1663"/>
      <c r="L31" s="1663"/>
      <c r="M31" s="1663"/>
      <c r="N31" s="1663"/>
      <c r="O31" s="1663"/>
      <c r="P31" s="1663"/>
      <c r="Q31" s="1663"/>
      <c r="R31" s="1663"/>
      <c r="S31" s="1663"/>
    </row>
    <row r="32" spans="1:20" ht="18">
      <c r="A32" s="571"/>
      <c r="B32" s="18"/>
      <c r="C32" s="18"/>
      <c r="D32" s="18"/>
      <c r="E32" s="18"/>
      <c r="F32" s="18"/>
      <c r="G32" s="18"/>
      <c r="H32" s="18"/>
      <c r="I32" s="18"/>
      <c r="J32" s="18"/>
      <c r="K32" s="18"/>
      <c r="L32" s="18"/>
      <c r="M32" s="18"/>
      <c r="P32" s="18"/>
      <c r="Q32" s="18"/>
      <c r="R32" s="18"/>
      <c r="S32" s="18"/>
      <c r="T32" s="182"/>
    </row>
  </sheetData>
  <customSheetViews>
    <customSheetView guid="{DA38F665-F06D-4DFB-B852-747D93BB00EF}" scale="75" showPageBreaks="1" fitToPage="1" printArea="1" hiddenColumns="1" view="pageBreakPreview">
      <selection activeCell="B210" sqref="B210"/>
      <pageMargins left="0.75" right="0.75" top="1" bottom="1" header="0.5" footer="0.5"/>
      <pageSetup scale="62" orientation="landscape" r:id="rId1"/>
      <headerFooter alignWithMargins="0">
        <oddFooter>&amp;C&amp;"Times New Roman,Regular"Exhibit G:  Crosswalk of 2012 Availability&amp;R&amp;"Times New Roman,Regular"Public Safety Officers' Benefits</oddFooter>
      </headerFooter>
    </customSheetView>
    <customSheetView guid="{4D0F9E3D-0229-48CC-A08B-F132802E9D7B}" scale="75" showPageBreaks="1" fitToPage="1" printArea="1" hiddenColumns="1" view="pageBreakPreview">
      <selection activeCell="F32" sqref="F32"/>
      <pageMargins left="0.75" right="0.75" top="1" bottom="1" header="0.5" footer="0.5"/>
      <pageSetup scale="62" orientation="landscape" r:id="rId2"/>
      <headerFooter alignWithMargins="0">
        <oddFooter>&amp;C&amp;"Times New Roman,Regular"Exhibit G:  Crosswalk of 2012 Availability&amp;R&amp;"Times New Roman,Regular"Public Safety Officers' Benefits</oddFooter>
      </headerFooter>
    </customSheetView>
    <customSheetView guid="{F6772377-6B25-4EEA-B255-4C2F62B37855}" scale="75" showPageBreaks="1" fitToPage="1" printArea="1" hiddenColumns="1" view="pageBreakPreview">
      <selection activeCell="D14" sqref="D14"/>
      <pageMargins left="0.75" right="0.75" top="1" bottom="1" header="0.5" footer="0.5"/>
      <pageSetup scale="62" orientation="landscape" r:id="rId3"/>
      <headerFooter alignWithMargins="0">
        <oddFooter>&amp;C&amp;"Times New Roman,Regular"Exhibit G:  Crosswalk of 2012 Availability&amp;R&amp;"Times New Roman,Regular"Public Safety Officers' Benefits</oddFooter>
      </headerFooter>
    </customSheetView>
    <customSheetView guid="{27B9C207-C13F-4981-9CED-E69585BBD779}" scale="75" showPageBreaks="1" fitToPage="1" printArea="1" hiddenColumns="1" view="pageBreakPreview">
      <selection activeCell="K9" sqref="K9:M10"/>
      <pageMargins left="0.75" right="0.75" top="1" bottom="1" header="0.5" footer="0.5"/>
      <pageSetup scale="62" orientation="landscape" r:id="rId4"/>
      <headerFooter alignWithMargins="0">
        <oddFooter>&amp;C&amp;"Times New Roman,Regular"Exhibit G:  Crosswalk of 2012 Availability&amp;R&amp;"Times New Roman,Regular"Public Safety Officers' Benefits</oddFooter>
      </headerFooter>
    </customSheetView>
  </customSheetViews>
  <mergeCells count="22">
    <mergeCell ref="A6:R6"/>
    <mergeCell ref="A1:R1"/>
    <mergeCell ref="A2:R2"/>
    <mergeCell ref="A3:R3"/>
    <mergeCell ref="A4:R4"/>
    <mergeCell ref="A5:R5"/>
    <mergeCell ref="A31:S31"/>
    <mergeCell ref="A7:R7"/>
    <mergeCell ref="A8:R8"/>
    <mergeCell ref="A9:A11"/>
    <mergeCell ref="B9:D10"/>
    <mergeCell ref="E9:G10"/>
    <mergeCell ref="H9:J10"/>
    <mergeCell ref="K9:M10"/>
    <mergeCell ref="N9:N10"/>
    <mergeCell ref="O9:O10"/>
    <mergeCell ref="P9:R10"/>
    <mergeCell ref="A25:R25"/>
    <mergeCell ref="A26:R26"/>
    <mergeCell ref="A28:R28"/>
    <mergeCell ref="A29:R29"/>
    <mergeCell ref="A30:R30"/>
  </mergeCells>
  <pageMargins left="0.75" right="0.75" top="1" bottom="1" header="0.5" footer="0.5"/>
  <pageSetup scale="62" orientation="landscape" r:id="rId5"/>
  <headerFooter alignWithMargins="0">
    <oddFooter>&amp;C&amp;"Times New Roman,Regular"Exhibit G:  Crosswalk of 2012 Availability&amp;R&amp;"Times New Roman,Regular"Public Safety Officers' Benefits</oddFooter>
  </headerFooter>
</worksheet>
</file>

<file path=xl/worksheets/sheet42.xml><?xml version="1.0" encoding="utf-8"?>
<worksheet xmlns="http://schemas.openxmlformats.org/spreadsheetml/2006/main" xmlns:r="http://schemas.openxmlformats.org/officeDocument/2006/relationships">
  <sheetPr>
    <pageSetUpPr fitToPage="1"/>
  </sheetPr>
  <dimension ref="A1:AN21"/>
  <sheetViews>
    <sheetView view="pageBreakPreview" zoomScale="55" zoomScaleNormal="100" zoomScaleSheetLayoutView="55" workbookViewId="0">
      <selection activeCell="AA18" sqref="AA18"/>
    </sheetView>
  </sheetViews>
  <sheetFormatPr defaultRowHeight="15"/>
  <cols>
    <col min="1" max="1" width="57.44140625" style="863" customWidth="1"/>
    <col min="2" max="2" width="6.21875" style="863" customWidth="1"/>
    <col min="3" max="3" width="9.77734375" style="871" customWidth="1"/>
    <col min="4" max="4" width="6.21875" style="863" customWidth="1"/>
    <col min="5" max="5" width="9.77734375" style="871" customWidth="1"/>
    <col min="6" max="6" width="6.21875" style="863" hidden="1" customWidth="1"/>
    <col min="7" max="7" width="9.77734375" style="871" hidden="1" customWidth="1"/>
    <col min="8" max="8" width="6.21875" style="863" hidden="1" customWidth="1"/>
    <col min="9" max="9" width="9.77734375" style="871" hidden="1" customWidth="1"/>
    <col min="10" max="10" width="6.21875" style="863" hidden="1" customWidth="1"/>
    <col min="11" max="11" width="9.77734375" style="871" hidden="1" customWidth="1"/>
    <col min="12" max="12" width="6.21875" style="863" hidden="1" customWidth="1"/>
    <col min="13" max="13" width="9.77734375" style="871" hidden="1" customWidth="1"/>
    <col min="14" max="14" width="6.21875" style="863" hidden="1" customWidth="1"/>
    <col min="15" max="15" width="9.77734375" style="871" hidden="1" customWidth="1"/>
    <col min="16" max="16" width="6.21875" style="863" hidden="1" customWidth="1"/>
    <col min="17" max="17" width="9.77734375" style="871" hidden="1" customWidth="1"/>
    <col min="18" max="18" width="6.21875" style="863" hidden="1" customWidth="1"/>
    <col min="19" max="19" width="9.77734375" style="871" hidden="1" customWidth="1"/>
    <col min="20" max="20" width="6.21875" style="863" hidden="1" customWidth="1"/>
    <col min="21" max="21" width="9.77734375" style="871" hidden="1" customWidth="1"/>
    <col min="22" max="22" width="6.21875" style="863" hidden="1" customWidth="1"/>
    <col min="23" max="23" width="9.77734375" style="871" hidden="1" customWidth="1"/>
    <col min="24" max="24" width="10.5546875" style="863" hidden="1" customWidth="1"/>
    <col min="25" max="25" width="9.77734375" style="871" hidden="1" customWidth="1"/>
    <col min="26" max="26" width="0.6640625" style="62" customWidth="1"/>
    <col min="27" max="16384" width="8.88671875" style="863"/>
  </cols>
  <sheetData>
    <row r="1" spans="1:40" ht="20.25">
      <c r="A1" s="374" t="s">
        <v>263</v>
      </c>
      <c r="B1" s="573"/>
      <c r="C1" s="574"/>
      <c r="D1" s="573"/>
      <c r="E1" s="574"/>
      <c r="F1" s="573"/>
      <c r="G1" s="574"/>
      <c r="H1" s="573"/>
      <c r="I1" s="574"/>
      <c r="J1" s="573"/>
      <c r="K1" s="574"/>
      <c r="L1" s="573"/>
      <c r="M1" s="574"/>
      <c r="N1" s="573"/>
      <c r="O1" s="574"/>
      <c r="P1" s="573"/>
      <c r="Q1" s="574"/>
      <c r="R1" s="573"/>
      <c r="S1" s="574"/>
      <c r="T1" s="573"/>
      <c r="U1" s="574"/>
      <c r="V1" s="573"/>
      <c r="W1" s="574"/>
      <c r="X1" s="573"/>
      <c r="Y1" s="575"/>
      <c r="Z1" s="576" t="s">
        <v>0</v>
      </c>
    </row>
    <row r="2" spans="1:40" ht="13.15" customHeight="1">
      <c r="A2" s="1946"/>
      <c r="B2" s="1946"/>
      <c r="C2" s="1946"/>
      <c r="D2" s="1946"/>
      <c r="E2" s="1946"/>
      <c r="F2" s="1946"/>
      <c r="G2" s="1946"/>
      <c r="H2" s="1946"/>
      <c r="I2" s="1946"/>
      <c r="J2" s="1946"/>
      <c r="K2" s="1946"/>
      <c r="L2" s="1946"/>
      <c r="M2" s="1946"/>
      <c r="N2" s="1946"/>
      <c r="O2" s="1946"/>
      <c r="P2" s="1946"/>
      <c r="Q2" s="1946"/>
      <c r="R2" s="1946"/>
      <c r="S2" s="1946"/>
      <c r="T2" s="1946"/>
      <c r="U2" s="1946"/>
      <c r="V2" s="1946"/>
      <c r="W2" s="1946"/>
      <c r="X2" s="1946"/>
      <c r="Y2" s="1945"/>
      <c r="Z2" s="576" t="s">
        <v>0</v>
      </c>
    </row>
    <row r="3" spans="1:40" ht="18.75">
      <c r="A3" s="1947" t="s">
        <v>264</v>
      </c>
      <c r="B3" s="1947"/>
      <c r="C3" s="1947"/>
      <c r="D3" s="1947"/>
      <c r="E3" s="1947"/>
      <c r="F3" s="1947"/>
      <c r="G3" s="1947"/>
      <c r="H3" s="1947"/>
      <c r="I3" s="1947"/>
      <c r="J3" s="1947"/>
      <c r="K3" s="1947"/>
      <c r="L3" s="1947"/>
      <c r="M3" s="1947"/>
      <c r="N3" s="1947"/>
      <c r="O3" s="1947"/>
      <c r="P3" s="1947"/>
      <c r="Q3" s="1947"/>
      <c r="R3" s="1947"/>
      <c r="S3" s="1947"/>
      <c r="T3" s="1947"/>
      <c r="U3" s="1947"/>
      <c r="V3" s="1947"/>
      <c r="W3" s="1947"/>
      <c r="X3" s="1947"/>
      <c r="Y3" s="1947"/>
      <c r="Z3" s="576" t="s">
        <v>0</v>
      </c>
    </row>
    <row r="4" spans="1:40" ht="16.5">
      <c r="A4" s="1948" t="str">
        <f>+'[5]B. Summ of Reqs - PSOB '!A5</f>
        <v>Office of Justice Programs</v>
      </c>
      <c r="B4" s="1948"/>
      <c r="C4" s="1948"/>
      <c r="D4" s="1948"/>
      <c r="E4" s="1948"/>
      <c r="F4" s="1948"/>
      <c r="G4" s="1948"/>
      <c r="H4" s="1948"/>
      <c r="I4" s="1948"/>
      <c r="J4" s="1948"/>
      <c r="K4" s="1948"/>
      <c r="L4" s="1948"/>
      <c r="M4" s="1948"/>
      <c r="N4" s="1948"/>
      <c r="O4" s="1948"/>
      <c r="P4" s="1948"/>
      <c r="Q4" s="1948"/>
      <c r="R4" s="1948"/>
      <c r="S4" s="1948"/>
      <c r="T4" s="1948"/>
      <c r="U4" s="1948"/>
      <c r="V4" s="1948"/>
      <c r="W4" s="1948"/>
      <c r="X4" s="1948"/>
      <c r="Y4" s="1948"/>
      <c r="Z4" s="576" t="s">
        <v>0</v>
      </c>
    </row>
    <row r="5" spans="1:40" ht="16.5">
      <c r="A5" s="1948" t="str">
        <f>+'[5]B. Summ of Reqs - PSOB '!A6</f>
        <v>Public Safety Officers' Benefits</v>
      </c>
      <c r="B5" s="1948"/>
      <c r="C5" s="1948"/>
      <c r="D5" s="1948"/>
      <c r="E5" s="1948"/>
      <c r="F5" s="1948"/>
      <c r="G5" s="1948"/>
      <c r="H5" s="1948"/>
      <c r="I5" s="1948"/>
      <c r="J5" s="1948"/>
      <c r="K5" s="1948"/>
      <c r="L5" s="1948"/>
      <c r="M5" s="1948"/>
      <c r="N5" s="1948"/>
      <c r="O5" s="1948"/>
      <c r="P5" s="1948"/>
      <c r="Q5" s="1948"/>
      <c r="R5" s="1948"/>
      <c r="S5" s="1948"/>
      <c r="T5" s="1948"/>
      <c r="U5" s="1948"/>
      <c r="V5" s="1948"/>
      <c r="W5" s="1948"/>
      <c r="X5" s="1948"/>
      <c r="Y5" s="1948"/>
      <c r="Z5" s="576" t="s">
        <v>0</v>
      </c>
    </row>
    <row r="6" spans="1:40">
      <c r="A6" s="1949" t="s">
        <v>98</v>
      </c>
      <c r="B6" s="1949"/>
      <c r="C6" s="1949"/>
      <c r="D6" s="1949"/>
      <c r="E6" s="1949"/>
      <c r="F6" s="1949"/>
      <c r="G6" s="1949"/>
      <c r="H6" s="1949"/>
      <c r="I6" s="1949"/>
      <c r="J6" s="1949"/>
      <c r="K6" s="1949"/>
      <c r="L6" s="1949"/>
      <c r="M6" s="1949"/>
      <c r="N6" s="1949"/>
      <c r="O6" s="1949"/>
      <c r="P6" s="1949"/>
      <c r="Q6" s="1949"/>
      <c r="R6" s="1949"/>
      <c r="S6" s="1949"/>
      <c r="T6" s="1949"/>
      <c r="U6" s="1949"/>
      <c r="V6" s="1949"/>
      <c r="W6" s="1949"/>
      <c r="X6" s="1949"/>
      <c r="Y6" s="1949"/>
      <c r="Z6" s="576" t="s">
        <v>0</v>
      </c>
    </row>
    <row r="7" spans="1:40">
      <c r="A7" s="1945"/>
      <c r="B7" s="1945"/>
      <c r="C7" s="1945"/>
      <c r="D7" s="1945"/>
      <c r="E7" s="1945"/>
      <c r="F7" s="2061"/>
      <c r="G7" s="2061"/>
      <c r="H7" s="2061"/>
      <c r="I7" s="2061"/>
      <c r="J7" s="2061"/>
      <c r="K7" s="2061"/>
      <c r="L7" s="2061"/>
      <c r="M7" s="2061"/>
      <c r="N7" s="2061"/>
      <c r="O7" s="2061"/>
      <c r="P7" s="2061"/>
      <c r="Q7" s="2061"/>
      <c r="R7" s="2061"/>
      <c r="S7" s="2061"/>
      <c r="T7" s="2061"/>
      <c r="U7" s="2061"/>
      <c r="V7" s="2061"/>
      <c r="W7" s="2061"/>
      <c r="X7" s="2061"/>
      <c r="Y7" s="2061"/>
      <c r="Z7" s="576" t="s">
        <v>0</v>
      </c>
    </row>
    <row r="8" spans="1:40" ht="18.75" customHeight="1">
      <c r="A8" s="2131"/>
      <c r="B8" s="2134" t="s">
        <v>445</v>
      </c>
      <c r="C8" s="2135"/>
      <c r="D8" s="2135"/>
      <c r="E8" s="2136"/>
      <c r="F8" s="2137" t="s">
        <v>56</v>
      </c>
      <c r="G8" s="2138"/>
      <c r="H8" s="2138"/>
      <c r="I8" s="2138"/>
      <c r="J8" s="2138"/>
      <c r="K8" s="2139"/>
      <c r="L8" s="2094" t="s">
        <v>57</v>
      </c>
      <c r="M8" s="2138"/>
      <c r="N8" s="2138"/>
      <c r="O8" s="2138"/>
      <c r="P8" s="2138"/>
      <c r="Q8" s="2139"/>
      <c r="R8" s="2094" t="s">
        <v>58</v>
      </c>
      <c r="S8" s="2138"/>
      <c r="T8" s="2138"/>
      <c r="U8" s="2138"/>
      <c r="V8" s="2138"/>
      <c r="W8" s="2139"/>
      <c r="X8" s="2094" t="s">
        <v>62</v>
      </c>
      <c r="Y8" s="2102"/>
      <c r="Z8" s="576" t="s">
        <v>0</v>
      </c>
    </row>
    <row r="9" spans="1:40" ht="36" customHeight="1">
      <c r="A9" s="2132"/>
      <c r="B9" s="2134" t="s">
        <v>441</v>
      </c>
      <c r="C9" s="2140"/>
      <c r="D9" s="2134" t="s">
        <v>62</v>
      </c>
      <c r="E9" s="2141"/>
      <c r="F9" s="2142" t="s">
        <v>446</v>
      </c>
      <c r="G9" s="2143"/>
      <c r="H9" s="2127" t="s">
        <v>268</v>
      </c>
      <c r="I9" s="2127"/>
      <c r="J9" s="2127" t="s">
        <v>267</v>
      </c>
      <c r="K9" s="2128"/>
      <c r="L9" s="2129" t="s">
        <v>269</v>
      </c>
      <c r="M9" s="2130"/>
      <c r="N9" s="2127" t="s">
        <v>268</v>
      </c>
      <c r="O9" s="2127"/>
      <c r="P9" s="2127" t="s">
        <v>267</v>
      </c>
      <c r="Q9" s="2128"/>
      <c r="R9" s="2129" t="s">
        <v>269</v>
      </c>
      <c r="S9" s="2130"/>
      <c r="T9" s="2127" t="s">
        <v>268</v>
      </c>
      <c r="U9" s="2127"/>
      <c r="V9" s="2127" t="s">
        <v>267</v>
      </c>
      <c r="W9" s="2128"/>
      <c r="X9" s="2144"/>
      <c r="Y9" s="2106"/>
      <c r="Z9" s="576" t="s">
        <v>0</v>
      </c>
    </row>
    <row r="10" spans="1:40" ht="36" customHeight="1" thickBot="1">
      <c r="A10" s="2133"/>
      <c r="B10" s="844" t="s">
        <v>115</v>
      </c>
      <c r="C10" s="1408" t="s">
        <v>270</v>
      </c>
      <c r="D10" s="844" t="s">
        <v>115</v>
      </c>
      <c r="E10" s="1409" t="s">
        <v>270</v>
      </c>
      <c r="F10" s="845" t="s">
        <v>115</v>
      </c>
      <c r="G10" s="843" t="s">
        <v>270</v>
      </c>
      <c r="H10" s="844" t="s">
        <v>115</v>
      </c>
      <c r="I10" s="843" t="s">
        <v>270</v>
      </c>
      <c r="J10" s="844" t="s">
        <v>115</v>
      </c>
      <c r="K10" s="843" t="s">
        <v>270</v>
      </c>
      <c r="L10" s="812" t="s">
        <v>115</v>
      </c>
      <c r="M10" s="843" t="s">
        <v>270</v>
      </c>
      <c r="N10" s="844" t="s">
        <v>115</v>
      </c>
      <c r="O10" s="843" t="s">
        <v>270</v>
      </c>
      <c r="P10" s="844" t="s">
        <v>115</v>
      </c>
      <c r="Q10" s="843" t="s">
        <v>270</v>
      </c>
      <c r="R10" s="812" t="s">
        <v>115</v>
      </c>
      <c r="S10" s="843" t="s">
        <v>270</v>
      </c>
      <c r="T10" s="844" t="s">
        <v>115</v>
      </c>
      <c r="U10" s="843" t="s">
        <v>270</v>
      </c>
      <c r="V10" s="844" t="s">
        <v>115</v>
      </c>
      <c r="W10" s="843" t="s">
        <v>270</v>
      </c>
      <c r="X10" s="812" t="s">
        <v>115</v>
      </c>
      <c r="Y10" s="813" t="s">
        <v>270</v>
      </c>
      <c r="Z10" s="576" t="s">
        <v>0</v>
      </c>
    </row>
    <row r="11" spans="1:40" ht="20.25" customHeight="1">
      <c r="A11" s="1525" t="s">
        <v>447</v>
      </c>
      <c r="B11" s="815"/>
      <c r="C11" s="816">
        <v>3000</v>
      </c>
      <c r="D11" s="821"/>
      <c r="E11" s="818">
        <f>C11</f>
        <v>3000</v>
      </c>
      <c r="F11" s="817"/>
      <c r="G11" s="820"/>
      <c r="H11" s="817"/>
      <c r="I11" s="818"/>
      <c r="J11" s="817"/>
      <c r="K11" s="819"/>
      <c r="L11" s="815"/>
      <c r="M11" s="820"/>
      <c r="N11" s="817"/>
      <c r="O11" s="818"/>
      <c r="P11" s="817"/>
      <c r="Q11" s="819"/>
      <c r="R11" s="815"/>
      <c r="S11" s="820"/>
      <c r="T11" s="817"/>
      <c r="U11" s="818"/>
      <c r="V11" s="817"/>
      <c r="W11" s="819"/>
      <c r="X11" s="821" t="e">
        <f>SUM(P11,N11,L11,J11,H11,F11,D11,#REF!,B11,R11,T11,V11)</f>
        <v>#REF!</v>
      </c>
      <c r="Y11" s="822" t="e">
        <f>SUM(Q11,O11,M11,K11,I11,G11,E11,#REF!,C11,S11,U11,W11)</f>
        <v>#REF!</v>
      </c>
      <c r="Z11" s="576" t="s">
        <v>0</v>
      </c>
    </row>
    <row r="12" spans="1:40" ht="21" thickBot="1">
      <c r="A12" s="1526" t="s">
        <v>278</v>
      </c>
      <c r="B12" s="1404">
        <f t="shared" ref="B12:Y12" si="0">SUM(B11:B11)</f>
        <v>0</v>
      </c>
      <c r="C12" s="1405">
        <f t="shared" si="0"/>
        <v>3000</v>
      </c>
      <c r="D12" s="1406">
        <f t="shared" si="0"/>
        <v>0</v>
      </c>
      <c r="E12" s="1407">
        <f t="shared" si="0"/>
        <v>3000</v>
      </c>
      <c r="F12" s="829">
        <f t="shared" si="0"/>
        <v>0</v>
      </c>
      <c r="G12" s="828">
        <f t="shared" si="0"/>
        <v>0</v>
      </c>
      <c r="H12" s="831">
        <f t="shared" si="0"/>
        <v>0</v>
      </c>
      <c r="I12" s="828">
        <f t="shared" si="0"/>
        <v>0</v>
      </c>
      <c r="J12" s="831">
        <f t="shared" si="0"/>
        <v>0</v>
      </c>
      <c r="K12" s="830">
        <f t="shared" si="0"/>
        <v>0</v>
      </c>
      <c r="L12" s="832">
        <f t="shared" si="0"/>
        <v>0</v>
      </c>
      <c r="M12" s="828">
        <f t="shared" si="0"/>
        <v>0</v>
      </c>
      <c r="N12" s="831">
        <f t="shared" si="0"/>
        <v>0</v>
      </c>
      <c r="O12" s="828">
        <f t="shared" si="0"/>
        <v>0</v>
      </c>
      <c r="P12" s="831">
        <f t="shared" si="0"/>
        <v>0</v>
      </c>
      <c r="Q12" s="830">
        <f t="shared" si="0"/>
        <v>0</v>
      </c>
      <c r="R12" s="832">
        <f t="shared" si="0"/>
        <v>0</v>
      </c>
      <c r="S12" s="828">
        <f t="shared" si="0"/>
        <v>0</v>
      </c>
      <c r="T12" s="831">
        <f t="shared" si="0"/>
        <v>0</v>
      </c>
      <c r="U12" s="828">
        <f t="shared" si="0"/>
        <v>0</v>
      </c>
      <c r="V12" s="831">
        <f t="shared" si="0"/>
        <v>0</v>
      </c>
      <c r="W12" s="830">
        <f t="shared" si="0"/>
        <v>0</v>
      </c>
      <c r="X12" s="832" t="e">
        <f t="shared" si="0"/>
        <v>#REF!</v>
      </c>
      <c r="Y12" s="833" t="e">
        <f t="shared" si="0"/>
        <v>#REF!</v>
      </c>
      <c r="Z12" s="576" t="s">
        <v>13</v>
      </c>
    </row>
    <row r="13" spans="1:40">
      <c r="A13" s="1927"/>
      <c r="B13" s="1927"/>
      <c r="C13" s="1927"/>
      <c r="D13" s="1927"/>
      <c r="E13" s="1927"/>
      <c r="F13" s="1927"/>
      <c r="G13" s="1927"/>
      <c r="H13" s="1927"/>
      <c r="I13" s="1927"/>
      <c r="J13" s="1927"/>
      <c r="K13" s="1927"/>
      <c r="L13" s="1927"/>
      <c r="M13" s="1927"/>
      <c r="N13" s="1927"/>
      <c r="O13" s="1927"/>
      <c r="P13" s="1927"/>
      <c r="Q13" s="1927"/>
      <c r="R13" s="1927"/>
      <c r="S13" s="1927"/>
      <c r="T13" s="1927"/>
      <c r="U13" s="1927"/>
      <c r="V13" s="1927"/>
      <c r="W13" s="1927"/>
      <c r="X13" s="1927"/>
      <c r="Y13" s="1927"/>
      <c r="Z13" s="579"/>
      <c r="AA13" s="873"/>
      <c r="AB13" s="873"/>
      <c r="AC13" s="873"/>
      <c r="AD13" s="873"/>
      <c r="AE13" s="873"/>
      <c r="AF13" s="873"/>
      <c r="AG13" s="873"/>
      <c r="AH13" s="873"/>
      <c r="AI13" s="873"/>
      <c r="AJ13" s="873"/>
      <c r="AK13" s="873"/>
      <c r="AL13" s="873"/>
      <c r="AM13" s="873"/>
      <c r="AN13" s="873"/>
    </row>
    <row r="14" spans="1:40">
      <c r="A14" s="580"/>
      <c r="B14" s="580"/>
      <c r="C14" s="581"/>
      <c r="D14" s="580"/>
      <c r="E14" s="581"/>
      <c r="F14" s="580"/>
      <c r="G14" s="581"/>
      <c r="H14" s="580"/>
      <c r="I14" s="581"/>
      <c r="J14" s="580"/>
      <c r="K14" s="581"/>
      <c r="L14" s="580"/>
      <c r="M14" s="581"/>
      <c r="N14" s="580"/>
      <c r="O14" s="581"/>
      <c r="P14" s="580"/>
      <c r="Q14" s="581"/>
      <c r="R14" s="580"/>
      <c r="S14" s="581"/>
      <c r="T14" s="580"/>
      <c r="U14" s="581"/>
      <c r="V14" s="580"/>
      <c r="W14" s="581"/>
      <c r="X14" s="580"/>
      <c r="Y14" s="581"/>
      <c r="Z14" s="582"/>
      <c r="AA14" s="873"/>
      <c r="AB14" s="873"/>
      <c r="AC14" s="873"/>
      <c r="AD14" s="873"/>
      <c r="AE14" s="873"/>
      <c r="AF14" s="873"/>
      <c r="AG14" s="873"/>
      <c r="AH14" s="873"/>
      <c r="AI14" s="873"/>
      <c r="AJ14" s="873"/>
      <c r="AK14" s="873"/>
      <c r="AL14" s="873"/>
      <c r="AM14" s="873"/>
      <c r="AN14" s="873"/>
    </row>
    <row r="16" spans="1:40" ht="18.75">
      <c r="A16" s="1928"/>
      <c r="B16" s="1928"/>
      <c r="C16" s="1928"/>
      <c r="D16" s="1928"/>
      <c r="E16" s="1928"/>
      <c r="F16" s="1928"/>
      <c r="G16" s="1928"/>
      <c r="H16" s="1928"/>
      <c r="I16" s="1928"/>
      <c r="J16" s="1928"/>
      <c r="K16" s="1928"/>
      <c r="L16" s="1928"/>
      <c r="M16" s="1928"/>
      <c r="N16" s="1928"/>
      <c r="O16" s="1928"/>
      <c r="P16" s="1928"/>
      <c r="Q16" s="1928"/>
      <c r="R16" s="584"/>
      <c r="S16" s="584"/>
      <c r="T16" s="584"/>
      <c r="U16" s="584"/>
      <c r="V16" s="584"/>
      <c r="W16" s="584"/>
      <c r="X16" s="584"/>
      <c r="Y16" s="584"/>
    </row>
    <row r="17" spans="1:25" ht="18.75">
      <c r="A17" s="868"/>
      <c r="B17" s="868"/>
      <c r="C17" s="868"/>
      <c r="D17" s="868"/>
      <c r="E17" s="868"/>
      <c r="F17" s="868"/>
      <c r="G17" s="584"/>
      <c r="H17" s="584"/>
      <c r="I17" s="584"/>
      <c r="J17" s="584"/>
      <c r="K17" s="584"/>
      <c r="L17" s="584"/>
      <c r="M17" s="584"/>
      <c r="N17" s="584"/>
      <c r="O17" s="584"/>
      <c r="P17" s="584"/>
      <c r="Q17" s="584"/>
      <c r="R17" s="584"/>
      <c r="S17" s="584"/>
      <c r="T17" s="584"/>
      <c r="U17" s="584"/>
      <c r="V17" s="584"/>
      <c r="W17" s="584"/>
      <c r="X17" s="584"/>
      <c r="Y17" s="584"/>
    </row>
    <row r="18" spans="1:25" ht="141.75" customHeight="1">
      <c r="A18" s="1929"/>
      <c r="B18" s="1929"/>
      <c r="C18" s="1929"/>
      <c r="D18" s="1929"/>
      <c r="E18" s="1929"/>
      <c r="F18" s="1929"/>
      <c r="G18" s="1929"/>
      <c r="H18" s="1929"/>
      <c r="I18" s="1929"/>
      <c r="J18" s="1929"/>
      <c r="K18" s="1929"/>
      <c r="L18" s="1929"/>
      <c r="M18" s="1929"/>
      <c r="N18" s="1929"/>
      <c r="O18" s="1929"/>
      <c r="P18" s="1929"/>
      <c r="Q18" s="1929"/>
      <c r="R18" s="1929"/>
      <c r="S18" s="586"/>
      <c r="T18" s="865"/>
      <c r="U18" s="586"/>
      <c r="V18" s="865"/>
      <c r="W18" s="586"/>
      <c r="X18" s="865"/>
      <c r="Y18" s="586"/>
    </row>
    <row r="21" spans="1:25">
      <c r="Y21" s="587"/>
    </row>
  </sheetData>
  <customSheetViews>
    <customSheetView guid="{DA38F665-F06D-4DFB-B852-747D93BB00EF}" scale="55" showPageBreaks="1" fitToPage="1" printArea="1" hiddenColumns="1" view="pageBreakPreview">
      <pane xSplit="1" ySplit="10" topLeftCell="B11" activePane="bottomRight" state="frozen"/>
      <selection pane="bottomRight" activeCell="B210" sqref="B210"/>
      <pageMargins left="0.25" right="0.25" top="0.5" bottom="0.5" header="0.5" footer="0.5"/>
      <printOptions horizontalCentered="1"/>
      <pageSetup fitToHeight="0" orientation="landscape" r:id="rId1"/>
      <headerFooter alignWithMargins="0">
        <oddFooter>&amp;C&amp;"Times New Roman,Regular"&amp;14Exhibit J - Financial Analysis of Program Changes&amp;12
&amp;R&amp;"Times New Roman,Regular"Public Safety Officers' Benefits</oddFooter>
      </headerFooter>
    </customSheetView>
    <customSheetView guid="{4D0F9E3D-0229-48CC-A08B-F132802E9D7B}" scale="55" showPageBreaks="1" fitToPage="1" printArea="1" hiddenColumns="1" view="pageBreakPreview">
      <pane xSplit="1" ySplit="10" topLeftCell="B11" activePane="bottomRight" state="frozen"/>
      <selection pane="bottomRight" activeCell="A18" sqref="A18:R18"/>
      <pageMargins left="0.25" right="0.25" top="0.5" bottom="0.5" header="0.5" footer="0.5"/>
      <printOptions horizontalCentered="1"/>
      <pageSetup fitToHeight="0" orientation="landscape" r:id="rId2"/>
      <headerFooter alignWithMargins="0">
        <oddFooter>&amp;C&amp;"Times New Roman,Regular"&amp;14Exhibit J - Financial Analysis of Program Changes&amp;12
&amp;R&amp;"Times New Roman,Regular"Public Safety Officers' Benefits</oddFooter>
      </headerFooter>
    </customSheetView>
    <customSheetView guid="{F6772377-6B25-4EEA-B255-4C2F62B37855}" scale="55" showPageBreaks="1" fitToPage="1" printArea="1" hiddenColumns="1" view="pageBreakPreview">
      <pane xSplit="1" ySplit="10" topLeftCell="B11" activePane="bottomRight" state="frozen"/>
      <selection pane="bottomRight" activeCell="AQ26" sqref="AQ26"/>
      <pageMargins left="0.25" right="0.25" top="0.5" bottom="0.5" header="0.5" footer="0.5"/>
      <printOptions horizontalCentered="1"/>
      <pageSetup fitToHeight="0" orientation="landscape" r:id="rId3"/>
      <headerFooter alignWithMargins="0">
        <oddFooter>&amp;C&amp;"Times New Roman,Regular"&amp;14Exhibit J - Financial Analysis of Program Changes&amp;12
&amp;R&amp;"Times New Roman,Regular"Public Safety Officers' Benefits</oddFooter>
      </headerFooter>
    </customSheetView>
    <customSheetView guid="{27B9C207-C13F-4981-9CED-E69585BBD779}" scale="55" showPageBreaks="1" fitToPage="1" printArea="1" hiddenColumns="1" view="pageBreakPreview">
      <selection activeCell="B10" sqref="B10:E10"/>
      <pageMargins left="0.25" right="0.25" top="0.5" bottom="0.5" header="0.5" footer="0.5"/>
      <printOptions horizontalCentered="1"/>
      <pageSetup fitToHeight="0" orientation="landscape" r:id="rId4"/>
      <headerFooter alignWithMargins="0">
        <oddFooter>&amp;C&amp;"Times New Roman,Regular"&amp;14Exhibit J - Financial Analysis of Program Changes&amp;12
&amp;R&amp;"Times New Roman,Regular"Public Safety Officers' Benefits</oddFooter>
      </headerFooter>
    </customSheetView>
  </customSheetViews>
  <mergeCells count="26">
    <mergeCell ref="A2:Y2"/>
    <mergeCell ref="A3:Y3"/>
    <mergeCell ref="A4:Y4"/>
    <mergeCell ref="A5:Y5"/>
    <mergeCell ref="A6:Y6"/>
    <mergeCell ref="T9:U9"/>
    <mergeCell ref="V9:W9"/>
    <mergeCell ref="A13:Y13"/>
    <mergeCell ref="X8:Y9"/>
    <mergeCell ref="A7:Y7"/>
    <mergeCell ref="A16:Q16"/>
    <mergeCell ref="A18:R18"/>
    <mergeCell ref="H9:I9"/>
    <mergeCell ref="J9:K9"/>
    <mergeCell ref="L9:M9"/>
    <mergeCell ref="N9:O9"/>
    <mergeCell ref="P9:Q9"/>
    <mergeCell ref="R9:S9"/>
    <mergeCell ref="A8:A10"/>
    <mergeCell ref="B8:E8"/>
    <mergeCell ref="F8:K8"/>
    <mergeCell ref="L8:Q8"/>
    <mergeCell ref="R8:W8"/>
    <mergeCell ref="B9:C9"/>
    <mergeCell ref="D9:E9"/>
    <mergeCell ref="F9:G9"/>
  </mergeCells>
  <printOptions horizontalCentered="1"/>
  <pageMargins left="0.25" right="0.25" top="0.5" bottom="0.5" header="0.5" footer="0.5"/>
  <pageSetup fitToHeight="0" orientation="landscape" r:id="rId5"/>
  <headerFooter alignWithMargins="0">
    <oddFooter>&amp;C&amp;"Times New Roman,Regular"&amp;14Exhibit J - Financial Analysis of Program Changes&amp;12
&amp;R&amp;"Times New Roman,Regular"Public Safety Officers' Benefits</oddFooter>
  </headerFooter>
</worksheet>
</file>

<file path=xl/worksheets/sheet43.xml><?xml version="1.0" encoding="utf-8"?>
<worksheet xmlns="http://schemas.openxmlformats.org/spreadsheetml/2006/main" xmlns:r="http://schemas.openxmlformats.org/officeDocument/2006/relationships">
  <dimension ref="A1:W197"/>
  <sheetViews>
    <sheetView view="pageBreakPreview" zoomScale="75" zoomScaleNormal="75" zoomScaleSheetLayoutView="50" workbookViewId="0">
      <pane xSplit="1" ySplit="9" topLeftCell="B10" activePane="bottomRight" state="frozen"/>
      <selection pane="topRight" activeCell="B1" sqref="B1"/>
      <selection pane="bottomLeft" activeCell="A10" sqref="A10"/>
      <selection pane="bottomRight" activeCell="B8" sqref="B8:C8"/>
    </sheetView>
  </sheetViews>
  <sheetFormatPr defaultRowHeight="15.75"/>
  <cols>
    <col min="1" max="1" width="65.33203125" style="294" customWidth="1"/>
    <col min="2" max="2" width="8.88671875" style="294"/>
    <col min="3" max="3" width="10.109375" style="294" customWidth="1"/>
    <col min="4" max="4" width="8.88671875" style="294"/>
    <col min="5" max="5" width="10.6640625" style="294" customWidth="1"/>
    <col min="6" max="6" width="8.88671875" style="294"/>
    <col min="7" max="7" width="10.5546875" style="294" bestFit="1" customWidth="1"/>
    <col min="8" max="8" width="8.88671875" style="294"/>
    <col min="9" max="9" width="10.33203125" style="294" customWidth="1"/>
    <col min="10" max="10" width="8" style="59" customWidth="1"/>
    <col min="11" max="11" width="8.5546875" style="363" customWidth="1"/>
    <col min="12" max="16384" width="8.88671875" style="294"/>
  </cols>
  <sheetData>
    <row r="1" spans="1:10" ht="19.149999999999999" customHeight="1">
      <c r="A1" s="1779" t="s">
        <v>89</v>
      </c>
      <c r="B1" s="1780"/>
      <c r="C1" s="1780"/>
      <c r="D1" s="1780"/>
      <c r="E1" s="1780"/>
      <c r="F1" s="1780"/>
      <c r="G1" s="1780"/>
      <c r="H1" s="1780"/>
      <c r="I1" s="1780"/>
      <c r="J1" s="58" t="s">
        <v>0</v>
      </c>
    </row>
    <row r="2" spans="1:10" ht="19.149999999999999" customHeight="1">
      <c r="A2" s="1781"/>
      <c r="B2" s="1782"/>
      <c r="C2" s="1782"/>
      <c r="D2" s="1782"/>
      <c r="E2" s="1782"/>
      <c r="F2" s="1782"/>
      <c r="G2" s="1782"/>
      <c r="H2" s="1782"/>
      <c r="I2" s="1782"/>
      <c r="J2" s="58" t="s">
        <v>0</v>
      </c>
    </row>
    <row r="3" spans="1:10" ht="18.75">
      <c r="A3" s="1783" t="s">
        <v>59</v>
      </c>
      <c r="B3" s="1780"/>
      <c r="C3" s="1780"/>
      <c r="D3" s="1780"/>
      <c r="E3" s="1780"/>
      <c r="F3" s="1780"/>
      <c r="G3" s="1780"/>
      <c r="H3" s="1780"/>
      <c r="I3" s="1780"/>
      <c r="J3" s="58" t="s">
        <v>0</v>
      </c>
    </row>
    <row r="4" spans="1:10" ht="16.5">
      <c r="A4" s="1784" t="str">
        <f>+'[5]B. Summ of Reqs - PSOB '!A5</f>
        <v>Office of Justice Programs</v>
      </c>
      <c r="B4" s="1780"/>
      <c r="C4" s="1780"/>
      <c r="D4" s="1780"/>
      <c r="E4" s="1780"/>
      <c r="F4" s="1780"/>
      <c r="G4" s="1780"/>
      <c r="H4" s="1780"/>
      <c r="I4" s="1780"/>
      <c r="J4" s="58" t="s">
        <v>0</v>
      </c>
    </row>
    <row r="5" spans="1:10" ht="16.5">
      <c r="A5" s="1784" t="str">
        <f>+'[5]B. Summ of Reqs - PSOB '!A6</f>
        <v>Public Safety Officers' Benefits</v>
      </c>
      <c r="B5" s="1780"/>
      <c r="C5" s="1780"/>
      <c r="D5" s="1780"/>
      <c r="E5" s="1780"/>
      <c r="F5" s="1780"/>
      <c r="G5" s="1780"/>
      <c r="H5" s="1780"/>
      <c r="I5" s="1780"/>
      <c r="J5" s="58" t="s">
        <v>0</v>
      </c>
    </row>
    <row r="6" spans="1:10">
      <c r="A6" s="1798" t="s">
        <v>98</v>
      </c>
      <c r="B6" s="1780"/>
      <c r="C6" s="1780"/>
      <c r="D6" s="1780"/>
      <c r="E6" s="1780"/>
      <c r="F6" s="1780"/>
      <c r="G6" s="1780"/>
      <c r="H6" s="1780"/>
      <c r="I6" s="1780"/>
      <c r="J6" s="58" t="s">
        <v>0</v>
      </c>
    </row>
    <row r="7" spans="1:10" ht="11.25" customHeight="1">
      <c r="A7" s="1951"/>
      <c r="B7" s="1951"/>
      <c r="C7" s="1951"/>
      <c r="D7" s="1951"/>
      <c r="E7" s="1951"/>
      <c r="F7" s="1951"/>
      <c r="G7" s="1951"/>
      <c r="H7" s="1951"/>
      <c r="I7" s="1951"/>
      <c r="J7" s="58" t="s">
        <v>0</v>
      </c>
    </row>
    <row r="8" spans="1:10" ht="44.25" customHeight="1">
      <c r="A8" s="1796" t="s">
        <v>53</v>
      </c>
      <c r="B8" s="1799" t="s">
        <v>162</v>
      </c>
      <c r="C8" s="1800"/>
      <c r="D8" s="1804" t="s">
        <v>616</v>
      </c>
      <c r="E8" s="1805"/>
      <c r="F8" s="1801" t="s">
        <v>154</v>
      </c>
      <c r="G8" s="1803"/>
      <c r="H8" s="1801" t="s">
        <v>143</v>
      </c>
      <c r="I8" s="1802"/>
      <c r="J8" s="58" t="s">
        <v>0</v>
      </c>
    </row>
    <row r="9" spans="1:10" ht="25.5" customHeight="1" thickBot="1">
      <c r="A9" s="1797"/>
      <c r="B9" s="352" t="s">
        <v>25</v>
      </c>
      <c r="C9" s="353" t="s">
        <v>117</v>
      </c>
      <c r="D9" s="352" t="s">
        <v>25</v>
      </c>
      <c r="E9" s="353" t="s">
        <v>117</v>
      </c>
      <c r="F9" s="352" t="s">
        <v>25</v>
      </c>
      <c r="G9" s="353" t="s">
        <v>117</v>
      </c>
      <c r="H9" s="352" t="s">
        <v>25</v>
      </c>
      <c r="I9" s="354" t="s">
        <v>117</v>
      </c>
      <c r="J9" s="58" t="s">
        <v>0</v>
      </c>
    </row>
    <row r="10" spans="1:10">
      <c r="A10" s="625" t="s">
        <v>8</v>
      </c>
      <c r="B10" s="595"/>
      <c r="C10" s="596"/>
      <c r="D10" s="595"/>
      <c r="E10" s="596"/>
      <c r="F10" s="595"/>
      <c r="G10" s="596"/>
      <c r="H10" s="595"/>
      <c r="I10" s="594"/>
      <c r="J10" s="58" t="s">
        <v>0</v>
      </c>
    </row>
    <row r="11" spans="1:10">
      <c r="A11" s="597" t="s">
        <v>50</v>
      </c>
      <c r="B11" s="595"/>
      <c r="C11" s="601"/>
      <c r="D11" s="595"/>
      <c r="E11" s="601"/>
      <c r="F11" s="595"/>
      <c r="G11" s="601"/>
      <c r="H11" s="595"/>
      <c r="I11" s="600"/>
      <c r="J11" s="58" t="s">
        <v>0</v>
      </c>
    </row>
    <row r="12" spans="1:10">
      <c r="A12" s="597" t="s">
        <v>32</v>
      </c>
      <c r="B12" s="624"/>
      <c r="C12" s="601"/>
      <c r="D12" s="624"/>
      <c r="E12" s="601"/>
      <c r="F12" s="624"/>
      <c r="G12" s="601"/>
      <c r="H12" s="595"/>
      <c r="I12" s="600"/>
      <c r="J12" s="58" t="s">
        <v>0</v>
      </c>
    </row>
    <row r="13" spans="1:10">
      <c r="A13" s="623" t="s">
        <v>34</v>
      </c>
      <c r="B13" s="621"/>
      <c r="C13" s="622"/>
      <c r="D13" s="621"/>
      <c r="E13" s="622"/>
      <c r="F13" s="621"/>
      <c r="G13" s="622"/>
      <c r="H13" s="621"/>
      <c r="I13" s="620"/>
      <c r="J13" s="58" t="s">
        <v>0</v>
      </c>
    </row>
    <row r="14" spans="1:10">
      <c r="A14" s="623" t="s">
        <v>33</v>
      </c>
      <c r="B14" s="621"/>
      <c r="C14" s="622"/>
      <c r="D14" s="621"/>
      <c r="E14" s="622"/>
      <c r="F14" s="621"/>
      <c r="G14" s="622"/>
      <c r="H14" s="621"/>
      <c r="I14" s="620"/>
      <c r="J14" s="58" t="s">
        <v>0</v>
      </c>
    </row>
    <row r="15" spans="1:10">
      <c r="A15" s="593" t="s">
        <v>35</v>
      </c>
      <c r="B15" s="619"/>
      <c r="C15" s="618"/>
      <c r="D15" s="619"/>
      <c r="E15" s="618"/>
      <c r="F15" s="619"/>
      <c r="G15" s="618"/>
      <c r="H15" s="595"/>
      <c r="I15" s="600"/>
      <c r="J15" s="58" t="s">
        <v>0</v>
      </c>
    </row>
    <row r="16" spans="1:10">
      <c r="A16" s="1410" t="s">
        <v>9</v>
      </c>
      <c r="B16" s="617">
        <f>+B10+B11+B12+B15</f>
        <v>0</v>
      </c>
      <c r="C16" s="616">
        <f t="shared" ref="C16:I16" si="0">+C10+C11+C12+C15</f>
        <v>0</v>
      </c>
      <c r="D16" s="617">
        <f>+D10+D11+D12+D15</f>
        <v>0</v>
      </c>
      <c r="E16" s="616">
        <f t="shared" si="0"/>
        <v>0</v>
      </c>
      <c r="F16" s="617">
        <f t="shared" si="0"/>
        <v>0</v>
      </c>
      <c r="G16" s="615">
        <f t="shared" si="0"/>
        <v>0</v>
      </c>
      <c r="H16" s="616">
        <f>+H10+H11+H12+H15</f>
        <v>0</v>
      </c>
      <c r="I16" s="615">
        <f t="shared" si="0"/>
        <v>0</v>
      </c>
      <c r="J16" s="58" t="s">
        <v>0</v>
      </c>
    </row>
    <row r="17" spans="1:12">
      <c r="A17" s="602" t="s">
        <v>54</v>
      </c>
      <c r="B17" s="595"/>
      <c r="C17" s="601"/>
      <c r="D17" s="595"/>
      <c r="E17" s="601"/>
      <c r="F17" s="595"/>
      <c r="G17" s="601"/>
      <c r="H17" s="595"/>
      <c r="I17" s="600"/>
      <c r="J17" s="58" t="s">
        <v>0</v>
      </c>
    </row>
    <row r="18" spans="1:12">
      <c r="A18" s="599" t="s">
        <v>37</v>
      </c>
      <c r="B18" s="595"/>
      <c r="C18" s="601"/>
      <c r="D18" s="595"/>
      <c r="E18" s="601"/>
      <c r="F18" s="595"/>
      <c r="G18" s="601"/>
      <c r="H18" s="595"/>
      <c r="I18" s="600"/>
      <c r="J18" s="58" t="s">
        <v>0</v>
      </c>
    </row>
    <row r="19" spans="1:12">
      <c r="A19" s="599" t="s">
        <v>38</v>
      </c>
      <c r="B19" s="595"/>
      <c r="C19" s="601"/>
      <c r="D19" s="595"/>
      <c r="E19" s="601"/>
      <c r="F19" s="595"/>
      <c r="G19" s="601"/>
      <c r="H19" s="595"/>
      <c r="I19" s="600"/>
      <c r="J19" s="58" t="s">
        <v>0</v>
      </c>
    </row>
    <row r="20" spans="1:12">
      <c r="A20" s="599" t="s">
        <v>39</v>
      </c>
      <c r="B20" s="595"/>
      <c r="C20" s="601"/>
      <c r="D20" s="595"/>
      <c r="E20" s="601"/>
      <c r="F20" s="595"/>
      <c r="G20" s="601"/>
      <c r="H20" s="595"/>
      <c r="I20" s="600"/>
      <c r="J20" s="58" t="s">
        <v>0</v>
      </c>
    </row>
    <row r="21" spans="1:12">
      <c r="A21" s="599" t="s">
        <v>87</v>
      </c>
      <c r="B21" s="595"/>
      <c r="C21" s="601"/>
      <c r="D21" s="595"/>
      <c r="E21" s="601"/>
      <c r="F21" s="595"/>
      <c r="G21" s="601"/>
      <c r="H21" s="595"/>
      <c r="I21" s="600"/>
      <c r="J21" s="58" t="s">
        <v>0</v>
      </c>
    </row>
    <row r="22" spans="1:12">
      <c r="A22" s="599" t="s">
        <v>19</v>
      </c>
      <c r="B22" s="595"/>
      <c r="C22" s="601"/>
      <c r="D22" s="595"/>
      <c r="E22" s="601"/>
      <c r="F22" s="595"/>
      <c r="G22" s="601"/>
      <c r="H22" s="595"/>
      <c r="I22" s="600"/>
      <c r="J22" s="58" t="s">
        <v>0</v>
      </c>
    </row>
    <row r="23" spans="1:12">
      <c r="A23" s="599" t="s">
        <v>40</v>
      </c>
      <c r="B23" s="595"/>
      <c r="C23" s="601"/>
      <c r="D23" s="595"/>
      <c r="E23" s="601"/>
      <c r="F23" s="595"/>
      <c r="G23" s="601"/>
      <c r="H23" s="595"/>
      <c r="I23" s="600"/>
      <c r="J23" s="58" t="s">
        <v>0</v>
      </c>
    </row>
    <row r="24" spans="1:12">
      <c r="A24" s="599" t="s">
        <v>41</v>
      </c>
      <c r="B24" s="595"/>
      <c r="C24" s="601"/>
      <c r="D24" s="595"/>
      <c r="E24" s="601"/>
      <c r="F24" s="595"/>
      <c r="G24" s="601"/>
      <c r="H24" s="595"/>
      <c r="I24" s="600"/>
      <c r="J24" s="58" t="s">
        <v>0</v>
      </c>
    </row>
    <row r="25" spans="1:12">
      <c r="A25" s="599" t="s">
        <v>42</v>
      </c>
      <c r="B25" s="595"/>
      <c r="C25" s="601"/>
      <c r="D25" s="595"/>
      <c r="E25" s="601"/>
      <c r="F25" s="595"/>
      <c r="G25" s="601"/>
      <c r="H25" s="595"/>
      <c r="I25" s="600"/>
      <c r="J25" s="58" t="s">
        <v>0</v>
      </c>
    </row>
    <row r="26" spans="1:12">
      <c r="A26" s="599" t="s">
        <v>43</v>
      </c>
      <c r="B26" s="595"/>
      <c r="C26" s="601"/>
      <c r="D26" s="595"/>
      <c r="E26" s="601"/>
      <c r="F26" s="595"/>
      <c r="G26" s="601"/>
      <c r="H26" s="595"/>
      <c r="I26" s="600"/>
      <c r="J26" s="58" t="s">
        <v>0</v>
      </c>
    </row>
    <row r="27" spans="1:12">
      <c r="A27" s="599" t="s">
        <v>163</v>
      </c>
      <c r="B27" s="595"/>
      <c r="C27" s="601"/>
      <c r="D27" s="595"/>
      <c r="E27" s="601"/>
      <c r="F27" s="595"/>
      <c r="G27" s="601"/>
      <c r="H27" s="595"/>
      <c r="I27" s="600"/>
      <c r="J27" s="58" t="s">
        <v>0</v>
      </c>
    </row>
    <row r="28" spans="1:12">
      <c r="A28" s="599" t="s">
        <v>88</v>
      </c>
      <c r="B28" s="595"/>
      <c r="C28" s="601"/>
      <c r="D28" s="595"/>
      <c r="E28" s="601"/>
      <c r="F28" s="595"/>
      <c r="G28" s="601"/>
      <c r="H28" s="595"/>
      <c r="I28" s="600"/>
      <c r="J28" s="58" t="s">
        <v>0</v>
      </c>
      <c r="L28" s="614"/>
    </row>
    <row r="29" spans="1:12">
      <c r="A29" s="599" t="s">
        <v>280</v>
      </c>
      <c r="B29" s="595"/>
      <c r="C29" s="601"/>
      <c r="D29" s="595"/>
      <c r="E29" s="601"/>
      <c r="F29" s="595"/>
      <c r="G29" s="601"/>
      <c r="H29" s="595"/>
      <c r="I29" s="600"/>
      <c r="J29" s="58" t="s">
        <v>0</v>
      </c>
    </row>
    <row r="30" spans="1:12">
      <c r="A30" s="599" t="s">
        <v>92</v>
      </c>
      <c r="B30" s="595"/>
      <c r="C30" s="601"/>
      <c r="D30" s="595"/>
      <c r="E30" s="601"/>
      <c r="F30" s="595"/>
      <c r="G30" s="601"/>
      <c r="H30" s="595"/>
      <c r="I30" s="600"/>
      <c r="J30" s="58" t="s">
        <v>0</v>
      </c>
      <c r="L30" s="614"/>
    </row>
    <row r="31" spans="1:12">
      <c r="A31" s="599" t="s">
        <v>44</v>
      </c>
      <c r="B31" s="595"/>
      <c r="C31" s="601"/>
      <c r="D31" s="595"/>
      <c r="E31" s="601"/>
      <c r="F31" s="595"/>
      <c r="G31" s="601"/>
      <c r="H31" s="595"/>
      <c r="I31" s="600"/>
      <c r="J31" s="58" t="s">
        <v>0</v>
      </c>
      <c r="L31" s="614"/>
    </row>
    <row r="32" spans="1:12">
      <c r="A32" s="599" t="s">
        <v>45</v>
      </c>
      <c r="B32" s="595"/>
      <c r="C32" s="601"/>
      <c r="D32" s="595"/>
      <c r="E32" s="601"/>
      <c r="F32" s="595"/>
      <c r="G32" s="601"/>
      <c r="H32" s="595"/>
      <c r="I32" s="600"/>
      <c r="J32" s="58" t="s">
        <v>0</v>
      </c>
    </row>
    <row r="33" spans="1:23">
      <c r="A33" s="599" t="s">
        <v>489</v>
      </c>
      <c r="B33" s="595"/>
      <c r="C33" s="601">
        <v>72946</v>
      </c>
      <c r="D33" s="595"/>
      <c r="E33" s="601">
        <v>82973</v>
      </c>
      <c r="F33" s="595"/>
      <c r="G33" s="601">
        <v>81300</v>
      </c>
      <c r="H33" s="595"/>
      <c r="I33" s="600">
        <f t="shared" ref="I33" si="1">G33-E33</f>
        <v>-1673</v>
      </c>
      <c r="J33" s="58" t="s">
        <v>0</v>
      </c>
      <c r="K33" s="906"/>
    </row>
    <row r="34" spans="1:23">
      <c r="A34" s="613" t="s">
        <v>46</v>
      </c>
      <c r="B34" s="611"/>
      <c r="C34" s="612">
        <f>SUM(C16:C33)</f>
        <v>72946</v>
      </c>
      <c r="D34" s="611"/>
      <c r="E34" s="612">
        <f>SUM(E16:E33)</f>
        <v>82973</v>
      </c>
      <c r="F34" s="611"/>
      <c r="G34" s="612">
        <f>SUM(G16:G33)</f>
        <v>81300</v>
      </c>
      <c r="H34" s="611"/>
      <c r="I34" s="610">
        <f>SUM(I16:I33)</f>
        <v>-1673</v>
      </c>
      <c r="J34" s="58" t="s">
        <v>0</v>
      </c>
    </row>
    <row r="35" spans="1:23" ht="16.899999999999999" customHeight="1">
      <c r="A35" s="599" t="s">
        <v>47</v>
      </c>
      <c r="B35" s="595"/>
      <c r="C35" s="601">
        <v>-2091</v>
      </c>
      <c r="D35" s="595"/>
      <c r="E35" s="601">
        <v>-4328</v>
      </c>
      <c r="F35" s="595"/>
      <c r="G35" s="601"/>
      <c r="H35" s="595"/>
      <c r="I35" s="600"/>
      <c r="J35" s="58" t="s">
        <v>0</v>
      </c>
    </row>
    <row r="36" spans="1:23">
      <c r="A36" s="599" t="s">
        <v>48</v>
      </c>
      <c r="B36" s="595"/>
      <c r="C36" s="601">
        <v>4328</v>
      </c>
      <c r="D36" s="595"/>
      <c r="E36" s="601"/>
      <c r="F36" s="595"/>
      <c r="G36" s="601"/>
      <c r="H36" s="595"/>
      <c r="I36" s="600"/>
      <c r="J36" s="58" t="s">
        <v>0</v>
      </c>
    </row>
    <row r="37" spans="1:23">
      <c r="A37" s="599" t="s">
        <v>49</v>
      </c>
      <c r="B37" s="595"/>
      <c r="C37" s="601">
        <v>-101</v>
      </c>
      <c r="D37" s="595"/>
      <c r="E37" s="601">
        <v>-345</v>
      </c>
      <c r="F37" s="595"/>
      <c r="G37" s="601"/>
      <c r="H37" s="595"/>
      <c r="I37" s="600"/>
      <c r="J37" s="58" t="s">
        <v>0</v>
      </c>
    </row>
    <row r="38" spans="1:23" ht="16.5" customHeight="1">
      <c r="A38" s="609" t="s">
        <v>1</v>
      </c>
      <c r="B38" s="608"/>
      <c r="C38" s="1335">
        <f>SUM(C34:C37)</f>
        <v>75082</v>
      </c>
      <c r="D38" s="608"/>
      <c r="E38" s="1335">
        <f>SUM(E34:E37)</f>
        <v>78300</v>
      </c>
      <c r="F38" s="608"/>
      <c r="G38" s="1335">
        <f>SUM(G34:G37)</f>
        <v>81300</v>
      </c>
      <c r="H38" s="608"/>
      <c r="I38" s="1336"/>
      <c r="J38" s="58" t="s">
        <v>0</v>
      </c>
      <c r="L38" s="1794"/>
      <c r="M38" s="1794"/>
      <c r="N38" s="1794"/>
      <c r="O38" s="1794"/>
      <c r="P38" s="1794"/>
      <c r="Q38" s="1794"/>
      <c r="R38" s="1794"/>
      <c r="S38" s="1794"/>
      <c r="T38" s="1794"/>
      <c r="U38" s="1794"/>
      <c r="V38" s="1794"/>
      <c r="W38" s="1794"/>
    </row>
    <row r="39" spans="1:23">
      <c r="A39" s="1411"/>
      <c r="B39" s="1412"/>
      <c r="C39" s="1413"/>
      <c r="D39" s="1412"/>
      <c r="E39" s="1413"/>
      <c r="F39" s="1412"/>
      <c r="G39" s="1413"/>
      <c r="H39" s="1412"/>
      <c r="I39" s="1414"/>
      <c r="J39" s="58" t="s">
        <v>0</v>
      </c>
      <c r="K39" s="906"/>
      <c r="L39" s="1794"/>
      <c r="M39" s="1794"/>
      <c r="N39" s="1794"/>
      <c r="O39" s="1794"/>
      <c r="P39" s="1794"/>
      <c r="Q39" s="1794"/>
      <c r="R39" s="1794"/>
      <c r="S39" s="1794"/>
      <c r="T39" s="1794"/>
      <c r="U39" s="1794"/>
      <c r="V39" s="1794"/>
      <c r="W39" s="1794"/>
    </row>
    <row r="40" spans="1:23">
      <c r="A40" s="602" t="s">
        <v>108</v>
      </c>
      <c r="B40" s="595"/>
      <c r="C40" s="601"/>
      <c r="D40" s="595"/>
      <c r="E40" s="601"/>
      <c r="F40" s="595"/>
      <c r="G40" s="601"/>
      <c r="H40" s="595"/>
      <c r="I40" s="600"/>
      <c r="J40" s="58" t="s">
        <v>0</v>
      </c>
      <c r="L40" s="1794"/>
      <c r="M40" s="1794"/>
      <c r="N40" s="1794"/>
      <c r="O40" s="1794"/>
      <c r="P40" s="1794"/>
      <c r="Q40" s="1794"/>
      <c r="R40" s="1794"/>
      <c r="S40" s="1794"/>
      <c r="T40" s="1794"/>
      <c r="U40" s="1794"/>
      <c r="V40" s="1794"/>
      <c r="W40" s="1794"/>
    </row>
    <row r="41" spans="1:23">
      <c r="A41" s="599" t="s">
        <v>36</v>
      </c>
      <c r="B41" s="598">
        <v>0</v>
      </c>
      <c r="C41" s="596">
        <v>0</v>
      </c>
      <c r="D41" s="598">
        <v>0</v>
      </c>
      <c r="E41" s="596">
        <v>0</v>
      </c>
      <c r="F41" s="598">
        <v>0</v>
      </c>
      <c r="G41" s="596">
        <v>0</v>
      </c>
      <c r="H41" s="595"/>
      <c r="I41" s="594"/>
      <c r="J41" s="58" t="s">
        <v>0</v>
      </c>
    </row>
    <row r="42" spans="1:23">
      <c r="A42" s="597" t="s">
        <v>2</v>
      </c>
      <c r="B42" s="595"/>
      <c r="C42" s="596">
        <v>0</v>
      </c>
      <c r="D42" s="595"/>
      <c r="E42" s="596">
        <v>0</v>
      </c>
      <c r="F42" s="595"/>
      <c r="G42" s="596">
        <v>0</v>
      </c>
      <c r="H42" s="595"/>
      <c r="I42" s="594"/>
      <c r="J42" s="58" t="s">
        <v>0</v>
      </c>
    </row>
    <row r="43" spans="1:23">
      <c r="A43" s="593" t="s">
        <v>3</v>
      </c>
      <c r="B43" s="591"/>
      <c r="C43" s="592">
        <v>0</v>
      </c>
      <c r="D43" s="591"/>
      <c r="E43" s="592">
        <v>0</v>
      </c>
      <c r="F43" s="591"/>
      <c r="G43" s="592">
        <v>0</v>
      </c>
      <c r="H43" s="591"/>
      <c r="I43" s="590"/>
      <c r="J43" s="58" t="s">
        <v>0</v>
      </c>
    </row>
    <row r="44" spans="1:23">
      <c r="A44" s="589"/>
      <c r="B44" s="588"/>
      <c r="C44" s="588"/>
      <c r="D44" s="588"/>
      <c r="E44" s="588"/>
      <c r="F44" s="588"/>
      <c r="G44" s="588"/>
      <c r="H44" s="588"/>
      <c r="I44" s="588"/>
      <c r="J44" s="58" t="s">
        <v>13</v>
      </c>
    </row>
    <row r="45" spans="1:23">
      <c r="A45" s="1791"/>
      <c r="B45" s="1792"/>
      <c r="C45" s="1792"/>
      <c r="D45" s="1792"/>
      <c r="E45" s="1792"/>
      <c r="F45" s="1792"/>
      <c r="G45" s="1792"/>
      <c r="H45" s="1792"/>
      <c r="I45" s="1792"/>
      <c r="J45" s="1792"/>
    </row>
    <row r="46" spans="1:23">
      <c r="H46" s="15"/>
      <c r="I46" s="15"/>
      <c r="J46" s="295"/>
      <c r="K46" s="296"/>
    </row>
    <row r="47" spans="1:23" ht="18.75">
      <c r="A47" s="1789"/>
      <c r="B47" s="1789"/>
      <c r="C47" s="1789"/>
      <c r="D47" s="1789"/>
      <c r="E47" s="1789"/>
      <c r="F47" s="1789"/>
      <c r="G47" s="1789"/>
      <c r="H47" s="1789"/>
      <c r="I47" s="1789"/>
      <c r="J47" s="295"/>
      <c r="K47" s="296"/>
    </row>
    <row r="48" spans="1:23" s="18" customFormat="1" ht="27" customHeight="1">
      <c r="A48" s="1793"/>
      <c r="B48" s="1793"/>
      <c r="C48" s="1793"/>
      <c r="D48" s="1793"/>
      <c r="E48" s="1793"/>
      <c r="F48" s="1793"/>
      <c r="G48" s="1793"/>
      <c r="H48" s="1793"/>
      <c r="I48" s="1793"/>
      <c r="J48" s="182"/>
      <c r="K48" s="298"/>
    </row>
    <row r="49" spans="1:11" s="18" customFormat="1" ht="27" customHeight="1">
      <c r="A49" s="1793"/>
      <c r="B49" s="1793"/>
      <c r="C49" s="1793"/>
      <c r="D49" s="1793"/>
      <c r="E49" s="1793"/>
      <c r="F49" s="1793"/>
      <c r="G49" s="1793"/>
      <c r="H49" s="1793"/>
      <c r="I49" s="1793"/>
      <c r="J49" s="182"/>
      <c r="K49" s="298"/>
    </row>
    <row r="50" spans="1:11" s="18" customFormat="1" ht="27" customHeight="1">
      <c r="A50" s="1793"/>
      <c r="B50" s="1793"/>
      <c r="C50" s="1793"/>
      <c r="D50" s="1793"/>
      <c r="E50" s="1793"/>
      <c r="F50" s="1793"/>
      <c r="G50" s="1793"/>
      <c r="H50" s="1793"/>
      <c r="I50" s="1793"/>
      <c r="J50" s="182"/>
      <c r="K50" s="298"/>
    </row>
    <row r="51" spans="1:11" s="18" customFormat="1" ht="35.1" customHeight="1">
      <c r="A51" s="1787"/>
      <c r="B51" s="1787"/>
      <c r="C51" s="1787"/>
      <c r="D51" s="1787"/>
      <c r="E51" s="1787"/>
      <c r="F51" s="1787"/>
      <c r="G51" s="1787"/>
      <c r="H51" s="1787"/>
      <c r="I51" s="1787"/>
      <c r="J51" s="182"/>
      <c r="K51" s="298"/>
    </row>
    <row r="52" spans="1:11" s="18" customFormat="1" ht="39.75" customHeight="1">
      <c r="A52" s="1788"/>
      <c r="B52" s="1788"/>
      <c r="C52" s="1788"/>
      <c r="D52" s="1788"/>
      <c r="E52" s="1788"/>
      <c r="F52" s="1788"/>
      <c r="G52" s="1788"/>
      <c r="H52" s="1788"/>
      <c r="I52" s="1788"/>
      <c r="J52" s="182"/>
      <c r="K52" s="298"/>
    </row>
    <row r="53" spans="1:11" s="18" customFormat="1" ht="27" customHeight="1">
      <c r="A53" s="1788"/>
      <c r="B53" s="1788"/>
      <c r="C53" s="1788"/>
      <c r="D53" s="1788"/>
      <c r="E53" s="1788"/>
      <c r="F53" s="1788"/>
      <c r="G53" s="1788"/>
      <c r="H53" s="1788"/>
      <c r="I53" s="1788"/>
      <c r="J53" s="182"/>
      <c r="K53" s="298"/>
    </row>
    <row r="54" spans="1:11" s="18" customFormat="1" ht="39.75" customHeight="1">
      <c r="A54" s="1788"/>
      <c r="B54" s="1788"/>
      <c r="C54" s="1788"/>
      <c r="D54" s="1788"/>
      <c r="E54" s="1788"/>
      <c r="F54" s="1788"/>
      <c r="G54" s="1788"/>
      <c r="H54" s="1788"/>
      <c r="I54" s="1788"/>
      <c r="J54" s="182"/>
      <c r="K54" s="298"/>
    </row>
    <row r="55" spans="1:11" s="18" customFormat="1" ht="27" customHeight="1">
      <c r="A55" s="1790"/>
      <c r="B55" s="1790"/>
      <c r="C55" s="1790"/>
      <c r="D55" s="1790"/>
      <c r="E55" s="1790"/>
      <c r="F55" s="1790"/>
      <c r="G55" s="1790"/>
      <c r="H55" s="1790"/>
      <c r="I55" s="1790"/>
      <c r="J55" s="1790"/>
      <c r="K55" s="1950"/>
    </row>
    <row r="56" spans="1:11" s="18" customFormat="1" ht="22.9" customHeight="1">
      <c r="A56" s="297"/>
      <c r="B56" s="1786"/>
      <c r="C56" s="1786"/>
      <c r="D56" s="1786"/>
      <c r="E56" s="1786"/>
      <c r="F56" s="1786"/>
      <c r="G56" s="1786"/>
      <c r="H56" s="1786"/>
      <c r="I56" s="1786"/>
      <c r="J56" s="182"/>
      <c r="K56" s="298"/>
    </row>
    <row r="57" spans="1:11" s="18" customFormat="1">
      <c r="A57" s="297"/>
      <c r="B57" s="297"/>
      <c r="C57" s="297"/>
      <c r="D57" s="297"/>
      <c r="E57" s="297"/>
      <c r="F57" s="297"/>
      <c r="G57" s="297"/>
      <c r="H57" s="30"/>
      <c r="I57" s="31"/>
      <c r="J57" s="182"/>
      <c r="K57" s="298"/>
    </row>
    <row r="58" spans="1:11">
      <c r="A58" s="299"/>
      <c r="B58" s="299"/>
      <c r="C58" s="299"/>
      <c r="D58" s="299"/>
      <c r="E58" s="299"/>
      <c r="F58" s="299"/>
      <c r="G58" s="299"/>
      <c r="H58" s="31"/>
      <c r="I58" s="31"/>
      <c r="J58" s="295"/>
      <c r="K58" s="296"/>
    </row>
    <row r="59" spans="1:11">
      <c r="A59" s="299"/>
      <c r="B59" s="299"/>
      <c r="C59" s="299"/>
      <c r="D59" s="299"/>
      <c r="E59" s="299"/>
      <c r="F59" s="299"/>
      <c r="G59" s="299"/>
      <c r="H59" s="31"/>
      <c r="I59" s="31"/>
      <c r="J59" s="295"/>
      <c r="K59" s="296"/>
    </row>
    <row r="60" spans="1:11" ht="65.45" customHeight="1">
      <c r="A60" s="299"/>
      <c r="B60" s="1785"/>
      <c r="C60" s="1785"/>
      <c r="D60" s="1785"/>
      <c r="E60" s="1785"/>
      <c r="F60" s="1785"/>
      <c r="G60" s="1785"/>
      <c r="H60" s="1785"/>
      <c r="I60" s="1785"/>
      <c r="J60" s="295"/>
      <c r="K60" s="296"/>
    </row>
    <row r="61" spans="1:11">
      <c r="H61" s="13"/>
      <c r="I61" s="13"/>
    </row>
    <row r="62" spans="1:11">
      <c r="H62" s="13"/>
      <c r="I62" s="54"/>
    </row>
    <row r="63" spans="1:11">
      <c r="H63" s="13"/>
      <c r="I63" s="13"/>
    </row>
    <row r="64" spans="1:11">
      <c r="H64" s="13"/>
      <c r="I64" s="13"/>
    </row>
    <row r="65" spans="8:9">
      <c r="H65" s="13"/>
      <c r="I65" s="13"/>
    </row>
    <row r="66" spans="8:9">
      <c r="H66" s="13"/>
      <c r="I66" s="13"/>
    </row>
    <row r="67" spans="8:9">
      <c r="H67" s="13"/>
      <c r="I67" s="13"/>
    </row>
    <row r="68" spans="8:9">
      <c r="H68" s="13"/>
      <c r="I68" s="13"/>
    </row>
    <row r="69" spans="8:9">
      <c r="H69" s="13"/>
      <c r="I69" s="13"/>
    </row>
    <row r="70" spans="8:9">
      <c r="H70" s="13"/>
      <c r="I70" s="13"/>
    </row>
    <row r="71" spans="8:9">
      <c r="H71" s="13"/>
      <c r="I71" s="13"/>
    </row>
    <row r="72" spans="8:9">
      <c r="H72" s="13"/>
      <c r="I72" s="13"/>
    </row>
    <row r="73" spans="8:9">
      <c r="H73" s="13"/>
      <c r="I73" s="14"/>
    </row>
    <row r="74" spans="8:9">
      <c r="H74" s="13"/>
      <c r="I74" s="14"/>
    </row>
    <row r="75" spans="8:9">
      <c r="H75" s="13"/>
      <c r="I75" s="13"/>
    </row>
    <row r="76" spans="8:9">
      <c r="H76" s="13"/>
      <c r="I76" s="13"/>
    </row>
    <row r="77" spans="8:9">
      <c r="H77" s="13"/>
      <c r="I77" s="13"/>
    </row>
    <row r="78" spans="8:9">
      <c r="H78" s="13"/>
      <c r="I78" s="13"/>
    </row>
    <row r="79" spans="8:9">
      <c r="H79" s="13"/>
      <c r="I79" s="13"/>
    </row>
    <row r="80" spans="8:9">
      <c r="H80" s="13"/>
      <c r="I80" s="13"/>
    </row>
    <row r="81" spans="8:9">
      <c r="H81" s="13"/>
      <c r="I81" s="13"/>
    </row>
    <row r="82" spans="8:9">
      <c r="H82" s="13"/>
      <c r="I82" s="13"/>
    </row>
    <row r="83" spans="8:9">
      <c r="H83" s="13"/>
      <c r="I83" s="13"/>
    </row>
    <row r="84" spans="8:9">
      <c r="H84" s="13"/>
      <c r="I84" s="13"/>
    </row>
    <row r="85" spans="8:9">
      <c r="H85" s="13"/>
      <c r="I85" s="13"/>
    </row>
    <row r="86" spans="8:9">
      <c r="H86" s="13"/>
      <c r="I86" s="13"/>
    </row>
    <row r="87" spans="8:9">
      <c r="H87" s="13"/>
      <c r="I87" s="13"/>
    </row>
    <row r="88" spans="8:9">
      <c r="H88" s="16"/>
      <c r="I88" s="13"/>
    </row>
    <row r="89" spans="8:9">
      <c r="H89" s="18"/>
      <c r="I89" s="18"/>
    </row>
    <row r="90" spans="8:9">
      <c r="H90" s="6"/>
      <c r="I90" s="6"/>
    </row>
    <row r="91" spans="8:9">
      <c r="H91" s="6"/>
      <c r="I91" s="6"/>
    </row>
    <row r="92" spans="8:9">
      <c r="H92" s="6"/>
      <c r="I92" s="6"/>
    </row>
    <row r="93" spans="8:9">
      <c r="H93" s="6"/>
      <c r="I93" s="6"/>
    </row>
    <row r="197" spans="1:1">
      <c r="A197" s="294" t="s">
        <v>85</v>
      </c>
    </row>
  </sheetData>
  <customSheetViews>
    <customSheetView guid="{DA38F665-F06D-4DFB-B852-747D93BB00EF}" scale="75" showPageBreaks="1" printArea="1" view="pageBreakPreview">
      <pane xSplit="1" ySplit="9" topLeftCell="B10" activePane="bottomRight" state="frozen"/>
      <selection pane="bottomRight" activeCell="B210" sqref="B210"/>
      <pageMargins left="0.5" right="0.5" top="0.5" bottom="0.25" header="0.5" footer="0.5"/>
      <printOptions horizontalCentered="1"/>
      <pageSetup scale="70" orientation="landscape" r:id="rId1"/>
      <headerFooter alignWithMargins="0">
        <oddFooter>&amp;C&amp;"Times New Roman,Regular"Exhibit L - Summary of Requirements by Object Class&amp;R&amp;"Times New Roman,Regular"Public Safety Officers' Benefits</oddFooter>
      </headerFooter>
    </customSheetView>
    <customSheetView guid="{4D0F9E3D-0229-48CC-A08B-F132802E9D7B}" scale="75" showPageBreaks="1" printArea="1" hiddenColumns="1" view="pageBreakPreview">
      <pane xSplit="1" ySplit="9" topLeftCell="B10" activePane="bottomRight" state="frozen"/>
      <selection pane="bottomRight" activeCell="F24" sqref="F24"/>
      <pageMargins left="0.5" right="0.5" top="0.5" bottom="0.25" header="0.5" footer="0.5"/>
      <printOptions horizontalCentered="1"/>
      <pageSetup scale="70" orientation="landscape" r:id="rId2"/>
      <headerFooter alignWithMargins="0">
        <oddFooter>&amp;C&amp;"Times New Roman,Regular"Exhibit L - Summary of Requirements by Object Class&amp;R&amp;"Times New Roman,Regular"Public Safety Officers' Benefits</oddFooter>
      </headerFooter>
    </customSheetView>
    <customSheetView guid="{F6772377-6B25-4EEA-B255-4C2F62B37855}" scale="75" showPageBreaks="1" printArea="1" view="pageBreakPreview">
      <pane xSplit="1" ySplit="9" topLeftCell="B10" activePane="bottomRight" state="frozen"/>
      <selection pane="bottomRight" activeCell="J9" sqref="J9"/>
      <pageMargins left="0.5" right="0.5" top="0.5" bottom="0.25" header="0.5" footer="0.5"/>
      <printOptions horizontalCentered="1"/>
      <pageSetup scale="70" orientation="landscape" r:id="rId3"/>
      <headerFooter alignWithMargins="0">
        <oddFooter>&amp;C&amp;"Times New Roman,Regular"Exhibit L - Summary of Requirements by Object Class&amp;R&amp;"Times New Roman,Regular"Public Safety Officers' Benefits</oddFooter>
      </headerFooter>
    </customSheetView>
    <customSheetView guid="{27B9C207-C13F-4981-9CED-E69585BBD779}" scale="75" showPageBreaks="1" printArea="1" view="pageBreakPreview">
      <pane xSplit="1" ySplit="9" topLeftCell="B37" activePane="bottomRight" state="frozen"/>
      <selection pane="bottomRight" activeCell="A39" sqref="A39:I39"/>
      <pageMargins left="0.5" right="0.5" top="0.5" bottom="0.25" header="0.5" footer="0.5"/>
      <printOptions horizontalCentered="1"/>
      <pageSetup scale="70" orientation="landscape" r:id="rId4"/>
      <headerFooter alignWithMargins="0">
        <oddFooter>&amp;C&amp;"Times New Roman,Regular"Exhibit L - Summary of Requirements by Object Class&amp;R&amp;"Times New Roman,Regular"Public Safety Officers' Benefits</oddFooter>
      </headerFooter>
    </customSheetView>
  </customSheetViews>
  <mergeCells count="25">
    <mergeCell ref="A6:I6"/>
    <mergeCell ref="A1:I1"/>
    <mergeCell ref="A2:I2"/>
    <mergeCell ref="A3:I3"/>
    <mergeCell ref="A4:I4"/>
    <mergeCell ref="A5:I5"/>
    <mergeCell ref="A50:I50"/>
    <mergeCell ref="A7:I7"/>
    <mergeCell ref="A8:A9"/>
    <mergeCell ref="B8:C8"/>
    <mergeCell ref="D8:E8"/>
    <mergeCell ref="F8:G8"/>
    <mergeCell ref="H8:I8"/>
    <mergeCell ref="L38:W40"/>
    <mergeCell ref="A45:J45"/>
    <mergeCell ref="A47:I47"/>
    <mergeCell ref="A48:I48"/>
    <mergeCell ref="A49:I49"/>
    <mergeCell ref="B60:I60"/>
    <mergeCell ref="A51:I51"/>
    <mergeCell ref="A52:I52"/>
    <mergeCell ref="A53:I53"/>
    <mergeCell ref="A54:I54"/>
    <mergeCell ref="A55:K55"/>
    <mergeCell ref="B56:I56"/>
  </mergeCells>
  <printOptions horizontalCentered="1"/>
  <pageMargins left="0.5" right="0.5" top="0.5" bottom="0.25" header="0.5" footer="0.5"/>
  <pageSetup scale="70" orientation="landscape" r:id="rId5"/>
  <headerFooter alignWithMargins="0">
    <oddFooter>&amp;C&amp;"Times New Roman,Regular"Exhibit L - Summary of Requirements by Object Class&amp;R&amp;"Times New Roman,Regular"Public Safety Officers' Benefits</oddFooter>
  </headerFooter>
</worksheet>
</file>

<file path=xl/worksheets/sheet44.xml><?xml version="1.0" encoding="utf-8"?>
<worksheet xmlns="http://schemas.openxmlformats.org/spreadsheetml/2006/main" xmlns:r="http://schemas.openxmlformats.org/officeDocument/2006/relationships">
  <sheetPr>
    <pageSetUpPr fitToPage="1"/>
  </sheetPr>
  <dimension ref="A1:Y89"/>
  <sheetViews>
    <sheetView showGridLines="0" showOutlineSymbols="0" view="pageBreakPreview" topLeftCell="A49" zoomScale="65" zoomScaleNormal="100" zoomScaleSheetLayoutView="65" workbookViewId="0">
      <selection activeCell="C30" sqref="C30"/>
    </sheetView>
  </sheetViews>
  <sheetFormatPr defaultColWidth="8.88671875" defaultRowHeight="15.75"/>
  <cols>
    <col min="1" max="2" width="2.5546875" style="271" customWidth="1"/>
    <col min="3" max="3" width="42" style="271" customWidth="1"/>
    <col min="4" max="4" width="6.88671875" style="18" customWidth="1"/>
    <col min="5" max="5" width="6.21875" style="18" customWidth="1"/>
    <col min="6" max="6" width="10.21875" style="18" customWidth="1"/>
    <col min="7" max="7" width="8.44140625" style="18" bestFit="1" customWidth="1"/>
    <col min="8" max="8" width="6.21875" style="18" customWidth="1"/>
    <col min="9" max="9" width="9.77734375" style="18" customWidth="1"/>
    <col min="10" max="10" width="6.21875" style="18" bestFit="1" customWidth="1"/>
    <col min="11" max="11" width="5.6640625" style="18" customWidth="1"/>
    <col min="12" max="12" width="9.33203125" style="18" bestFit="1" customWidth="1"/>
    <col min="13" max="13" width="7" style="18" bestFit="1" customWidth="1"/>
    <col min="14" max="14" width="6.109375" style="18" customWidth="1"/>
    <col min="15" max="15" width="9.77734375" style="18" customWidth="1"/>
    <col min="16" max="17" width="5.6640625" style="18" customWidth="1"/>
    <col min="18" max="18" width="9.109375" style="18" customWidth="1"/>
    <col min="19" max="19" width="7.109375" style="18" customWidth="1"/>
    <col min="20" max="20" width="5.6640625" style="18" customWidth="1"/>
    <col min="21" max="21" width="7" style="18" customWidth="1"/>
    <col min="22" max="22" width="9.5546875" style="18" customWidth="1"/>
    <col min="23" max="23" width="9.77734375" style="18" bestFit="1" customWidth="1"/>
    <col min="24" max="24" width="13.21875" style="18" bestFit="1" customWidth="1"/>
    <col min="25" max="25" width="6.5546875" style="68" customWidth="1"/>
    <col min="26" max="26" width="7.6640625" style="271" customWidth="1"/>
    <col min="27" max="16384" width="8.88671875" style="271"/>
  </cols>
  <sheetData>
    <row r="1" spans="1:25" ht="20.25">
      <c r="A1" s="1592" t="s">
        <v>144</v>
      </c>
      <c r="B1" s="1593"/>
      <c r="C1" s="1593"/>
      <c r="D1" s="1593"/>
      <c r="E1" s="1593"/>
      <c r="F1" s="1593"/>
      <c r="G1" s="1593"/>
      <c r="H1" s="1593"/>
      <c r="I1" s="1593"/>
      <c r="J1" s="1593"/>
      <c r="K1" s="1593"/>
      <c r="L1" s="1593"/>
      <c r="M1" s="1593"/>
      <c r="N1" s="1593"/>
      <c r="O1" s="1593"/>
      <c r="P1" s="1593"/>
      <c r="Q1" s="1593"/>
      <c r="R1" s="1593"/>
      <c r="S1" s="1593"/>
      <c r="T1" s="1593"/>
      <c r="U1" s="1593"/>
      <c r="V1" s="1593"/>
      <c r="W1" s="1593"/>
      <c r="X1" s="1593"/>
      <c r="Y1" s="67" t="s">
        <v>0</v>
      </c>
    </row>
    <row r="2" spans="1:25">
      <c r="A2" s="1867"/>
      <c r="B2" s="1867"/>
      <c r="C2" s="1867"/>
      <c r="D2" s="1867"/>
      <c r="E2" s="1867"/>
      <c r="F2" s="1867"/>
      <c r="G2" s="1867"/>
      <c r="H2" s="1867"/>
      <c r="I2" s="1867"/>
      <c r="J2" s="1867"/>
      <c r="K2" s="1867"/>
      <c r="L2" s="1867"/>
      <c r="M2" s="1867"/>
      <c r="N2" s="1867"/>
      <c r="O2" s="1867"/>
      <c r="P2" s="1867"/>
      <c r="Q2" s="1867"/>
      <c r="R2" s="1867"/>
      <c r="S2" s="1867"/>
      <c r="T2" s="1867"/>
      <c r="U2" s="1867"/>
      <c r="V2" s="1867"/>
      <c r="W2" s="1867"/>
      <c r="X2" s="1867"/>
      <c r="Y2" s="67" t="s">
        <v>0</v>
      </c>
    </row>
    <row r="3" spans="1:25">
      <c r="A3" s="1595"/>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67" t="s">
        <v>0</v>
      </c>
    </row>
    <row r="4" spans="1:25" ht="22.5">
      <c r="A4" s="1568" t="s">
        <v>107</v>
      </c>
      <c r="B4" s="1561"/>
      <c r="C4" s="1561"/>
      <c r="D4" s="1561"/>
      <c r="E4" s="1561"/>
      <c r="F4" s="1561"/>
      <c r="G4" s="1561"/>
      <c r="H4" s="1561"/>
      <c r="I4" s="1561"/>
      <c r="J4" s="1561"/>
      <c r="K4" s="1561"/>
      <c r="L4" s="1561"/>
      <c r="M4" s="1561"/>
      <c r="N4" s="1561"/>
      <c r="O4" s="1561"/>
      <c r="P4" s="1561"/>
      <c r="Q4" s="1561"/>
      <c r="R4" s="1561"/>
      <c r="S4" s="1561"/>
      <c r="T4" s="1561"/>
      <c r="U4" s="1561"/>
      <c r="V4" s="1561"/>
      <c r="W4" s="1561"/>
      <c r="X4" s="1561"/>
      <c r="Y4" s="67" t="s">
        <v>0</v>
      </c>
    </row>
    <row r="5" spans="1:25" ht="23.25">
      <c r="A5" s="1553" t="s">
        <v>190</v>
      </c>
      <c r="B5" s="1562"/>
      <c r="C5" s="1562"/>
      <c r="D5" s="1562"/>
      <c r="E5" s="1562"/>
      <c r="F5" s="1562"/>
      <c r="G5" s="1562"/>
      <c r="H5" s="1562"/>
      <c r="I5" s="1562"/>
      <c r="J5" s="1562"/>
      <c r="K5" s="1562"/>
      <c r="L5" s="1562"/>
      <c r="M5" s="1562"/>
      <c r="N5" s="1562"/>
      <c r="O5" s="1562"/>
      <c r="P5" s="1562"/>
      <c r="Q5" s="1562"/>
      <c r="R5" s="1562"/>
      <c r="S5" s="1562"/>
      <c r="T5" s="1562"/>
      <c r="U5" s="1562"/>
      <c r="V5" s="1562"/>
      <c r="W5" s="1562"/>
      <c r="X5" s="1562"/>
      <c r="Y5" s="67" t="s">
        <v>0</v>
      </c>
    </row>
    <row r="6" spans="1:25" ht="23.25">
      <c r="A6" s="1553" t="s">
        <v>448</v>
      </c>
      <c r="B6" s="1561"/>
      <c r="C6" s="1561"/>
      <c r="D6" s="1561"/>
      <c r="E6" s="1561"/>
      <c r="F6" s="1561"/>
      <c r="G6" s="1561"/>
      <c r="H6" s="1561"/>
      <c r="I6" s="1561"/>
      <c r="J6" s="1561"/>
      <c r="K6" s="1561"/>
      <c r="L6" s="1561"/>
      <c r="M6" s="1561"/>
      <c r="N6" s="1561"/>
      <c r="O6" s="1561"/>
      <c r="P6" s="1561"/>
      <c r="Q6" s="1561"/>
      <c r="R6" s="1561"/>
      <c r="S6" s="1561"/>
      <c r="T6" s="1561"/>
      <c r="U6" s="1561"/>
      <c r="V6" s="1561"/>
      <c r="W6" s="1561"/>
      <c r="X6" s="1561"/>
      <c r="Y6" s="67" t="s">
        <v>0</v>
      </c>
    </row>
    <row r="7" spans="1:25" ht="23.25">
      <c r="A7" s="1553" t="s">
        <v>98</v>
      </c>
      <c r="B7" s="1562"/>
      <c r="C7" s="1562"/>
      <c r="D7" s="1562"/>
      <c r="E7" s="1562"/>
      <c r="F7" s="1562"/>
      <c r="G7" s="1562"/>
      <c r="H7" s="1562"/>
      <c r="I7" s="1562"/>
      <c r="J7" s="1562"/>
      <c r="K7" s="1562"/>
      <c r="L7" s="1562"/>
      <c r="M7" s="1562"/>
      <c r="N7" s="1562"/>
      <c r="O7" s="1562"/>
      <c r="P7" s="1562"/>
      <c r="Q7" s="1562"/>
      <c r="R7" s="1562"/>
      <c r="S7" s="1562"/>
      <c r="T7" s="1562"/>
      <c r="U7" s="1562"/>
      <c r="V7" s="1562"/>
      <c r="W7" s="1562"/>
      <c r="X7" s="1562"/>
      <c r="Y7" s="67" t="s">
        <v>0</v>
      </c>
    </row>
    <row r="8" spans="1:25" ht="23.25">
      <c r="A8" s="1596"/>
      <c r="B8" s="1596"/>
      <c r="C8" s="1596"/>
      <c r="D8" s="1596"/>
      <c r="E8" s="1596"/>
      <c r="F8" s="1596"/>
      <c r="G8" s="1596"/>
      <c r="H8" s="1596"/>
      <c r="I8" s="1596"/>
      <c r="J8" s="1596"/>
      <c r="K8" s="1596"/>
      <c r="L8" s="1596"/>
      <c r="M8" s="1596"/>
      <c r="N8" s="1596"/>
      <c r="O8" s="1596"/>
      <c r="P8" s="1596"/>
      <c r="Q8" s="1596"/>
      <c r="R8" s="1596"/>
      <c r="S8" s="1596"/>
      <c r="T8" s="1596"/>
      <c r="U8" s="1596"/>
      <c r="V8" s="1596"/>
      <c r="W8" s="1596"/>
      <c r="X8" s="1596"/>
      <c r="Y8" s="67" t="s">
        <v>0</v>
      </c>
    </row>
    <row r="9" spans="1:25" ht="23.25">
      <c r="A9" s="1596"/>
      <c r="B9" s="1596"/>
      <c r="C9" s="1596"/>
      <c r="D9" s="1596"/>
      <c r="E9" s="1596"/>
      <c r="F9" s="1596"/>
      <c r="G9" s="1596"/>
      <c r="H9" s="1596"/>
      <c r="I9" s="1596"/>
      <c r="J9" s="1596"/>
      <c r="K9" s="1596"/>
      <c r="L9" s="1596"/>
      <c r="M9" s="1596"/>
      <c r="N9" s="1596"/>
      <c r="O9" s="1596"/>
      <c r="P9" s="1596"/>
      <c r="Q9" s="1596"/>
      <c r="R9" s="1596"/>
      <c r="S9" s="1596"/>
      <c r="T9" s="1596"/>
      <c r="U9" s="1596"/>
      <c r="V9" s="1596"/>
      <c r="W9" s="1596"/>
      <c r="X9" s="1596"/>
      <c r="Y9" s="67" t="s">
        <v>0</v>
      </c>
    </row>
    <row r="10" spans="1:25" ht="23.25">
      <c r="A10" s="1596"/>
      <c r="B10" s="1596"/>
      <c r="C10" s="1596"/>
      <c r="D10" s="1596"/>
      <c r="E10" s="1596"/>
      <c r="F10" s="1596"/>
      <c r="G10" s="1596"/>
      <c r="H10" s="1596"/>
      <c r="I10" s="1596"/>
      <c r="J10" s="1596"/>
      <c r="K10" s="1596"/>
      <c r="L10" s="1596"/>
      <c r="M10" s="1596"/>
      <c r="N10" s="1596"/>
      <c r="O10" s="1596"/>
      <c r="P10" s="1596"/>
      <c r="Q10" s="1596"/>
      <c r="R10" s="1596"/>
      <c r="S10" s="1596"/>
      <c r="T10" s="1596"/>
      <c r="U10" s="1596"/>
      <c r="V10" s="1596"/>
      <c r="W10" s="1596"/>
      <c r="X10" s="1596"/>
      <c r="Y10" s="67" t="s">
        <v>0</v>
      </c>
    </row>
    <row r="11" spans="1:25">
      <c r="A11" s="1595"/>
      <c r="B11" s="1595"/>
      <c r="C11" s="1595"/>
      <c r="D11" s="1595"/>
      <c r="E11" s="1595"/>
      <c r="F11" s="1595"/>
      <c r="G11" s="1595"/>
      <c r="H11" s="1595"/>
      <c r="I11" s="1595"/>
      <c r="J11" s="1595"/>
      <c r="K11" s="1595"/>
      <c r="L11" s="1595"/>
      <c r="M11" s="1595"/>
      <c r="N11" s="1595"/>
      <c r="O11" s="1595"/>
      <c r="P11" s="1595"/>
      <c r="Q11" s="1595"/>
      <c r="R11" s="1595"/>
      <c r="S11" s="1595"/>
      <c r="T11" s="1595"/>
      <c r="U11" s="1603"/>
      <c r="V11" s="1600" t="s">
        <v>148</v>
      </c>
      <c r="W11" s="1601"/>
      <c r="X11" s="1602"/>
      <c r="Y11" s="67" t="s">
        <v>0</v>
      </c>
    </row>
    <row r="12" spans="1:25">
      <c r="A12" s="1595"/>
      <c r="B12" s="1595"/>
      <c r="C12" s="1595"/>
      <c r="D12" s="1595"/>
      <c r="E12" s="1595"/>
      <c r="F12" s="1595"/>
      <c r="G12" s="1595"/>
      <c r="H12" s="1595"/>
      <c r="I12" s="1595"/>
      <c r="J12" s="1595"/>
      <c r="K12" s="1595"/>
      <c r="L12" s="1595"/>
      <c r="M12" s="1595"/>
      <c r="N12" s="1595"/>
      <c r="O12" s="1595"/>
      <c r="P12" s="1595"/>
      <c r="Q12" s="1595"/>
      <c r="R12" s="1595"/>
      <c r="S12" s="1595"/>
      <c r="T12" s="1595"/>
      <c r="U12" s="1603"/>
      <c r="V12" s="1606" t="s">
        <v>11</v>
      </c>
      <c r="W12" s="1599" t="s">
        <v>25</v>
      </c>
      <c r="X12" s="1597" t="s">
        <v>117</v>
      </c>
      <c r="Y12" s="67" t="s">
        <v>0</v>
      </c>
    </row>
    <row r="13" spans="1:25" ht="16.5" thickBot="1">
      <c r="A13" s="1604"/>
      <c r="B13" s="1604"/>
      <c r="C13" s="1604"/>
      <c r="D13" s="1604"/>
      <c r="E13" s="1604"/>
      <c r="F13" s="1604"/>
      <c r="G13" s="1604"/>
      <c r="H13" s="1604"/>
      <c r="I13" s="1604"/>
      <c r="J13" s="1604"/>
      <c r="K13" s="1604"/>
      <c r="L13" s="1604"/>
      <c r="M13" s="1604"/>
      <c r="N13" s="1604"/>
      <c r="O13" s="1604"/>
      <c r="P13" s="1604"/>
      <c r="Q13" s="1604"/>
      <c r="R13" s="1604"/>
      <c r="S13" s="1604"/>
      <c r="T13" s="1604"/>
      <c r="U13" s="1605"/>
      <c r="V13" s="1607"/>
      <c r="W13" s="1598"/>
      <c r="X13" s="1598"/>
      <c r="Y13" s="67" t="s">
        <v>0</v>
      </c>
    </row>
    <row r="14" spans="1:25">
      <c r="A14" s="1579" t="s">
        <v>172</v>
      </c>
      <c r="B14" s="1580"/>
      <c r="C14" s="1580"/>
      <c r="D14" s="1580"/>
      <c r="E14" s="1580"/>
      <c r="F14" s="1580"/>
      <c r="G14" s="1580"/>
      <c r="H14" s="1580"/>
      <c r="I14" s="1580"/>
      <c r="J14" s="1580"/>
      <c r="K14" s="1580"/>
      <c r="L14" s="1580"/>
      <c r="M14" s="1580"/>
      <c r="N14" s="1580"/>
      <c r="O14" s="1580"/>
      <c r="P14" s="1580"/>
      <c r="Q14" s="1580"/>
      <c r="R14" s="1580"/>
      <c r="S14" s="1580"/>
      <c r="T14" s="1580"/>
      <c r="U14" s="1580"/>
      <c r="V14" s="1128">
        <v>0</v>
      </c>
      <c r="W14" s="1128">
        <v>0</v>
      </c>
      <c r="X14" s="102">
        <v>705000</v>
      </c>
      <c r="Y14" s="67" t="s">
        <v>0</v>
      </c>
    </row>
    <row r="15" spans="1:25">
      <c r="A15" s="1579" t="s">
        <v>171</v>
      </c>
      <c r="B15" s="1580"/>
      <c r="C15" s="1580"/>
      <c r="D15" s="1580"/>
      <c r="E15" s="1580"/>
      <c r="F15" s="1580"/>
      <c r="G15" s="1580"/>
      <c r="H15" s="1580"/>
      <c r="I15" s="1580"/>
      <c r="J15" s="1580"/>
      <c r="K15" s="1580"/>
      <c r="L15" s="1580"/>
      <c r="M15" s="1580"/>
      <c r="N15" s="1580"/>
      <c r="O15" s="1580"/>
      <c r="P15" s="1580"/>
      <c r="Q15" s="1580"/>
      <c r="R15" s="1580"/>
      <c r="S15" s="1580"/>
      <c r="T15" s="1580"/>
      <c r="U15" s="1580"/>
      <c r="V15" s="430"/>
      <c r="W15" s="430"/>
      <c r="X15" s="429">
        <v>705000</v>
      </c>
      <c r="Y15" s="67" t="s">
        <v>0</v>
      </c>
    </row>
    <row r="16" spans="1:25" ht="18.75" customHeight="1">
      <c r="A16" s="1849" t="s">
        <v>149</v>
      </c>
      <c r="B16" s="2154"/>
      <c r="C16" s="2154"/>
      <c r="D16" s="2154"/>
      <c r="E16" s="2154"/>
      <c r="F16" s="2154"/>
      <c r="G16" s="2154"/>
      <c r="H16" s="2154"/>
      <c r="I16" s="2154"/>
      <c r="J16" s="2154"/>
      <c r="K16" s="2154"/>
      <c r="L16" s="2154"/>
      <c r="M16" s="2154"/>
      <c r="N16" s="2154"/>
      <c r="O16" s="2154"/>
      <c r="P16" s="2154"/>
      <c r="Q16" s="2154"/>
      <c r="R16" s="2154"/>
      <c r="S16" s="2154"/>
      <c r="T16" s="2154"/>
      <c r="U16" s="2154"/>
      <c r="V16" s="430"/>
      <c r="W16" s="430"/>
      <c r="X16" s="427">
        <v>0</v>
      </c>
      <c r="Y16" s="67" t="s">
        <v>0</v>
      </c>
    </row>
    <row r="17" spans="1:25">
      <c r="A17" s="1583" t="s">
        <v>597</v>
      </c>
      <c r="B17" s="1584"/>
      <c r="C17" s="1584"/>
      <c r="D17" s="1584"/>
      <c r="E17" s="1584"/>
      <c r="F17" s="1584"/>
      <c r="G17" s="1584"/>
      <c r="H17" s="1584"/>
      <c r="I17" s="1584"/>
      <c r="J17" s="1584"/>
      <c r="K17" s="1584"/>
      <c r="L17" s="1584"/>
      <c r="M17" s="1584"/>
      <c r="N17" s="1584"/>
      <c r="O17" s="1584"/>
      <c r="P17" s="1584"/>
      <c r="Q17" s="1584"/>
      <c r="R17" s="1584"/>
      <c r="S17" s="1584"/>
      <c r="T17" s="1584"/>
      <c r="U17" s="1584"/>
      <c r="V17" s="106">
        <f>+V16+V15</f>
        <v>0</v>
      </c>
      <c r="W17" s="106">
        <f>+W16+W15</f>
        <v>0</v>
      </c>
      <c r="X17" s="70">
        <f>+X16+X15</f>
        <v>705000</v>
      </c>
      <c r="Y17" s="67" t="s">
        <v>0</v>
      </c>
    </row>
    <row r="18" spans="1:25">
      <c r="A18" s="1565" t="s">
        <v>20</v>
      </c>
      <c r="B18" s="1566"/>
      <c r="C18" s="1566"/>
      <c r="D18" s="1566"/>
      <c r="E18" s="1566"/>
      <c r="F18" s="1566"/>
      <c r="G18" s="1566"/>
      <c r="H18" s="1566"/>
      <c r="I18" s="1566"/>
      <c r="J18" s="1566"/>
      <c r="K18" s="1566"/>
      <c r="L18" s="1566"/>
      <c r="M18" s="1566"/>
      <c r="N18" s="1566"/>
      <c r="O18" s="1566"/>
      <c r="P18" s="1566"/>
      <c r="Q18" s="1566"/>
      <c r="R18" s="1566"/>
      <c r="S18" s="1566"/>
      <c r="T18" s="1566"/>
      <c r="U18" s="1566"/>
      <c r="V18" s="425"/>
      <c r="W18" s="425"/>
      <c r="X18" s="425">
        <v>0</v>
      </c>
      <c r="Y18" s="67" t="s">
        <v>0</v>
      </c>
    </row>
    <row r="19" spans="1:25">
      <c r="A19" s="1589" t="s">
        <v>150</v>
      </c>
      <c r="B19" s="1590"/>
      <c r="C19" s="1590"/>
      <c r="D19" s="1590"/>
      <c r="E19" s="1590"/>
      <c r="F19" s="1590"/>
      <c r="G19" s="1590"/>
      <c r="H19" s="1590"/>
      <c r="I19" s="1590"/>
      <c r="J19" s="1590"/>
      <c r="K19" s="1590"/>
      <c r="L19" s="1590"/>
      <c r="M19" s="1590"/>
      <c r="N19" s="1590"/>
      <c r="O19" s="1590"/>
      <c r="P19" s="1590"/>
      <c r="Q19" s="1590"/>
      <c r="R19" s="1590"/>
      <c r="S19" s="1590"/>
      <c r="T19" s="1590"/>
      <c r="U19" s="1591"/>
      <c r="V19" s="99">
        <f>+V18+V17</f>
        <v>0</v>
      </c>
      <c r="W19" s="99">
        <f>+W18+W17</f>
        <v>0</v>
      </c>
      <c r="X19" s="99">
        <f>+X18+X17</f>
        <v>705000</v>
      </c>
      <c r="Y19" s="67" t="s">
        <v>0</v>
      </c>
    </row>
    <row r="20" spans="1:25">
      <c r="A20" s="1549" t="s">
        <v>62</v>
      </c>
      <c r="B20" s="1550"/>
      <c r="C20" s="1550"/>
      <c r="D20" s="1550"/>
      <c r="E20" s="1550"/>
      <c r="F20" s="1550"/>
      <c r="G20" s="1550"/>
      <c r="H20" s="1550"/>
      <c r="I20" s="1550"/>
      <c r="J20" s="1550"/>
      <c r="K20" s="1550"/>
      <c r="L20" s="1550"/>
      <c r="M20" s="1550"/>
      <c r="N20" s="1550"/>
      <c r="O20" s="1550"/>
      <c r="P20" s="1550"/>
      <c r="Q20" s="1550"/>
      <c r="R20" s="1550"/>
      <c r="S20" s="1550"/>
      <c r="T20" s="1550"/>
      <c r="U20" s="1550"/>
      <c r="V20" s="425"/>
      <c r="W20" s="425"/>
      <c r="X20" s="388"/>
      <c r="Y20" s="67" t="s">
        <v>0</v>
      </c>
    </row>
    <row r="21" spans="1:25">
      <c r="A21" s="1565" t="s">
        <v>164</v>
      </c>
      <c r="B21" s="1566"/>
      <c r="C21" s="1566"/>
      <c r="D21" s="1566"/>
      <c r="E21" s="1566"/>
      <c r="F21" s="1566"/>
      <c r="G21" s="1566"/>
      <c r="H21" s="1566"/>
      <c r="I21" s="1566"/>
      <c r="J21" s="1566"/>
      <c r="K21" s="1566"/>
      <c r="L21" s="1566"/>
      <c r="M21" s="1566"/>
      <c r="N21" s="1566"/>
      <c r="O21" s="1566"/>
      <c r="P21" s="1566"/>
      <c r="Q21" s="1566"/>
      <c r="R21" s="1566"/>
      <c r="S21" s="1566"/>
      <c r="T21" s="1566"/>
      <c r="U21" s="1566"/>
      <c r="V21" s="425" t="s">
        <v>116</v>
      </c>
      <c r="W21" s="425"/>
      <c r="X21" s="388"/>
      <c r="Y21" s="67" t="s">
        <v>0</v>
      </c>
    </row>
    <row r="22" spans="1:25">
      <c r="A22" s="1065"/>
      <c r="B22" s="1129"/>
      <c r="C22" s="1045" t="s">
        <v>605</v>
      </c>
      <c r="D22" s="1129"/>
      <c r="E22" s="1129"/>
      <c r="F22" s="1129"/>
      <c r="G22" s="1129"/>
      <c r="H22" s="1129"/>
      <c r="I22" s="1129"/>
      <c r="J22" s="1129"/>
      <c r="K22" s="1129"/>
      <c r="L22" s="1129"/>
      <c r="M22" s="1129"/>
      <c r="N22" s="1129"/>
      <c r="O22" s="1129"/>
      <c r="P22" s="1129"/>
      <c r="Q22" s="1129"/>
      <c r="R22" s="1129"/>
      <c r="S22" s="1129"/>
      <c r="T22" s="1129"/>
      <c r="U22" s="1129"/>
      <c r="V22" s="425"/>
      <c r="W22" s="388"/>
      <c r="X22" s="388">
        <v>365000</v>
      </c>
      <c r="Y22" s="67" t="s">
        <v>0</v>
      </c>
    </row>
    <row r="23" spans="1:25">
      <c r="A23" s="2118" t="s">
        <v>235</v>
      </c>
      <c r="B23" s="2155"/>
      <c r="C23" s="2155"/>
      <c r="D23" s="2155"/>
      <c r="E23" s="2155"/>
      <c r="F23" s="2155"/>
      <c r="G23" s="2155"/>
      <c r="H23" s="2155"/>
      <c r="I23" s="2155"/>
      <c r="J23" s="2155"/>
      <c r="K23" s="2155"/>
      <c r="L23" s="2155"/>
      <c r="M23" s="2155"/>
      <c r="N23" s="2155"/>
      <c r="O23" s="2155"/>
      <c r="P23" s="2155"/>
      <c r="Q23" s="2155"/>
      <c r="R23" s="2155"/>
      <c r="S23" s="2155"/>
      <c r="T23" s="2155"/>
      <c r="U23" s="2155"/>
      <c r="V23" s="424">
        <f t="shared" ref="V23:W23" si="0">V22</f>
        <v>0</v>
      </c>
      <c r="W23" s="388">
        <f t="shared" si="0"/>
        <v>0</v>
      </c>
      <c r="X23" s="388">
        <f>X22</f>
        <v>365000</v>
      </c>
      <c r="Y23" s="67" t="s">
        <v>0</v>
      </c>
    </row>
    <row r="24" spans="1:25" ht="18" customHeight="1">
      <c r="A24" s="1565" t="s">
        <v>63</v>
      </c>
      <c r="B24" s="1566"/>
      <c r="C24" s="1566"/>
      <c r="D24" s="1566"/>
      <c r="E24" s="1566"/>
      <c r="F24" s="1566"/>
      <c r="G24" s="1566"/>
      <c r="H24" s="1566"/>
      <c r="I24" s="1566"/>
      <c r="J24" s="1566"/>
      <c r="K24" s="1566"/>
      <c r="L24" s="1566"/>
      <c r="M24" s="1566"/>
      <c r="N24" s="1566"/>
      <c r="O24" s="1566"/>
      <c r="P24" s="1566"/>
      <c r="Q24" s="1566"/>
      <c r="R24" s="1566"/>
      <c r="S24" s="1566"/>
      <c r="T24" s="1566"/>
      <c r="U24" s="1566"/>
      <c r="V24" s="423">
        <v>0</v>
      </c>
      <c r="W24" s="423">
        <v>0</v>
      </c>
      <c r="X24" s="423">
        <f>X23</f>
        <v>365000</v>
      </c>
      <c r="Y24" s="67" t="s">
        <v>0</v>
      </c>
    </row>
    <row r="25" spans="1:25" ht="15.75" customHeight="1">
      <c r="A25" s="2151" t="s">
        <v>232</v>
      </c>
      <c r="B25" s="2152"/>
      <c r="C25" s="2152"/>
      <c r="D25" s="2152"/>
      <c r="E25" s="2152"/>
      <c r="F25" s="2152"/>
      <c r="G25" s="2152"/>
      <c r="H25" s="2152"/>
      <c r="I25" s="2152"/>
      <c r="J25" s="2152"/>
      <c r="K25" s="2152"/>
      <c r="L25" s="2152"/>
      <c r="M25" s="2152"/>
      <c r="N25" s="2152"/>
      <c r="O25" s="2152"/>
      <c r="P25" s="2152"/>
      <c r="Q25" s="2152"/>
      <c r="R25" s="2152"/>
      <c r="S25" s="2152"/>
      <c r="T25" s="2152"/>
      <c r="U25" s="2153"/>
      <c r="V25" s="277">
        <f>V19+V24</f>
        <v>0</v>
      </c>
      <c r="W25" s="277">
        <f>W19+W24</f>
        <v>0</v>
      </c>
      <c r="X25" s="277">
        <f>X19+X24</f>
        <v>1070000</v>
      </c>
      <c r="Y25" s="67" t="s">
        <v>0</v>
      </c>
    </row>
    <row r="26" spans="1:25" ht="15.75" customHeight="1">
      <c r="A26" s="1462" t="s">
        <v>598</v>
      </c>
      <c r="B26" s="1469" t="s">
        <v>598</v>
      </c>
      <c r="C26" s="1120"/>
      <c r="D26" s="1120"/>
      <c r="E26" s="1120"/>
      <c r="F26" s="1120"/>
      <c r="G26" s="1120"/>
      <c r="H26" s="1120"/>
      <c r="I26" s="1120"/>
      <c r="J26" s="1120"/>
      <c r="K26" s="1120"/>
      <c r="L26" s="1120"/>
      <c r="M26" s="1120"/>
      <c r="N26" s="1120"/>
      <c r="O26" s="1120"/>
      <c r="P26" s="1120"/>
      <c r="Q26" s="1120"/>
      <c r="R26" s="1120"/>
      <c r="S26" s="1120"/>
      <c r="T26" s="1120"/>
      <c r="U26" s="1466"/>
      <c r="V26" s="1121"/>
      <c r="W26" s="1121"/>
      <c r="X26" s="1121"/>
      <c r="Y26" s="67" t="s">
        <v>0</v>
      </c>
    </row>
    <row r="27" spans="1:25" ht="15.75" customHeight="1">
      <c r="A27" s="1463" t="s">
        <v>294</v>
      </c>
      <c r="B27" s="1122"/>
      <c r="C27" s="1126" t="s">
        <v>294</v>
      </c>
      <c r="D27" s="1122"/>
      <c r="E27" s="1122"/>
      <c r="F27" s="1122"/>
      <c r="G27" s="1122"/>
      <c r="H27" s="1122"/>
      <c r="I27" s="1122"/>
      <c r="J27" s="1122"/>
      <c r="K27" s="1122"/>
      <c r="L27" s="1122"/>
      <c r="M27" s="1122"/>
      <c r="N27" s="1122"/>
      <c r="O27" s="1122"/>
      <c r="P27" s="1122"/>
      <c r="Q27" s="1122"/>
      <c r="R27" s="1122"/>
      <c r="S27" s="1122"/>
      <c r="T27" s="1122"/>
      <c r="U27" s="1467"/>
      <c r="V27" s="99"/>
      <c r="W27" s="99"/>
      <c r="X27" s="558">
        <v>-23000</v>
      </c>
      <c r="Y27" s="67" t="s">
        <v>0</v>
      </c>
    </row>
    <row r="28" spans="1:25" ht="15.75" customHeight="1">
      <c r="A28" s="1463" t="s">
        <v>296</v>
      </c>
      <c r="B28" s="1122"/>
      <c r="C28" s="1126" t="s">
        <v>296</v>
      </c>
      <c r="D28" s="1122"/>
      <c r="E28" s="1122"/>
      <c r="F28" s="1122"/>
      <c r="G28" s="1122"/>
      <c r="H28" s="1122"/>
      <c r="I28" s="1122"/>
      <c r="J28" s="1122"/>
      <c r="K28" s="1122"/>
      <c r="L28" s="1122"/>
      <c r="M28" s="1122"/>
      <c r="N28" s="1122"/>
      <c r="O28" s="1122"/>
      <c r="P28" s="1122"/>
      <c r="Q28" s="1122"/>
      <c r="R28" s="1122"/>
      <c r="S28" s="1122"/>
      <c r="T28" s="1122"/>
      <c r="U28" s="1467"/>
      <c r="V28" s="99"/>
      <c r="W28" s="99"/>
      <c r="X28" s="558">
        <v>-100000</v>
      </c>
      <c r="Y28" s="67" t="s">
        <v>0</v>
      </c>
    </row>
    <row r="29" spans="1:25" ht="15.75" customHeight="1">
      <c r="A29" s="1463" t="s">
        <v>578</v>
      </c>
      <c r="B29" s="1122"/>
      <c r="C29" s="1126" t="s">
        <v>578</v>
      </c>
      <c r="D29" s="1122"/>
      <c r="E29" s="1122"/>
      <c r="F29" s="1122"/>
      <c r="G29" s="1122"/>
      <c r="H29" s="1122"/>
      <c r="I29" s="1122"/>
      <c r="J29" s="1122"/>
      <c r="K29" s="1122"/>
      <c r="L29" s="1122"/>
      <c r="M29" s="1122"/>
      <c r="N29" s="1122"/>
      <c r="O29" s="1122"/>
      <c r="P29" s="1122"/>
      <c r="Q29" s="1122"/>
      <c r="R29" s="1122"/>
      <c r="S29" s="1122"/>
      <c r="T29" s="1122"/>
      <c r="U29" s="1467"/>
      <c r="V29" s="99"/>
      <c r="W29" s="99"/>
      <c r="X29" s="558">
        <v>-20000</v>
      </c>
      <c r="Y29" s="67" t="s">
        <v>0</v>
      </c>
    </row>
    <row r="30" spans="1:25" ht="15.75" customHeight="1">
      <c r="A30" s="1463" t="s">
        <v>579</v>
      </c>
      <c r="B30" s="1122"/>
      <c r="C30" s="1126" t="s">
        <v>579</v>
      </c>
      <c r="D30" s="1122"/>
      <c r="E30" s="1122"/>
      <c r="F30" s="1122"/>
      <c r="G30" s="1122"/>
      <c r="H30" s="1122"/>
      <c r="I30" s="1122"/>
      <c r="J30" s="1122"/>
      <c r="K30" s="1122"/>
      <c r="L30" s="1122"/>
      <c r="M30" s="1122"/>
      <c r="N30" s="1122"/>
      <c r="O30" s="1122"/>
      <c r="P30" s="1122"/>
      <c r="Q30" s="1122"/>
      <c r="R30" s="1122"/>
      <c r="S30" s="1122"/>
      <c r="T30" s="1122"/>
      <c r="U30" s="1467"/>
      <c r="V30" s="99"/>
      <c r="W30" s="99"/>
      <c r="X30" s="558">
        <v>-67000</v>
      </c>
      <c r="Y30" s="67" t="s">
        <v>0</v>
      </c>
    </row>
    <row r="31" spans="1:25" ht="15.75" customHeight="1">
      <c r="A31" s="1463" t="s">
        <v>305</v>
      </c>
      <c r="B31" s="1122"/>
      <c r="C31" s="1126" t="s">
        <v>305</v>
      </c>
      <c r="D31" s="1122"/>
      <c r="E31" s="1122"/>
      <c r="F31" s="1122"/>
      <c r="G31" s="1122"/>
      <c r="H31" s="1122"/>
      <c r="I31" s="1122"/>
      <c r="J31" s="1122"/>
      <c r="K31" s="1122"/>
      <c r="L31" s="1122"/>
      <c r="M31" s="1122"/>
      <c r="N31" s="1122"/>
      <c r="O31" s="1122"/>
      <c r="P31" s="1122"/>
      <c r="Q31" s="1122"/>
      <c r="R31" s="1122"/>
      <c r="S31" s="1122"/>
      <c r="T31" s="1122"/>
      <c r="U31" s="1467"/>
      <c r="V31" s="99"/>
      <c r="W31" s="99"/>
      <c r="X31" s="558">
        <v>-10500</v>
      </c>
      <c r="Y31" s="67" t="s">
        <v>0</v>
      </c>
    </row>
    <row r="32" spans="1:25" ht="15.75" customHeight="1">
      <c r="A32" s="1465"/>
      <c r="B32" s="1126"/>
      <c r="C32" s="1464" t="s">
        <v>599</v>
      </c>
      <c r="D32" s="1122"/>
      <c r="E32" s="1122"/>
      <c r="F32" s="1122"/>
      <c r="G32" s="1122"/>
      <c r="H32" s="1122"/>
      <c r="I32" s="1122"/>
      <c r="J32" s="1122"/>
      <c r="K32" s="1122"/>
      <c r="L32" s="1122"/>
      <c r="M32" s="1122"/>
      <c r="N32" s="1122"/>
      <c r="O32" s="1122"/>
      <c r="P32" s="1122"/>
      <c r="Q32" s="1122"/>
      <c r="R32" s="1122"/>
      <c r="S32" s="1122"/>
      <c r="T32" s="1122"/>
      <c r="U32" s="1467"/>
      <c r="V32" s="99">
        <v>0</v>
      </c>
      <c r="W32" s="99">
        <v>0</v>
      </c>
      <c r="X32" s="99">
        <f>SUM(X27:X31)</f>
        <v>-220500</v>
      </c>
      <c r="Y32" s="67" t="s">
        <v>0</v>
      </c>
    </row>
    <row r="33" spans="1:25" ht="15.75" customHeight="1">
      <c r="A33" s="1461" t="s">
        <v>600</v>
      </c>
      <c r="B33" s="1464" t="s">
        <v>600</v>
      </c>
      <c r="C33" s="739"/>
      <c r="D33" s="1122"/>
      <c r="E33" s="1122"/>
      <c r="F33" s="1122"/>
      <c r="G33" s="1122"/>
      <c r="H33" s="1122"/>
      <c r="I33" s="1122"/>
      <c r="J33" s="1122"/>
      <c r="K33" s="1122"/>
      <c r="L33" s="1122"/>
      <c r="M33" s="1122"/>
      <c r="N33" s="1122"/>
      <c r="O33" s="1122"/>
      <c r="P33" s="1122"/>
      <c r="Q33" s="1122"/>
      <c r="R33" s="1122"/>
      <c r="S33" s="1122"/>
      <c r="T33" s="1122"/>
      <c r="U33" s="1467"/>
      <c r="V33" s="99"/>
      <c r="W33" s="99"/>
      <c r="X33" s="99"/>
      <c r="Y33" s="67" t="s">
        <v>0</v>
      </c>
    </row>
    <row r="34" spans="1:25" ht="15.75" customHeight="1">
      <c r="A34" s="1463" t="s">
        <v>580</v>
      </c>
      <c r="B34" s="1122"/>
      <c r="C34" s="1126" t="s">
        <v>580</v>
      </c>
      <c r="D34" s="1122"/>
      <c r="E34" s="1122"/>
      <c r="F34" s="1122"/>
      <c r="G34" s="1122"/>
      <c r="H34" s="1122"/>
      <c r="I34" s="1122"/>
      <c r="J34" s="1122"/>
      <c r="K34" s="1122"/>
      <c r="L34" s="1122"/>
      <c r="M34" s="1122"/>
      <c r="N34" s="1122"/>
      <c r="O34" s="1122"/>
      <c r="P34" s="1122"/>
      <c r="Q34" s="1122"/>
      <c r="R34" s="1122"/>
      <c r="S34" s="1122"/>
      <c r="T34" s="1122"/>
      <c r="U34" s="1467"/>
      <c r="V34" s="99"/>
      <c r="W34" s="99"/>
      <c r="X34" s="558">
        <v>-144500</v>
      </c>
      <c r="Y34" s="67" t="s">
        <v>0</v>
      </c>
    </row>
    <row r="35" spans="1:25" ht="15.75" customHeight="1">
      <c r="A35" s="1127" t="s">
        <v>601</v>
      </c>
      <c r="B35" s="1122"/>
      <c r="C35" s="1464" t="s">
        <v>601</v>
      </c>
      <c r="D35" s="1122"/>
      <c r="E35" s="1122"/>
      <c r="F35" s="1122"/>
      <c r="G35" s="1122"/>
      <c r="H35" s="1122"/>
      <c r="I35" s="1122"/>
      <c r="J35" s="1122"/>
      <c r="K35" s="1122"/>
      <c r="L35" s="1122"/>
      <c r="M35" s="1122"/>
      <c r="N35" s="1122"/>
      <c r="O35" s="1122"/>
      <c r="P35" s="1122"/>
      <c r="Q35" s="1122"/>
      <c r="R35" s="1122"/>
      <c r="S35" s="1122"/>
      <c r="T35" s="1122"/>
      <c r="U35" s="1467"/>
      <c r="V35" s="99">
        <v>0</v>
      </c>
      <c r="W35" s="99">
        <v>0</v>
      </c>
      <c r="X35" s="99">
        <f>SUM(X34)</f>
        <v>-144500</v>
      </c>
      <c r="Y35" s="67" t="s">
        <v>0</v>
      </c>
    </row>
    <row r="36" spans="1:25" ht="15.75" customHeight="1">
      <c r="A36" s="1142"/>
      <c r="B36" s="1139" t="s">
        <v>602</v>
      </c>
      <c r="C36" s="1124"/>
      <c r="D36" s="1124"/>
      <c r="E36" s="1124"/>
      <c r="F36" s="1124"/>
      <c r="G36" s="1124"/>
      <c r="H36" s="1124"/>
      <c r="I36" s="1124"/>
      <c r="J36" s="1124"/>
      <c r="K36" s="1124"/>
      <c r="L36" s="1124"/>
      <c r="M36" s="1124"/>
      <c r="N36" s="1124"/>
      <c r="O36" s="1124"/>
      <c r="P36" s="1124"/>
      <c r="Q36" s="1124"/>
      <c r="R36" s="1124"/>
      <c r="S36" s="1124"/>
      <c r="T36" s="1124"/>
      <c r="U36" s="1468"/>
      <c r="V36" s="1125">
        <v>0</v>
      </c>
      <c r="W36" s="1125">
        <v>0</v>
      </c>
      <c r="X36" s="1125">
        <f>SUM(X32,X35)</f>
        <v>-365000</v>
      </c>
      <c r="Y36" s="67" t="s">
        <v>0</v>
      </c>
    </row>
    <row r="37" spans="1:25" ht="15.75" customHeight="1">
      <c r="A37" s="1117" t="s">
        <v>603</v>
      </c>
      <c r="B37" s="1459"/>
      <c r="C37" s="1118"/>
      <c r="D37" s="1118"/>
      <c r="E37" s="1118"/>
      <c r="F37" s="1118"/>
      <c r="G37" s="1118"/>
      <c r="H37" s="1118"/>
      <c r="I37" s="1118"/>
      <c r="J37" s="1118"/>
      <c r="K37" s="1118"/>
      <c r="L37" s="1118"/>
      <c r="M37" s="1118"/>
      <c r="N37" s="1118"/>
      <c r="O37" s="1118"/>
      <c r="P37" s="1118"/>
      <c r="Q37" s="1118"/>
      <c r="R37" s="1118"/>
      <c r="S37" s="1118"/>
      <c r="T37" s="1118"/>
      <c r="U37" s="1118"/>
      <c r="V37" s="277">
        <v>0</v>
      </c>
      <c r="W37" s="277">
        <v>0</v>
      </c>
      <c r="X37" s="277">
        <f>SUM(X25+X36)</f>
        <v>705000</v>
      </c>
      <c r="Y37" s="67" t="s">
        <v>0</v>
      </c>
    </row>
    <row r="38" spans="1:25" ht="15.75" customHeight="1">
      <c r="A38" s="2146" t="s">
        <v>604</v>
      </c>
      <c r="B38" s="2147"/>
      <c r="C38" s="2147"/>
      <c r="D38" s="2147"/>
      <c r="E38" s="2147"/>
      <c r="F38" s="2147"/>
      <c r="G38" s="2147"/>
      <c r="H38" s="2147"/>
      <c r="I38" s="2147"/>
      <c r="J38" s="2147"/>
      <c r="K38" s="2147"/>
      <c r="L38" s="2147"/>
      <c r="M38" s="2147"/>
      <c r="N38" s="2147"/>
      <c r="O38" s="2147"/>
      <c r="P38" s="2147"/>
      <c r="Q38" s="2147"/>
      <c r="R38" s="2147"/>
      <c r="S38" s="2147"/>
      <c r="T38" s="2147"/>
      <c r="U38" s="2147"/>
      <c r="V38" s="421">
        <f>+V25-V14</f>
        <v>0</v>
      </c>
      <c r="W38" s="421">
        <f>+W25-W14</f>
        <v>0</v>
      </c>
      <c r="X38" s="421">
        <f>+X25-X17</f>
        <v>365000</v>
      </c>
      <c r="Y38" s="67" t="s">
        <v>0</v>
      </c>
    </row>
    <row r="39" spans="1:25" s="1387" customFormat="1" ht="15.75" customHeight="1">
      <c r="A39" s="1415"/>
      <c r="B39" s="1415"/>
      <c r="C39" s="1415"/>
      <c r="D39" s="1415"/>
      <c r="E39" s="1415"/>
      <c r="F39" s="1415"/>
      <c r="G39" s="1415"/>
      <c r="H39" s="1415"/>
      <c r="I39" s="1415"/>
      <c r="J39" s="1415"/>
      <c r="K39" s="1415"/>
      <c r="L39" s="1415"/>
      <c r="M39" s="1415"/>
      <c r="N39" s="1415"/>
      <c r="O39" s="1415"/>
      <c r="P39" s="1415"/>
      <c r="Q39" s="1415"/>
      <c r="R39" s="1415"/>
      <c r="S39" s="1415"/>
      <c r="T39" s="1415"/>
      <c r="U39" s="1415"/>
      <c r="V39" s="399"/>
      <c r="W39" s="399"/>
      <c r="X39" s="399"/>
      <c r="Y39" s="67"/>
    </row>
    <row r="40" spans="1:25" ht="31.5" customHeight="1">
      <c r="A40" s="1577" t="s">
        <v>660</v>
      </c>
      <c r="B40" s="1687"/>
      <c r="C40" s="1687"/>
      <c r="D40" s="1687"/>
      <c r="E40" s="1687"/>
      <c r="F40" s="1687"/>
      <c r="G40" s="1687"/>
      <c r="H40" s="1687"/>
      <c r="I40" s="1687"/>
      <c r="J40" s="1687"/>
      <c r="K40" s="1687"/>
      <c r="L40" s="1687"/>
      <c r="M40" s="1687"/>
      <c r="N40" s="1687"/>
      <c r="O40" s="1687"/>
      <c r="P40" s="1687"/>
      <c r="Q40" s="1687"/>
      <c r="R40" s="1687"/>
      <c r="S40" s="1687"/>
      <c r="T40" s="1687"/>
      <c r="U40" s="1687"/>
      <c r="V40" s="1687"/>
      <c r="W40" s="1687"/>
      <c r="X40" s="1687"/>
      <c r="Y40" s="67" t="s">
        <v>0</v>
      </c>
    </row>
    <row r="41" spans="1:25" ht="18" customHeight="1">
      <c r="A41" s="1361"/>
      <c r="Y41" s="67" t="s">
        <v>0</v>
      </c>
    </row>
    <row r="42" spans="1:25" ht="18" customHeight="1">
      <c r="Y42" s="67" t="s">
        <v>0</v>
      </c>
    </row>
    <row r="43" spans="1:25" ht="18" customHeight="1">
      <c r="Y43" s="67" t="s">
        <v>0</v>
      </c>
    </row>
    <row r="44" spans="1:25" ht="18" customHeight="1">
      <c r="Y44" s="67" t="s">
        <v>0</v>
      </c>
    </row>
    <row r="45" spans="1:25" ht="18" customHeight="1">
      <c r="Y45" s="67" t="s">
        <v>0</v>
      </c>
    </row>
    <row r="46" spans="1:25" ht="18" customHeight="1">
      <c r="Y46" s="67" t="s">
        <v>0</v>
      </c>
    </row>
    <row r="47" spans="1:25" ht="18" customHeight="1">
      <c r="Y47" s="67" t="s">
        <v>0</v>
      </c>
    </row>
    <row r="48" spans="1:25" ht="22.5">
      <c r="A48" s="1568" t="s">
        <v>107</v>
      </c>
      <c r="B48" s="1561"/>
      <c r="C48" s="1561"/>
      <c r="D48" s="1561"/>
      <c r="E48" s="1561"/>
      <c r="F48" s="1561"/>
      <c r="G48" s="1561"/>
      <c r="H48" s="1561"/>
      <c r="I48" s="1561"/>
      <c r="J48" s="1561"/>
      <c r="K48" s="1561"/>
      <c r="L48" s="1561"/>
      <c r="M48" s="1561"/>
      <c r="N48" s="1561"/>
      <c r="O48" s="1561"/>
      <c r="P48" s="1561"/>
      <c r="Q48" s="1561"/>
      <c r="R48" s="1561"/>
      <c r="S48" s="1561"/>
      <c r="T48" s="1561"/>
      <c r="U48" s="1561"/>
      <c r="V48" s="1561"/>
      <c r="W48" s="1561"/>
      <c r="X48" s="1561"/>
      <c r="Y48" s="67" t="s">
        <v>0</v>
      </c>
    </row>
    <row r="49" spans="1:25" ht="23.25">
      <c r="A49" s="1553" t="str">
        <f>A5</f>
        <v>Office of Justice Programs</v>
      </c>
      <c r="B49" s="1554"/>
      <c r="C49" s="1554"/>
      <c r="D49" s="1554"/>
      <c r="E49" s="1554"/>
      <c r="F49" s="1554"/>
      <c r="G49" s="1554"/>
      <c r="H49" s="1554"/>
      <c r="I49" s="1554"/>
      <c r="J49" s="1554"/>
      <c r="K49" s="1554"/>
      <c r="L49" s="1554"/>
      <c r="M49" s="1554"/>
      <c r="N49" s="1554"/>
      <c r="O49" s="1554"/>
      <c r="P49" s="1554"/>
      <c r="Q49" s="1554"/>
      <c r="R49" s="1554"/>
      <c r="S49" s="1554"/>
      <c r="T49" s="1554"/>
      <c r="U49" s="1554"/>
      <c r="V49" s="1554"/>
      <c r="W49" s="1554"/>
      <c r="X49" s="1554"/>
      <c r="Y49" s="67" t="s">
        <v>0</v>
      </c>
    </row>
    <row r="50" spans="1:25" ht="23.25">
      <c r="A50" s="1553" t="s">
        <v>448</v>
      </c>
      <c r="B50" s="1561"/>
      <c r="C50" s="1561"/>
      <c r="D50" s="1561"/>
      <c r="E50" s="1561"/>
      <c r="F50" s="1561"/>
      <c r="G50" s="1561"/>
      <c r="H50" s="1561"/>
      <c r="I50" s="1561"/>
      <c r="J50" s="1561"/>
      <c r="K50" s="1561"/>
      <c r="L50" s="1561"/>
      <c r="M50" s="1561"/>
      <c r="N50" s="1561"/>
      <c r="O50" s="1561"/>
      <c r="P50" s="1561"/>
      <c r="Q50" s="1561"/>
      <c r="R50" s="1561"/>
      <c r="S50" s="1561"/>
      <c r="T50" s="1561"/>
      <c r="U50" s="1561"/>
      <c r="V50" s="1561"/>
      <c r="W50" s="1561"/>
      <c r="X50" s="1561"/>
      <c r="Y50" s="67" t="s">
        <v>0</v>
      </c>
    </row>
    <row r="51" spans="1:25" ht="23.25">
      <c r="A51" s="1553" t="s">
        <v>98</v>
      </c>
      <c r="B51" s="1562"/>
      <c r="C51" s="1562"/>
      <c r="D51" s="1562"/>
      <c r="E51" s="1562"/>
      <c r="F51" s="1562"/>
      <c r="G51" s="1562"/>
      <c r="H51" s="1562"/>
      <c r="I51" s="1562"/>
      <c r="J51" s="1562"/>
      <c r="K51" s="1562"/>
      <c r="L51" s="1562"/>
      <c r="M51" s="1562"/>
      <c r="N51" s="1562"/>
      <c r="O51" s="1562"/>
      <c r="P51" s="1562"/>
      <c r="Q51" s="1562"/>
      <c r="R51" s="1562"/>
      <c r="S51" s="1562"/>
      <c r="T51" s="1562"/>
      <c r="U51" s="1562"/>
      <c r="V51" s="1562"/>
      <c r="W51" s="1562"/>
      <c r="X51" s="1562"/>
      <c r="Y51" s="67" t="s">
        <v>0</v>
      </c>
    </row>
    <row r="52" spans="1:25" ht="18" customHeight="1">
      <c r="Y52" s="67" t="s">
        <v>0</v>
      </c>
    </row>
    <row r="53" spans="1:25" ht="18" customHeight="1">
      <c r="Y53" s="67" t="s">
        <v>0</v>
      </c>
    </row>
    <row r="54" spans="1:25" ht="18" customHeight="1">
      <c r="Y54" s="67" t="s">
        <v>0</v>
      </c>
    </row>
    <row r="55" spans="1:25" ht="18" customHeight="1">
      <c r="Y55" s="67" t="s">
        <v>0</v>
      </c>
    </row>
    <row r="56" spans="1:25" ht="18" customHeight="1">
      <c r="A56" s="37"/>
      <c r="B56" s="37"/>
      <c r="C56" s="37"/>
      <c r="D56" s="38"/>
      <c r="E56" s="38"/>
      <c r="F56" s="38"/>
      <c r="G56" s="38"/>
      <c r="H56" s="38"/>
      <c r="I56" s="38"/>
      <c r="J56" s="38"/>
      <c r="K56" s="38"/>
      <c r="L56" s="38"/>
      <c r="M56" s="38"/>
      <c r="N56" s="38"/>
      <c r="O56" s="38"/>
      <c r="P56" s="38"/>
      <c r="Q56" s="38"/>
      <c r="R56" s="38"/>
      <c r="S56" s="38"/>
      <c r="T56" s="38"/>
      <c r="U56" s="38"/>
      <c r="V56" s="38"/>
      <c r="W56" s="38"/>
      <c r="X56" s="38"/>
      <c r="Y56" s="67" t="s">
        <v>0</v>
      </c>
    </row>
    <row r="57" spans="1:25" ht="22.5" customHeight="1">
      <c r="A57" s="1569" t="s">
        <v>114</v>
      </c>
      <c r="B57" s="1831"/>
      <c r="C57" s="2148"/>
      <c r="D57" s="1540" t="s">
        <v>169</v>
      </c>
      <c r="E57" s="1841"/>
      <c r="F57" s="1842"/>
      <c r="G57" s="1540" t="s">
        <v>644</v>
      </c>
      <c r="H57" s="1836"/>
      <c r="I57" s="1837"/>
      <c r="J57" s="1540" t="s">
        <v>151</v>
      </c>
      <c r="K57" s="1841"/>
      <c r="L57" s="1842"/>
      <c r="M57" s="1540" t="s">
        <v>150</v>
      </c>
      <c r="N57" s="1841"/>
      <c r="O57" s="1842"/>
      <c r="P57" s="1540" t="s">
        <v>152</v>
      </c>
      <c r="Q57" s="1846"/>
      <c r="R57" s="1846"/>
      <c r="S57" s="1540" t="s">
        <v>153</v>
      </c>
      <c r="T57" s="1841"/>
      <c r="U57" s="1841"/>
      <c r="V57" s="1540" t="s">
        <v>154</v>
      </c>
      <c r="W57" s="1841"/>
      <c r="X57" s="1842"/>
      <c r="Y57" s="67" t="s">
        <v>0</v>
      </c>
    </row>
    <row r="58" spans="1:25" ht="27.75" customHeight="1">
      <c r="A58" s="1832"/>
      <c r="B58" s="1833"/>
      <c r="C58" s="2149"/>
      <c r="D58" s="1843"/>
      <c r="E58" s="1844"/>
      <c r="F58" s="1845"/>
      <c r="G58" s="1838"/>
      <c r="H58" s="1839"/>
      <c r="I58" s="1840"/>
      <c r="J58" s="1843"/>
      <c r="K58" s="1844"/>
      <c r="L58" s="1845"/>
      <c r="M58" s="1843"/>
      <c r="N58" s="1844"/>
      <c r="O58" s="1845"/>
      <c r="P58" s="1847"/>
      <c r="Q58" s="1848"/>
      <c r="R58" s="1848"/>
      <c r="S58" s="1843"/>
      <c r="T58" s="1844"/>
      <c r="U58" s="1844"/>
      <c r="V58" s="1843"/>
      <c r="W58" s="1844"/>
      <c r="X58" s="1845"/>
      <c r="Y58" s="67" t="s">
        <v>0</v>
      </c>
    </row>
    <row r="59" spans="1:25" ht="16.5" thickBot="1">
      <c r="A59" s="1834"/>
      <c r="B59" s="1835"/>
      <c r="C59" s="2150"/>
      <c r="D59" s="420" t="s">
        <v>115</v>
      </c>
      <c r="E59" s="417" t="s">
        <v>25</v>
      </c>
      <c r="F59" s="419" t="s">
        <v>117</v>
      </c>
      <c r="G59" s="420" t="s">
        <v>115</v>
      </c>
      <c r="H59" s="417" t="s">
        <v>25</v>
      </c>
      <c r="I59" s="419" t="s">
        <v>117</v>
      </c>
      <c r="J59" s="420" t="s">
        <v>115</v>
      </c>
      <c r="K59" s="417" t="s">
        <v>25</v>
      </c>
      <c r="L59" s="419" t="s">
        <v>117</v>
      </c>
      <c r="M59" s="420" t="s">
        <v>115</v>
      </c>
      <c r="N59" s="417" t="s">
        <v>25</v>
      </c>
      <c r="O59" s="419" t="s">
        <v>117</v>
      </c>
      <c r="P59" s="420" t="s">
        <v>115</v>
      </c>
      <c r="Q59" s="417" t="s">
        <v>25</v>
      </c>
      <c r="R59" s="419" t="s">
        <v>117</v>
      </c>
      <c r="S59" s="420" t="s">
        <v>115</v>
      </c>
      <c r="T59" s="417" t="s">
        <v>25</v>
      </c>
      <c r="U59" s="419" t="s">
        <v>117</v>
      </c>
      <c r="V59" s="418" t="s">
        <v>115</v>
      </c>
      <c r="W59" s="417" t="s">
        <v>25</v>
      </c>
      <c r="X59" s="416" t="s">
        <v>117</v>
      </c>
      <c r="Y59" s="67" t="s">
        <v>0</v>
      </c>
    </row>
    <row r="60" spans="1:25">
      <c r="A60" s="1131" t="s">
        <v>449</v>
      </c>
      <c r="B60" s="1132"/>
      <c r="C60" s="1133"/>
      <c r="D60" s="1134"/>
      <c r="E60" s="1135"/>
      <c r="F60" s="1136">
        <v>705000</v>
      </c>
      <c r="G60" s="1134"/>
      <c r="H60" s="1135"/>
      <c r="I60" s="1136">
        <v>705000</v>
      </c>
      <c r="J60" s="1134"/>
      <c r="K60" s="1135"/>
      <c r="L60" s="1136"/>
      <c r="M60" s="1134"/>
      <c r="N60" s="1135"/>
      <c r="O60" s="1136">
        <f>I60+L60</f>
        <v>705000</v>
      </c>
      <c r="P60" s="1134"/>
      <c r="Q60" s="1135"/>
      <c r="R60" s="1136">
        <v>365000</v>
      </c>
      <c r="S60" s="1134"/>
      <c r="T60" s="1135"/>
      <c r="U60" s="1136"/>
      <c r="V60" s="1134"/>
      <c r="W60" s="1135"/>
      <c r="X60" s="1137">
        <f t="shared" ref="X60:X69" si="1">R60+O60+U60</f>
        <v>1070000</v>
      </c>
      <c r="Y60" s="67" t="s">
        <v>0</v>
      </c>
    </row>
    <row r="61" spans="1:25">
      <c r="A61" s="1123" t="s">
        <v>606</v>
      </c>
      <c r="B61" s="1139"/>
      <c r="C61" s="1140"/>
      <c r="D61" s="140"/>
      <c r="E61" s="691"/>
      <c r="F61" s="692">
        <f>SUM(F60)</f>
        <v>705000</v>
      </c>
      <c r="G61" s="140"/>
      <c r="H61" s="691"/>
      <c r="I61" s="692">
        <f>SUM(I60)</f>
        <v>705000</v>
      </c>
      <c r="J61" s="140"/>
      <c r="K61" s="691"/>
      <c r="L61" s="692">
        <f>SUM(L60)</f>
        <v>0</v>
      </c>
      <c r="M61" s="140"/>
      <c r="N61" s="691"/>
      <c r="O61" s="692">
        <f>SUM(O60)</f>
        <v>705000</v>
      </c>
      <c r="P61" s="140"/>
      <c r="Q61" s="691"/>
      <c r="R61" s="692">
        <f>SUM(R60)</f>
        <v>365000</v>
      </c>
      <c r="S61" s="140"/>
      <c r="T61" s="691"/>
      <c r="U61" s="692">
        <f>SUM(U60)</f>
        <v>0</v>
      </c>
      <c r="V61" s="140">
        <v>0</v>
      </c>
      <c r="W61" s="691">
        <v>0</v>
      </c>
      <c r="X61" s="1141">
        <f>SUM(X60)</f>
        <v>1070000</v>
      </c>
      <c r="Y61" s="67" t="s">
        <v>0</v>
      </c>
    </row>
    <row r="62" spans="1:25">
      <c r="A62" s="1119" t="s">
        <v>607</v>
      </c>
      <c r="B62" s="1120"/>
      <c r="C62" s="1138"/>
      <c r="D62" s="695"/>
      <c r="E62" s="696"/>
      <c r="F62" s="697"/>
      <c r="G62" s="695"/>
      <c r="H62" s="696"/>
      <c r="I62" s="697"/>
      <c r="J62" s="695"/>
      <c r="K62" s="696"/>
      <c r="L62" s="697"/>
      <c r="M62" s="695"/>
      <c r="N62" s="696"/>
      <c r="O62" s="697"/>
      <c r="P62" s="695"/>
      <c r="Q62" s="696"/>
      <c r="R62" s="697"/>
      <c r="S62" s="695"/>
      <c r="T62" s="696"/>
      <c r="U62" s="697"/>
      <c r="V62" s="695"/>
      <c r="W62" s="696"/>
      <c r="X62" s="698"/>
      <c r="Y62" s="67" t="s">
        <v>0</v>
      </c>
    </row>
    <row r="63" spans="1:25">
      <c r="A63" s="1066"/>
      <c r="B63" s="1550" t="s">
        <v>358</v>
      </c>
      <c r="C63" s="1585"/>
      <c r="D63" s="394"/>
      <c r="E63" s="392"/>
      <c r="F63" s="550"/>
      <c r="G63" s="651"/>
      <c r="H63" s="652"/>
      <c r="I63" s="550"/>
      <c r="J63" s="651"/>
      <c r="K63" s="652"/>
      <c r="L63" s="550"/>
      <c r="M63" s="651"/>
      <c r="N63" s="652"/>
      <c r="O63" s="550"/>
      <c r="P63" s="651"/>
      <c r="Q63" s="652"/>
      <c r="R63" s="391">
        <v>-23000</v>
      </c>
      <c r="S63" s="394"/>
      <c r="T63" s="392"/>
      <c r="U63" s="391"/>
      <c r="V63" s="394"/>
      <c r="W63" s="392"/>
      <c r="X63" s="388">
        <f t="shared" si="1"/>
        <v>-23000</v>
      </c>
      <c r="Y63" s="67" t="s">
        <v>0</v>
      </c>
    </row>
    <row r="64" spans="1:25">
      <c r="A64" s="397"/>
      <c r="B64" s="1068" t="s">
        <v>360</v>
      </c>
      <c r="C64" s="846"/>
      <c r="D64" s="394"/>
      <c r="E64" s="392"/>
      <c r="F64" s="550"/>
      <c r="G64" s="651"/>
      <c r="H64" s="652"/>
      <c r="I64" s="550"/>
      <c r="J64" s="651"/>
      <c r="K64" s="652"/>
      <c r="L64" s="550"/>
      <c r="M64" s="651"/>
      <c r="N64" s="652"/>
      <c r="O64" s="550"/>
      <c r="P64" s="651"/>
      <c r="Q64" s="652"/>
      <c r="R64" s="391">
        <v>-100000</v>
      </c>
      <c r="S64" s="394"/>
      <c r="T64" s="392"/>
      <c r="U64" s="391"/>
      <c r="V64" s="394"/>
      <c r="W64" s="392"/>
      <c r="X64" s="388">
        <f t="shared" si="1"/>
        <v>-100000</v>
      </c>
      <c r="Y64" s="67" t="s">
        <v>0</v>
      </c>
    </row>
    <row r="65" spans="1:25">
      <c r="A65" s="397"/>
      <c r="B65" s="1068" t="s">
        <v>450</v>
      </c>
      <c r="C65" s="846"/>
      <c r="D65" s="394"/>
      <c r="E65" s="392"/>
      <c r="F65" s="550"/>
      <c r="G65" s="651"/>
      <c r="H65" s="652"/>
      <c r="I65" s="550"/>
      <c r="J65" s="651"/>
      <c r="K65" s="652"/>
      <c r="L65" s="550"/>
      <c r="M65" s="651"/>
      <c r="N65" s="652"/>
      <c r="O65" s="550"/>
      <c r="P65" s="651"/>
      <c r="Q65" s="652"/>
      <c r="R65" s="391">
        <v>-20000</v>
      </c>
      <c r="S65" s="394"/>
      <c r="T65" s="392"/>
      <c r="U65" s="391"/>
      <c r="V65" s="394"/>
      <c r="W65" s="392"/>
      <c r="X65" s="388">
        <f t="shared" si="1"/>
        <v>-20000</v>
      </c>
      <c r="Y65" s="67" t="s">
        <v>0</v>
      </c>
    </row>
    <row r="66" spans="1:25">
      <c r="A66" s="397"/>
      <c r="B66" s="1550" t="s">
        <v>451</v>
      </c>
      <c r="C66" s="1585"/>
      <c r="D66" s="394"/>
      <c r="E66" s="392"/>
      <c r="F66" s="550"/>
      <c r="G66" s="651"/>
      <c r="H66" s="652"/>
      <c r="I66" s="550"/>
      <c r="J66" s="651"/>
      <c r="K66" s="652"/>
      <c r="L66" s="550"/>
      <c r="M66" s="651"/>
      <c r="N66" s="652"/>
      <c r="O66" s="550"/>
      <c r="P66" s="651"/>
      <c r="Q66" s="652"/>
      <c r="R66" s="391">
        <v>-67000</v>
      </c>
      <c r="S66" s="394"/>
      <c r="T66" s="392"/>
      <c r="U66" s="391"/>
      <c r="V66" s="394"/>
      <c r="W66" s="392"/>
      <c r="X66" s="388">
        <f t="shared" si="1"/>
        <v>-67000</v>
      </c>
      <c r="Y66" s="67" t="s">
        <v>0</v>
      </c>
    </row>
    <row r="67" spans="1:25">
      <c r="A67" s="397"/>
      <c r="B67" s="1067" t="s">
        <v>355</v>
      </c>
      <c r="C67" s="1069"/>
      <c r="D67" s="394"/>
      <c r="E67" s="392"/>
      <c r="F67" s="550"/>
      <c r="G67" s="651"/>
      <c r="H67" s="652"/>
      <c r="I67" s="550"/>
      <c r="J67" s="651"/>
      <c r="K67" s="652"/>
      <c r="L67" s="550"/>
      <c r="M67" s="651"/>
      <c r="N67" s="652"/>
      <c r="O67" s="550"/>
      <c r="P67" s="651"/>
      <c r="Q67" s="652"/>
      <c r="R67" s="391">
        <v>-10500</v>
      </c>
      <c r="S67" s="394"/>
      <c r="T67" s="392"/>
      <c r="U67" s="391"/>
      <c r="V67" s="394"/>
      <c r="W67" s="392"/>
      <c r="X67" s="388">
        <f t="shared" si="1"/>
        <v>-10500</v>
      </c>
      <c r="Y67" s="67" t="s">
        <v>0</v>
      </c>
    </row>
    <row r="68" spans="1:25">
      <c r="A68" s="397"/>
      <c r="B68" s="1067" t="s">
        <v>452</v>
      </c>
      <c r="C68" s="1069"/>
      <c r="D68" s="394"/>
      <c r="E68" s="392"/>
      <c r="F68" s="550"/>
      <c r="G68" s="651"/>
      <c r="H68" s="652"/>
      <c r="I68" s="550"/>
      <c r="J68" s="651"/>
      <c r="K68" s="652"/>
      <c r="L68" s="550"/>
      <c r="M68" s="651"/>
      <c r="N68" s="652"/>
      <c r="O68" s="550"/>
      <c r="P68" s="651"/>
      <c r="Q68" s="652"/>
      <c r="R68" s="391">
        <v>-144500</v>
      </c>
      <c r="S68" s="394"/>
      <c r="T68" s="392"/>
      <c r="U68" s="391"/>
      <c r="V68" s="394"/>
      <c r="W68" s="392"/>
      <c r="X68" s="388">
        <f t="shared" si="1"/>
        <v>-144500</v>
      </c>
      <c r="Y68" s="67" t="s">
        <v>0</v>
      </c>
    </row>
    <row r="69" spans="1:25">
      <c r="A69" s="1130"/>
      <c r="B69" s="1067" t="s">
        <v>609</v>
      </c>
      <c r="C69" s="1067"/>
      <c r="D69" s="683"/>
      <c r="E69" s="389"/>
      <c r="F69" s="680"/>
      <c r="G69" s="678"/>
      <c r="H69" s="679"/>
      <c r="I69" s="680"/>
      <c r="J69" s="678"/>
      <c r="K69" s="679"/>
      <c r="L69" s="680"/>
      <c r="M69" s="678"/>
      <c r="N69" s="679"/>
      <c r="O69" s="680"/>
      <c r="P69" s="678"/>
      <c r="Q69" s="679"/>
      <c r="R69" s="557">
        <f>SUM(R63:R68)</f>
        <v>-365000</v>
      </c>
      <c r="S69" s="683"/>
      <c r="T69" s="389"/>
      <c r="U69" s="557"/>
      <c r="V69" s="683"/>
      <c r="W69" s="389"/>
      <c r="X69" s="558">
        <f t="shared" si="1"/>
        <v>-365000</v>
      </c>
      <c r="Y69" s="67" t="s">
        <v>0</v>
      </c>
    </row>
    <row r="70" spans="1:25">
      <c r="A70" s="890" t="s">
        <v>608</v>
      </c>
      <c r="B70" s="130"/>
      <c r="D70" s="699">
        <f>SUM(D60:D68)</f>
        <v>0</v>
      </c>
      <c r="E70" s="141">
        <f>SUM(E60:E68)</f>
        <v>0</v>
      </c>
      <c r="F70" s="165">
        <f>F61+F69</f>
        <v>705000</v>
      </c>
      <c r="G70" s="699">
        <f>SUM(G60:G68)</f>
        <v>0</v>
      </c>
      <c r="H70" s="141">
        <f>SUM(H60:H68)</f>
        <v>0</v>
      </c>
      <c r="I70" s="165">
        <f>I61+I69</f>
        <v>705000</v>
      </c>
      <c r="J70" s="699">
        <f>SUM(J60:J68)</f>
        <v>0</v>
      </c>
      <c r="K70" s="141">
        <f>SUM(K60:K68)</f>
        <v>0</v>
      </c>
      <c r="L70" s="165">
        <f>L61+L69</f>
        <v>0</v>
      </c>
      <c r="M70" s="699">
        <f>SUM(M60:M68)</f>
        <v>0</v>
      </c>
      <c r="N70" s="141">
        <f>SUM(N60:N68)</f>
        <v>0</v>
      </c>
      <c r="O70" s="165">
        <f>O61+O69</f>
        <v>705000</v>
      </c>
      <c r="P70" s="699">
        <f>SUM(P60:P68)</f>
        <v>0</v>
      </c>
      <c r="Q70" s="141">
        <f>SUM(Q60:Q68)</f>
        <v>0</v>
      </c>
      <c r="R70" s="165">
        <f>R61+R69</f>
        <v>0</v>
      </c>
      <c r="S70" s="699">
        <f>SUM(S60:S68)</f>
        <v>0</v>
      </c>
      <c r="T70" s="141">
        <f>SUM(T60:T68)</f>
        <v>0</v>
      </c>
      <c r="U70" s="165">
        <f>U61+U69</f>
        <v>0</v>
      </c>
      <c r="V70" s="699">
        <f>SUM(V60:V68)</f>
        <v>0</v>
      </c>
      <c r="W70" s="141">
        <f>SUM(W60:W68)</f>
        <v>0</v>
      </c>
      <c r="X70" s="167">
        <f>X61+X69</f>
        <v>705000</v>
      </c>
      <c r="Y70" s="67" t="s">
        <v>0</v>
      </c>
    </row>
    <row r="71" spans="1:25" ht="17.25" customHeight="1">
      <c r="A71" s="646"/>
      <c r="B71" s="2074"/>
      <c r="C71" s="1926"/>
      <c r="D71" s="403"/>
      <c r="E71" s="402"/>
      <c r="F71" s="271"/>
      <c r="G71" s="400"/>
      <c r="H71" s="401"/>
      <c r="I71" s="401"/>
      <c r="J71" s="400"/>
      <c r="K71" s="401"/>
      <c r="L71" s="401"/>
      <c r="M71" s="400"/>
      <c r="N71" s="401"/>
      <c r="O71" s="401"/>
      <c r="P71" s="400"/>
      <c r="Q71" s="401"/>
      <c r="R71" s="401"/>
      <c r="S71" s="400"/>
      <c r="T71" s="401"/>
      <c r="U71" s="401"/>
      <c r="V71" s="400"/>
      <c r="W71" s="399"/>
      <c r="X71" s="398"/>
      <c r="Y71" s="67" t="s">
        <v>0</v>
      </c>
    </row>
    <row r="72" spans="1:25">
      <c r="A72" s="385"/>
      <c r="B72" s="1811" t="s">
        <v>103</v>
      </c>
      <c r="C72" s="1812"/>
      <c r="D72" s="384"/>
      <c r="E72" s="380"/>
      <c r="F72" s="383"/>
      <c r="G72" s="381"/>
      <c r="H72" s="382"/>
      <c r="I72" s="382"/>
      <c r="J72" s="381"/>
      <c r="K72" s="382"/>
      <c r="L72" s="382"/>
      <c r="M72" s="381"/>
      <c r="N72" s="382"/>
      <c r="O72" s="382"/>
      <c r="P72" s="381"/>
      <c r="Q72" s="382"/>
      <c r="R72" s="382"/>
      <c r="S72" s="381"/>
      <c r="T72" s="382"/>
      <c r="U72" s="382"/>
      <c r="V72" s="381"/>
      <c r="W72" s="380"/>
      <c r="X72" s="379"/>
      <c r="Y72" s="67" t="s">
        <v>0</v>
      </c>
    </row>
    <row r="73" spans="1:25">
      <c r="A73" s="397"/>
      <c r="B73" s="1809" t="s">
        <v>102</v>
      </c>
      <c r="C73" s="1810"/>
      <c r="D73" s="394"/>
      <c r="E73" s="392">
        <f>+E70+E72</f>
        <v>0</v>
      </c>
      <c r="F73" s="393"/>
      <c r="G73" s="390"/>
      <c r="H73" s="392">
        <f>+H70+H72</f>
        <v>0</v>
      </c>
      <c r="I73" s="391"/>
      <c r="J73" s="390"/>
      <c r="K73" s="392">
        <f>+K70+K72</f>
        <v>0</v>
      </c>
      <c r="L73" s="391"/>
      <c r="M73" s="390"/>
      <c r="N73" s="392">
        <f>+N70+N72</f>
        <v>0</v>
      </c>
      <c r="O73" s="391"/>
      <c r="P73" s="390"/>
      <c r="Q73" s="392">
        <f>+Q70+Q72</f>
        <v>0</v>
      </c>
      <c r="R73" s="391"/>
      <c r="S73" s="390"/>
      <c r="T73" s="392">
        <f>+T70+T72</f>
        <v>0</v>
      </c>
      <c r="U73" s="391"/>
      <c r="V73" s="390"/>
      <c r="W73" s="392">
        <f>+W70+W72</f>
        <v>0</v>
      </c>
      <c r="X73" s="388"/>
      <c r="Y73" s="67" t="s">
        <v>0</v>
      </c>
    </row>
    <row r="74" spans="1:25">
      <c r="A74" s="335"/>
      <c r="B74" s="1813"/>
      <c r="C74" s="1814"/>
      <c r="D74" s="403"/>
      <c r="E74" s="402"/>
      <c r="F74" s="271"/>
      <c r="G74" s="400"/>
      <c r="H74" s="401"/>
      <c r="I74" s="401"/>
      <c r="J74" s="400"/>
      <c r="K74" s="401"/>
      <c r="L74" s="401"/>
      <c r="M74" s="400"/>
      <c r="N74" s="401"/>
      <c r="O74" s="401"/>
      <c r="P74" s="400"/>
      <c r="Q74" s="401"/>
      <c r="R74" s="401"/>
      <c r="S74" s="400"/>
      <c r="T74" s="401"/>
      <c r="U74" s="401"/>
      <c r="V74" s="400"/>
      <c r="W74" s="399"/>
      <c r="X74" s="398"/>
      <c r="Y74" s="67" t="s">
        <v>0</v>
      </c>
    </row>
    <row r="75" spans="1:25">
      <c r="A75" s="397"/>
      <c r="B75" s="1809" t="s">
        <v>100</v>
      </c>
      <c r="C75" s="1810"/>
      <c r="D75" s="394"/>
      <c r="E75" s="392"/>
      <c r="F75" s="393"/>
      <c r="G75" s="390"/>
      <c r="H75" s="391"/>
      <c r="I75" s="391"/>
      <c r="J75" s="390"/>
      <c r="K75" s="391"/>
      <c r="L75" s="391"/>
      <c r="M75" s="390"/>
      <c r="N75" s="391"/>
      <c r="O75" s="391"/>
      <c r="P75" s="390"/>
      <c r="Q75" s="391"/>
      <c r="R75" s="391"/>
      <c r="S75" s="390"/>
      <c r="T75" s="391"/>
      <c r="U75" s="391"/>
      <c r="V75" s="390"/>
      <c r="W75" s="391"/>
      <c r="X75" s="388"/>
      <c r="Y75" s="67" t="s">
        <v>0</v>
      </c>
    </row>
    <row r="76" spans="1:25">
      <c r="A76" s="397"/>
      <c r="B76" s="396"/>
      <c r="C76" s="846" t="s">
        <v>31</v>
      </c>
      <c r="D76" s="394"/>
      <c r="E76" s="392"/>
      <c r="F76" s="393"/>
      <c r="G76" s="390"/>
      <c r="H76" s="391"/>
      <c r="I76" s="391"/>
      <c r="J76" s="390"/>
      <c r="K76" s="392"/>
      <c r="L76" s="391"/>
      <c r="M76" s="390"/>
      <c r="N76" s="392"/>
      <c r="O76" s="391"/>
      <c r="P76" s="390"/>
      <c r="Q76" s="392"/>
      <c r="R76" s="391"/>
      <c r="S76" s="390"/>
      <c r="T76" s="392"/>
      <c r="U76" s="391"/>
      <c r="V76" s="390"/>
      <c r="W76" s="389"/>
      <c r="X76" s="388"/>
      <c r="Y76" s="67" t="s">
        <v>0</v>
      </c>
    </row>
    <row r="77" spans="1:25">
      <c r="A77" s="385"/>
      <c r="B77" s="387"/>
      <c r="C77" s="848" t="s">
        <v>60</v>
      </c>
      <c r="D77" s="384"/>
      <c r="E77" s="380"/>
      <c r="F77" s="383"/>
      <c r="G77" s="381"/>
      <c r="H77" s="382"/>
      <c r="I77" s="382"/>
      <c r="J77" s="381"/>
      <c r="K77" s="380"/>
      <c r="L77" s="382"/>
      <c r="M77" s="381"/>
      <c r="N77" s="380"/>
      <c r="O77" s="382"/>
      <c r="P77" s="381"/>
      <c r="Q77" s="380"/>
      <c r="R77" s="382"/>
      <c r="S77" s="381"/>
      <c r="T77" s="380"/>
      <c r="U77" s="382"/>
      <c r="V77" s="381"/>
      <c r="W77" s="380"/>
      <c r="X77" s="379"/>
      <c r="Y77" s="67" t="s">
        <v>0</v>
      </c>
    </row>
    <row r="78" spans="1:25">
      <c r="A78" s="385"/>
      <c r="B78" s="1807" t="s">
        <v>101</v>
      </c>
      <c r="C78" s="1808"/>
      <c r="D78" s="384"/>
      <c r="E78" s="380">
        <f>E77+E76+E73</f>
        <v>0</v>
      </c>
      <c r="F78" s="383"/>
      <c r="G78" s="381"/>
      <c r="H78" s="380">
        <f>H77+H76+H73</f>
        <v>0</v>
      </c>
      <c r="I78" s="382"/>
      <c r="J78" s="381"/>
      <c r="K78" s="380">
        <f>K77+K76+K73</f>
        <v>0</v>
      </c>
      <c r="L78" s="382"/>
      <c r="M78" s="381"/>
      <c r="N78" s="380">
        <f>N77+N76+N73</f>
        <v>0</v>
      </c>
      <c r="O78" s="382"/>
      <c r="P78" s="381"/>
      <c r="Q78" s="380">
        <f>Q77+Q76+Q73</f>
        <v>0</v>
      </c>
      <c r="R78" s="382"/>
      <c r="S78" s="381"/>
      <c r="T78" s="380">
        <f>T77+T76+T73</f>
        <v>0</v>
      </c>
      <c r="U78" s="382"/>
      <c r="V78" s="381"/>
      <c r="W78" s="380">
        <f>W77+W76+W73</f>
        <v>0</v>
      </c>
      <c r="X78" s="379"/>
      <c r="Y78" s="67" t="s">
        <v>0</v>
      </c>
    </row>
    <row r="79" spans="1:25" s="642" customFormat="1" ht="15" customHeight="1">
      <c r="C79" s="1355"/>
      <c r="D79" s="377"/>
      <c r="E79" s="377"/>
      <c r="F79" s="377"/>
      <c r="G79" s="377"/>
      <c r="H79" s="377"/>
      <c r="I79" s="377"/>
      <c r="J79" s="377"/>
      <c r="K79" s="377"/>
      <c r="L79" s="377"/>
      <c r="M79" s="377"/>
      <c r="N79" s="377"/>
      <c r="O79" s="377"/>
      <c r="P79" s="377"/>
      <c r="Q79" s="377"/>
      <c r="R79" s="377"/>
      <c r="S79" s="377"/>
      <c r="T79" s="377"/>
      <c r="U79" s="377"/>
      <c r="V79" s="377"/>
      <c r="W79" s="377"/>
      <c r="X79" s="377"/>
      <c r="Y79" s="67" t="s">
        <v>0</v>
      </c>
    </row>
    <row r="80" spans="1:25" s="642" customFormat="1" ht="15" customHeight="1">
      <c r="A80" s="642" t="s">
        <v>659</v>
      </c>
      <c r="B80" s="1358"/>
      <c r="C80" s="1358"/>
      <c r="D80" s="1359"/>
      <c r="E80" s="1359"/>
      <c r="F80" s="1359"/>
      <c r="G80" s="1360"/>
      <c r="H80" s="1360"/>
      <c r="I80" s="1360"/>
      <c r="J80" s="1360"/>
      <c r="K80" s="1360"/>
      <c r="L80" s="1360"/>
      <c r="M80" s="1360"/>
      <c r="N80" s="1360"/>
      <c r="O80" s="1360"/>
      <c r="P80" s="1360"/>
      <c r="Q80" s="1360"/>
      <c r="R80" s="1360"/>
      <c r="S80" s="1360"/>
      <c r="T80" s="1360"/>
      <c r="U80" s="1360"/>
      <c r="V80" s="1360"/>
      <c r="W80" s="1360"/>
      <c r="X80" s="1360"/>
      <c r="Y80" s="67" t="s">
        <v>0</v>
      </c>
    </row>
    <row r="81" spans="1:25" s="1356" customFormat="1" ht="15" customHeight="1">
      <c r="D81" s="257"/>
      <c r="E81" s="257"/>
      <c r="F81" s="257"/>
      <c r="G81" s="257"/>
      <c r="H81" s="257"/>
      <c r="I81" s="257"/>
      <c r="J81" s="257"/>
      <c r="K81" s="257"/>
      <c r="L81" s="257"/>
      <c r="M81" s="257"/>
      <c r="N81" s="257"/>
      <c r="O81" s="257"/>
      <c r="P81" s="257"/>
      <c r="Q81" s="257"/>
      <c r="R81" s="257"/>
      <c r="S81" s="257"/>
      <c r="T81" s="257"/>
      <c r="U81" s="257"/>
      <c r="V81" s="257"/>
      <c r="W81" s="257"/>
      <c r="X81" s="257"/>
      <c r="Y81" s="67" t="s">
        <v>13</v>
      </c>
    </row>
    <row r="82" spans="1:25" s="1356" customFormat="1" ht="15" customHeight="1">
      <c r="D82" s="257"/>
      <c r="E82" s="257"/>
      <c r="F82" s="257"/>
      <c r="G82" s="257"/>
      <c r="H82" s="257"/>
      <c r="I82" s="257"/>
      <c r="J82" s="257"/>
      <c r="K82" s="257"/>
      <c r="L82" s="257"/>
      <c r="M82" s="257"/>
      <c r="N82" s="257"/>
      <c r="O82" s="257"/>
      <c r="P82" s="257"/>
      <c r="Q82" s="257"/>
      <c r="R82" s="257"/>
      <c r="S82" s="257"/>
      <c r="T82" s="257"/>
      <c r="U82" s="257"/>
      <c r="V82" s="257"/>
      <c r="W82" s="257"/>
      <c r="X82" s="257"/>
      <c r="Y82" s="1357"/>
    </row>
    <row r="83" spans="1:25" s="1356" customFormat="1" ht="15" customHeight="1">
      <c r="D83" s="257"/>
      <c r="E83" s="257"/>
      <c r="F83" s="257"/>
      <c r="G83" s="257"/>
      <c r="H83" s="257"/>
      <c r="I83" s="257"/>
      <c r="J83" s="257"/>
      <c r="K83" s="257"/>
      <c r="L83" s="257"/>
      <c r="M83" s="257"/>
      <c r="N83" s="257"/>
      <c r="O83" s="257"/>
      <c r="P83" s="257"/>
      <c r="Q83" s="257"/>
      <c r="R83" s="257"/>
      <c r="S83" s="257"/>
      <c r="T83" s="257"/>
      <c r="U83" s="257"/>
      <c r="V83" s="257"/>
      <c r="W83" s="257"/>
      <c r="X83" s="257"/>
      <c r="Y83" s="1357"/>
    </row>
    <row r="84" spans="1:25" s="1356" customFormat="1" ht="15" customHeight="1">
      <c r="D84" s="257"/>
      <c r="E84" s="257"/>
      <c r="F84" s="257"/>
      <c r="G84" s="257"/>
      <c r="H84" s="257"/>
      <c r="I84" s="257"/>
      <c r="J84" s="257"/>
      <c r="K84" s="257"/>
      <c r="L84" s="257"/>
      <c r="M84" s="257"/>
      <c r="N84" s="257"/>
      <c r="O84" s="257"/>
      <c r="P84" s="257"/>
      <c r="Q84" s="257"/>
      <c r="R84" s="257"/>
      <c r="S84" s="257"/>
      <c r="T84" s="257"/>
      <c r="U84" s="257"/>
      <c r="V84" s="257"/>
      <c r="W84" s="257"/>
      <c r="X84" s="257"/>
      <c r="Y84" s="1357"/>
    </row>
    <row r="85" spans="1:25" s="1356" customFormat="1" ht="15" customHeight="1">
      <c r="D85" s="257"/>
      <c r="E85" s="257"/>
      <c r="F85" s="257"/>
      <c r="G85" s="257"/>
      <c r="H85" s="257"/>
      <c r="I85" s="257"/>
      <c r="J85" s="257"/>
      <c r="K85" s="257"/>
      <c r="L85" s="257"/>
      <c r="M85" s="257"/>
      <c r="N85" s="257"/>
      <c r="O85" s="257"/>
      <c r="P85" s="257"/>
      <c r="Q85" s="257"/>
      <c r="R85" s="257"/>
      <c r="S85" s="257"/>
      <c r="T85" s="257"/>
      <c r="U85" s="257"/>
      <c r="V85" s="257"/>
      <c r="W85" s="257"/>
      <c r="X85" s="257"/>
      <c r="Y85" s="1357"/>
    </row>
    <row r="86" spans="1:25" s="1356" customFormat="1" ht="15" customHeight="1">
      <c r="D86" s="257"/>
      <c r="E86" s="257"/>
      <c r="F86" s="257"/>
      <c r="G86" s="257"/>
      <c r="H86" s="257"/>
      <c r="I86" s="257"/>
      <c r="J86" s="257"/>
      <c r="K86" s="257"/>
      <c r="L86" s="257"/>
      <c r="M86" s="257"/>
      <c r="N86" s="257"/>
      <c r="O86" s="257"/>
      <c r="P86" s="257"/>
      <c r="Q86" s="257"/>
      <c r="R86" s="257"/>
      <c r="S86" s="257"/>
      <c r="T86" s="257"/>
      <c r="U86" s="257"/>
      <c r="V86" s="257"/>
      <c r="W86" s="257"/>
      <c r="X86" s="257"/>
      <c r="Y86" s="1357"/>
    </row>
    <row r="87" spans="1:25" s="1356" customFormat="1" ht="15" customHeight="1">
      <c r="A87" s="2145"/>
      <c r="B87" s="2145"/>
      <c r="C87" s="2145"/>
      <c r="D87" s="2145"/>
      <c r="E87" s="2145"/>
      <c r="F87" s="2145"/>
      <c r="G87" s="2145"/>
      <c r="H87" s="2145"/>
      <c r="I87" s="2145"/>
      <c r="J87" s="2145"/>
      <c r="K87" s="2145"/>
      <c r="L87" s="2145"/>
      <c r="M87" s="2145"/>
      <c r="N87" s="2145"/>
      <c r="O87" s="2145"/>
      <c r="P87" s="2145"/>
      <c r="Q87" s="2145"/>
      <c r="R87" s="2145"/>
      <c r="S87" s="2145"/>
      <c r="T87" s="2145"/>
      <c r="U87" s="2145"/>
      <c r="V87" s="2145"/>
      <c r="W87" s="49"/>
      <c r="X87" s="49"/>
      <c r="Y87" s="1357"/>
    </row>
    <row r="88" spans="1:25">
      <c r="W88" s="377"/>
      <c r="X88" s="377"/>
    </row>
    <row r="89" spans="1:25">
      <c r="K89" s="53"/>
    </row>
  </sheetData>
  <customSheetViews>
    <customSheetView guid="{DA38F665-F06D-4DFB-B852-747D93BB00EF}" scale="65" showPageBreaks="1" showGridLines="0" outlineSymbols="0" fitToPage="1" printArea="1" view="pageBreakPreview" topLeftCell="A25">
      <selection activeCell="B210" sqref="B210"/>
      <rowBreaks count="1" manualBreakCount="1">
        <brk id="32" max="23" man="1"/>
      </rowBreaks>
      <pageMargins left="0.5" right="0.4" top="0.5" bottom="0.25" header="0" footer="0"/>
      <printOptions horizontalCentered="1"/>
      <pageSetup scale="51" firstPageNumber="8" fitToHeight="0" orientation="landscape" useFirstPageNumber="1" r:id="rId1"/>
      <headerFooter alignWithMargins="0">
        <oddFooter>&amp;C&amp;"Times New Roman,Regular"Exhibit B - Summary of Requirements&amp;R&amp;"Times New Roman,Regular"Crime Victims Fund</oddFooter>
      </headerFooter>
    </customSheetView>
    <customSheetView guid="{4D0F9E3D-0229-48CC-A08B-F132802E9D7B}" scale="65" showPageBreaks="1" showGridLines="0" outlineSymbols="0" fitToPage="1" printArea="1" view="pageBreakPreview" topLeftCell="A21">
      <selection activeCell="B64" sqref="B64:C64"/>
      <rowBreaks count="1" manualBreakCount="1">
        <brk id="26" max="23" man="1"/>
      </rowBreaks>
      <pageMargins left="0.5" right="0.4" top="0.5" bottom="0.25" header="0" footer="0"/>
      <printOptions horizontalCentered="1"/>
      <pageSetup scale="51" firstPageNumber="8" fitToHeight="0" orientation="landscape" useFirstPageNumber="1" r:id="rId2"/>
      <headerFooter alignWithMargins="0">
        <oddFooter>&amp;C&amp;"Times New Roman,Regular"Exhibit B - Summary of Requirements&amp;R&amp;"Times New Roman,Regular"Crime Victims Fund</oddFooter>
      </headerFooter>
    </customSheetView>
    <customSheetView guid="{F6772377-6B25-4EEA-B255-4C2F62B37855}" scale="65" showPageBreaks="1" showGridLines="0" outlineSymbols="0" fitToPage="1" printArea="1" view="pageBreakPreview">
      <selection activeCell="R54" sqref="P54:R59"/>
      <rowBreaks count="1" manualBreakCount="1">
        <brk id="40" max="23" man="1"/>
      </rowBreaks>
      <pageMargins left="0.5" right="0.4" top="0.5" bottom="0.25" header="0" footer="0"/>
      <printOptions horizontalCentered="1"/>
      <pageSetup scale="51" firstPageNumber="8" fitToHeight="0" orientation="landscape" useFirstPageNumber="1" r:id="rId3"/>
      <headerFooter alignWithMargins="0">
        <oddFooter>&amp;C&amp;"Times New Roman,Regular"Exhibit B - Summary of Requirements&amp;R&amp;"Times New Roman,Regular"Crime Victims Fund</oddFooter>
      </headerFooter>
    </customSheetView>
    <customSheetView guid="{27B9C207-C13F-4981-9CED-E69585BBD779}" scale="65" showPageBreaks="1" showGridLines="0" outlineSymbols="0" fitToPage="1" printArea="1" view="pageBreakPreview">
      <selection activeCell="I67" sqref="I67"/>
      <rowBreaks count="1" manualBreakCount="1">
        <brk id="42" max="23" man="1"/>
      </rowBreaks>
      <pageMargins left="0.5" right="0.4" top="0.5" bottom="0.25" header="0" footer="0"/>
      <printOptions horizontalCentered="1"/>
      <pageSetup scale="51" firstPageNumber="8" fitToHeight="0" orientation="landscape" useFirstPageNumber="1" r:id="rId4"/>
      <headerFooter alignWithMargins="0">
        <oddFooter>&amp;C&amp;"Times New Roman,Regular"Exhibit B - Summary of Requirements&amp;R&amp;"Times New Roman,Regular"Crime Victims Fund</oddFooter>
      </headerFooter>
    </customSheetView>
  </customSheetViews>
  <mergeCells count="49">
    <mergeCell ref="A40:X40"/>
    <mergeCell ref="A6:X6"/>
    <mergeCell ref="A1:X1"/>
    <mergeCell ref="A2:X2"/>
    <mergeCell ref="A3:X3"/>
    <mergeCell ref="A4:X4"/>
    <mergeCell ref="A5:X5"/>
    <mergeCell ref="A7:X7"/>
    <mergeCell ref="A8:X8"/>
    <mergeCell ref="A9:X9"/>
    <mergeCell ref="A10:X10"/>
    <mergeCell ref="A11:U13"/>
    <mergeCell ref="V11:X11"/>
    <mergeCell ref="V12:V13"/>
    <mergeCell ref="W12:W13"/>
    <mergeCell ref="X12:X13"/>
    <mergeCell ref="A25:U25"/>
    <mergeCell ref="A14:U14"/>
    <mergeCell ref="A15:U15"/>
    <mergeCell ref="A16:U16"/>
    <mergeCell ref="A17:U17"/>
    <mergeCell ref="A18:U18"/>
    <mergeCell ref="A19:U19"/>
    <mergeCell ref="A20:U20"/>
    <mergeCell ref="A21:U21"/>
    <mergeCell ref="A23:U23"/>
    <mergeCell ref="A24:U24"/>
    <mergeCell ref="B71:C71"/>
    <mergeCell ref="A38:U38"/>
    <mergeCell ref="A48:X48"/>
    <mergeCell ref="A49:X49"/>
    <mergeCell ref="A50:X50"/>
    <mergeCell ref="A51:X51"/>
    <mergeCell ref="A57:C59"/>
    <mergeCell ref="D57:F58"/>
    <mergeCell ref="G57:I58"/>
    <mergeCell ref="J57:L58"/>
    <mergeCell ref="M57:O58"/>
    <mergeCell ref="P57:R58"/>
    <mergeCell ref="S57:U58"/>
    <mergeCell ref="V57:X58"/>
    <mergeCell ref="B63:C63"/>
    <mergeCell ref="B66:C66"/>
    <mergeCell ref="A87:V87"/>
    <mergeCell ref="B72:C72"/>
    <mergeCell ref="B73:C73"/>
    <mergeCell ref="B74:C74"/>
    <mergeCell ref="B75:C75"/>
    <mergeCell ref="B78:C78"/>
  </mergeCells>
  <printOptions horizontalCentered="1"/>
  <pageMargins left="0.5" right="0.4" top="0.5" bottom="0.25" header="0" footer="0"/>
  <pageSetup scale="51" firstPageNumber="8" fitToHeight="0" orientation="landscape" useFirstPageNumber="1" r:id="rId5"/>
  <headerFooter alignWithMargins="0">
    <oddFooter>&amp;C&amp;"Times New Roman,Regular"Exhibit B - Summary of Requirements&amp;R&amp;"Times New Roman,Regular"Crime Victims Fund</oddFooter>
  </headerFooter>
  <rowBreaks count="1" manualBreakCount="1">
    <brk id="42" max="23" man="1"/>
  </rowBreaks>
</worksheet>
</file>

<file path=xl/worksheets/sheet45.xml><?xml version="1.0" encoding="utf-8"?>
<worksheet xmlns="http://schemas.openxmlformats.org/spreadsheetml/2006/main" xmlns:r="http://schemas.openxmlformats.org/officeDocument/2006/relationships">
  <sheetPr>
    <pageSetUpPr fitToPage="1"/>
  </sheetPr>
  <dimension ref="A1:H25"/>
  <sheetViews>
    <sheetView view="pageBreakPreview" zoomScale="75" zoomScaleNormal="75" zoomScaleSheetLayoutView="75" workbookViewId="0">
      <selection activeCell="A19" sqref="A19:XFD19"/>
    </sheetView>
  </sheetViews>
  <sheetFormatPr defaultColWidth="7.21875" defaultRowHeight="12.75"/>
  <cols>
    <col min="1" max="1" width="41.88671875" style="433" customWidth="1"/>
    <col min="2" max="2" width="15.88671875" style="433" customWidth="1"/>
    <col min="3" max="3" width="4.6640625" style="433" customWidth="1"/>
    <col min="4" max="4" width="8.33203125" style="433" customWidth="1"/>
    <col min="5" max="5" width="4.6640625" style="433" customWidth="1"/>
    <col min="6" max="6" width="9" style="433" customWidth="1"/>
    <col min="7" max="7" width="11.33203125" style="433" customWidth="1"/>
    <col min="8" max="8" width="8.88671875" style="471" customWidth="1"/>
    <col min="9" max="16384" width="7.21875" style="433"/>
  </cols>
  <sheetData>
    <row r="1" spans="1:8" ht="20.25">
      <c r="A1" s="1692" t="s">
        <v>240</v>
      </c>
      <c r="B1" s="1693"/>
      <c r="C1" s="1693"/>
      <c r="D1" s="1693"/>
      <c r="E1" s="1693"/>
      <c r="F1" s="1693"/>
      <c r="G1" s="1693"/>
      <c r="H1" s="432" t="s">
        <v>0</v>
      </c>
    </row>
    <row r="2" spans="1:8" ht="20.25">
      <c r="A2" s="1733"/>
      <c r="B2" s="1733"/>
      <c r="C2" s="1733"/>
      <c r="D2" s="1733"/>
      <c r="E2" s="1733"/>
      <c r="F2" s="1733"/>
      <c r="G2" s="1733"/>
      <c r="H2" s="432" t="s">
        <v>0</v>
      </c>
    </row>
    <row r="3" spans="1:8">
      <c r="A3" s="1886"/>
      <c r="B3" s="1886"/>
      <c r="C3" s="1886"/>
      <c r="D3" s="1886"/>
      <c r="E3" s="1886"/>
      <c r="F3" s="1886"/>
      <c r="G3" s="1886"/>
      <c r="H3" s="432" t="s">
        <v>0</v>
      </c>
    </row>
    <row r="4" spans="1:8" ht="23.25">
      <c r="A4" s="1887" t="s">
        <v>241</v>
      </c>
      <c r="B4" s="1875"/>
      <c r="C4" s="1875"/>
      <c r="D4" s="1875"/>
      <c r="E4" s="1875"/>
      <c r="F4" s="1875"/>
      <c r="G4" s="1875"/>
      <c r="H4" s="432" t="s">
        <v>0</v>
      </c>
    </row>
    <row r="5" spans="1:8" ht="23.25">
      <c r="A5" s="1885" t="str">
        <f>'[7]B. Summ of Reqs - CVF '!A36</f>
        <v>Office of Justice Programs</v>
      </c>
      <c r="B5" s="1888"/>
      <c r="C5" s="1888"/>
      <c r="D5" s="1888"/>
      <c r="E5" s="1888"/>
      <c r="F5" s="1888"/>
      <c r="G5" s="1888"/>
      <c r="H5" s="432" t="s">
        <v>0</v>
      </c>
    </row>
    <row r="6" spans="1:8" ht="23.25">
      <c r="A6" s="1885" t="str">
        <f>'[7]B. Summ of Reqs - CVF '!A37</f>
        <v>Crime Victims Fund</v>
      </c>
      <c r="B6" s="1885"/>
      <c r="C6" s="1885"/>
      <c r="D6" s="1885"/>
      <c r="E6" s="1885"/>
      <c r="F6" s="1885"/>
      <c r="G6" s="1885"/>
      <c r="H6" s="432" t="s">
        <v>0</v>
      </c>
    </row>
    <row r="7" spans="1:8" ht="23.25">
      <c r="A7" s="1874" t="s">
        <v>98</v>
      </c>
      <c r="B7" s="1875"/>
      <c r="C7" s="1875"/>
      <c r="D7" s="1875"/>
      <c r="E7" s="1875"/>
      <c r="F7" s="1875"/>
      <c r="G7" s="1875"/>
      <c r="H7" s="432" t="s">
        <v>0</v>
      </c>
    </row>
    <row r="8" spans="1:8">
      <c r="A8" s="1876"/>
      <c r="B8" s="1876"/>
      <c r="C8" s="1876"/>
      <c r="D8" s="1876"/>
      <c r="E8" s="1876"/>
      <c r="F8" s="1876"/>
      <c r="G8" s="1876"/>
      <c r="H8" s="432" t="s">
        <v>0</v>
      </c>
    </row>
    <row r="9" spans="1:8">
      <c r="A9" s="1877"/>
      <c r="B9" s="1877"/>
      <c r="C9" s="1877"/>
      <c r="D9" s="1877"/>
      <c r="E9" s="1877"/>
      <c r="F9" s="1877"/>
      <c r="G9" s="1877"/>
      <c r="H9" s="432" t="s">
        <v>0</v>
      </c>
    </row>
    <row r="10" spans="1:8">
      <c r="A10" s="1878" t="s">
        <v>91</v>
      </c>
      <c r="B10" s="1880" t="s">
        <v>242</v>
      </c>
      <c r="C10" s="1997" t="s">
        <v>448</v>
      </c>
      <c r="D10" s="1998"/>
      <c r="E10" s="1998"/>
      <c r="F10" s="1999"/>
      <c r="G10" s="1880" t="s">
        <v>244</v>
      </c>
      <c r="H10" s="432" t="s">
        <v>0</v>
      </c>
    </row>
    <row r="11" spans="1:8">
      <c r="A11" s="2156"/>
      <c r="B11" s="2157"/>
      <c r="C11" s="1144" t="s">
        <v>115</v>
      </c>
      <c r="D11" s="1144" t="s">
        <v>4</v>
      </c>
      <c r="E11" s="1144" t="s">
        <v>25</v>
      </c>
      <c r="F11" s="1145" t="s">
        <v>117</v>
      </c>
      <c r="G11" s="2157"/>
      <c r="H11" s="432" t="s">
        <v>0</v>
      </c>
    </row>
    <row r="12" spans="1:8" ht="18.75" customHeight="1">
      <c r="A12" s="702"/>
      <c r="B12" s="703"/>
      <c r="C12" s="704"/>
      <c r="D12" s="286"/>
      <c r="E12" s="286"/>
      <c r="F12" s="705"/>
      <c r="G12" s="705"/>
      <c r="H12" s="432" t="s">
        <v>0</v>
      </c>
    </row>
    <row r="13" spans="1:8" ht="18.75" customHeight="1">
      <c r="A13" s="436" t="s">
        <v>605</v>
      </c>
      <c r="B13" s="437" t="s">
        <v>448</v>
      </c>
      <c r="C13" s="711"/>
      <c r="D13" s="708"/>
      <c r="E13" s="708"/>
      <c r="F13" s="709">
        <v>365000</v>
      </c>
      <c r="G13" s="709">
        <f>F13</f>
        <v>365000</v>
      </c>
      <c r="H13" s="432" t="s">
        <v>0</v>
      </c>
    </row>
    <row r="14" spans="1:8" ht="18.75" customHeight="1">
      <c r="A14" s="443"/>
      <c r="B14" s="444"/>
      <c r="C14" s="713"/>
      <c r="D14" s="714"/>
      <c r="E14" s="714"/>
      <c r="F14" s="715"/>
      <c r="G14" s="1143"/>
      <c r="H14" s="432" t="s">
        <v>0</v>
      </c>
    </row>
    <row r="15" spans="1:8" ht="18.75" customHeight="1">
      <c r="A15" s="716" t="s">
        <v>246</v>
      </c>
      <c r="B15" s="717"/>
      <c r="C15" s="464">
        <f>SUM(C12:C14)</f>
        <v>0</v>
      </c>
      <c r="D15" s="465">
        <f>SUM(D12:D14)</f>
        <v>0</v>
      </c>
      <c r="E15" s="465">
        <f>SUM(E12:E14)</f>
        <v>0</v>
      </c>
      <c r="F15" s="466">
        <f>SUM(F13:F13)</f>
        <v>365000</v>
      </c>
      <c r="G15" s="467">
        <f>G13</f>
        <v>365000</v>
      </c>
      <c r="H15" s="432" t="s">
        <v>0</v>
      </c>
    </row>
    <row r="16" spans="1:8" ht="18.75" customHeight="1">
      <c r="A16" s="849"/>
      <c r="B16" s="850"/>
      <c r="C16" s="851"/>
      <c r="D16" s="851"/>
      <c r="E16" s="851"/>
      <c r="F16" s="852"/>
      <c r="G16" s="852"/>
      <c r="H16" s="432" t="s">
        <v>0</v>
      </c>
    </row>
    <row r="17" spans="1:8" ht="18.75" customHeight="1">
      <c r="A17" s="853"/>
      <c r="B17" s="853"/>
      <c r="C17" s="853"/>
      <c r="D17" s="853"/>
      <c r="E17" s="853"/>
      <c r="F17" s="853"/>
      <c r="G17" s="853"/>
      <c r="H17" s="67" t="s">
        <v>13</v>
      </c>
    </row>
    <row r="18" spans="1:8" ht="18.75" customHeight="1">
      <c r="A18" s="468"/>
      <c r="B18" s="469"/>
      <c r="C18" s="452"/>
      <c r="D18" s="452"/>
      <c r="E18" s="452"/>
      <c r="F18" s="453"/>
      <c r="G18" s="453"/>
      <c r="H18" s="432"/>
    </row>
    <row r="19" spans="1:8" ht="210.75" customHeight="1">
      <c r="A19" s="470"/>
      <c r="B19" s="470"/>
      <c r="C19" s="2120"/>
      <c r="D19" s="2121"/>
      <c r="E19" s="2121"/>
      <c r="F19" s="2121"/>
      <c r="G19" s="470"/>
      <c r="H19" s="432"/>
    </row>
    <row r="20" spans="1:8" ht="33.75" customHeight="1">
      <c r="A20" s="2085"/>
      <c r="B20" s="2086"/>
      <c r="C20" s="2086"/>
      <c r="D20" s="2086"/>
      <c r="E20" s="2086"/>
      <c r="F20" s="2086"/>
    </row>
    <row r="21" spans="1:8" ht="12.75" customHeight="1">
      <c r="A21" s="472"/>
      <c r="B21" s="472"/>
      <c r="C21" s="472"/>
      <c r="D21" s="472"/>
      <c r="E21" s="472"/>
      <c r="F21" s="472"/>
    </row>
    <row r="22" spans="1:8" ht="57" customHeight="1">
      <c r="A22" s="1729"/>
      <c r="B22" s="2087"/>
      <c r="C22" s="2087"/>
      <c r="D22" s="2087"/>
      <c r="E22" s="2087"/>
      <c r="F22" s="2087"/>
    </row>
    <row r="23" spans="1:8" ht="15">
      <c r="A23" s="2081"/>
      <c r="B23" s="2081"/>
      <c r="C23" s="2081"/>
      <c r="D23" s="2081"/>
      <c r="E23" s="2081"/>
      <c r="F23" s="2081"/>
    </row>
    <row r="24" spans="1:8" ht="15" customHeight="1">
      <c r="A24" s="473"/>
      <c r="B24" s="474"/>
      <c r="C24" s="474"/>
      <c r="D24" s="474"/>
      <c r="E24" s="474"/>
      <c r="F24" s="474"/>
      <c r="G24" s="475"/>
    </row>
    <row r="25" spans="1:8">
      <c r="A25" s="474"/>
      <c r="B25" s="474"/>
      <c r="C25" s="474"/>
      <c r="D25" s="474"/>
      <c r="E25" s="474"/>
      <c r="F25" s="474"/>
    </row>
  </sheetData>
  <customSheetViews>
    <customSheetView guid="{DA38F665-F06D-4DFB-B852-747D93BB00EF}" scale="75" showPageBreaks="1" fitToPage="1" printArea="1" view="pageBreakPreview" topLeftCell="A7">
      <selection activeCell="B210" sqref="B210"/>
      <pageMargins left="0.75" right="0.75" top="1" bottom="1" header="0.5" footer="0.5"/>
      <printOptions horizontalCentered="1"/>
      <pageSetup orientation="landscape" r:id="rId1"/>
      <headerFooter alignWithMargins="0">
        <oddFooter>&amp;C&amp;"Times New Roman,Regular"Exhibit C - Program Increases/Offsets By Decision Unit&amp;R&amp;"Times New Roman,Regular"Crime Victims Fund</oddFooter>
      </headerFooter>
    </customSheetView>
    <customSheetView guid="{4D0F9E3D-0229-48CC-A08B-F132802E9D7B}" scale="75" showPageBreaks="1" fitToPage="1" printArea="1" view="pageBreakPreview">
      <selection activeCell="F14" sqref="F14"/>
      <pageMargins left="0.75" right="0.75" top="1" bottom="1" header="0.5" footer="0.5"/>
      <printOptions horizontalCentered="1"/>
      <pageSetup orientation="landscape" r:id="rId2"/>
      <headerFooter alignWithMargins="0">
        <oddFooter>&amp;C&amp;"Times New Roman,Regular"Exhibit C - Program Increases/Offsets By Decision Unit&amp;R&amp;"Times New Roman,Regular"Crime Victims Fund</oddFooter>
      </headerFooter>
    </customSheetView>
    <customSheetView guid="{F6772377-6B25-4EEA-B255-4C2F62B37855}" scale="75" showPageBreaks="1" fitToPage="1" printArea="1" view="pageBreakPreview" topLeftCell="A7">
      <selection activeCell="G21" sqref="G21"/>
      <pageMargins left="0.75" right="0.75" top="1" bottom="1" header="0.5" footer="0.5"/>
      <printOptions horizontalCentered="1"/>
      <pageSetup orientation="landscape" r:id="rId3"/>
      <headerFooter alignWithMargins="0">
        <oddFooter>&amp;C&amp;"Times New Roman,Regular"Exhibit C - Program Increases/Offsets By Decision Unit&amp;R&amp;"Times New Roman,Regular"Crime Victims Fund</oddFooter>
      </headerFooter>
    </customSheetView>
    <customSheetView guid="{27B9C207-C13F-4981-9CED-E69585BBD779}" scale="75" showPageBreaks="1" fitToPage="1" printArea="1" view="pageBreakPreview">
      <selection activeCell="A19" sqref="A18:A19"/>
      <pageMargins left="0.75" right="0.75" top="1" bottom="1" header="0.5" footer="0.5"/>
      <printOptions horizontalCentered="1"/>
      <pageSetup orientation="landscape" r:id="rId4"/>
      <headerFooter alignWithMargins="0">
        <oddFooter>&amp;C&amp;"Times New Roman,Regular"Exhibit C - Program Increases/Offsets By Decision Unit&amp;R&amp;"Times New Roman,Regular"Crime Victims Fund</oddFooter>
      </headerFooter>
    </customSheetView>
  </customSheetViews>
  <mergeCells count="17">
    <mergeCell ref="A6:G6"/>
    <mergeCell ref="A1:G1"/>
    <mergeCell ref="A2:G2"/>
    <mergeCell ref="A3:G3"/>
    <mergeCell ref="A4:G4"/>
    <mergeCell ref="A5:G5"/>
    <mergeCell ref="C19:F19"/>
    <mergeCell ref="A20:F20"/>
    <mergeCell ref="A22:F22"/>
    <mergeCell ref="A23:F23"/>
    <mergeCell ref="A7:G7"/>
    <mergeCell ref="A8:G8"/>
    <mergeCell ref="A9:G9"/>
    <mergeCell ref="A10:A11"/>
    <mergeCell ref="B10:B11"/>
    <mergeCell ref="C10:F10"/>
    <mergeCell ref="G10:G11"/>
  </mergeCells>
  <printOptions horizontalCentered="1"/>
  <pageMargins left="0.75" right="0.75" top="1" bottom="1" header="0.5" footer="0.5"/>
  <pageSetup orientation="landscape" r:id="rId5"/>
  <headerFooter alignWithMargins="0">
    <oddFooter>&amp;C&amp;"Times New Roman,Regular"Exhibit C - Program Increases/Offsets By Decision Unit&amp;R&amp;"Times New Roman,Regular"Crime Victims Fund</oddFooter>
  </headerFooter>
</worksheet>
</file>

<file path=xl/worksheets/sheet46.xml><?xml version="1.0" encoding="utf-8"?>
<worksheet xmlns="http://schemas.openxmlformats.org/spreadsheetml/2006/main" xmlns:r="http://schemas.openxmlformats.org/officeDocument/2006/relationships">
  <dimension ref="A1:T47"/>
  <sheetViews>
    <sheetView view="pageBreakPreview" zoomScale="60" zoomScaleNormal="75" workbookViewId="0">
      <selection activeCell="A26" sqref="A26"/>
    </sheetView>
  </sheetViews>
  <sheetFormatPr defaultColWidth="8.88671875" defaultRowHeight="12.75"/>
  <cols>
    <col min="1" max="1" width="53.88671875" style="477" customWidth="1"/>
    <col min="2" max="2" width="1.21875" style="477" customWidth="1"/>
    <col min="3" max="3" width="10.77734375" style="477" customWidth="1"/>
    <col min="4" max="4" width="11" style="477" customWidth="1"/>
    <col min="5" max="5" width="1.21875" style="477" customWidth="1"/>
    <col min="6" max="7" width="11.21875" style="477" customWidth="1"/>
    <col min="8" max="8" width="1.21875" style="477" customWidth="1"/>
    <col min="9" max="15" width="10.77734375" style="477" customWidth="1"/>
    <col min="16" max="16" width="11.33203125" style="477" customWidth="1"/>
    <col min="17" max="17" width="9.33203125" style="477" customWidth="1"/>
    <col min="18" max="16384" width="8.88671875" style="477"/>
  </cols>
  <sheetData>
    <row r="1" spans="1:20" ht="20.25">
      <c r="A1" s="1897" t="s">
        <v>145</v>
      </c>
      <c r="B1" s="1609"/>
      <c r="C1" s="1609"/>
      <c r="D1" s="1609"/>
      <c r="E1" s="1609"/>
      <c r="F1" s="1609"/>
      <c r="G1" s="1609"/>
      <c r="H1" s="1609"/>
      <c r="I1" s="1609"/>
      <c r="J1" s="1609"/>
      <c r="K1" s="1609"/>
      <c r="L1" s="1609"/>
      <c r="M1" s="1609"/>
      <c r="N1" s="1609"/>
      <c r="O1" s="1609"/>
      <c r="P1" s="1609"/>
      <c r="Q1" s="476" t="s">
        <v>0</v>
      </c>
      <c r="R1" s="189"/>
      <c r="S1" s="189"/>
    </row>
    <row r="2" spans="1:20" ht="19.149999999999999" customHeight="1">
      <c r="A2" s="478"/>
      <c r="Q2" s="476" t="s">
        <v>0</v>
      </c>
      <c r="T2" s="476"/>
    </row>
    <row r="3" spans="1:20" ht="15.75">
      <c r="A3" s="1898" t="s">
        <v>126</v>
      </c>
      <c r="B3" s="1611"/>
      <c r="C3" s="1611"/>
      <c r="D3" s="1611"/>
      <c r="E3" s="1611"/>
      <c r="F3" s="1611"/>
      <c r="G3" s="1611"/>
      <c r="H3" s="1611"/>
      <c r="I3" s="1611"/>
      <c r="J3" s="1611"/>
      <c r="K3" s="1611"/>
      <c r="L3" s="1611"/>
      <c r="M3" s="1611"/>
      <c r="N3" s="1611"/>
      <c r="O3" s="1611"/>
      <c r="P3" s="1611"/>
      <c r="Q3" s="476" t="s">
        <v>0</v>
      </c>
      <c r="R3" s="321"/>
      <c r="S3" s="321"/>
      <c r="T3" s="476"/>
    </row>
    <row r="4" spans="1:20" ht="15.75">
      <c r="A4" s="1899" t="str">
        <f>'[7]B. Summ of Reqs - CVF '!A5:X5</f>
        <v>Office of Justice Programs</v>
      </c>
      <c r="B4" s="1611"/>
      <c r="C4" s="1611"/>
      <c r="D4" s="1611"/>
      <c r="E4" s="1611"/>
      <c r="F4" s="1611"/>
      <c r="G4" s="1611"/>
      <c r="H4" s="1611"/>
      <c r="I4" s="1611"/>
      <c r="J4" s="1611"/>
      <c r="K4" s="1611"/>
      <c r="L4" s="1611"/>
      <c r="M4" s="1611"/>
      <c r="N4" s="1611"/>
      <c r="O4" s="1611"/>
      <c r="P4" s="1611"/>
      <c r="Q4" s="476" t="s">
        <v>0</v>
      </c>
      <c r="R4" s="365"/>
      <c r="S4" s="365"/>
    </row>
    <row r="5" spans="1:20" ht="15.75">
      <c r="A5" s="1899" t="str">
        <f>'[7]B. Summ of Reqs - CVF '!A6:X6</f>
        <v>Crime Victims Fund</v>
      </c>
      <c r="B5" s="1611"/>
      <c r="C5" s="1611"/>
      <c r="D5" s="1611"/>
      <c r="E5" s="1611"/>
      <c r="F5" s="1611"/>
      <c r="G5" s="1611"/>
      <c r="H5" s="1611"/>
      <c r="I5" s="1611"/>
      <c r="J5" s="1611"/>
      <c r="K5" s="1611"/>
      <c r="L5" s="1611"/>
      <c r="M5" s="1611"/>
      <c r="N5" s="1611"/>
      <c r="O5" s="1611"/>
      <c r="P5" s="1611"/>
      <c r="Q5" s="476" t="s">
        <v>0</v>
      </c>
      <c r="R5" s="365"/>
      <c r="S5" s="365"/>
    </row>
    <row r="6" spans="1:20" ht="15">
      <c r="A6" s="1900" t="s">
        <v>98</v>
      </c>
      <c r="B6" s="1611"/>
      <c r="C6" s="1611"/>
      <c r="D6" s="1611"/>
      <c r="E6" s="1611"/>
      <c r="F6" s="1611"/>
      <c r="G6" s="1611"/>
      <c r="H6" s="1611"/>
      <c r="I6" s="1611"/>
      <c r="J6" s="1611"/>
      <c r="K6" s="1611"/>
      <c r="L6" s="1611"/>
      <c r="M6" s="1611"/>
      <c r="N6" s="1611"/>
      <c r="O6" s="1611"/>
      <c r="P6" s="1611"/>
      <c r="Q6" s="476" t="s">
        <v>0</v>
      </c>
      <c r="R6" s="321"/>
      <c r="S6" s="321"/>
      <c r="T6" s="476"/>
    </row>
    <row r="7" spans="1:20">
      <c r="Q7" s="476" t="s">
        <v>0</v>
      </c>
      <c r="T7" s="476"/>
    </row>
    <row r="8" spans="1:20" ht="13.5" thickBot="1">
      <c r="Q8" s="476" t="s">
        <v>0</v>
      </c>
      <c r="T8" s="476"/>
    </row>
    <row r="9" spans="1:20" ht="37.5" customHeight="1">
      <c r="A9" s="479"/>
      <c r="B9" s="480"/>
      <c r="C9" s="1894" t="s">
        <v>173</v>
      </c>
      <c r="D9" s="1615"/>
      <c r="E9" s="481"/>
      <c r="F9" s="1894" t="s">
        <v>166</v>
      </c>
      <c r="G9" s="1615"/>
      <c r="H9" s="481"/>
      <c r="I9" s="1895" t="s">
        <v>150</v>
      </c>
      <c r="J9" s="1615"/>
      <c r="K9" s="1896">
        <v>2013</v>
      </c>
      <c r="L9" s="1629"/>
      <c r="M9" s="1629"/>
      <c r="N9" s="1630"/>
      <c r="O9" s="1895" t="s">
        <v>154</v>
      </c>
      <c r="P9" s="1615"/>
      <c r="Q9" s="476" t="s">
        <v>0</v>
      </c>
      <c r="S9" s="482"/>
      <c r="T9" s="476"/>
    </row>
    <row r="10" spans="1:20" ht="14.25" customHeight="1">
      <c r="A10" s="480"/>
      <c r="B10" s="480"/>
      <c r="C10" s="1616"/>
      <c r="D10" s="1617"/>
      <c r="E10" s="481"/>
      <c r="F10" s="1625"/>
      <c r="G10" s="1626"/>
      <c r="H10" s="481"/>
      <c r="I10" s="1625"/>
      <c r="J10" s="1626"/>
      <c r="K10" s="1889" t="s">
        <v>118</v>
      </c>
      <c r="L10" s="1890"/>
      <c r="M10" s="1891" t="s">
        <v>127</v>
      </c>
      <c r="N10" s="1622"/>
      <c r="O10" s="1625"/>
      <c r="P10" s="1626"/>
      <c r="Q10" s="476" t="s">
        <v>0</v>
      </c>
      <c r="S10" s="482"/>
      <c r="T10" s="476"/>
    </row>
    <row r="11" spans="1:20" hidden="1">
      <c r="A11" s="1892" t="s">
        <v>128</v>
      </c>
      <c r="B11" s="480"/>
      <c r="C11" s="483"/>
      <c r="D11" s="484"/>
      <c r="E11" s="485"/>
      <c r="F11" s="483"/>
      <c r="G11" s="484"/>
      <c r="H11" s="485"/>
      <c r="I11" s="483"/>
      <c r="J11" s="484"/>
      <c r="K11" s="483"/>
      <c r="L11" s="484"/>
      <c r="M11" s="486"/>
      <c r="N11" s="484"/>
      <c r="O11" s="483"/>
      <c r="P11" s="484"/>
      <c r="Q11" s="476" t="s">
        <v>0</v>
      </c>
      <c r="S11" s="486"/>
      <c r="T11" s="476"/>
    </row>
    <row r="12" spans="1:20" ht="25.5">
      <c r="A12" s="1893"/>
      <c r="B12" s="480"/>
      <c r="C12" s="487" t="s">
        <v>129</v>
      </c>
      <c r="D12" s="488" t="s">
        <v>130</v>
      </c>
      <c r="E12" s="485"/>
      <c r="F12" s="487" t="s">
        <v>129</v>
      </c>
      <c r="G12" s="488" t="s">
        <v>130</v>
      </c>
      <c r="H12" s="485"/>
      <c r="I12" s="487" t="s">
        <v>129</v>
      </c>
      <c r="J12" s="488" t="s">
        <v>130</v>
      </c>
      <c r="K12" s="487" t="s">
        <v>129</v>
      </c>
      <c r="L12" s="488" t="s">
        <v>130</v>
      </c>
      <c r="M12" s="487" t="s">
        <v>129</v>
      </c>
      <c r="N12" s="488" t="s">
        <v>130</v>
      </c>
      <c r="O12" s="487" t="s">
        <v>129</v>
      </c>
      <c r="P12" s="488" t="s">
        <v>130</v>
      </c>
      <c r="Q12" s="476" t="s">
        <v>0</v>
      </c>
      <c r="S12" s="489"/>
      <c r="T12" s="476"/>
    </row>
    <row r="13" spans="1:20">
      <c r="A13" s="490"/>
      <c r="B13" s="480"/>
      <c r="C13" s="491"/>
      <c r="D13" s="492"/>
      <c r="E13" s="493"/>
      <c r="F13" s="491"/>
      <c r="G13" s="492"/>
      <c r="H13" s="493"/>
      <c r="I13" s="491"/>
      <c r="J13" s="492"/>
      <c r="K13" s="491"/>
      <c r="L13" s="494"/>
      <c r="M13" s="495"/>
      <c r="N13" s="492"/>
      <c r="O13" s="491"/>
      <c r="P13" s="492"/>
      <c r="Q13" s="476" t="s">
        <v>0</v>
      </c>
      <c r="S13" s="496"/>
      <c r="T13" s="476"/>
    </row>
    <row r="14" spans="1:20" ht="25.5">
      <c r="A14" s="497" t="s">
        <v>187</v>
      </c>
      <c r="B14" s="480"/>
      <c r="C14" s="491"/>
      <c r="D14" s="498"/>
      <c r="E14" s="493"/>
      <c r="F14" s="491"/>
      <c r="G14" s="498"/>
      <c r="H14" s="493"/>
      <c r="I14" s="491"/>
      <c r="J14" s="498"/>
      <c r="K14" s="491"/>
      <c r="L14" s="494"/>
      <c r="M14" s="491"/>
      <c r="N14" s="498"/>
      <c r="O14" s="491"/>
      <c r="P14" s="498"/>
      <c r="Q14" s="476" t="s">
        <v>0</v>
      </c>
      <c r="S14" s="499"/>
      <c r="T14" s="476"/>
    </row>
    <row r="15" spans="1:20">
      <c r="A15" s="307" t="s">
        <v>131</v>
      </c>
      <c r="B15" s="480"/>
      <c r="C15" s="491"/>
      <c r="D15" s="498"/>
      <c r="E15" s="493"/>
      <c r="F15" s="491"/>
      <c r="G15" s="498"/>
      <c r="H15" s="493"/>
      <c r="I15" s="491"/>
      <c r="J15" s="492"/>
      <c r="K15" s="491"/>
      <c r="L15" s="494"/>
      <c r="M15" s="491"/>
      <c r="N15" s="498"/>
      <c r="O15" s="491"/>
      <c r="P15" s="492"/>
      <c r="Q15" s="476" t="s">
        <v>0</v>
      </c>
      <c r="S15" s="499"/>
      <c r="T15" s="476"/>
    </row>
    <row r="16" spans="1:20">
      <c r="A16" s="306" t="s">
        <v>175</v>
      </c>
      <c r="B16" s="480"/>
      <c r="C16" s="491"/>
      <c r="D16" s="498"/>
      <c r="E16" s="493"/>
      <c r="F16" s="491"/>
      <c r="G16" s="498"/>
      <c r="H16" s="493"/>
      <c r="I16" s="491"/>
      <c r="J16" s="492"/>
      <c r="K16" s="491"/>
      <c r="L16" s="494"/>
      <c r="M16" s="491"/>
      <c r="N16" s="498"/>
      <c r="O16" s="491"/>
      <c r="P16" s="492"/>
      <c r="Q16" s="476" t="s">
        <v>0</v>
      </c>
      <c r="S16" s="499"/>
      <c r="T16" s="476"/>
    </row>
    <row r="17" spans="1:20" ht="13.5" customHeight="1">
      <c r="A17" s="307" t="s">
        <v>176</v>
      </c>
      <c r="B17" s="500"/>
      <c r="C17" s="501"/>
      <c r="D17" s="502"/>
      <c r="E17" s="503"/>
      <c r="F17" s="501"/>
      <c r="G17" s="502"/>
      <c r="H17" s="504"/>
      <c r="I17" s="491"/>
      <c r="J17" s="492"/>
      <c r="K17" s="501"/>
      <c r="L17" s="505"/>
      <c r="M17" s="501"/>
      <c r="N17" s="502"/>
      <c r="O17" s="501"/>
      <c r="P17" s="502"/>
      <c r="Q17" s="476" t="s">
        <v>0</v>
      </c>
      <c r="S17" s="506"/>
      <c r="T17" s="476"/>
    </row>
    <row r="18" spans="1:20" s="514" customFormat="1">
      <c r="A18" s="507" t="s">
        <v>132</v>
      </c>
      <c r="B18" s="508"/>
      <c r="C18" s="509">
        <f>SUM(C15:C17)</f>
        <v>0</v>
      </c>
      <c r="D18" s="510">
        <f>SUM(D15:D17)</f>
        <v>0</v>
      </c>
      <c r="E18" s="511"/>
      <c r="F18" s="509">
        <f>SUM(F15:F17)</f>
        <v>0</v>
      </c>
      <c r="G18" s="510">
        <f>SUM(G15:G17)</f>
        <v>0</v>
      </c>
      <c r="H18" s="512"/>
      <c r="I18" s="509">
        <f t="shared" ref="I18:P18" si="0">SUM(I15:I17)</f>
        <v>0</v>
      </c>
      <c r="J18" s="510">
        <f t="shared" si="0"/>
        <v>0</v>
      </c>
      <c r="K18" s="509">
        <f t="shared" si="0"/>
        <v>0</v>
      </c>
      <c r="L18" s="510">
        <f t="shared" si="0"/>
        <v>0</v>
      </c>
      <c r="M18" s="509">
        <f t="shared" si="0"/>
        <v>0</v>
      </c>
      <c r="N18" s="510">
        <f t="shared" si="0"/>
        <v>0</v>
      </c>
      <c r="O18" s="509">
        <f t="shared" si="0"/>
        <v>0</v>
      </c>
      <c r="P18" s="510">
        <f t="shared" si="0"/>
        <v>0</v>
      </c>
      <c r="Q18" s="476" t="s">
        <v>0</v>
      </c>
      <c r="R18" s="477"/>
      <c r="S18" s="513"/>
      <c r="T18" s="476"/>
    </row>
    <row r="19" spans="1:20">
      <c r="A19" s="515"/>
      <c r="B19" s="480"/>
      <c r="C19" s="491"/>
      <c r="D19" s="492"/>
      <c r="E19" s="516"/>
      <c r="F19" s="491"/>
      <c r="G19" s="492"/>
      <c r="H19" s="516"/>
      <c r="I19" s="491"/>
      <c r="J19" s="492"/>
      <c r="K19" s="491"/>
      <c r="L19" s="494"/>
      <c r="M19" s="491"/>
      <c r="N19" s="492"/>
      <c r="O19" s="491"/>
      <c r="P19" s="492"/>
      <c r="Q19" s="476" t="s">
        <v>0</v>
      </c>
      <c r="S19" s="496"/>
      <c r="T19" s="476"/>
    </row>
    <row r="20" spans="1:20" ht="25.5">
      <c r="A20" s="497" t="s">
        <v>188</v>
      </c>
      <c r="B20" s="480"/>
      <c r="C20" s="491"/>
      <c r="D20" s="492"/>
      <c r="E20" s="517"/>
      <c r="F20" s="491"/>
      <c r="G20" s="492"/>
      <c r="H20" s="517"/>
      <c r="I20" s="491"/>
      <c r="J20" s="492"/>
      <c r="K20" s="491"/>
      <c r="L20" s="494"/>
      <c r="M20" s="491"/>
      <c r="N20" s="492"/>
      <c r="O20" s="518"/>
      <c r="P20" s="519"/>
      <c r="Q20" s="476" t="s">
        <v>0</v>
      </c>
      <c r="S20" s="496"/>
      <c r="T20" s="476"/>
    </row>
    <row r="21" spans="1:20">
      <c r="A21" s="307" t="s">
        <v>177</v>
      </c>
      <c r="B21" s="480"/>
      <c r="C21" s="491"/>
      <c r="D21" s="492"/>
      <c r="E21" s="517"/>
      <c r="F21" s="491"/>
      <c r="G21" s="492"/>
      <c r="H21" s="517"/>
      <c r="I21" s="491"/>
      <c r="J21" s="492"/>
      <c r="K21" s="491"/>
      <c r="L21" s="494"/>
      <c r="M21" s="491"/>
      <c r="N21" s="492"/>
      <c r="O21" s="491"/>
      <c r="P21" s="492"/>
      <c r="Q21" s="476" t="s">
        <v>0</v>
      </c>
      <c r="S21" s="496"/>
      <c r="T21" s="476"/>
    </row>
    <row r="22" spans="1:20" ht="31.5" customHeight="1">
      <c r="A22" s="306" t="s">
        <v>182</v>
      </c>
      <c r="B22" s="480"/>
      <c r="C22" s="491"/>
      <c r="D22" s="492">
        <v>705000</v>
      </c>
      <c r="E22" s="517"/>
      <c r="F22" s="491"/>
      <c r="G22" s="492">
        <v>705000</v>
      </c>
      <c r="H22" s="517"/>
      <c r="I22" s="491"/>
      <c r="J22" s="492">
        <f>G22</f>
        <v>705000</v>
      </c>
      <c r="K22" s="491"/>
      <c r="L22" s="494">
        <f>360000+5000</f>
        <v>365000</v>
      </c>
      <c r="M22" s="491"/>
      <c r="N22" s="492">
        <v>0</v>
      </c>
      <c r="O22" s="491"/>
      <c r="P22" s="492">
        <f>+J22+L22+N22</f>
        <v>1070000</v>
      </c>
      <c r="Q22" s="476" t="s">
        <v>0</v>
      </c>
      <c r="S22" s="496"/>
      <c r="T22" s="476"/>
    </row>
    <row r="23" spans="1:20" ht="25.5">
      <c r="A23" s="306" t="s">
        <v>483</v>
      </c>
      <c r="B23" s="480"/>
      <c r="C23" s="491"/>
      <c r="D23" s="492"/>
      <c r="E23" s="517"/>
      <c r="F23" s="491"/>
      <c r="G23" s="492"/>
      <c r="H23" s="517"/>
      <c r="I23" s="491"/>
      <c r="J23" s="492"/>
      <c r="K23" s="491"/>
      <c r="L23" s="494"/>
      <c r="M23" s="491"/>
      <c r="N23" s="492"/>
      <c r="O23" s="491"/>
      <c r="P23" s="492"/>
      <c r="Q23" s="476" t="s">
        <v>0</v>
      </c>
      <c r="S23" s="496"/>
      <c r="T23" s="476"/>
    </row>
    <row r="24" spans="1:20">
      <c r="A24" s="306" t="s">
        <v>178</v>
      </c>
      <c r="B24" s="480"/>
      <c r="C24" s="491"/>
      <c r="D24" s="492"/>
      <c r="E24" s="517"/>
      <c r="F24" s="491"/>
      <c r="G24" s="492"/>
      <c r="H24" s="517"/>
      <c r="I24" s="491"/>
      <c r="J24" s="492"/>
      <c r="K24" s="491"/>
      <c r="L24" s="494"/>
      <c r="M24" s="491"/>
      <c r="N24" s="492"/>
      <c r="O24" s="491"/>
      <c r="P24" s="492"/>
      <c r="Q24" s="476" t="s">
        <v>0</v>
      </c>
      <c r="S24" s="496"/>
      <c r="T24" s="476"/>
    </row>
    <row r="25" spans="1:20">
      <c r="A25" s="307" t="s">
        <v>179</v>
      </c>
      <c r="B25" s="480"/>
      <c r="C25" s="491"/>
      <c r="D25" s="492"/>
      <c r="E25" s="517"/>
      <c r="F25" s="491"/>
      <c r="G25" s="492"/>
      <c r="H25" s="517"/>
      <c r="I25" s="491"/>
      <c r="J25" s="492"/>
      <c r="K25" s="491"/>
      <c r="L25" s="494"/>
      <c r="M25" s="491"/>
      <c r="N25" s="492"/>
      <c r="O25" s="491"/>
      <c r="P25" s="492"/>
      <c r="Q25" s="476" t="s">
        <v>0</v>
      </c>
      <c r="S25" s="496"/>
      <c r="T25" s="476"/>
    </row>
    <row r="26" spans="1:20">
      <c r="A26" s="306" t="s">
        <v>180</v>
      </c>
      <c r="B26" s="480"/>
      <c r="C26" s="491"/>
      <c r="D26" s="492"/>
      <c r="E26" s="517"/>
      <c r="F26" s="491"/>
      <c r="G26" s="492"/>
      <c r="H26" s="517"/>
      <c r="I26" s="491"/>
      <c r="J26" s="492"/>
      <c r="K26" s="491"/>
      <c r="L26" s="494"/>
      <c r="M26" s="491"/>
      <c r="N26" s="492"/>
      <c r="O26" s="491"/>
      <c r="P26" s="492"/>
      <c r="Q26" s="476" t="s">
        <v>0</v>
      </c>
      <c r="R26" s="496"/>
      <c r="S26" s="496"/>
      <c r="T26" s="476"/>
    </row>
    <row r="27" spans="1:20">
      <c r="A27" s="507" t="s">
        <v>133</v>
      </c>
      <c r="B27" s="508"/>
      <c r="C27" s="509">
        <f>SUM(C21:C26)</f>
        <v>0</v>
      </c>
      <c r="D27" s="510">
        <f>SUM(D21:D26)</f>
        <v>705000</v>
      </c>
      <c r="E27" s="520"/>
      <c r="F27" s="509">
        <f>SUM(F21:F26)</f>
        <v>0</v>
      </c>
      <c r="G27" s="510">
        <f>SUM(G21:G26)</f>
        <v>705000</v>
      </c>
      <c r="H27" s="521"/>
      <c r="I27" s="509">
        <f t="shared" ref="I27:P27" si="1">SUM(I21:I26)</f>
        <v>0</v>
      </c>
      <c r="J27" s="510">
        <f t="shared" si="1"/>
        <v>705000</v>
      </c>
      <c r="K27" s="509">
        <f t="shared" si="1"/>
        <v>0</v>
      </c>
      <c r="L27" s="522">
        <f t="shared" si="1"/>
        <v>365000</v>
      </c>
      <c r="M27" s="509">
        <f t="shared" si="1"/>
        <v>0</v>
      </c>
      <c r="N27" s="510">
        <f t="shared" si="1"/>
        <v>0</v>
      </c>
      <c r="O27" s="509">
        <f t="shared" si="1"/>
        <v>0</v>
      </c>
      <c r="P27" s="510">
        <f t="shared" si="1"/>
        <v>1070000</v>
      </c>
      <c r="Q27" s="476" t="s">
        <v>0</v>
      </c>
      <c r="R27" s="513"/>
      <c r="S27" s="513"/>
      <c r="T27" s="476"/>
    </row>
    <row r="28" spans="1:20">
      <c r="A28" s="515"/>
      <c r="B28" s="480"/>
      <c r="C28" s="491"/>
      <c r="D28" s="492"/>
      <c r="E28" s="480"/>
      <c r="F28" s="491"/>
      <c r="G28" s="492"/>
      <c r="H28" s="480"/>
      <c r="I28" s="491"/>
      <c r="J28" s="492"/>
      <c r="K28" s="491"/>
      <c r="L28" s="494"/>
      <c r="M28" s="491"/>
      <c r="N28" s="492"/>
      <c r="O28" s="491"/>
      <c r="P28" s="492"/>
      <c r="Q28" s="476" t="s">
        <v>0</v>
      </c>
      <c r="R28" s="496"/>
      <c r="S28" s="496"/>
      <c r="T28" s="476"/>
    </row>
    <row r="29" spans="1:20" ht="39" customHeight="1">
      <c r="A29" s="497" t="s">
        <v>189</v>
      </c>
      <c r="B29" s="480"/>
      <c r="C29" s="491"/>
      <c r="D29" s="492"/>
      <c r="E29" s="493"/>
      <c r="F29" s="491"/>
      <c r="G29" s="492"/>
      <c r="H29" s="493"/>
      <c r="I29" s="491"/>
      <c r="J29" s="492"/>
      <c r="K29" s="491"/>
      <c r="L29" s="494"/>
      <c r="M29" s="491"/>
      <c r="N29" s="492"/>
      <c r="O29" s="491"/>
      <c r="P29" s="492"/>
      <c r="Q29" s="476" t="s">
        <v>0</v>
      </c>
      <c r="R29" s="496"/>
      <c r="S29" s="496"/>
      <c r="T29" s="476"/>
    </row>
    <row r="30" spans="1:20" ht="30" customHeight="1">
      <c r="A30" s="306" t="s">
        <v>482</v>
      </c>
      <c r="B30" s="480"/>
      <c r="C30" s="491"/>
      <c r="D30" s="492"/>
      <c r="E30" s="493"/>
      <c r="F30" s="491"/>
      <c r="G30" s="492"/>
      <c r="H30" s="493"/>
      <c r="I30" s="491"/>
      <c r="J30" s="492"/>
      <c r="K30" s="491"/>
      <c r="L30" s="494"/>
      <c r="M30" s="491"/>
      <c r="N30" s="492"/>
      <c r="O30" s="491"/>
      <c r="P30" s="492"/>
      <c r="Q30" s="476" t="s">
        <v>0</v>
      </c>
      <c r="R30" s="496"/>
      <c r="S30" s="496"/>
      <c r="T30" s="476"/>
    </row>
    <row r="31" spans="1:20" ht="38.25">
      <c r="A31" s="306" t="s">
        <v>184</v>
      </c>
      <c r="B31" s="480"/>
      <c r="C31" s="491"/>
      <c r="D31" s="492"/>
      <c r="E31" s="493"/>
      <c r="F31" s="491"/>
      <c r="G31" s="492"/>
      <c r="H31" s="493"/>
      <c r="I31" s="491"/>
      <c r="J31" s="492"/>
      <c r="K31" s="491"/>
      <c r="L31" s="494"/>
      <c r="M31" s="491"/>
      <c r="N31" s="492"/>
      <c r="O31" s="491"/>
      <c r="P31" s="492"/>
      <c r="Q31" s="476" t="s">
        <v>0</v>
      </c>
      <c r="R31" s="496"/>
      <c r="S31" s="496"/>
      <c r="T31" s="476"/>
    </row>
    <row r="32" spans="1:20" ht="42" customHeight="1">
      <c r="A32" s="306" t="s">
        <v>185</v>
      </c>
      <c r="B32" s="480"/>
      <c r="C32" s="491"/>
      <c r="D32" s="492"/>
      <c r="E32" s="493"/>
      <c r="F32" s="491"/>
      <c r="G32" s="492"/>
      <c r="H32" s="493"/>
      <c r="I32" s="491"/>
      <c r="J32" s="492"/>
      <c r="K32" s="491"/>
      <c r="L32" s="494"/>
      <c r="M32" s="491"/>
      <c r="N32" s="492"/>
      <c r="O32" s="491"/>
      <c r="P32" s="492"/>
      <c r="Q32" s="476" t="s">
        <v>0</v>
      </c>
      <c r="R32" s="496"/>
      <c r="S32" s="496"/>
      <c r="T32" s="476"/>
    </row>
    <row r="33" spans="1:20" ht="25.5">
      <c r="A33" s="306" t="s">
        <v>481</v>
      </c>
      <c r="B33" s="480"/>
      <c r="C33" s="491"/>
      <c r="D33" s="492"/>
      <c r="E33" s="493"/>
      <c r="F33" s="491"/>
      <c r="G33" s="492"/>
      <c r="H33" s="493"/>
      <c r="I33" s="523"/>
      <c r="J33" s="524"/>
      <c r="K33" s="491"/>
      <c r="L33" s="494"/>
      <c r="M33" s="491"/>
      <c r="N33" s="492"/>
      <c r="O33" s="491"/>
      <c r="P33" s="492"/>
      <c r="Q33" s="476" t="s">
        <v>0</v>
      </c>
      <c r="R33" s="496"/>
      <c r="S33" s="496"/>
      <c r="T33" s="476"/>
    </row>
    <row r="34" spans="1:20">
      <c r="A34" s="507" t="s">
        <v>134</v>
      </c>
      <c r="B34" s="508"/>
      <c r="C34" s="509">
        <f>SUM(C30:C33)</f>
        <v>0</v>
      </c>
      <c r="D34" s="510">
        <f>SUM(D30:D33)</f>
        <v>0</v>
      </c>
      <c r="E34" s="511"/>
      <c r="F34" s="509">
        <f>SUM(F30:F33)</f>
        <v>0</v>
      </c>
      <c r="G34" s="510">
        <f>SUM(G30:G33)</f>
        <v>0</v>
      </c>
      <c r="H34" s="512"/>
      <c r="I34" s="509">
        <f t="shared" ref="I34:P34" si="2">SUM(I30:I33)</f>
        <v>0</v>
      </c>
      <c r="J34" s="510">
        <f t="shared" si="2"/>
        <v>0</v>
      </c>
      <c r="K34" s="509">
        <f t="shared" si="2"/>
        <v>0</v>
      </c>
      <c r="L34" s="522">
        <f t="shared" si="2"/>
        <v>0</v>
      </c>
      <c r="M34" s="509">
        <f t="shared" si="2"/>
        <v>0</v>
      </c>
      <c r="N34" s="510">
        <f t="shared" si="2"/>
        <v>0</v>
      </c>
      <c r="O34" s="509">
        <f t="shared" si="2"/>
        <v>0</v>
      </c>
      <c r="P34" s="510">
        <f t="shared" si="2"/>
        <v>0</v>
      </c>
      <c r="Q34" s="476" t="s">
        <v>0</v>
      </c>
      <c r="R34" s="513"/>
      <c r="S34" s="513"/>
      <c r="T34" s="476"/>
    </row>
    <row r="35" spans="1:20" ht="13.5" thickBot="1">
      <c r="A35" s="480"/>
      <c r="B35" s="480"/>
      <c r="C35" s="480"/>
      <c r="D35" s="480"/>
      <c r="E35" s="480"/>
      <c r="F35" s="480"/>
      <c r="G35" s="480"/>
      <c r="H35" s="480"/>
      <c r="I35" s="480"/>
      <c r="J35" s="480"/>
      <c r="K35" s="733"/>
      <c r="L35" s="733"/>
      <c r="M35" s="842"/>
      <c r="N35" s="480"/>
      <c r="O35" s="480"/>
      <c r="P35" s="480"/>
      <c r="Q35" s="476" t="s">
        <v>0</v>
      </c>
      <c r="R35" s="496"/>
      <c r="S35" s="496"/>
      <c r="T35" s="476"/>
    </row>
    <row r="36" spans="1:20" s="542" customFormat="1" ht="18.75" customHeight="1" thickBot="1">
      <c r="A36" s="535" t="s">
        <v>135</v>
      </c>
      <c r="B36" s="536"/>
      <c r="C36" s="537">
        <f>C18+C27+C34</f>
        <v>0</v>
      </c>
      <c r="D36" s="538">
        <f>D18+D27+D34</f>
        <v>705000</v>
      </c>
      <c r="E36" s="539"/>
      <c r="F36" s="537">
        <f>F18+F27+F34</f>
        <v>0</v>
      </c>
      <c r="G36" s="538">
        <f>G18+G27+G34</f>
        <v>705000</v>
      </c>
      <c r="H36" s="539"/>
      <c r="I36" s="537">
        <f t="shared" ref="I36:O36" si="3">I18+I27+I34</f>
        <v>0</v>
      </c>
      <c r="J36" s="538">
        <f t="shared" si="3"/>
        <v>705000</v>
      </c>
      <c r="K36" s="537">
        <f t="shared" si="3"/>
        <v>0</v>
      </c>
      <c r="L36" s="538">
        <f t="shared" si="3"/>
        <v>365000</v>
      </c>
      <c r="M36" s="537">
        <f t="shared" si="3"/>
        <v>0</v>
      </c>
      <c r="N36" s="538">
        <f t="shared" si="3"/>
        <v>0</v>
      </c>
      <c r="O36" s="537">
        <f t="shared" si="3"/>
        <v>0</v>
      </c>
      <c r="P36" s="538">
        <f>P18+P27+P34</f>
        <v>1070000</v>
      </c>
      <c r="Q36" s="476" t="s">
        <v>13</v>
      </c>
      <c r="R36" s="540"/>
      <c r="S36" s="541"/>
      <c r="T36" s="476"/>
    </row>
    <row r="37" spans="1:20" ht="15" customHeight="1">
      <c r="A37" s="1146"/>
      <c r="B37" s="1146"/>
      <c r="C37" s="1146"/>
      <c r="D37" s="1147"/>
      <c r="E37" s="1146"/>
      <c r="F37" s="1146"/>
      <c r="G37" s="1147"/>
      <c r="H37" s="1146"/>
      <c r="I37" s="1146"/>
      <c r="J37" s="1147"/>
      <c r="K37" s="1148"/>
      <c r="L37" s="1148"/>
      <c r="M37" s="1148"/>
      <c r="N37" s="1148"/>
      <c r="O37" s="1148"/>
      <c r="P37" s="1148"/>
      <c r="Q37" s="542"/>
      <c r="R37" s="544"/>
      <c r="S37" s="544"/>
      <c r="T37" s="476"/>
    </row>
    <row r="38" spans="1:20" ht="45" customHeight="1">
      <c r="A38" s="1149" t="s">
        <v>610</v>
      </c>
      <c r="B38" s="1146"/>
      <c r="C38" s="1146"/>
      <c r="D38" s="1147"/>
      <c r="E38" s="1146"/>
      <c r="F38" s="1146"/>
      <c r="G38" s="1147"/>
      <c r="H38" s="1146"/>
      <c r="I38" s="1146"/>
      <c r="J38" s="1147"/>
      <c r="K38" s="1148"/>
      <c r="L38" s="1148"/>
      <c r="M38" s="1148"/>
      <c r="N38" s="1148"/>
      <c r="O38" s="1148"/>
      <c r="P38" s="1148"/>
      <c r="Q38" s="542"/>
      <c r="R38" s="544"/>
      <c r="S38" s="544"/>
      <c r="T38" s="476"/>
    </row>
    <row r="39" spans="1:20" ht="30" customHeight="1">
      <c r="A39" s="1150" t="s">
        <v>188</v>
      </c>
      <c r="B39" s="1146"/>
      <c r="C39" s="1159"/>
      <c r="D39" s="1160"/>
      <c r="E39" s="1161"/>
      <c r="F39" s="1159"/>
      <c r="G39" s="1160"/>
      <c r="H39" s="1161"/>
      <c r="I39" s="1159"/>
      <c r="J39" s="1160"/>
      <c r="K39" s="1162"/>
      <c r="L39" s="1163"/>
      <c r="M39" s="1162"/>
      <c r="N39" s="1163"/>
      <c r="O39" s="1162"/>
      <c r="P39" s="1163"/>
      <c r="Q39" s="542"/>
      <c r="R39" s="544"/>
      <c r="S39" s="544"/>
    </row>
    <row r="40" spans="1:20" ht="30" customHeight="1">
      <c r="A40" s="1151" t="s">
        <v>182</v>
      </c>
      <c r="B40" s="1152"/>
      <c r="C40" s="1164"/>
      <c r="D40" s="1165">
        <v>0</v>
      </c>
      <c r="E40" s="1166"/>
      <c r="F40" s="1167"/>
      <c r="G40" s="1168">
        <v>0</v>
      </c>
      <c r="H40" s="1166"/>
      <c r="I40" s="1167"/>
      <c r="J40" s="1168">
        <v>0</v>
      </c>
      <c r="K40" s="1167"/>
      <c r="L40" s="1168">
        <v>-365000</v>
      </c>
      <c r="M40" s="1167"/>
      <c r="N40" s="1168">
        <v>0</v>
      </c>
      <c r="O40" s="1167"/>
      <c r="P40" s="1168">
        <f>+J40+L40+N40</f>
        <v>-365000</v>
      </c>
    </row>
    <row r="41" spans="1:20" ht="15" customHeight="1" thickBot="1">
      <c r="A41" s="2158"/>
      <c r="B41" s="2159"/>
      <c r="C41" s="2159"/>
      <c r="D41" s="2159"/>
      <c r="E41" s="2159"/>
      <c r="F41" s="2159"/>
      <c r="G41" s="2159"/>
      <c r="H41" s="1153"/>
      <c r="I41" s="1153"/>
      <c r="J41" s="1153"/>
      <c r="K41" s="1153"/>
      <c r="L41" s="1153"/>
      <c r="M41" s="1153"/>
      <c r="N41" s="1153"/>
      <c r="O41" s="1153"/>
      <c r="P41" s="1153"/>
      <c r="Q41" s="45"/>
      <c r="R41" s="45"/>
      <c r="S41" s="45"/>
    </row>
    <row r="42" spans="1:20" ht="15" customHeight="1" thickBot="1">
      <c r="A42" s="1154" t="s">
        <v>611</v>
      </c>
      <c r="B42" s="1155"/>
      <c r="C42" s="1156"/>
      <c r="D42" s="1339">
        <f>SUM(D36+D40)</f>
        <v>705000</v>
      </c>
      <c r="E42" s="1157"/>
      <c r="F42" s="1157"/>
      <c r="G42" s="1340">
        <f>SUM(G36+G40)</f>
        <v>705000</v>
      </c>
      <c r="H42" s="1158"/>
      <c r="I42" s="1156"/>
      <c r="J42" s="1339">
        <f>SUM(J36+J40)</f>
        <v>705000</v>
      </c>
      <c r="K42" s="1156"/>
      <c r="L42" s="1340">
        <f>SUM(L36+L40)</f>
        <v>0</v>
      </c>
      <c r="M42" s="1157"/>
      <c r="N42" s="1340">
        <f>SUM(N36+N40)</f>
        <v>0</v>
      </c>
      <c r="O42" s="1156"/>
      <c r="P42" s="1340">
        <f>P36+P40</f>
        <v>705000</v>
      </c>
      <c r="Q42" s="548"/>
      <c r="R42" s="548"/>
      <c r="S42" s="548"/>
    </row>
    <row r="43" spans="1:20" ht="15" customHeight="1">
      <c r="A43" s="1635"/>
      <c r="B43" s="1636"/>
      <c r="C43" s="1636"/>
      <c r="D43" s="1636"/>
      <c r="E43" s="1636"/>
      <c r="F43" s="1636"/>
      <c r="G43" s="1636"/>
      <c r="H43" s="233"/>
      <c r="I43" s="44"/>
      <c r="J43" s="232"/>
      <c r="K43" s="232"/>
      <c r="L43" s="232"/>
      <c r="M43" s="232"/>
      <c r="N43" s="232"/>
      <c r="O43" s="232"/>
      <c r="P43" s="232"/>
      <c r="Q43" s="232"/>
      <c r="R43" s="232"/>
      <c r="S43" s="232"/>
    </row>
    <row r="44" spans="1:20" ht="15" customHeight="1">
      <c r="A44" s="1635"/>
      <c r="B44" s="1636"/>
      <c r="C44" s="1636"/>
      <c r="D44" s="1636"/>
      <c r="E44" s="1636"/>
      <c r="F44" s="1636"/>
      <c r="G44" s="1636"/>
      <c r="H44" s="233"/>
      <c r="I44" s="44"/>
      <c r="J44" s="232"/>
      <c r="K44" s="232"/>
      <c r="L44" s="232"/>
      <c r="M44" s="232"/>
      <c r="N44" s="232"/>
      <c r="O44" s="232"/>
      <c r="P44" s="232"/>
      <c r="Q44" s="232"/>
      <c r="R44" s="232"/>
      <c r="S44" s="232"/>
    </row>
    <row r="45" spans="1:20" ht="15" customHeight="1">
      <c r="A45" s="1618"/>
      <c r="B45" s="1619"/>
      <c r="C45" s="1619"/>
      <c r="D45" s="1619"/>
      <c r="E45" s="1619"/>
      <c r="F45" s="1619"/>
      <c r="G45" s="1619"/>
      <c r="H45" s="1619"/>
      <c r="I45" s="1619"/>
      <c r="J45" s="1620"/>
      <c r="K45" s="1620"/>
      <c r="L45" s="1620"/>
      <c r="M45" s="1620"/>
      <c r="N45" s="1620"/>
      <c r="O45" s="1620"/>
      <c r="P45" s="1620"/>
      <c r="Q45" s="1620"/>
      <c r="R45" s="1620"/>
      <c r="S45" s="1620"/>
    </row>
    <row r="46" spans="1:20" ht="15" customHeight="1">
      <c r="A46" s="1618"/>
      <c r="B46" s="1619"/>
      <c r="C46" s="1619"/>
      <c r="D46" s="1619"/>
      <c r="E46" s="1619"/>
      <c r="F46" s="1619"/>
      <c r="G46" s="1619"/>
      <c r="H46" s="1619"/>
      <c r="I46" s="1619"/>
      <c r="J46" s="1620"/>
      <c r="K46" s="1620"/>
      <c r="L46" s="1620"/>
      <c r="M46" s="1620"/>
      <c r="N46" s="1620"/>
      <c r="O46" s="1620"/>
      <c r="P46" s="1620"/>
      <c r="Q46" s="1620"/>
      <c r="R46" s="1620"/>
      <c r="S46" s="1620"/>
    </row>
    <row r="47" spans="1:20">
      <c r="S47" s="476"/>
    </row>
  </sheetData>
  <customSheetViews>
    <customSheetView guid="{DA38F665-F06D-4DFB-B852-747D93BB00EF}" scale="60" showPageBreaks="1" printArea="1" hiddenRows="1" view="pageBreakPreview">
      <selection activeCell="B210" sqref="B210"/>
      <pageMargins left="0.75" right="0.75" top="1" bottom="0.79" header="0.5" footer="0.5"/>
      <printOptions horizontalCentered="1"/>
      <pageSetup scale="50" orientation="landscape" r:id="rId1"/>
      <headerFooter alignWithMargins="0">
        <oddFooter>&amp;C&amp;"Times New Roman,Regular"Exhibit D - Resources by DOJ Strategic Goals &amp; Strategic Objectives&amp;R&amp;"Times New Roman,Regular"Crime Victims Fund</oddFooter>
      </headerFooter>
    </customSheetView>
    <customSheetView guid="{4D0F9E3D-0229-48CC-A08B-F132802E9D7B}" scale="60" showPageBreaks="1" printArea="1" hiddenRows="1" view="pageBreakPreview">
      <selection activeCell="A22" sqref="A22"/>
      <pageMargins left="0.75" right="0.75" top="1" bottom="0.79" header="0.5" footer="0.5"/>
      <printOptions horizontalCentered="1"/>
      <pageSetup scale="50" orientation="landscape" r:id="rId2"/>
      <headerFooter alignWithMargins="0">
        <oddFooter>&amp;C&amp;"Times New Roman,Regular"Exhibit D - Resources by DOJ Strategic Goals &amp; Strategic Objectives&amp;R&amp;"Times New Roman,Regular"Crime Victims Fund</oddFooter>
      </headerFooter>
    </customSheetView>
    <customSheetView guid="{F6772377-6B25-4EEA-B255-4C2F62B37855}" scale="60" showPageBreaks="1" printArea="1" hiddenRows="1" view="pageBreakPreview">
      <selection activeCell="Q32" sqref="Q32"/>
      <pageMargins left="0.75" right="0.75" top="1" bottom="0.79" header="0.5" footer="0.5"/>
      <printOptions horizontalCentered="1"/>
      <pageSetup scale="50" orientation="landscape" r:id="rId3"/>
      <headerFooter alignWithMargins="0">
        <oddFooter>&amp;C&amp;"Times New Roman,Regular"Exhibit D - Resources by DOJ Strategic Goals &amp; Strategic Objectives&amp;R&amp;"Times New Roman,Regular"Crime Victims Fund</oddFooter>
      </headerFooter>
    </customSheetView>
    <customSheetView guid="{27B9C207-C13F-4981-9CED-E69585BBD779}" scale="60" showPageBreaks="1" printArea="1" hiddenRows="1" view="pageBreakPreview">
      <selection activeCell="L40" sqref="L40"/>
      <pageMargins left="0.75" right="0.75" top="1" bottom="0.79" header="0.5" footer="0.5"/>
      <printOptions horizontalCentered="1"/>
      <pageSetup scale="50" orientation="landscape" r:id="rId4"/>
      <headerFooter alignWithMargins="0">
        <oddFooter>&amp;C&amp;"Times New Roman,Regular"Exhibit D - Resources by DOJ Strategic Goals &amp; Strategic Objectives&amp;R&amp;"Times New Roman,Regular"Crime Victims Fund</oddFooter>
      </headerFooter>
    </customSheetView>
  </customSheetViews>
  <mergeCells count="18">
    <mergeCell ref="A1:P1"/>
    <mergeCell ref="A3:P3"/>
    <mergeCell ref="A4:P4"/>
    <mergeCell ref="A5:P5"/>
    <mergeCell ref="A6:P6"/>
    <mergeCell ref="A45:S45"/>
    <mergeCell ref="A46:S46"/>
    <mergeCell ref="K10:L10"/>
    <mergeCell ref="M10:N10"/>
    <mergeCell ref="A11:A12"/>
    <mergeCell ref="A41:G41"/>
    <mergeCell ref="A43:G43"/>
    <mergeCell ref="A44:G44"/>
    <mergeCell ref="C9:D10"/>
    <mergeCell ref="F9:G10"/>
    <mergeCell ref="I9:J10"/>
    <mergeCell ref="K9:N9"/>
    <mergeCell ref="O9:P10"/>
  </mergeCells>
  <printOptions horizontalCentered="1"/>
  <pageMargins left="0.75" right="0.75" top="1" bottom="0.79" header="0.5" footer="0.5"/>
  <pageSetup scale="50" orientation="landscape" r:id="rId5"/>
  <headerFooter alignWithMargins="0">
    <oddFooter>&amp;C&amp;"Times New Roman,Regular"Exhibit D - Resources by DOJ Strategic Goals &amp; Strategic Objectives&amp;R&amp;"Times New Roman,Regular"Crime Victims Fund</oddFooter>
  </headerFooter>
</worksheet>
</file>

<file path=xl/worksheets/sheet47.xml><?xml version="1.0" encoding="utf-8"?>
<worksheet xmlns="http://schemas.openxmlformats.org/spreadsheetml/2006/main" xmlns:r="http://schemas.openxmlformats.org/officeDocument/2006/relationships">
  <sheetPr>
    <pageSetUpPr fitToPage="1"/>
  </sheetPr>
  <dimension ref="A1:AC34"/>
  <sheetViews>
    <sheetView showGridLines="0" showOutlineSymbols="0" view="pageBreakPreview" zoomScale="75" zoomScaleNormal="75" zoomScaleSheetLayoutView="75" workbookViewId="0">
      <selection activeCell="H9" sqref="H9:J10"/>
    </sheetView>
  </sheetViews>
  <sheetFormatPr defaultColWidth="8.88671875" defaultRowHeight="15.75"/>
  <cols>
    <col min="1" max="1" width="27.77734375" style="18" customWidth="1"/>
    <col min="2" max="2" width="7.5546875" style="18" bestFit="1" customWidth="1"/>
    <col min="3" max="3" width="6.77734375" style="18" customWidth="1"/>
    <col min="4" max="4" width="10.88671875" style="18" bestFit="1" customWidth="1"/>
    <col min="5" max="5" width="5.77734375" style="18" customWidth="1"/>
    <col min="6" max="6" width="5.6640625" style="18" customWidth="1"/>
    <col min="7" max="7" width="7.77734375" style="18" customWidth="1"/>
    <col min="8" max="8" width="5.5546875" style="18" customWidth="1"/>
    <col min="9" max="9" width="5.6640625" style="18" customWidth="1"/>
    <col min="10" max="10" width="7.77734375" style="18" customWidth="1"/>
    <col min="11" max="11" width="8.77734375" style="18" customWidth="1"/>
    <col min="12" max="12" width="10" style="18" customWidth="1"/>
    <col min="13" max="13" width="7.5546875" style="18" bestFit="1" customWidth="1"/>
    <col min="14" max="14" width="6.77734375" style="18" customWidth="1"/>
    <col min="15" max="15" width="10.88671875" style="18" bestFit="1" customWidth="1"/>
    <col min="16" max="16" width="1" style="182" customWidth="1"/>
    <col min="17" max="16384" width="8.88671875" style="18"/>
  </cols>
  <sheetData>
    <row r="1" spans="1:29" ht="20.25">
      <c r="A1" s="1692" t="s">
        <v>156</v>
      </c>
      <c r="B1" s="1693"/>
      <c r="C1" s="1693"/>
      <c r="D1" s="1693"/>
      <c r="E1" s="1693"/>
      <c r="F1" s="1693"/>
      <c r="G1" s="1693"/>
      <c r="H1" s="1693"/>
      <c r="I1" s="1693"/>
      <c r="J1" s="1693"/>
      <c r="K1" s="1693"/>
      <c r="L1" s="1693"/>
      <c r="M1" s="1693"/>
      <c r="N1" s="1693"/>
      <c r="O1" s="1693"/>
      <c r="P1" s="181" t="s">
        <v>0</v>
      </c>
    </row>
    <row r="2" spans="1:29" ht="16.5" customHeight="1">
      <c r="A2" s="1901"/>
      <c r="B2" s="1901"/>
      <c r="C2" s="1901"/>
      <c r="D2" s="1901"/>
      <c r="E2" s="1901"/>
      <c r="F2" s="1901"/>
      <c r="G2" s="1901"/>
      <c r="H2" s="1901"/>
      <c r="I2" s="1901"/>
      <c r="J2" s="1901"/>
      <c r="K2" s="1901"/>
      <c r="L2" s="1901"/>
      <c r="M2" s="1901"/>
      <c r="N2" s="1901"/>
      <c r="O2" s="1901"/>
      <c r="P2" s="181" t="s">
        <v>0</v>
      </c>
    </row>
    <row r="3" spans="1:29" ht="16.5" customHeight="1">
      <c r="A3" s="1694" t="s">
        <v>136</v>
      </c>
      <c r="B3" s="1914"/>
      <c r="C3" s="1914"/>
      <c r="D3" s="1914"/>
      <c r="E3" s="1914"/>
      <c r="F3" s="1914"/>
      <c r="G3" s="1914"/>
      <c r="H3" s="1914"/>
      <c r="I3" s="1914"/>
      <c r="J3" s="1914"/>
      <c r="K3" s="1914"/>
      <c r="L3" s="1914"/>
      <c r="M3" s="1914"/>
      <c r="N3" s="1914"/>
      <c r="O3" s="1914"/>
      <c r="P3" s="181" t="s">
        <v>0</v>
      </c>
    </row>
    <row r="4" spans="1:29" ht="16.5" customHeight="1">
      <c r="A4" s="1696" t="str">
        <f>+'[7]B. Summ of Reqs - CVF '!A5</f>
        <v>Office of Justice Programs</v>
      </c>
      <c r="B4" s="1913"/>
      <c r="C4" s="1913"/>
      <c r="D4" s="1913"/>
      <c r="E4" s="1913"/>
      <c r="F4" s="1913"/>
      <c r="G4" s="1913"/>
      <c r="H4" s="1913"/>
      <c r="I4" s="1913"/>
      <c r="J4" s="1913"/>
      <c r="K4" s="1913"/>
      <c r="L4" s="1913"/>
      <c r="M4" s="1913"/>
      <c r="N4" s="1913"/>
      <c r="O4" s="1913"/>
      <c r="P4" s="181" t="s">
        <v>0</v>
      </c>
    </row>
    <row r="5" spans="1:29" ht="16.5" customHeight="1">
      <c r="A5" s="1696" t="str">
        <f>+'[7]B. Summ of Reqs - CVF '!A6</f>
        <v>Crime Victims Fund</v>
      </c>
      <c r="B5" s="1914"/>
      <c r="C5" s="1914"/>
      <c r="D5" s="1914"/>
      <c r="E5" s="1914"/>
      <c r="F5" s="1914"/>
      <c r="G5" s="1914"/>
      <c r="H5" s="1914"/>
      <c r="I5" s="1914"/>
      <c r="J5" s="1914"/>
      <c r="K5" s="1914"/>
      <c r="L5" s="1914"/>
      <c r="M5" s="1914"/>
      <c r="N5" s="1914"/>
      <c r="O5" s="1914"/>
      <c r="P5" s="181" t="s">
        <v>0</v>
      </c>
    </row>
    <row r="6" spans="1:29" ht="16.5" customHeight="1">
      <c r="A6" s="1690" t="s">
        <v>98</v>
      </c>
      <c r="B6" s="1913"/>
      <c r="C6" s="1913"/>
      <c r="D6" s="1913"/>
      <c r="E6" s="1913"/>
      <c r="F6" s="1913"/>
      <c r="G6" s="1913"/>
      <c r="H6" s="1913"/>
      <c r="I6" s="1913"/>
      <c r="J6" s="1913"/>
      <c r="K6" s="1913"/>
      <c r="L6" s="1913"/>
      <c r="M6" s="1913"/>
      <c r="N6" s="1913"/>
      <c r="O6" s="1913"/>
      <c r="P6" s="181" t="s">
        <v>0</v>
      </c>
    </row>
    <row r="7" spans="1:29" ht="16.5" customHeight="1">
      <c r="A7" s="1901"/>
      <c r="B7" s="1901"/>
      <c r="C7" s="1901"/>
      <c r="D7" s="1901"/>
      <c r="E7" s="1901"/>
      <c r="F7" s="1901"/>
      <c r="G7" s="1901"/>
      <c r="H7" s="1901"/>
      <c r="I7" s="1901"/>
      <c r="J7" s="1901"/>
      <c r="K7" s="1901"/>
      <c r="L7" s="1901"/>
      <c r="M7" s="1901"/>
      <c r="N7" s="1901"/>
      <c r="O7" s="1901"/>
      <c r="P7" s="181" t="s">
        <v>0</v>
      </c>
    </row>
    <row r="8" spans="1:29" ht="16.5" customHeight="1">
      <c r="A8" s="1902"/>
      <c r="B8" s="1902"/>
      <c r="C8" s="1902"/>
      <c r="D8" s="1902"/>
      <c r="E8" s="1902"/>
      <c r="F8" s="1902"/>
      <c r="G8" s="1902"/>
      <c r="H8" s="1902"/>
      <c r="I8" s="1902"/>
      <c r="J8" s="1902"/>
      <c r="K8" s="1902"/>
      <c r="L8" s="1902"/>
      <c r="M8" s="1902"/>
      <c r="N8" s="1902"/>
      <c r="O8" s="1902"/>
      <c r="P8" s="181" t="s">
        <v>0</v>
      </c>
    </row>
    <row r="9" spans="1:29" ht="16.5" customHeight="1">
      <c r="A9" s="1682" t="s">
        <v>23</v>
      </c>
      <c r="B9" s="1664" t="s">
        <v>592</v>
      </c>
      <c r="C9" s="1903"/>
      <c r="D9" s="1904"/>
      <c r="E9" s="1676" t="s">
        <v>109</v>
      </c>
      <c r="F9" s="1908"/>
      <c r="G9" s="1909"/>
      <c r="H9" s="1664" t="s">
        <v>12</v>
      </c>
      <c r="I9" s="1903"/>
      <c r="J9" s="1903"/>
      <c r="K9" s="1674" t="s">
        <v>141</v>
      </c>
      <c r="L9" s="1674" t="s">
        <v>142</v>
      </c>
      <c r="M9" s="1664" t="s">
        <v>137</v>
      </c>
      <c r="N9" s="1903"/>
      <c r="O9" s="1904"/>
      <c r="P9" s="181" t="s">
        <v>0</v>
      </c>
    </row>
    <row r="10" spans="1:29" ht="16.5" customHeight="1">
      <c r="A10" s="1683"/>
      <c r="B10" s="1905"/>
      <c r="C10" s="1906"/>
      <c r="D10" s="1907"/>
      <c r="E10" s="1910"/>
      <c r="F10" s="1911"/>
      <c r="G10" s="1912"/>
      <c r="H10" s="1905"/>
      <c r="I10" s="1906"/>
      <c r="J10" s="1906"/>
      <c r="K10" s="1675"/>
      <c r="L10" s="1675"/>
      <c r="M10" s="1905"/>
      <c r="N10" s="1906"/>
      <c r="O10" s="1907"/>
      <c r="P10" s="181" t="s">
        <v>0</v>
      </c>
    </row>
    <row r="11" spans="1:29" ht="16.5" customHeight="1" thickBot="1">
      <c r="A11" s="1684"/>
      <c r="B11" s="156" t="s">
        <v>115</v>
      </c>
      <c r="C11" s="157" t="s">
        <v>25</v>
      </c>
      <c r="D11" s="157" t="s">
        <v>117</v>
      </c>
      <c r="E11" s="156" t="s">
        <v>115</v>
      </c>
      <c r="F11" s="157" t="s">
        <v>25</v>
      </c>
      <c r="G11" s="157" t="s">
        <v>117</v>
      </c>
      <c r="H11" s="156" t="s">
        <v>115</v>
      </c>
      <c r="I11" s="157" t="s">
        <v>25</v>
      </c>
      <c r="J11" s="157" t="s">
        <v>117</v>
      </c>
      <c r="K11" s="265" t="s">
        <v>117</v>
      </c>
      <c r="L11" s="266" t="s">
        <v>612</v>
      </c>
      <c r="M11" s="156" t="s">
        <v>115</v>
      </c>
      <c r="N11" s="157" t="s">
        <v>25</v>
      </c>
      <c r="O11" s="158" t="s">
        <v>117</v>
      </c>
      <c r="P11" s="181" t="s">
        <v>0</v>
      </c>
    </row>
    <row r="12" spans="1:29" ht="16.5" customHeight="1">
      <c r="A12" s="854" t="s">
        <v>449</v>
      </c>
      <c r="B12" s="400"/>
      <c r="C12" s="399"/>
      <c r="D12" s="399">
        <v>705000</v>
      </c>
      <c r="E12" s="400"/>
      <c r="F12" s="399"/>
      <c r="G12" s="399">
        <v>0</v>
      </c>
      <c r="H12" s="400"/>
      <c r="I12" s="399"/>
      <c r="J12" s="399">
        <v>0</v>
      </c>
      <c r="K12" s="793">
        <v>50000</v>
      </c>
      <c r="L12" s="1169">
        <v>8230</v>
      </c>
      <c r="M12" s="400"/>
      <c r="N12" s="399"/>
      <c r="O12" s="398">
        <f>D12+G12+J12+K12</f>
        <v>755000</v>
      </c>
      <c r="P12" s="181" t="s">
        <v>0</v>
      </c>
    </row>
    <row r="13" spans="1:29" ht="16.5" customHeight="1">
      <c r="A13" s="162" t="s">
        <v>124</v>
      </c>
      <c r="B13" s="267">
        <f t="shared" ref="B13:O13" si="0">SUM(B12:B12)</f>
        <v>0</v>
      </c>
      <c r="C13" s="268">
        <f t="shared" si="0"/>
        <v>0</v>
      </c>
      <c r="D13" s="166">
        <f t="shared" si="0"/>
        <v>705000</v>
      </c>
      <c r="E13" s="267">
        <f t="shared" si="0"/>
        <v>0</v>
      </c>
      <c r="F13" s="268">
        <f t="shared" si="0"/>
        <v>0</v>
      </c>
      <c r="G13" s="166">
        <f t="shared" si="0"/>
        <v>0</v>
      </c>
      <c r="H13" s="267">
        <f t="shared" si="0"/>
        <v>0</v>
      </c>
      <c r="I13" s="268">
        <f t="shared" si="0"/>
        <v>0</v>
      </c>
      <c r="J13" s="166">
        <f t="shared" si="0"/>
        <v>0</v>
      </c>
      <c r="K13" s="754">
        <f t="shared" si="0"/>
        <v>50000</v>
      </c>
      <c r="L13" s="1170">
        <f t="shared" si="0"/>
        <v>8230</v>
      </c>
      <c r="M13" s="267">
        <f t="shared" si="0"/>
        <v>0</v>
      </c>
      <c r="N13" s="268">
        <f t="shared" si="0"/>
        <v>0</v>
      </c>
      <c r="O13" s="755">
        <f t="shared" si="0"/>
        <v>755000</v>
      </c>
      <c r="P13" s="181" t="s">
        <v>0</v>
      </c>
    </row>
    <row r="14" spans="1:29" ht="16.5" customHeight="1">
      <c r="A14" s="359" t="s">
        <v>103</v>
      </c>
      <c r="B14" s="381" t="s">
        <v>116</v>
      </c>
      <c r="C14" s="382"/>
      <c r="D14" s="382"/>
      <c r="E14" s="381"/>
      <c r="F14" s="382"/>
      <c r="G14" s="382"/>
      <c r="H14" s="381"/>
      <c r="I14" s="382"/>
      <c r="J14" s="382"/>
      <c r="K14" s="421"/>
      <c r="L14" s="382"/>
      <c r="M14" s="381"/>
      <c r="N14" s="382"/>
      <c r="O14" s="379"/>
      <c r="P14" s="181" t="s">
        <v>0</v>
      </c>
      <c r="Q14" s="559"/>
      <c r="R14" s="559"/>
      <c r="S14" s="559"/>
      <c r="T14" s="559"/>
      <c r="U14" s="559"/>
      <c r="V14" s="559"/>
      <c r="W14" s="559"/>
      <c r="X14" s="559"/>
      <c r="Y14" s="559"/>
      <c r="Z14" s="559"/>
      <c r="AA14" s="559"/>
      <c r="AB14" s="559"/>
      <c r="AC14" s="559"/>
    </row>
    <row r="15" spans="1:29" ht="16.5" customHeight="1">
      <c r="A15" s="359" t="s">
        <v>102</v>
      </c>
      <c r="B15" s="560"/>
      <c r="C15" s="407">
        <f>SUM(C13:C14)</f>
        <v>0</v>
      </c>
      <c r="D15" s="407"/>
      <c r="E15" s="560"/>
      <c r="F15" s="407">
        <f>+F13+F14</f>
        <v>0</v>
      </c>
      <c r="G15" s="407"/>
      <c r="H15" s="560"/>
      <c r="I15" s="407">
        <f>+I13+I14</f>
        <v>0</v>
      </c>
      <c r="J15" s="407"/>
      <c r="K15" s="561"/>
      <c r="L15" s="407"/>
      <c r="M15" s="560"/>
      <c r="N15" s="407">
        <v>0</v>
      </c>
      <c r="O15" s="408"/>
      <c r="P15" s="181" t="s">
        <v>0</v>
      </c>
    </row>
    <row r="16" spans="1:29" ht="16.5" customHeight="1">
      <c r="A16" s="562" t="s">
        <v>104</v>
      </c>
      <c r="B16" s="390"/>
      <c r="C16" s="391"/>
      <c r="D16" s="391"/>
      <c r="E16" s="390"/>
      <c r="F16" s="391"/>
      <c r="G16" s="391"/>
      <c r="H16" s="390"/>
      <c r="I16" s="391"/>
      <c r="J16" s="391"/>
      <c r="K16" s="425"/>
      <c r="L16" s="391"/>
      <c r="M16" s="390"/>
      <c r="N16" s="391"/>
      <c r="O16" s="388"/>
      <c r="P16" s="181" t="s">
        <v>0</v>
      </c>
    </row>
    <row r="17" spans="1:16" ht="16.5" customHeight="1">
      <c r="A17" s="563" t="s">
        <v>31</v>
      </c>
      <c r="B17" s="390"/>
      <c r="C17" s="391"/>
      <c r="D17" s="391"/>
      <c r="E17" s="390"/>
      <c r="F17" s="391"/>
      <c r="G17" s="391"/>
      <c r="H17" s="390"/>
      <c r="I17" s="391"/>
      <c r="J17" s="391"/>
      <c r="K17" s="425"/>
      <c r="L17" s="391"/>
      <c r="M17" s="390"/>
      <c r="N17" s="391"/>
      <c r="O17" s="388"/>
      <c r="P17" s="181" t="s">
        <v>0</v>
      </c>
    </row>
    <row r="18" spans="1:16" ht="16.5" customHeight="1">
      <c r="A18" s="564" t="s">
        <v>60</v>
      </c>
      <c r="B18" s="381"/>
      <c r="C18" s="382"/>
      <c r="D18" s="382"/>
      <c r="E18" s="381"/>
      <c r="F18" s="382"/>
      <c r="G18" s="382"/>
      <c r="H18" s="381"/>
      <c r="I18" s="382"/>
      <c r="J18" s="382"/>
      <c r="K18" s="421"/>
      <c r="L18" s="382"/>
      <c r="M18" s="381"/>
      <c r="N18" s="382"/>
      <c r="O18" s="379"/>
      <c r="P18" s="181" t="s">
        <v>0</v>
      </c>
    </row>
    <row r="19" spans="1:16" ht="16.5" customHeight="1">
      <c r="A19" s="359" t="s">
        <v>105</v>
      </c>
      <c r="B19" s="381"/>
      <c r="C19" s="382">
        <f>C18+C17+C15</f>
        <v>0</v>
      </c>
      <c r="D19" s="565"/>
      <c r="E19" s="381"/>
      <c r="F19" s="382">
        <f>F18+F17+F15</f>
        <v>0</v>
      </c>
      <c r="G19" s="565"/>
      <c r="H19" s="381"/>
      <c r="I19" s="382">
        <f>I18+I17+I15</f>
        <v>0</v>
      </c>
      <c r="J19" s="565"/>
      <c r="K19" s="566"/>
      <c r="L19" s="565"/>
      <c r="M19" s="381"/>
      <c r="N19" s="382">
        <f>N18+N17+N15</f>
        <v>0</v>
      </c>
      <c r="O19" s="567"/>
      <c r="P19" s="181" t="s">
        <v>0</v>
      </c>
    </row>
    <row r="20" spans="1:16" ht="16.5" customHeight="1">
      <c r="B20" s="1"/>
      <c r="C20" s="1"/>
      <c r="D20" s="1"/>
      <c r="E20" s="1"/>
      <c r="F20" s="1"/>
      <c r="G20" s="1"/>
      <c r="H20" s="1"/>
      <c r="I20" s="1"/>
      <c r="J20" s="1"/>
      <c r="K20" s="1"/>
      <c r="L20" s="1"/>
      <c r="M20" s="1"/>
      <c r="N20" s="1"/>
      <c r="O20" s="1"/>
    </row>
    <row r="21" spans="1:16" ht="16.5" customHeight="1">
      <c r="A21" s="151" t="s">
        <v>613</v>
      </c>
      <c r="B21" s="1"/>
      <c r="C21" s="1"/>
      <c r="D21" s="1"/>
      <c r="E21" s="1"/>
      <c r="F21" s="1"/>
      <c r="G21" s="1"/>
      <c r="H21" s="1"/>
      <c r="I21" s="1"/>
      <c r="J21" s="1"/>
      <c r="K21" s="1"/>
      <c r="L21" s="1"/>
      <c r="M21" s="1"/>
      <c r="N21" s="1"/>
      <c r="O21" s="1"/>
    </row>
    <row r="22" spans="1:16" ht="16.5" customHeight="1">
      <c r="A22" s="26"/>
      <c r="B22" s="26"/>
      <c r="C22" s="26"/>
      <c r="D22" s="26"/>
      <c r="E22" s="26"/>
      <c r="F22" s="26"/>
      <c r="G22" s="26"/>
      <c r="H22" s="1"/>
      <c r="I22" s="1"/>
      <c r="J22" s="1"/>
      <c r="K22" s="1"/>
      <c r="L22" s="1"/>
      <c r="M22" s="1"/>
      <c r="N22" s="1"/>
      <c r="O22" s="1"/>
      <c r="P22" s="568" t="s">
        <v>13</v>
      </c>
    </row>
    <row r="23" spans="1:16" ht="16.5" customHeight="1">
      <c r="A23" s="1672"/>
      <c r="B23" s="1663"/>
      <c r="C23" s="1663"/>
      <c r="D23" s="1663"/>
      <c r="E23" s="1663"/>
      <c r="F23" s="1663"/>
      <c r="G23" s="1663"/>
      <c r="H23" s="1663"/>
      <c r="I23" s="1663"/>
      <c r="J23" s="1663"/>
      <c r="K23" s="1663"/>
      <c r="L23" s="1663"/>
      <c r="M23" s="1663"/>
      <c r="N23" s="1663"/>
      <c r="O23" s="1663"/>
      <c r="P23" s="18"/>
    </row>
    <row r="24" spans="1:16" ht="16.5" customHeight="1">
      <c r="A24" s="1685"/>
      <c r="B24" s="1685"/>
      <c r="C24" s="1685"/>
      <c r="D24" s="1685"/>
      <c r="E24" s="1685"/>
      <c r="F24" s="1685"/>
      <c r="G24" s="1685"/>
      <c r="H24" s="1685"/>
      <c r="I24" s="1685"/>
      <c r="J24" s="1685"/>
      <c r="K24" s="1685"/>
      <c r="L24" s="1685"/>
      <c r="M24" s="1685"/>
      <c r="N24" s="1685"/>
      <c r="O24" s="1685"/>
      <c r="P24" s="18"/>
    </row>
    <row r="25" spans="1:16" ht="16.5" customHeight="1">
      <c r="A25" s="1670"/>
      <c r="B25" s="1671"/>
      <c r="C25" s="1671"/>
      <c r="D25" s="1671"/>
      <c r="E25" s="1671"/>
      <c r="F25" s="1671"/>
      <c r="G25" s="1671"/>
      <c r="H25" s="1671"/>
      <c r="I25" s="1671"/>
      <c r="J25" s="1671"/>
      <c r="K25" s="1671"/>
      <c r="L25" s="1671"/>
      <c r="M25" s="1671"/>
      <c r="N25" s="1671"/>
      <c r="O25" s="1671"/>
      <c r="P25" s="18"/>
    </row>
    <row r="26" spans="1:16" ht="16.5" customHeight="1">
      <c r="A26" s="259"/>
      <c r="B26" s="368"/>
      <c r="C26" s="368"/>
      <c r="D26" s="368"/>
      <c r="E26" s="368"/>
      <c r="F26" s="368"/>
      <c r="G26" s="368"/>
      <c r="H26" s="368"/>
      <c r="I26" s="368"/>
      <c r="J26" s="368"/>
      <c r="K26" s="368"/>
      <c r="L26" s="368"/>
      <c r="M26" s="368"/>
      <c r="N26" s="368"/>
      <c r="O26" s="368"/>
      <c r="P26" s="18"/>
    </row>
    <row r="27" spans="1:16" ht="35.25" customHeight="1">
      <c r="A27" s="1673"/>
      <c r="B27" s="1670"/>
      <c r="C27" s="1670"/>
      <c r="D27" s="1670"/>
      <c r="E27" s="1670"/>
      <c r="F27" s="1670"/>
      <c r="G27" s="1670"/>
      <c r="H27" s="1670"/>
      <c r="I27" s="1670"/>
      <c r="J27" s="1670"/>
      <c r="K27" s="1670"/>
      <c r="L27" s="1670"/>
      <c r="M27" s="1670"/>
      <c r="N27" s="1670"/>
      <c r="O27" s="1670"/>
      <c r="P27" s="18"/>
    </row>
    <row r="28" spans="1:16" ht="35.25" customHeight="1">
      <c r="A28" s="1670"/>
      <c r="B28" s="1670"/>
      <c r="C28" s="1670"/>
      <c r="D28" s="1670"/>
      <c r="E28" s="1670"/>
      <c r="F28" s="1670"/>
      <c r="G28" s="1670"/>
      <c r="H28" s="1670"/>
      <c r="I28" s="1670"/>
      <c r="J28" s="1670"/>
      <c r="K28" s="1670"/>
      <c r="L28" s="1670"/>
      <c r="M28" s="1670"/>
      <c r="N28" s="1670"/>
      <c r="O28" s="1670"/>
      <c r="P28" s="18"/>
    </row>
    <row r="29" spans="1:16" ht="16.5" customHeight="1">
      <c r="A29" s="1670"/>
      <c r="B29" s="1671"/>
      <c r="C29" s="1671"/>
      <c r="D29" s="1671"/>
      <c r="E29" s="1671"/>
      <c r="F29" s="1671"/>
      <c r="G29" s="1671"/>
      <c r="H29" s="1671"/>
      <c r="I29" s="1671"/>
      <c r="J29" s="1671"/>
      <c r="K29" s="1671"/>
      <c r="L29" s="1671"/>
      <c r="M29" s="1671"/>
      <c r="N29" s="1671"/>
      <c r="O29" s="1671"/>
      <c r="P29" s="18"/>
    </row>
    <row r="30" spans="1:16" ht="16.5" customHeight="1">
      <c r="A30" s="1662"/>
      <c r="B30" s="1663"/>
      <c r="C30" s="1663"/>
      <c r="D30" s="1663"/>
      <c r="E30" s="1663"/>
      <c r="F30" s="1663"/>
      <c r="G30" s="1663"/>
      <c r="H30" s="1663"/>
      <c r="I30" s="1663"/>
      <c r="J30" s="1663"/>
      <c r="K30" s="1663"/>
      <c r="L30" s="1663"/>
      <c r="M30" s="1663"/>
      <c r="N30" s="1663"/>
      <c r="O30" s="1663"/>
      <c r="P30" s="1663"/>
    </row>
    <row r="31" spans="1:16" ht="16.5" customHeight="1"/>
    <row r="32" spans="1:16" ht="16.5" customHeight="1"/>
    <row r="33" ht="16.5" customHeight="1"/>
    <row r="34" ht="16.5" customHeight="1"/>
  </sheetData>
  <customSheetViews>
    <customSheetView guid="{DA38F665-F06D-4DFB-B852-747D93BB00EF}" scale="75" showPageBreaks="1" showGridLines="0" outlineSymbols="0" fitToPage="1" printArea="1" view="pageBreakPreview">
      <selection activeCell="B210" sqref="B210"/>
      <pageMargins left="0.5" right="0.5" top="0.5" bottom="0.55000000000000004" header="0" footer="0"/>
      <printOptions horizontalCentered="1"/>
      <pageSetup scale="79" firstPageNumber="2" orientation="landscape" useFirstPageNumber="1" horizontalDpi="300" verticalDpi="300" r:id="rId1"/>
      <headerFooter alignWithMargins="0">
        <oddFooter>&amp;C&amp;"Times New Roman,Regular"Exhibit F - Crosswalk of 2011 Availability&amp;R&amp;"Times New Roman,Regular"Crime Victims Fund</oddFooter>
      </headerFooter>
    </customSheetView>
    <customSheetView guid="{4D0F9E3D-0229-48CC-A08B-F132802E9D7B}" scale="75" showPageBreaks="1" showGridLines="0" outlineSymbols="0" fitToPage="1" printArea="1" view="pageBreakPreview">
      <selection activeCell="M12" sqref="M12"/>
      <pageMargins left="0.5" right="0.5" top="0.5" bottom="0.55000000000000004" header="0" footer="0"/>
      <printOptions horizontalCentered="1"/>
      <pageSetup scale="79" firstPageNumber="2" orientation="landscape" useFirstPageNumber="1" horizontalDpi="300" verticalDpi="300" r:id="rId2"/>
      <headerFooter alignWithMargins="0">
        <oddFooter>&amp;C&amp;"Times New Roman,Regular"Exhibit F - Crosswalk of 2011 Availability&amp;R&amp;"Times New Roman,Regular"Crime Victims Fund</oddFooter>
      </headerFooter>
    </customSheetView>
    <customSheetView guid="{F6772377-6B25-4EEA-B255-4C2F62B37855}" scale="75" showPageBreaks="1" showGridLines="0" outlineSymbols="0" fitToPage="1" printArea="1" view="pageBreakPreview">
      <selection activeCell="O13" sqref="O13"/>
      <pageMargins left="0.5" right="0.5" top="0.5" bottom="0.55000000000000004" header="0" footer="0"/>
      <printOptions horizontalCentered="1"/>
      <pageSetup scale="79" firstPageNumber="2" orientation="landscape" useFirstPageNumber="1" horizontalDpi="300" verticalDpi="300" r:id="rId3"/>
      <headerFooter alignWithMargins="0">
        <oddFooter>&amp;C&amp;"Times New Roman,Regular"Exhibit F - Crosswalk of 2011 Availability&amp;R&amp;"Times New Roman,Regular"Crime Victims Fund</oddFooter>
      </headerFooter>
    </customSheetView>
    <customSheetView guid="{27B9C207-C13F-4981-9CED-E69585BBD779}" scale="75" showPageBreaks="1" showGridLines="0" outlineSymbols="0" fitToPage="1" printArea="1" view="pageBreakPreview">
      <selection activeCell="H9" sqref="H9:J10"/>
      <pageMargins left="0.5" right="0.5" top="0.5" bottom="0.55000000000000004" header="0" footer="0"/>
      <printOptions horizontalCentered="1"/>
      <pageSetup scale="79" firstPageNumber="2" orientation="landscape" useFirstPageNumber="1" horizontalDpi="300" verticalDpi="300" r:id="rId4"/>
      <headerFooter alignWithMargins="0">
        <oddFooter>&amp;C&amp;"Times New Roman,Regular"Exhibit F - Crosswalk of 2011 Availability&amp;R&amp;"Times New Roman,Regular"Crime Victims Fund</oddFooter>
      </headerFooter>
    </customSheetView>
  </customSheetViews>
  <mergeCells count="22">
    <mergeCell ref="A6:O6"/>
    <mergeCell ref="A1:O1"/>
    <mergeCell ref="A2:O2"/>
    <mergeCell ref="A3:O3"/>
    <mergeCell ref="A4:O4"/>
    <mergeCell ref="A5:O5"/>
    <mergeCell ref="A7:O7"/>
    <mergeCell ref="A8:O8"/>
    <mergeCell ref="A9:A11"/>
    <mergeCell ref="B9:D10"/>
    <mergeCell ref="E9:G10"/>
    <mergeCell ref="H9:J10"/>
    <mergeCell ref="K9:K10"/>
    <mergeCell ref="L9:L10"/>
    <mergeCell ref="M9:O10"/>
    <mergeCell ref="A30:P30"/>
    <mergeCell ref="A23:O23"/>
    <mergeCell ref="A24:O24"/>
    <mergeCell ref="A25:O25"/>
    <mergeCell ref="A27:O27"/>
    <mergeCell ref="A28:O28"/>
    <mergeCell ref="A29:O29"/>
  </mergeCells>
  <printOptions horizontalCentered="1"/>
  <pageMargins left="0.5" right="0.5" top="0.5" bottom="0.55000000000000004" header="0" footer="0"/>
  <pageSetup scale="79" firstPageNumber="2" orientation="landscape" useFirstPageNumber="1" horizontalDpi="300" verticalDpi="300" r:id="rId5"/>
  <headerFooter alignWithMargins="0">
    <oddFooter>&amp;C&amp;"Times New Roman,Regular"Exhibit F - Crosswalk of 2011 Availability&amp;R&amp;"Times New Roman,Regular"Crime Victims Fund</oddFooter>
  </headerFooter>
</worksheet>
</file>

<file path=xl/worksheets/sheet48.xml><?xml version="1.0" encoding="utf-8"?>
<worksheet xmlns="http://schemas.openxmlformats.org/spreadsheetml/2006/main" xmlns:r="http://schemas.openxmlformats.org/officeDocument/2006/relationships">
  <sheetPr>
    <pageSetUpPr fitToPage="1"/>
  </sheetPr>
  <dimension ref="A1:T29"/>
  <sheetViews>
    <sheetView view="pageBreakPreview" topLeftCell="B1" zoomScale="75" zoomScaleNormal="100" zoomScaleSheetLayoutView="75" workbookViewId="0">
      <selection activeCell="P12" sqref="P12:Q12"/>
    </sheetView>
  </sheetViews>
  <sheetFormatPr defaultRowHeight="15.75"/>
  <cols>
    <col min="1" max="1" width="35.21875" style="363" customWidth="1"/>
    <col min="2" max="7" width="8.88671875" style="363"/>
    <col min="8" max="8" width="8.88671875" style="363" hidden="1" customWidth="1"/>
    <col min="9" max="9" width="8.88671875" style="236" hidden="1" customWidth="1"/>
    <col min="10" max="10" width="8.88671875" style="363" hidden="1" customWidth="1"/>
    <col min="11" max="13" width="8.88671875" style="363"/>
    <col min="14" max="14" width="9.44140625" style="18" customWidth="1"/>
    <col min="15" max="15" width="10" style="18" customWidth="1"/>
    <col min="16" max="16384" width="8.88671875" style="363"/>
  </cols>
  <sheetData>
    <row r="1" spans="1:20" ht="20.25">
      <c r="A1" s="1692" t="s">
        <v>383</v>
      </c>
      <c r="B1" s="1693"/>
      <c r="C1" s="1693"/>
      <c r="D1" s="1693"/>
      <c r="E1" s="1693"/>
      <c r="F1" s="1693"/>
      <c r="G1" s="1693"/>
      <c r="H1" s="1693"/>
      <c r="I1" s="1693"/>
      <c r="J1" s="1693"/>
      <c r="K1" s="1693"/>
      <c r="L1" s="1693"/>
      <c r="M1" s="1693"/>
      <c r="N1" s="1693"/>
      <c r="O1" s="1693"/>
      <c r="P1" s="1693"/>
      <c r="Q1" s="1693"/>
      <c r="R1" s="1693"/>
      <c r="S1" s="181" t="s">
        <v>0</v>
      </c>
      <c r="T1" s="18"/>
    </row>
    <row r="2" spans="1:20">
      <c r="A2" s="1901"/>
      <c r="B2" s="1901"/>
      <c r="C2" s="1901"/>
      <c r="D2" s="1901"/>
      <c r="E2" s="1901"/>
      <c r="F2" s="1901"/>
      <c r="G2" s="1901"/>
      <c r="H2" s="1901"/>
      <c r="I2" s="1901"/>
      <c r="J2" s="1901"/>
      <c r="K2" s="1901"/>
      <c r="L2" s="1901"/>
      <c r="M2" s="1901"/>
      <c r="N2" s="1901"/>
      <c r="O2" s="1901"/>
      <c r="P2" s="1901"/>
      <c r="Q2" s="1901"/>
      <c r="R2" s="1901"/>
      <c r="S2" s="181" t="s">
        <v>0</v>
      </c>
      <c r="T2" s="18"/>
    </row>
    <row r="3" spans="1:20" ht="18.75">
      <c r="A3" s="1694" t="s">
        <v>158</v>
      </c>
      <c r="B3" s="1914"/>
      <c r="C3" s="1914"/>
      <c r="D3" s="1914"/>
      <c r="E3" s="1914"/>
      <c r="F3" s="1914"/>
      <c r="G3" s="1914"/>
      <c r="H3" s="1914"/>
      <c r="I3" s="1914"/>
      <c r="J3" s="1914"/>
      <c r="K3" s="1914"/>
      <c r="L3" s="1914"/>
      <c r="M3" s="1914"/>
      <c r="N3" s="1914"/>
      <c r="O3" s="1914"/>
      <c r="P3" s="1914"/>
      <c r="Q3" s="1914"/>
      <c r="R3" s="1914"/>
      <c r="S3" s="181" t="s">
        <v>0</v>
      </c>
      <c r="T3" s="18"/>
    </row>
    <row r="4" spans="1:20" ht="16.5">
      <c r="A4" s="1696" t="str">
        <f>+'[7]B. Summ of Reqs - CVF '!A5</f>
        <v>Office of Justice Programs</v>
      </c>
      <c r="B4" s="1913"/>
      <c r="C4" s="1913"/>
      <c r="D4" s="1913"/>
      <c r="E4" s="1913"/>
      <c r="F4" s="1913"/>
      <c r="G4" s="1913"/>
      <c r="H4" s="1913"/>
      <c r="I4" s="1913"/>
      <c r="J4" s="1913"/>
      <c r="K4" s="1913"/>
      <c r="L4" s="1913"/>
      <c r="M4" s="1913"/>
      <c r="N4" s="1913"/>
      <c r="O4" s="1913"/>
      <c r="P4" s="1913"/>
      <c r="Q4" s="1913"/>
      <c r="R4" s="1913"/>
      <c r="S4" s="181" t="s">
        <v>0</v>
      </c>
      <c r="T4" s="18"/>
    </row>
    <row r="5" spans="1:20" ht="16.5">
      <c r="A5" s="1696" t="str">
        <f>+'[7]B. Summ of Reqs - CVF '!A6</f>
        <v>Crime Victims Fund</v>
      </c>
      <c r="B5" s="1914"/>
      <c r="C5" s="1914"/>
      <c r="D5" s="1914"/>
      <c r="E5" s="1914"/>
      <c r="F5" s="1914"/>
      <c r="G5" s="1914"/>
      <c r="H5" s="1914"/>
      <c r="I5" s="1914"/>
      <c r="J5" s="1914"/>
      <c r="K5" s="1914"/>
      <c r="L5" s="1914"/>
      <c r="M5" s="1914"/>
      <c r="N5" s="1914"/>
      <c r="O5" s="1914"/>
      <c r="P5" s="1914"/>
      <c r="Q5" s="1914"/>
      <c r="R5" s="1914"/>
      <c r="S5" s="181" t="s">
        <v>0</v>
      </c>
      <c r="T5" s="18"/>
    </row>
    <row r="6" spans="1:20">
      <c r="A6" s="1690" t="s">
        <v>98</v>
      </c>
      <c r="B6" s="1913"/>
      <c r="C6" s="1913"/>
      <c r="D6" s="1913"/>
      <c r="E6" s="1913"/>
      <c r="F6" s="1913"/>
      <c r="G6" s="1913"/>
      <c r="H6" s="1913"/>
      <c r="I6" s="1913"/>
      <c r="J6" s="1913"/>
      <c r="K6" s="1913"/>
      <c r="L6" s="1913"/>
      <c r="M6" s="1913"/>
      <c r="N6" s="1913"/>
      <c r="O6" s="1913"/>
      <c r="P6" s="1913"/>
      <c r="Q6" s="1913"/>
      <c r="R6" s="1913"/>
      <c r="S6" s="181" t="s">
        <v>0</v>
      </c>
      <c r="T6" s="18"/>
    </row>
    <row r="7" spans="1:20">
      <c r="A7" s="1901"/>
      <c r="B7" s="1901"/>
      <c r="C7" s="1901"/>
      <c r="D7" s="1901"/>
      <c r="E7" s="1901"/>
      <c r="F7" s="1901"/>
      <c r="G7" s="1901"/>
      <c r="H7" s="1901"/>
      <c r="I7" s="1901"/>
      <c r="J7" s="1901"/>
      <c r="K7" s="1901"/>
      <c r="L7" s="1901"/>
      <c r="M7" s="1901"/>
      <c r="N7" s="1901"/>
      <c r="O7" s="1901"/>
      <c r="P7" s="1901"/>
      <c r="Q7" s="1901"/>
      <c r="R7" s="1901"/>
      <c r="S7" s="181" t="s">
        <v>0</v>
      </c>
      <c r="T7" s="18"/>
    </row>
    <row r="8" spans="1:20">
      <c r="A8" s="1902"/>
      <c r="B8" s="1902"/>
      <c r="C8" s="1902"/>
      <c r="D8" s="1902"/>
      <c r="E8" s="1902"/>
      <c r="F8" s="1902"/>
      <c r="G8" s="1902"/>
      <c r="H8" s="1902"/>
      <c r="I8" s="1902"/>
      <c r="J8" s="1902"/>
      <c r="K8" s="1902"/>
      <c r="L8" s="1902"/>
      <c r="M8" s="1902"/>
      <c r="N8" s="1902"/>
      <c r="O8" s="1902"/>
      <c r="P8" s="1902"/>
      <c r="Q8" s="1902"/>
      <c r="R8" s="1902"/>
      <c r="S8" s="181" t="s">
        <v>0</v>
      </c>
      <c r="T8" s="18"/>
    </row>
    <row r="9" spans="1:20" ht="15.75" customHeight="1">
      <c r="A9" s="1682" t="s">
        <v>23</v>
      </c>
      <c r="B9" s="1664" t="s">
        <v>594</v>
      </c>
      <c r="C9" s="1903"/>
      <c r="D9" s="1904"/>
      <c r="E9" s="1676" t="s">
        <v>109</v>
      </c>
      <c r="F9" s="1908"/>
      <c r="G9" s="1909"/>
      <c r="H9" s="1676" t="s">
        <v>110</v>
      </c>
      <c r="I9" s="1908"/>
      <c r="J9" s="1909"/>
      <c r="K9" s="1664" t="s">
        <v>12</v>
      </c>
      <c r="L9" s="1903"/>
      <c r="M9" s="1904"/>
      <c r="N9" s="1674" t="s">
        <v>141</v>
      </c>
      <c r="O9" s="1697" t="s">
        <v>142</v>
      </c>
      <c r="P9" s="1664" t="s">
        <v>157</v>
      </c>
      <c r="Q9" s="1903"/>
      <c r="R9" s="1904"/>
      <c r="S9" s="181" t="s">
        <v>0</v>
      </c>
      <c r="T9" s="18"/>
    </row>
    <row r="10" spans="1:20">
      <c r="A10" s="1683"/>
      <c r="B10" s="1905"/>
      <c r="C10" s="1906"/>
      <c r="D10" s="1907"/>
      <c r="E10" s="1910"/>
      <c r="F10" s="1911"/>
      <c r="G10" s="1912"/>
      <c r="H10" s="1910"/>
      <c r="I10" s="1911"/>
      <c r="J10" s="1912"/>
      <c r="K10" s="1905"/>
      <c r="L10" s="1906"/>
      <c r="M10" s="1907"/>
      <c r="N10" s="1675"/>
      <c r="O10" s="1698"/>
      <c r="P10" s="1905"/>
      <c r="Q10" s="1906"/>
      <c r="R10" s="1907"/>
      <c r="S10" s="181" t="s">
        <v>0</v>
      </c>
      <c r="T10" s="18"/>
    </row>
    <row r="11" spans="1:20" ht="16.5" thickBot="1">
      <c r="A11" s="1684"/>
      <c r="B11" s="156" t="s">
        <v>115</v>
      </c>
      <c r="C11" s="157" t="s">
        <v>25</v>
      </c>
      <c r="D11" s="157" t="s">
        <v>117</v>
      </c>
      <c r="E11" s="156" t="s">
        <v>115</v>
      </c>
      <c r="F11" s="157" t="s">
        <v>25</v>
      </c>
      <c r="G11" s="157" t="s">
        <v>117</v>
      </c>
      <c r="H11" s="156" t="s">
        <v>115</v>
      </c>
      <c r="I11" s="157" t="s">
        <v>25</v>
      </c>
      <c r="J11" s="157" t="s">
        <v>117</v>
      </c>
      <c r="K11" s="156" t="s">
        <v>115</v>
      </c>
      <c r="L11" s="157" t="s">
        <v>25</v>
      </c>
      <c r="M11" s="157" t="s">
        <v>117</v>
      </c>
      <c r="N11" s="265" t="s">
        <v>117</v>
      </c>
      <c r="O11" s="266" t="s">
        <v>117</v>
      </c>
      <c r="P11" s="156" t="s">
        <v>115</v>
      </c>
      <c r="Q11" s="157" t="s">
        <v>25</v>
      </c>
      <c r="R11" s="158" t="s">
        <v>117</v>
      </c>
      <c r="S11" s="181" t="s">
        <v>0</v>
      </c>
      <c r="T11" s="18"/>
    </row>
    <row r="12" spans="1:20" ht="15" customHeight="1">
      <c r="A12" s="854" t="s">
        <v>449</v>
      </c>
      <c r="B12" s="400"/>
      <c r="C12" s="399"/>
      <c r="D12" s="399">
        <v>705000</v>
      </c>
      <c r="E12" s="400"/>
      <c r="F12" s="399"/>
      <c r="G12" s="399">
        <v>0</v>
      </c>
      <c r="H12" s="400"/>
      <c r="I12" s="399"/>
      <c r="J12" s="399"/>
      <c r="K12" s="400"/>
      <c r="L12" s="399"/>
      <c r="M12" s="399">
        <v>0</v>
      </c>
      <c r="N12" s="793">
        <v>50000</v>
      </c>
      <c r="O12" s="399">
        <v>0</v>
      </c>
      <c r="P12" s="400"/>
      <c r="Q12" s="399"/>
      <c r="R12" s="398">
        <f>D12+G12+J12+M12+N12+O12</f>
        <v>755000</v>
      </c>
      <c r="S12" s="181" t="s">
        <v>0</v>
      </c>
      <c r="T12" s="18"/>
    </row>
    <row r="13" spans="1:20">
      <c r="A13" s="162" t="s">
        <v>124</v>
      </c>
      <c r="B13" s="267">
        <f t="shared" ref="B13:R13" si="0">SUM(B12:B12)</f>
        <v>0</v>
      </c>
      <c r="C13" s="268">
        <f t="shared" si="0"/>
        <v>0</v>
      </c>
      <c r="D13" s="166">
        <f t="shared" si="0"/>
        <v>705000</v>
      </c>
      <c r="E13" s="267">
        <f t="shared" si="0"/>
        <v>0</v>
      </c>
      <c r="F13" s="268">
        <f t="shared" si="0"/>
        <v>0</v>
      </c>
      <c r="G13" s="166">
        <f t="shared" si="0"/>
        <v>0</v>
      </c>
      <c r="H13" s="267">
        <f t="shared" si="0"/>
        <v>0</v>
      </c>
      <c r="I13" s="268">
        <f t="shared" si="0"/>
        <v>0</v>
      </c>
      <c r="J13" s="166">
        <f t="shared" si="0"/>
        <v>0</v>
      </c>
      <c r="K13" s="267">
        <f t="shared" si="0"/>
        <v>0</v>
      </c>
      <c r="L13" s="268">
        <f t="shared" si="0"/>
        <v>0</v>
      </c>
      <c r="M13" s="166">
        <f t="shared" si="0"/>
        <v>0</v>
      </c>
      <c r="N13" s="754">
        <f t="shared" si="0"/>
        <v>50000</v>
      </c>
      <c r="O13" s="166">
        <f t="shared" si="0"/>
        <v>0</v>
      </c>
      <c r="P13" s="267">
        <f t="shared" si="0"/>
        <v>0</v>
      </c>
      <c r="Q13" s="268">
        <f t="shared" si="0"/>
        <v>0</v>
      </c>
      <c r="R13" s="755">
        <f t="shared" si="0"/>
        <v>755000</v>
      </c>
      <c r="S13" s="181" t="s">
        <v>0</v>
      </c>
      <c r="T13" s="18"/>
    </row>
    <row r="14" spans="1:20">
      <c r="A14" s="359" t="s">
        <v>103</v>
      </c>
      <c r="B14" s="381" t="s">
        <v>116</v>
      </c>
      <c r="C14" s="382"/>
      <c r="D14" s="382"/>
      <c r="E14" s="381"/>
      <c r="F14" s="382"/>
      <c r="G14" s="382"/>
      <c r="H14" s="381"/>
      <c r="I14" s="382"/>
      <c r="J14" s="382"/>
      <c r="K14" s="381"/>
      <c r="L14" s="382"/>
      <c r="M14" s="382"/>
      <c r="N14" s="421"/>
      <c r="O14" s="382"/>
      <c r="P14" s="381"/>
      <c r="Q14" s="382"/>
      <c r="R14" s="379"/>
      <c r="S14" s="181" t="s">
        <v>0</v>
      </c>
      <c r="T14" s="559"/>
    </row>
    <row r="15" spans="1:20">
      <c r="A15" s="359" t="s">
        <v>102</v>
      </c>
      <c r="B15" s="560"/>
      <c r="C15" s="407">
        <f>SUM(C13:C14)</f>
        <v>0</v>
      </c>
      <c r="D15" s="407"/>
      <c r="E15" s="560"/>
      <c r="F15" s="407">
        <f>+F13+F14</f>
        <v>0</v>
      </c>
      <c r="G15" s="407"/>
      <c r="H15" s="560"/>
      <c r="I15" s="407">
        <f>+I13+I14</f>
        <v>0</v>
      </c>
      <c r="J15" s="407"/>
      <c r="K15" s="560"/>
      <c r="L15" s="407">
        <f>+L13+L14</f>
        <v>0</v>
      </c>
      <c r="M15" s="407"/>
      <c r="N15" s="561"/>
      <c r="O15" s="407"/>
      <c r="P15" s="560"/>
      <c r="Q15" s="407">
        <f>SUM(Q13:Q14)</f>
        <v>0</v>
      </c>
      <c r="R15" s="408"/>
      <c r="S15" s="181" t="s">
        <v>0</v>
      </c>
      <c r="T15" s="18"/>
    </row>
    <row r="16" spans="1:20">
      <c r="A16" s="562" t="s">
        <v>104</v>
      </c>
      <c r="B16" s="390"/>
      <c r="C16" s="391"/>
      <c r="D16" s="391"/>
      <c r="E16" s="390"/>
      <c r="F16" s="391"/>
      <c r="G16" s="391"/>
      <c r="H16" s="390"/>
      <c r="I16" s="391"/>
      <c r="J16" s="391"/>
      <c r="K16" s="390"/>
      <c r="L16" s="391"/>
      <c r="M16" s="391"/>
      <c r="N16" s="425"/>
      <c r="O16" s="391"/>
      <c r="P16" s="390"/>
      <c r="Q16" s="391"/>
      <c r="R16" s="388"/>
      <c r="S16" s="181" t="s">
        <v>0</v>
      </c>
      <c r="T16" s="18"/>
    </row>
    <row r="17" spans="1:20">
      <c r="A17" s="563" t="s">
        <v>31</v>
      </c>
      <c r="B17" s="390"/>
      <c r="C17" s="391"/>
      <c r="D17" s="391"/>
      <c r="E17" s="390"/>
      <c r="F17" s="391"/>
      <c r="G17" s="391"/>
      <c r="H17" s="390"/>
      <c r="I17" s="391"/>
      <c r="J17" s="391"/>
      <c r="K17" s="390"/>
      <c r="L17" s="391"/>
      <c r="M17" s="391"/>
      <c r="N17" s="425"/>
      <c r="O17" s="391"/>
      <c r="P17" s="390"/>
      <c r="Q17" s="391"/>
      <c r="R17" s="388"/>
      <c r="S17" s="181" t="s">
        <v>0</v>
      </c>
      <c r="T17" s="18"/>
    </row>
    <row r="18" spans="1:20">
      <c r="A18" s="564" t="s">
        <v>60</v>
      </c>
      <c r="B18" s="381"/>
      <c r="C18" s="382"/>
      <c r="D18" s="382"/>
      <c r="E18" s="381"/>
      <c r="F18" s="382"/>
      <c r="G18" s="382"/>
      <c r="H18" s="381"/>
      <c r="I18" s="382"/>
      <c r="J18" s="382"/>
      <c r="K18" s="381"/>
      <c r="L18" s="382"/>
      <c r="M18" s="382"/>
      <c r="N18" s="421"/>
      <c r="O18" s="382"/>
      <c r="P18" s="381"/>
      <c r="Q18" s="382"/>
      <c r="R18" s="379"/>
      <c r="S18" s="181" t="s">
        <v>0</v>
      </c>
      <c r="T18" s="18"/>
    </row>
    <row r="19" spans="1:20">
      <c r="A19" s="359" t="s">
        <v>105</v>
      </c>
      <c r="B19" s="381"/>
      <c r="C19" s="382">
        <f>C18+C17+C15</f>
        <v>0</v>
      </c>
      <c r="D19" s="565"/>
      <c r="E19" s="381"/>
      <c r="F19" s="382">
        <f>F18+F17+F15</f>
        <v>0</v>
      </c>
      <c r="G19" s="565"/>
      <c r="H19" s="381"/>
      <c r="I19" s="382">
        <f>I18+I17+I15</f>
        <v>0</v>
      </c>
      <c r="J19" s="565"/>
      <c r="K19" s="381"/>
      <c r="L19" s="382">
        <f>L18+L17+L15</f>
        <v>0</v>
      </c>
      <c r="M19" s="565"/>
      <c r="N19" s="566"/>
      <c r="O19" s="565"/>
      <c r="P19" s="381"/>
      <c r="Q19" s="382">
        <f>Q18+Q17+Q15</f>
        <v>0</v>
      </c>
      <c r="R19" s="567"/>
      <c r="S19" s="181" t="s">
        <v>0</v>
      </c>
      <c r="T19" s="18"/>
    </row>
    <row r="20" spans="1:20">
      <c r="A20" s="18"/>
      <c r="B20" s="1"/>
      <c r="C20" s="1"/>
      <c r="D20" s="1"/>
      <c r="E20" s="1"/>
      <c r="F20" s="1"/>
      <c r="G20" s="1"/>
      <c r="H20" s="1"/>
      <c r="I20" s="1"/>
      <c r="J20" s="1"/>
      <c r="K20" s="1"/>
      <c r="L20" s="1"/>
      <c r="M20" s="1"/>
      <c r="N20" s="1"/>
      <c r="O20" s="1"/>
      <c r="P20" s="1"/>
      <c r="Q20" s="1"/>
      <c r="R20" s="1"/>
      <c r="S20" s="568" t="s">
        <v>13</v>
      </c>
      <c r="T20" s="18"/>
    </row>
    <row r="21" spans="1:20">
      <c r="A21" s="1"/>
      <c r="B21" s="18"/>
      <c r="C21" s="1"/>
      <c r="D21" s="1"/>
      <c r="E21" s="1"/>
      <c r="F21" s="1"/>
      <c r="G21" s="1"/>
      <c r="H21" s="1"/>
      <c r="I21" s="1"/>
      <c r="J21" s="2"/>
      <c r="K21" s="1"/>
      <c r="L21" s="1"/>
      <c r="M21" s="1"/>
      <c r="N21" s="1"/>
      <c r="O21" s="1"/>
      <c r="P21" s="1"/>
      <c r="Q21" s="1"/>
      <c r="R21" s="1"/>
      <c r="S21" s="181"/>
      <c r="T21" s="18"/>
    </row>
    <row r="22" spans="1:20" s="18" customFormat="1" ht="16.5" customHeight="1">
      <c r="A22" s="1685"/>
      <c r="B22" s="1685"/>
      <c r="C22" s="1685"/>
      <c r="D22" s="1685"/>
      <c r="E22" s="1685"/>
      <c r="F22" s="1685"/>
      <c r="G22" s="1685"/>
      <c r="H22" s="1685"/>
      <c r="I22" s="1685"/>
      <c r="J22" s="1685"/>
      <c r="K22" s="1685"/>
      <c r="L22" s="1685"/>
      <c r="M22" s="1685"/>
      <c r="N22" s="1685"/>
      <c r="O22" s="1685"/>
      <c r="P22" s="1685"/>
      <c r="Q22" s="1685"/>
      <c r="R22" s="1685"/>
    </row>
    <row r="23" spans="1:20" s="18" customFormat="1" ht="16.5" customHeight="1">
      <c r="A23" s="1670"/>
      <c r="B23" s="1671"/>
      <c r="C23" s="1671"/>
      <c r="D23" s="1671"/>
      <c r="E23" s="1671"/>
      <c r="F23" s="1671"/>
      <c r="G23" s="1671"/>
      <c r="H23" s="1671"/>
      <c r="I23" s="1671"/>
      <c r="J23" s="1671"/>
      <c r="K23" s="1671"/>
      <c r="L23" s="1671"/>
      <c r="M23" s="1671"/>
      <c r="N23" s="1671"/>
      <c r="O23" s="1671"/>
      <c r="P23" s="1671"/>
      <c r="Q23" s="1671"/>
      <c r="R23" s="1671"/>
    </row>
    <row r="24" spans="1:20" s="18" customFormat="1" ht="16.5" customHeight="1">
      <c r="A24" s="259"/>
      <c r="B24" s="368"/>
      <c r="C24" s="368"/>
      <c r="D24" s="368"/>
      <c r="E24" s="368"/>
      <c r="F24" s="368"/>
      <c r="G24" s="368"/>
      <c r="H24" s="368"/>
      <c r="I24" s="368"/>
      <c r="J24" s="368"/>
      <c r="K24" s="368"/>
      <c r="L24" s="368"/>
      <c r="M24" s="368"/>
      <c r="N24" s="368"/>
      <c r="O24" s="368"/>
      <c r="P24" s="368"/>
      <c r="Q24" s="368"/>
      <c r="R24" s="368"/>
    </row>
    <row r="25" spans="1:20" s="18" customFormat="1" ht="16.5" customHeight="1">
      <c r="A25" s="1673"/>
      <c r="B25" s="1670"/>
      <c r="C25" s="1670"/>
      <c r="D25" s="1670"/>
      <c r="E25" s="1670"/>
      <c r="F25" s="1670"/>
      <c r="G25" s="1670"/>
      <c r="H25" s="1670"/>
      <c r="I25" s="1670"/>
      <c r="J25" s="1670"/>
      <c r="K25" s="1670"/>
      <c r="L25" s="1670"/>
      <c r="M25" s="1670"/>
      <c r="N25" s="1670"/>
      <c r="O25" s="1670"/>
      <c r="P25" s="1670"/>
      <c r="Q25" s="1670"/>
      <c r="R25" s="1670"/>
    </row>
    <row r="26" spans="1:20" s="18" customFormat="1" ht="16.5" customHeight="1">
      <c r="A26" s="1670"/>
      <c r="B26" s="1670"/>
      <c r="C26" s="1670"/>
      <c r="D26" s="1670"/>
      <c r="E26" s="1670"/>
      <c r="F26" s="1670"/>
      <c r="G26" s="1670"/>
      <c r="H26" s="1670"/>
      <c r="I26" s="1670"/>
      <c r="J26" s="1670"/>
      <c r="K26" s="1670"/>
      <c r="L26" s="1670"/>
      <c r="M26" s="1670"/>
      <c r="N26" s="1670"/>
      <c r="O26" s="1670"/>
      <c r="P26" s="1670"/>
      <c r="Q26" s="1670"/>
      <c r="R26" s="1670"/>
    </row>
    <row r="27" spans="1:20" s="18" customFormat="1" ht="16.5" customHeight="1">
      <c r="A27" s="1670"/>
      <c r="B27" s="1671"/>
      <c r="C27" s="1671"/>
      <c r="D27" s="1671"/>
      <c r="E27" s="1671"/>
      <c r="F27" s="1671"/>
      <c r="G27" s="1671"/>
      <c r="H27" s="1671"/>
      <c r="I27" s="1671"/>
      <c r="J27" s="1671"/>
      <c r="K27" s="1671"/>
      <c r="L27" s="1671"/>
      <c r="M27" s="1671"/>
      <c r="N27" s="1671"/>
      <c r="O27" s="1671"/>
      <c r="P27" s="1671"/>
      <c r="Q27" s="1671"/>
      <c r="R27" s="1671"/>
    </row>
    <row r="28" spans="1:20" s="18" customFormat="1" ht="16.5" customHeight="1">
      <c r="A28" s="1662"/>
      <c r="B28" s="1663"/>
      <c r="C28" s="1663"/>
      <c r="D28" s="1663"/>
      <c r="E28" s="1663"/>
      <c r="F28" s="1663"/>
      <c r="G28" s="1663"/>
      <c r="H28" s="1663"/>
      <c r="I28" s="1663"/>
      <c r="J28" s="1663"/>
      <c r="K28" s="1663"/>
      <c r="L28" s="1663"/>
      <c r="M28" s="1663"/>
      <c r="N28" s="1663"/>
      <c r="O28" s="1663"/>
      <c r="P28" s="1663"/>
      <c r="Q28" s="1663"/>
      <c r="R28" s="1663"/>
      <c r="S28" s="1663"/>
    </row>
    <row r="29" spans="1:20" ht="18">
      <c r="A29" s="571"/>
      <c r="B29" s="18"/>
      <c r="C29" s="18"/>
      <c r="D29" s="18"/>
      <c r="E29" s="18"/>
      <c r="F29" s="18"/>
      <c r="G29" s="18"/>
      <c r="H29" s="18"/>
      <c r="I29" s="18"/>
      <c r="J29" s="18"/>
      <c r="K29" s="18"/>
      <c r="L29" s="18"/>
      <c r="M29" s="18"/>
      <c r="P29" s="18"/>
      <c r="Q29" s="18"/>
      <c r="R29" s="18"/>
      <c r="S29" s="18"/>
      <c r="T29" s="182"/>
    </row>
  </sheetData>
  <customSheetViews>
    <customSheetView guid="{DA38F665-F06D-4DFB-B852-747D93BB00EF}" scale="75" showPageBreaks="1" fitToPage="1" printArea="1" hiddenColumns="1" view="pageBreakPreview" topLeftCell="C1">
      <selection activeCell="B210" sqref="B210"/>
      <pageMargins left="0.5" right="0.5" top="1" bottom="1" header="0.5" footer="0.5"/>
      <printOptions horizontalCentered="1"/>
      <pageSetup scale="66" orientation="landscape" r:id="rId1"/>
      <headerFooter alignWithMargins="0">
        <oddFooter>&amp;C&amp;"Times New Roman,Regular"Exhibit G:  Crosswalk of 2012 Availability&amp;R&amp;"Times New Roman,Regular"Crime Victims Fund</oddFooter>
      </headerFooter>
    </customSheetView>
    <customSheetView guid="{4D0F9E3D-0229-48CC-A08B-F132802E9D7B}" scale="75" showPageBreaks="1" fitToPage="1" printArea="1" hiddenColumns="1" view="pageBreakPreview">
      <selection activeCell="Q12" sqref="Q12"/>
      <pageMargins left="0.5" right="0.5" top="1" bottom="1" header="0.5" footer="0.5"/>
      <printOptions horizontalCentered="1"/>
      <pageSetup scale="66" orientation="landscape" r:id="rId2"/>
      <headerFooter alignWithMargins="0">
        <oddFooter>&amp;C&amp;"Times New Roman,Regular"Exhibit G:  Crosswalk of 2012 Availability&amp;R&amp;"Times New Roman,Regular"Crime Victims Fund</oddFooter>
      </headerFooter>
    </customSheetView>
    <customSheetView guid="{F6772377-6B25-4EEA-B255-4C2F62B37855}" scale="75" showPageBreaks="1" fitToPage="1" printArea="1" hiddenColumns="1" view="pageBreakPreview" topLeftCell="C1">
      <selection activeCell="Q16" sqref="Q16"/>
      <pageMargins left="0.5" right="0.5" top="1" bottom="1" header="0.5" footer="0.5"/>
      <printOptions horizontalCentered="1"/>
      <pageSetup scale="66" orientation="landscape" r:id="rId3"/>
      <headerFooter alignWithMargins="0">
        <oddFooter>&amp;C&amp;"Times New Roman,Regular"Exhibit G:  Crosswalk of 2012 Availability&amp;R&amp;"Times New Roman,Regular"Crime Victims Fund</oddFooter>
      </headerFooter>
    </customSheetView>
    <customSheetView guid="{27B9C207-C13F-4981-9CED-E69585BBD779}" scale="75" showPageBreaks="1" fitToPage="1" printArea="1" hiddenColumns="1" view="pageBreakPreview" topLeftCell="B1">
      <selection activeCell="L16" sqref="L16"/>
      <pageMargins left="0.5" right="0.5" top="1" bottom="1" header="0.5" footer="0.5"/>
      <printOptions horizontalCentered="1"/>
      <pageSetup scale="66" orientation="landscape" r:id="rId4"/>
      <headerFooter alignWithMargins="0">
        <oddFooter>&amp;C&amp;"Times New Roman,Regular"Exhibit G:  Crosswalk of 2012 Availability&amp;R&amp;"Times New Roman,Regular"Crime Victims Fund</oddFooter>
      </headerFooter>
    </customSheetView>
  </customSheetViews>
  <mergeCells count="22">
    <mergeCell ref="A6:R6"/>
    <mergeCell ref="A1:R1"/>
    <mergeCell ref="A2:R2"/>
    <mergeCell ref="A3:R3"/>
    <mergeCell ref="A4:R4"/>
    <mergeCell ref="A5:R5"/>
    <mergeCell ref="A28:S28"/>
    <mergeCell ref="A7:R7"/>
    <mergeCell ref="A8:R8"/>
    <mergeCell ref="A9:A11"/>
    <mergeCell ref="B9:D10"/>
    <mergeCell ref="E9:G10"/>
    <mergeCell ref="H9:J10"/>
    <mergeCell ref="K9:M10"/>
    <mergeCell ref="N9:N10"/>
    <mergeCell ref="O9:O10"/>
    <mergeCell ref="P9:R10"/>
    <mergeCell ref="A22:R22"/>
    <mergeCell ref="A23:R23"/>
    <mergeCell ref="A25:R25"/>
    <mergeCell ref="A26:R26"/>
    <mergeCell ref="A27:R27"/>
  </mergeCells>
  <printOptions horizontalCentered="1"/>
  <pageMargins left="0.5" right="0.5" top="1" bottom="1" header="0.5" footer="0.5"/>
  <pageSetup scale="66" orientation="landscape" r:id="rId5"/>
  <headerFooter alignWithMargins="0">
    <oddFooter>&amp;C&amp;"Times New Roman,Regular"Exhibit G:  Crosswalk of 2012 Availability&amp;R&amp;"Times New Roman,Regular"Crime Victims Fund</oddFooter>
  </headerFooter>
</worksheet>
</file>

<file path=xl/worksheets/sheet49.xml><?xml version="1.0" encoding="utf-8"?>
<worksheet xmlns="http://schemas.openxmlformats.org/spreadsheetml/2006/main" xmlns:r="http://schemas.openxmlformats.org/officeDocument/2006/relationships">
  <sheetPr>
    <pageSetUpPr fitToPage="1"/>
  </sheetPr>
  <dimension ref="A1:V26"/>
  <sheetViews>
    <sheetView view="pageBreakPreview" zoomScale="55" zoomScaleNormal="100" zoomScaleSheetLayoutView="55" workbookViewId="0">
      <pane xSplit="1" ySplit="11" topLeftCell="B12" activePane="bottomRight" state="frozen"/>
      <selection pane="topRight" activeCell="B1" sqref="B1"/>
      <selection pane="bottomLeft" activeCell="A12" sqref="A12"/>
      <selection pane="bottomRight" activeCell="E12" sqref="E12"/>
    </sheetView>
  </sheetViews>
  <sheetFormatPr defaultRowHeight="15"/>
  <cols>
    <col min="1" max="1" width="57.44140625" style="363" customWidth="1"/>
    <col min="2" max="2" width="10.109375" style="363" customWidth="1"/>
    <col min="3" max="3" width="19.5546875" style="321" customWidth="1"/>
    <col min="4" max="4" width="14.44140625" style="1116" customWidth="1"/>
    <col min="5" max="5" width="17.21875" style="1116" customWidth="1"/>
    <col min="6" max="6" width="10.5546875" style="363" bestFit="1" customWidth="1"/>
    <col min="7" max="7" width="11.21875" style="321" customWidth="1"/>
    <col min="8" max="8" width="7.88671875" style="62" customWidth="1"/>
    <col min="9" max="16384" width="8.88671875" style="363"/>
  </cols>
  <sheetData>
    <row r="1" spans="1:8" ht="20.25">
      <c r="A1" s="374" t="s">
        <v>263</v>
      </c>
      <c r="B1" s="573"/>
      <c r="C1" s="574"/>
      <c r="D1" s="1113"/>
      <c r="E1" s="1113"/>
      <c r="F1" s="573"/>
      <c r="G1" s="575"/>
      <c r="H1" s="576" t="s">
        <v>0</v>
      </c>
    </row>
    <row r="2" spans="1:8" ht="13.15" customHeight="1">
      <c r="A2" s="1946"/>
      <c r="B2" s="1946"/>
      <c r="C2" s="1946"/>
      <c r="D2" s="1946"/>
      <c r="E2" s="1946"/>
      <c r="F2" s="1946"/>
      <c r="G2" s="1945"/>
      <c r="H2" s="576" t="s">
        <v>0</v>
      </c>
    </row>
    <row r="3" spans="1:8" ht="18.75">
      <c r="A3" s="1947" t="s">
        <v>264</v>
      </c>
      <c r="B3" s="1947"/>
      <c r="C3" s="1947"/>
      <c r="D3" s="1947"/>
      <c r="E3" s="1947"/>
      <c r="F3" s="1947"/>
      <c r="G3" s="1947"/>
      <c r="H3" s="576" t="s">
        <v>0</v>
      </c>
    </row>
    <row r="4" spans="1:8" ht="16.5">
      <c r="A4" s="1948" t="str">
        <f>+'[7]B. Summ of Reqs - CVF '!A5</f>
        <v>Office of Justice Programs</v>
      </c>
      <c r="B4" s="1948"/>
      <c r="C4" s="1948"/>
      <c r="D4" s="1948"/>
      <c r="E4" s="1948"/>
      <c r="F4" s="1948"/>
      <c r="G4" s="1948"/>
      <c r="H4" s="576" t="s">
        <v>0</v>
      </c>
    </row>
    <row r="5" spans="1:8" ht="16.5">
      <c r="A5" s="1948" t="str">
        <f>+'[7]B. Summ of Reqs - CVF '!A6</f>
        <v>Crime Victims Fund</v>
      </c>
      <c r="B5" s="1948"/>
      <c r="C5" s="1948"/>
      <c r="D5" s="1948"/>
      <c r="E5" s="1948"/>
      <c r="F5" s="1948"/>
      <c r="G5" s="1948"/>
      <c r="H5" s="576" t="s">
        <v>0</v>
      </c>
    </row>
    <row r="6" spans="1:8">
      <c r="A6" s="1949" t="s">
        <v>98</v>
      </c>
      <c r="B6" s="1949"/>
      <c r="C6" s="1949"/>
      <c r="D6" s="1949"/>
      <c r="E6" s="1949"/>
      <c r="F6" s="1949"/>
      <c r="G6" s="1949"/>
      <c r="H6" s="576" t="s">
        <v>0</v>
      </c>
    </row>
    <row r="7" spans="1:8">
      <c r="A7" s="2061"/>
      <c r="B7" s="2061"/>
      <c r="C7" s="2061"/>
      <c r="D7" s="2061"/>
      <c r="E7" s="2061"/>
      <c r="F7" s="2061"/>
      <c r="G7" s="2061"/>
      <c r="H7" s="576" t="s">
        <v>0</v>
      </c>
    </row>
    <row r="8" spans="1:8" ht="17.25" customHeight="1">
      <c r="A8" s="2164"/>
      <c r="B8" s="2160" t="s">
        <v>448</v>
      </c>
      <c r="C8" s="2171"/>
      <c r="D8" s="2018"/>
      <c r="E8" s="2019"/>
      <c r="F8" s="2160" t="s">
        <v>62</v>
      </c>
      <c r="G8" s="2161"/>
      <c r="H8" s="576" t="s">
        <v>0</v>
      </c>
    </row>
    <row r="9" spans="1:8" ht="15.75" customHeight="1">
      <c r="A9" s="2165"/>
      <c r="B9" s="2168" t="s">
        <v>265</v>
      </c>
      <c r="C9" s="2169"/>
      <c r="D9" s="2168" t="s">
        <v>265</v>
      </c>
      <c r="E9" s="2169"/>
      <c r="F9" s="2103"/>
      <c r="G9" s="2162"/>
      <c r="H9" s="576"/>
    </row>
    <row r="10" spans="1:8" ht="60.75" customHeight="1">
      <c r="A10" s="2166"/>
      <c r="B10" s="2170" t="s">
        <v>614</v>
      </c>
      <c r="C10" s="2143"/>
      <c r="D10" s="2170" t="s">
        <v>615</v>
      </c>
      <c r="E10" s="2143"/>
      <c r="F10" s="2144"/>
      <c r="G10" s="2163"/>
      <c r="H10" s="576" t="s">
        <v>0</v>
      </c>
    </row>
    <row r="11" spans="1:8" ht="36" customHeight="1" thickBot="1">
      <c r="A11" s="2167"/>
      <c r="B11" s="1416" t="s">
        <v>115</v>
      </c>
      <c r="C11" s="1417" t="s">
        <v>270</v>
      </c>
      <c r="D11" s="1416" t="s">
        <v>115</v>
      </c>
      <c r="E11" s="1417" t="s">
        <v>270</v>
      </c>
      <c r="F11" s="1416" t="s">
        <v>115</v>
      </c>
      <c r="G11" s="1418" t="s">
        <v>270</v>
      </c>
      <c r="H11" s="576" t="s">
        <v>0</v>
      </c>
    </row>
    <row r="12" spans="1:8" ht="18.75">
      <c r="A12" s="858" t="s">
        <v>273</v>
      </c>
      <c r="B12" s="857"/>
      <c r="C12" s="856">
        <v>306.63072484742247</v>
      </c>
      <c r="D12" s="857"/>
      <c r="E12" s="856"/>
      <c r="F12" s="855"/>
      <c r="G12" s="856">
        <f>SUM(C12,E12)</f>
        <v>306.63072484742247</v>
      </c>
      <c r="H12" s="576" t="s">
        <v>0</v>
      </c>
    </row>
    <row r="13" spans="1:8" ht="18.75">
      <c r="A13" s="858" t="s">
        <v>274</v>
      </c>
      <c r="B13" s="857"/>
      <c r="C13" s="856">
        <v>16244.821757119757</v>
      </c>
      <c r="D13" s="857"/>
      <c r="E13" s="856"/>
      <c r="F13" s="855"/>
      <c r="G13" s="856">
        <f t="shared" ref="G13:G16" si="0">SUM(C13,E13)</f>
        <v>16244.821757119757</v>
      </c>
      <c r="H13" s="576" t="s">
        <v>0</v>
      </c>
    </row>
    <row r="14" spans="1:8" ht="18.75">
      <c r="A14" s="858" t="s">
        <v>275</v>
      </c>
      <c r="B14" s="857"/>
      <c r="C14" s="856">
        <v>13212.255019403588</v>
      </c>
      <c r="D14" s="857"/>
      <c r="E14" s="856"/>
      <c r="F14" s="855"/>
      <c r="G14" s="856">
        <f t="shared" si="0"/>
        <v>13212.255019403588</v>
      </c>
      <c r="H14" s="576" t="s">
        <v>0</v>
      </c>
    </row>
    <row r="15" spans="1:8" ht="18.75">
      <c r="A15" s="858" t="s">
        <v>276</v>
      </c>
      <c r="B15" s="857"/>
      <c r="C15" s="856">
        <v>90.972163186634731</v>
      </c>
      <c r="D15" s="857"/>
      <c r="E15" s="856"/>
      <c r="F15" s="855"/>
      <c r="G15" s="856">
        <f t="shared" si="0"/>
        <v>90.972163186634731</v>
      </c>
      <c r="H15" s="576" t="s">
        <v>0</v>
      </c>
    </row>
    <row r="16" spans="1:8" ht="18.75">
      <c r="A16" s="1474" t="s">
        <v>453</v>
      </c>
      <c r="B16" s="857"/>
      <c r="C16" s="856">
        <v>190645.32033544261</v>
      </c>
      <c r="D16" s="857"/>
      <c r="E16" s="856">
        <f>-'B. Summ of Reqs - CVF '!$X$34</f>
        <v>144500</v>
      </c>
      <c r="F16" s="855"/>
      <c r="G16" s="856">
        <f t="shared" si="0"/>
        <v>335145.32033544261</v>
      </c>
      <c r="H16" s="576" t="s">
        <v>0</v>
      </c>
    </row>
    <row r="17" spans="1:22" ht="18.75">
      <c r="A17" s="1475" t="s">
        <v>278</v>
      </c>
      <c r="B17" s="1419">
        <f t="shared" ref="B17:G17" si="1">SUM(B12:B16)</f>
        <v>0</v>
      </c>
      <c r="C17" s="1420">
        <f t="shared" si="1"/>
        <v>220500</v>
      </c>
      <c r="D17" s="1419">
        <f t="shared" si="1"/>
        <v>0</v>
      </c>
      <c r="E17" s="1420">
        <f t="shared" si="1"/>
        <v>144500</v>
      </c>
      <c r="F17" s="1421">
        <f t="shared" si="1"/>
        <v>0</v>
      </c>
      <c r="G17" s="1420">
        <f t="shared" si="1"/>
        <v>365000</v>
      </c>
      <c r="H17" s="576" t="s">
        <v>13</v>
      </c>
    </row>
    <row r="18" spans="1:22">
      <c r="A18" s="1927"/>
      <c r="B18" s="1792"/>
      <c r="C18" s="1792"/>
      <c r="D18" s="1792"/>
      <c r="E18" s="1792"/>
      <c r="F18" s="1792"/>
      <c r="G18" s="1792"/>
      <c r="H18" s="579"/>
      <c r="I18" s="375"/>
      <c r="J18" s="375"/>
      <c r="K18" s="375"/>
      <c r="L18" s="375"/>
      <c r="M18" s="375"/>
      <c r="N18" s="375"/>
      <c r="O18" s="375"/>
      <c r="P18" s="375"/>
      <c r="Q18" s="375"/>
      <c r="R18" s="375"/>
      <c r="S18" s="375"/>
      <c r="T18" s="375"/>
      <c r="U18" s="375"/>
      <c r="V18" s="375"/>
    </row>
    <row r="19" spans="1:22">
      <c r="A19" s="580"/>
      <c r="B19" s="580"/>
      <c r="C19" s="581"/>
      <c r="D19" s="581"/>
      <c r="E19" s="581"/>
      <c r="F19" s="580"/>
      <c r="G19" s="581"/>
      <c r="H19" s="582"/>
      <c r="I19" s="375"/>
      <c r="J19" s="375"/>
      <c r="K19" s="375"/>
      <c r="L19" s="375"/>
      <c r="M19" s="375"/>
      <c r="N19" s="375"/>
      <c r="O19" s="375"/>
      <c r="P19" s="375"/>
      <c r="Q19" s="375"/>
      <c r="R19" s="375"/>
      <c r="S19" s="375"/>
      <c r="T19" s="375"/>
      <c r="U19" s="375"/>
      <c r="V19" s="375"/>
    </row>
    <row r="21" spans="1:22" ht="18.75">
      <c r="A21" s="1928"/>
      <c r="B21" s="1928"/>
      <c r="C21" s="1928"/>
      <c r="D21" s="1114"/>
      <c r="E21" s="1114"/>
      <c r="F21" s="583"/>
      <c r="G21" s="584"/>
    </row>
    <row r="22" spans="1:22" ht="18.75">
      <c r="A22" s="585"/>
      <c r="B22" s="585"/>
      <c r="C22" s="585"/>
      <c r="D22" s="1114"/>
      <c r="E22" s="1114"/>
      <c r="F22" s="583"/>
      <c r="G22" s="584"/>
    </row>
    <row r="23" spans="1:22" ht="141.75" customHeight="1">
      <c r="A23" s="1929"/>
      <c r="B23" s="1929"/>
      <c r="C23" s="1929"/>
      <c r="D23" s="1115"/>
      <c r="E23" s="1115"/>
      <c r="F23" s="366"/>
      <c r="G23" s="586"/>
    </row>
    <row r="26" spans="1:22">
      <c r="G26" s="587"/>
    </row>
  </sheetData>
  <customSheetViews>
    <customSheetView guid="{DA38F665-F06D-4DFB-B852-747D93BB00EF}" scale="55" showPageBreaks="1" fitToPage="1" printArea="1" view="pageBreakPreview">
      <pane xSplit="1" ySplit="11" topLeftCell="B12" activePane="bottomRight" state="frozen"/>
      <selection pane="bottomRight" activeCell="B210" sqref="B210"/>
      <pageMargins left="0.25" right="0.25" top="0.5" bottom="0.5" header="0.5" footer="0.5"/>
      <printOptions horizontalCentered="1"/>
      <pageSetup scale="79" fitToHeight="0" orientation="landscape" r:id="rId1"/>
      <headerFooter alignWithMargins="0">
        <oddFooter>&amp;C&amp;"Times New Roman,Regular"&amp;14Exhibit J - Financial Analysis of Program Changes&amp;12
&amp;R&amp;"Times New Roman,Regular"Crime Victims Fund</oddFooter>
      </headerFooter>
    </customSheetView>
    <customSheetView guid="{4D0F9E3D-0229-48CC-A08B-F132802E9D7B}" scale="55" showPageBreaks="1" fitToPage="1" printArea="1" view="pageBreakPreview">
      <pane xSplit="1" ySplit="11" topLeftCell="B12" activePane="bottomRight" state="frozen"/>
      <selection pane="bottomRight" activeCell="B11" sqref="B11"/>
      <pageMargins left="0.25" right="0.25" top="0.5" bottom="0.5" header="0.5" footer="0.5"/>
      <printOptions horizontalCentered="1"/>
      <pageSetup fitToHeight="0" orientation="landscape" r:id="rId2"/>
      <headerFooter alignWithMargins="0">
        <oddFooter>&amp;C&amp;"Times New Roman,Regular"&amp;14Exhibit J - Financial Analysis of Program Changes&amp;12
&amp;R&amp;"Times New Roman,Regular"Crime Victims Fund</oddFooter>
      </headerFooter>
    </customSheetView>
    <customSheetView guid="{F6772377-6B25-4EEA-B255-4C2F62B37855}" scale="55" showPageBreaks="1" fitToPage="1" printArea="1" view="pageBreakPreview">
      <pane xSplit="1" ySplit="11" topLeftCell="B12" activePane="bottomRight" state="frozen"/>
      <selection pane="bottomRight" activeCell="C13" sqref="C13"/>
      <pageMargins left="0.25" right="0.25" top="0.5" bottom="0.5" header="0.5" footer="0.5"/>
      <printOptions horizontalCentered="1"/>
      <pageSetup scale="79" fitToHeight="0" orientation="landscape" r:id="rId3"/>
      <headerFooter alignWithMargins="0">
        <oddFooter>&amp;C&amp;"Times New Roman,Regular"&amp;14Exhibit J - Financial Analysis of Program Changes&amp;12
&amp;R&amp;"Times New Roman,Regular"Crime Victims Fund</oddFooter>
      </headerFooter>
    </customSheetView>
    <customSheetView guid="{27B9C207-C13F-4981-9CED-E69585BBD779}" scale="55" showPageBreaks="1" fitToPage="1" printArea="1" view="pageBreakPreview">
      <pane xSplit="1" ySplit="11" topLeftCell="B12" activePane="bottomRight" state="frozen"/>
      <selection pane="bottomRight" activeCell="F8" sqref="A8:G17"/>
      <pageMargins left="0.25" right="0.25" top="0.5" bottom="0.5" header="0.5" footer="0.5"/>
      <printOptions horizontalCentered="1"/>
      <pageSetup scale="79" fitToHeight="0" orientation="landscape" r:id="rId4"/>
      <headerFooter alignWithMargins="0">
        <oddFooter>&amp;C&amp;"Times New Roman,Regular"&amp;14Exhibit J - Financial Analysis of Program Changes&amp;12
&amp;R&amp;"Times New Roman,Regular"Crime Victims Fund</oddFooter>
      </headerFooter>
    </customSheetView>
  </customSheetViews>
  <mergeCells count="16">
    <mergeCell ref="A21:C21"/>
    <mergeCell ref="A23:C23"/>
    <mergeCell ref="F8:G10"/>
    <mergeCell ref="A7:G7"/>
    <mergeCell ref="A18:G18"/>
    <mergeCell ref="A8:A11"/>
    <mergeCell ref="B9:C9"/>
    <mergeCell ref="B10:C10"/>
    <mergeCell ref="B8:E8"/>
    <mergeCell ref="D9:E9"/>
    <mergeCell ref="D10:E10"/>
    <mergeCell ref="A2:G2"/>
    <mergeCell ref="A4:G4"/>
    <mergeCell ref="A3:G3"/>
    <mergeCell ref="A5:G5"/>
    <mergeCell ref="A6:G6"/>
  </mergeCells>
  <printOptions horizontalCentered="1"/>
  <pageMargins left="0.25" right="0.25" top="0.5" bottom="0.5" header="0.5" footer="0.5"/>
  <pageSetup scale="79" fitToHeight="0" orientation="landscape" r:id="rId5"/>
  <headerFooter alignWithMargins="0">
    <oddFooter>&amp;C&amp;"Times New Roman,Regular"&amp;14Exhibit J - Financial Analysis of Program Changes&amp;12
&amp;R&amp;"Times New Roman,Regular"Crime Victims Fund</oddFooter>
  </headerFooter>
</worksheet>
</file>

<file path=xl/worksheets/sheet50.xml><?xml version="1.0" encoding="utf-8"?>
<worksheet xmlns="http://schemas.openxmlformats.org/spreadsheetml/2006/main" xmlns:r="http://schemas.openxmlformats.org/officeDocument/2006/relationships">
  <dimension ref="A1:W203"/>
  <sheetViews>
    <sheetView view="pageBreakPreview" zoomScale="75" zoomScaleNormal="75" zoomScaleSheetLayoutView="50" workbookViewId="0">
      <pane xSplit="1" ySplit="9" topLeftCell="B10" activePane="bottomRight" state="frozen"/>
      <selection pane="topRight" activeCell="B1" sqref="B1"/>
      <selection pane="bottomLeft" activeCell="A10" sqref="A10"/>
      <selection pane="bottomRight" activeCell="A25" sqref="A25"/>
    </sheetView>
  </sheetViews>
  <sheetFormatPr defaultRowHeight="15.75"/>
  <cols>
    <col min="1" max="1" width="65.33203125" style="294" customWidth="1"/>
    <col min="2" max="2" width="8.88671875" style="294"/>
    <col min="3" max="3" width="10.109375" style="294" customWidth="1"/>
    <col min="4" max="4" width="8.88671875" style="294"/>
    <col min="5" max="5" width="10.6640625" style="294" customWidth="1"/>
    <col min="6" max="6" width="8.88671875" style="294"/>
    <col min="7" max="7" width="10.5546875" style="294" bestFit="1" customWidth="1"/>
    <col min="8" max="8" width="8.88671875" style="294"/>
    <col min="9" max="9" width="10.33203125" style="294" customWidth="1"/>
    <col min="10" max="10" width="8" style="59" customWidth="1"/>
    <col min="11" max="11" width="8.88671875" style="363"/>
    <col min="12" max="16384" width="8.88671875" style="294"/>
  </cols>
  <sheetData>
    <row r="1" spans="1:10" ht="19.149999999999999" customHeight="1">
      <c r="A1" s="1779" t="s">
        <v>89</v>
      </c>
      <c r="B1" s="1780"/>
      <c r="C1" s="1780"/>
      <c r="D1" s="1780"/>
      <c r="E1" s="1780"/>
      <c r="F1" s="1780"/>
      <c r="G1" s="1780"/>
      <c r="H1" s="1780"/>
      <c r="I1" s="1780"/>
      <c r="J1" s="58" t="s">
        <v>0</v>
      </c>
    </row>
    <row r="2" spans="1:10" ht="19.149999999999999" customHeight="1">
      <c r="A2" s="1781"/>
      <c r="B2" s="1782"/>
      <c r="C2" s="1782"/>
      <c r="D2" s="1782"/>
      <c r="E2" s="1782"/>
      <c r="F2" s="1782"/>
      <c r="G2" s="1782"/>
      <c r="H2" s="1782"/>
      <c r="I2" s="1782"/>
      <c r="J2" s="58" t="s">
        <v>0</v>
      </c>
    </row>
    <row r="3" spans="1:10" ht="18.75">
      <c r="A3" s="1783" t="s">
        <v>59</v>
      </c>
      <c r="B3" s="1780"/>
      <c r="C3" s="1780"/>
      <c r="D3" s="1780"/>
      <c r="E3" s="1780"/>
      <c r="F3" s="1780"/>
      <c r="G3" s="1780"/>
      <c r="H3" s="1780"/>
      <c r="I3" s="1780"/>
      <c r="J3" s="58" t="s">
        <v>0</v>
      </c>
    </row>
    <row r="4" spans="1:10" ht="16.5">
      <c r="A4" s="1784" t="str">
        <f>+'[7]B. Summ of Reqs - CVF '!A5</f>
        <v>Office of Justice Programs</v>
      </c>
      <c r="B4" s="1780"/>
      <c r="C4" s="1780"/>
      <c r="D4" s="1780"/>
      <c r="E4" s="1780"/>
      <c r="F4" s="1780"/>
      <c r="G4" s="1780"/>
      <c r="H4" s="1780"/>
      <c r="I4" s="1780"/>
      <c r="J4" s="58" t="s">
        <v>0</v>
      </c>
    </row>
    <row r="5" spans="1:10" ht="16.5">
      <c r="A5" s="1784" t="str">
        <f>+'[7]B. Summ of Reqs - CVF '!A6</f>
        <v>Crime Victims Fund</v>
      </c>
      <c r="B5" s="1780"/>
      <c r="C5" s="1780"/>
      <c r="D5" s="1780"/>
      <c r="E5" s="1780"/>
      <c r="F5" s="1780"/>
      <c r="G5" s="1780"/>
      <c r="H5" s="1780"/>
      <c r="I5" s="1780"/>
      <c r="J5" s="58" t="s">
        <v>0</v>
      </c>
    </row>
    <row r="6" spans="1:10">
      <c r="A6" s="1798" t="s">
        <v>98</v>
      </c>
      <c r="B6" s="1780"/>
      <c r="C6" s="1780"/>
      <c r="D6" s="1780"/>
      <c r="E6" s="1780"/>
      <c r="F6" s="1780"/>
      <c r="G6" s="1780"/>
      <c r="H6" s="1780"/>
      <c r="I6" s="1780"/>
      <c r="J6" s="58" t="s">
        <v>0</v>
      </c>
    </row>
    <row r="7" spans="1:10" ht="11.25" customHeight="1">
      <c r="A7" s="1951"/>
      <c r="B7" s="1951"/>
      <c r="C7" s="1951"/>
      <c r="D7" s="1951"/>
      <c r="E7" s="1951"/>
      <c r="F7" s="1951"/>
      <c r="G7" s="1951"/>
      <c r="H7" s="1951"/>
      <c r="I7" s="1951"/>
      <c r="J7" s="58" t="s">
        <v>0</v>
      </c>
    </row>
    <row r="8" spans="1:10" ht="44.25" customHeight="1">
      <c r="A8" s="1796" t="s">
        <v>53</v>
      </c>
      <c r="B8" s="1799" t="s">
        <v>162</v>
      </c>
      <c r="C8" s="1800"/>
      <c r="D8" s="1804" t="s">
        <v>616</v>
      </c>
      <c r="E8" s="1805"/>
      <c r="F8" s="1801" t="s">
        <v>154</v>
      </c>
      <c r="G8" s="1803"/>
      <c r="H8" s="1801" t="s">
        <v>143</v>
      </c>
      <c r="I8" s="1802"/>
      <c r="J8" s="58" t="s">
        <v>0</v>
      </c>
    </row>
    <row r="9" spans="1:10" ht="25.5" customHeight="1" thickBot="1">
      <c r="A9" s="1797"/>
      <c r="B9" s="352" t="s">
        <v>25</v>
      </c>
      <c r="C9" s="353" t="s">
        <v>117</v>
      </c>
      <c r="D9" s="352" t="s">
        <v>25</v>
      </c>
      <c r="E9" s="353" t="s">
        <v>117</v>
      </c>
      <c r="F9" s="352" t="s">
        <v>25</v>
      </c>
      <c r="G9" s="353" t="s">
        <v>117</v>
      </c>
      <c r="H9" s="352" t="s">
        <v>25</v>
      </c>
      <c r="I9" s="354" t="s">
        <v>117</v>
      </c>
      <c r="J9" s="58" t="s">
        <v>0</v>
      </c>
    </row>
    <row r="10" spans="1:10">
      <c r="A10" s="625" t="s">
        <v>8</v>
      </c>
      <c r="B10" s="595"/>
      <c r="C10" s="596"/>
      <c r="D10" s="595"/>
      <c r="E10" s="596"/>
      <c r="F10" s="595"/>
      <c r="G10" s="596"/>
      <c r="H10" s="595"/>
      <c r="I10" s="594"/>
      <c r="J10" s="58" t="s">
        <v>0</v>
      </c>
    </row>
    <row r="11" spans="1:10">
      <c r="A11" s="597" t="s">
        <v>50</v>
      </c>
      <c r="B11" s="595"/>
      <c r="C11" s="601"/>
      <c r="D11" s="595"/>
      <c r="E11" s="601"/>
      <c r="F11" s="595"/>
      <c r="G11" s="601"/>
      <c r="H11" s="595"/>
      <c r="I11" s="600"/>
      <c r="J11" s="58" t="s">
        <v>0</v>
      </c>
    </row>
    <row r="12" spans="1:10">
      <c r="A12" s="597" t="s">
        <v>32</v>
      </c>
      <c r="B12" s="624"/>
      <c r="C12" s="601"/>
      <c r="D12" s="624"/>
      <c r="E12" s="601"/>
      <c r="F12" s="624"/>
      <c r="G12" s="601"/>
      <c r="H12" s="595"/>
      <c r="I12" s="600"/>
      <c r="J12" s="58" t="s">
        <v>0</v>
      </c>
    </row>
    <row r="13" spans="1:10">
      <c r="A13" s="623" t="s">
        <v>34</v>
      </c>
      <c r="B13" s="621"/>
      <c r="C13" s="622"/>
      <c r="D13" s="621"/>
      <c r="E13" s="622"/>
      <c r="F13" s="621"/>
      <c r="G13" s="622"/>
      <c r="H13" s="621"/>
      <c r="I13" s="620"/>
      <c r="J13" s="58" t="s">
        <v>0</v>
      </c>
    </row>
    <row r="14" spans="1:10">
      <c r="A14" s="623" t="s">
        <v>33</v>
      </c>
      <c r="B14" s="621"/>
      <c r="C14" s="622"/>
      <c r="D14" s="621"/>
      <c r="E14" s="622"/>
      <c r="F14" s="621"/>
      <c r="G14" s="622"/>
      <c r="H14" s="621"/>
      <c r="I14" s="620"/>
      <c r="J14" s="58" t="s">
        <v>0</v>
      </c>
    </row>
    <row r="15" spans="1:10">
      <c r="A15" s="593" t="s">
        <v>35</v>
      </c>
      <c r="B15" s="619"/>
      <c r="C15" s="618"/>
      <c r="D15" s="619"/>
      <c r="E15" s="618"/>
      <c r="F15" s="619"/>
      <c r="G15" s="618"/>
      <c r="H15" s="595"/>
      <c r="I15" s="600"/>
      <c r="J15" s="58" t="s">
        <v>0</v>
      </c>
    </row>
    <row r="16" spans="1:10">
      <c r="A16" s="859" t="s">
        <v>9</v>
      </c>
      <c r="B16" s="617">
        <f>+B10+B11+B12+B15</f>
        <v>0</v>
      </c>
      <c r="C16" s="616">
        <f t="shared" ref="C16:I16" si="0">+C10+C11+C12+C15</f>
        <v>0</v>
      </c>
      <c r="D16" s="617">
        <f>+D10+D11+D12+D15</f>
        <v>0</v>
      </c>
      <c r="E16" s="616">
        <f t="shared" si="0"/>
        <v>0</v>
      </c>
      <c r="F16" s="617">
        <f t="shared" si="0"/>
        <v>0</v>
      </c>
      <c r="G16" s="615">
        <f t="shared" si="0"/>
        <v>0</v>
      </c>
      <c r="H16" s="616">
        <f>+H10+H11+H12+H15</f>
        <v>0</v>
      </c>
      <c r="I16" s="615">
        <f t="shared" si="0"/>
        <v>0</v>
      </c>
      <c r="J16" s="58" t="s">
        <v>0</v>
      </c>
    </row>
    <row r="17" spans="1:12">
      <c r="A17" s="602" t="s">
        <v>54</v>
      </c>
      <c r="B17" s="595"/>
      <c r="C17" s="601"/>
      <c r="D17" s="595"/>
      <c r="E17" s="601"/>
      <c r="F17" s="595"/>
      <c r="G17" s="601"/>
      <c r="H17" s="1470"/>
      <c r="I17" s="1471"/>
      <c r="J17" s="58" t="s">
        <v>0</v>
      </c>
    </row>
    <row r="18" spans="1:12">
      <c r="A18" s="599" t="s">
        <v>37</v>
      </c>
      <c r="B18" s="595"/>
      <c r="C18" s="601"/>
      <c r="D18" s="595"/>
      <c r="E18" s="601"/>
      <c r="F18" s="595"/>
      <c r="G18" s="601"/>
      <c r="H18" s="595"/>
      <c r="I18" s="600"/>
      <c r="J18" s="58" t="s">
        <v>0</v>
      </c>
    </row>
    <row r="19" spans="1:12">
      <c r="A19" s="599" t="s">
        <v>38</v>
      </c>
      <c r="B19" s="595"/>
      <c r="C19" s="601"/>
      <c r="D19" s="595"/>
      <c r="E19" s="601"/>
      <c r="F19" s="595"/>
      <c r="G19" s="601"/>
      <c r="H19" s="595"/>
      <c r="I19" s="600"/>
      <c r="J19" s="58" t="s">
        <v>0</v>
      </c>
    </row>
    <row r="20" spans="1:12">
      <c r="A20" s="599" t="s">
        <v>39</v>
      </c>
      <c r="B20" s="595"/>
      <c r="C20" s="601"/>
      <c r="D20" s="595"/>
      <c r="E20" s="601"/>
      <c r="F20" s="595"/>
      <c r="G20" s="601"/>
      <c r="H20" s="595"/>
      <c r="I20" s="600"/>
      <c r="J20" s="58" t="s">
        <v>0</v>
      </c>
    </row>
    <row r="21" spans="1:12">
      <c r="A21" s="599" t="s">
        <v>87</v>
      </c>
      <c r="B21" s="595"/>
      <c r="C21" s="601"/>
      <c r="D21" s="595"/>
      <c r="E21" s="601"/>
      <c r="F21" s="595"/>
      <c r="G21" s="601"/>
      <c r="H21" s="595"/>
      <c r="I21" s="600"/>
      <c r="J21" s="58" t="s">
        <v>0</v>
      </c>
    </row>
    <row r="22" spans="1:12">
      <c r="A22" s="599" t="s">
        <v>19</v>
      </c>
      <c r="B22" s="595"/>
      <c r="C22" s="601"/>
      <c r="D22" s="595"/>
      <c r="E22" s="601"/>
      <c r="F22" s="595"/>
      <c r="G22" s="601"/>
      <c r="H22" s="595"/>
      <c r="I22" s="600"/>
      <c r="J22" s="58" t="s">
        <v>0</v>
      </c>
    </row>
    <row r="23" spans="1:12">
      <c r="A23" s="599" t="s">
        <v>40</v>
      </c>
      <c r="B23" s="595"/>
      <c r="C23" s="601"/>
      <c r="D23" s="595"/>
      <c r="E23" s="601"/>
      <c r="F23" s="595"/>
      <c r="G23" s="601"/>
      <c r="H23" s="595"/>
      <c r="I23" s="600"/>
      <c r="J23" s="58" t="s">
        <v>0</v>
      </c>
    </row>
    <row r="24" spans="1:12">
      <c r="A24" s="599" t="s">
        <v>41</v>
      </c>
      <c r="B24" s="595"/>
      <c r="C24" s="601">
        <v>633.67269999999996</v>
      </c>
      <c r="D24" s="595"/>
      <c r="E24" s="601">
        <f>SUM(C24+D24)</f>
        <v>633.67269999999996</v>
      </c>
      <c r="F24" s="595"/>
      <c r="G24" s="601">
        <f>'[7]B. Summ of Reqs - CVF '!$X$54*(E24/$E$35)</f>
        <v>898.05308997718726</v>
      </c>
      <c r="H24" s="595"/>
      <c r="I24" s="600">
        <f t="shared" ref="I24:I34" si="1">G24-E24</f>
        <v>264.38038997718729</v>
      </c>
      <c r="J24" s="58" t="s">
        <v>0</v>
      </c>
    </row>
    <row r="25" spans="1:12">
      <c r="A25" s="599" t="s">
        <v>42</v>
      </c>
      <c r="B25" s="595"/>
      <c r="C25" s="601">
        <v>33571.599999999999</v>
      </c>
      <c r="D25" s="595"/>
      <c r="E25" s="601">
        <v>33571</v>
      </c>
      <c r="F25" s="595"/>
      <c r="G25" s="601">
        <f>'[7]B. Summ of Reqs - CVF '!$X$54*(E25/$E$35)</f>
        <v>47577.464333912685</v>
      </c>
      <c r="H25" s="595"/>
      <c r="I25" s="600">
        <f t="shared" si="1"/>
        <v>14006.464333912685</v>
      </c>
      <c r="J25" s="58" t="s">
        <v>0</v>
      </c>
    </row>
    <row r="26" spans="1:12">
      <c r="A26" s="599" t="s">
        <v>43</v>
      </c>
      <c r="B26" s="595"/>
      <c r="C26" s="601">
        <v>27303.523089999995</v>
      </c>
      <c r="D26" s="595"/>
      <c r="E26" s="601">
        <v>27304</v>
      </c>
      <c r="F26" s="595"/>
      <c r="G26" s="601">
        <f>'[7]B. Summ of Reqs - CVF '!$X$54*(E26/$E$35)</f>
        <v>38695.751874330585</v>
      </c>
      <c r="H26" s="595"/>
      <c r="I26" s="600">
        <f t="shared" si="1"/>
        <v>11391.751874330585</v>
      </c>
      <c r="J26" s="58" t="s">
        <v>0</v>
      </c>
    </row>
    <row r="27" spans="1:12">
      <c r="A27" s="599" t="s">
        <v>163</v>
      </c>
      <c r="B27" s="595"/>
      <c r="C27" s="601">
        <v>188.251</v>
      </c>
      <c r="D27" s="595"/>
      <c r="E27" s="601">
        <v>188</v>
      </c>
      <c r="F27" s="595"/>
      <c r="G27" s="601">
        <f>'[7]B. Summ of Reqs - CVF '!$X$54*(E27/$E$35)</f>
        <v>266.43720159588884</v>
      </c>
      <c r="H27" s="595"/>
      <c r="I27" s="600">
        <f t="shared" si="1"/>
        <v>78.437201595888837</v>
      </c>
      <c r="J27" s="58" t="s">
        <v>0</v>
      </c>
    </row>
    <row r="28" spans="1:12">
      <c r="A28" s="599" t="s">
        <v>88</v>
      </c>
      <c r="B28" s="595"/>
      <c r="C28" s="601"/>
      <c r="D28" s="595"/>
      <c r="E28" s="601"/>
      <c r="F28" s="595"/>
      <c r="G28" s="601"/>
      <c r="H28" s="595"/>
      <c r="I28" s="600"/>
      <c r="J28" s="58" t="s">
        <v>0</v>
      </c>
      <c r="L28" s="614"/>
    </row>
    <row r="29" spans="1:12">
      <c r="A29" s="599" t="s">
        <v>280</v>
      </c>
      <c r="B29" s="595"/>
      <c r="C29" s="601"/>
      <c r="D29" s="595"/>
      <c r="E29" s="601"/>
      <c r="F29" s="595"/>
      <c r="G29" s="601"/>
      <c r="H29" s="595"/>
      <c r="I29" s="600"/>
      <c r="J29" s="58" t="s">
        <v>0</v>
      </c>
    </row>
    <row r="30" spans="1:12">
      <c r="A30" s="599" t="s">
        <v>92</v>
      </c>
      <c r="B30" s="595"/>
      <c r="C30" s="601"/>
      <c r="D30" s="595"/>
      <c r="E30" s="601"/>
      <c r="F30" s="595"/>
      <c r="G30" s="601"/>
      <c r="H30" s="595"/>
      <c r="I30" s="600"/>
      <c r="J30" s="58" t="s">
        <v>0</v>
      </c>
      <c r="L30" s="614"/>
    </row>
    <row r="31" spans="1:12">
      <c r="A31" s="599" t="s">
        <v>44</v>
      </c>
      <c r="B31" s="595"/>
      <c r="C31" s="601"/>
      <c r="D31" s="595"/>
      <c r="E31" s="601"/>
      <c r="F31" s="595"/>
      <c r="G31" s="601"/>
      <c r="H31" s="595"/>
      <c r="I31" s="600"/>
      <c r="J31" s="58" t="s">
        <v>0</v>
      </c>
      <c r="L31" s="614"/>
    </row>
    <row r="32" spans="1:12">
      <c r="A32" s="599" t="s">
        <v>45</v>
      </c>
      <c r="B32" s="595"/>
      <c r="C32" s="601"/>
      <c r="D32" s="595"/>
      <c r="E32" s="601"/>
      <c r="F32" s="595"/>
      <c r="G32" s="601"/>
      <c r="H32" s="595"/>
      <c r="I32" s="600"/>
      <c r="J32" s="58" t="s">
        <v>0</v>
      </c>
    </row>
    <row r="33" spans="1:23">
      <c r="A33" s="599" t="s">
        <v>454</v>
      </c>
      <c r="B33" s="595"/>
      <c r="C33" s="601">
        <v>646804</v>
      </c>
      <c r="D33" s="595"/>
      <c r="E33" s="601">
        <f>642600+50000</f>
        <v>692600</v>
      </c>
      <c r="F33" s="595"/>
      <c r="G33" s="601">
        <f>'[7]B. Summ of Reqs - CVF '!$X$54*(E33/$E$35)</f>
        <v>981565.9884325139</v>
      </c>
      <c r="H33" s="595"/>
      <c r="I33" s="600">
        <f>G33-E33</f>
        <v>288965.9884325139</v>
      </c>
      <c r="J33" s="58" t="s">
        <v>0</v>
      </c>
    </row>
    <row r="34" spans="1:23">
      <c r="A34" s="599" t="s">
        <v>455</v>
      </c>
      <c r="B34" s="595"/>
      <c r="C34" s="601">
        <v>702.56227999999999</v>
      </c>
      <c r="D34" s="595"/>
      <c r="E34" s="601">
        <v>703</v>
      </c>
      <c r="F34" s="595"/>
      <c r="G34" s="601">
        <f>'[7]B. Summ of Reqs - CVF '!$X$54*(E34/$E$35)</f>
        <v>996.30506766973338</v>
      </c>
      <c r="H34" s="595"/>
      <c r="I34" s="600">
        <f t="shared" si="1"/>
        <v>293.30506766973338</v>
      </c>
      <c r="J34" s="58" t="s">
        <v>0</v>
      </c>
    </row>
    <row r="35" spans="1:23">
      <c r="A35" s="613" t="s">
        <v>46</v>
      </c>
      <c r="B35" s="611"/>
      <c r="C35" s="612">
        <f>SUM(C16:C34)</f>
        <v>709203.60907000001</v>
      </c>
      <c r="D35" s="611"/>
      <c r="E35" s="612">
        <f>SUM(E16:E34)</f>
        <v>754999.6727</v>
      </c>
      <c r="F35" s="611"/>
      <c r="G35" s="612">
        <f>SUM(G16:G34)</f>
        <v>1070000</v>
      </c>
      <c r="H35" s="611"/>
      <c r="I35" s="610">
        <f>SUM(I16:I34)</f>
        <v>315000.32729999995</v>
      </c>
      <c r="J35" s="58" t="s">
        <v>0</v>
      </c>
    </row>
    <row r="36" spans="1:23" ht="26.25">
      <c r="A36" s="1209" t="s">
        <v>610</v>
      </c>
      <c r="B36" s="611"/>
      <c r="C36" s="612"/>
      <c r="D36" s="611"/>
      <c r="E36" s="612"/>
      <c r="F36" s="611"/>
      <c r="G36" s="612"/>
      <c r="H36" s="611"/>
      <c r="I36" s="610"/>
      <c r="J36" s="58" t="s">
        <v>0</v>
      </c>
      <c r="K36" s="1111"/>
    </row>
    <row r="37" spans="1:23">
      <c r="A37" s="126" t="s">
        <v>454</v>
      </c>
      <c r="B37" s="611"/>
      <c r="C37" s="612"/>
      <c r="D37" s="1174"/>
      <c r="E37" s="596"/>
      <c r="F37" s="1174"/>
      <c r="G37" s="596">
        <v>-365000</v>
      </c>
      <c r="H37" s="1174"/>
      <c r="I37" s="594"/>
      <c r="J37" s="58" t="s">
        <v>0</v>
      </c>
      <c r="K37" s="1111"/>
    </row>
    <row r="38" spans="1:23">
      <c r="A38" s="613" t="s">
        <v>619</v>
      </c>
      <c r="B38" s="611"/>
      <c r="C38" s="612">
        <f>SUM(C35:C37)</f>
        <v>709203.60907000001</v>
      </c>
      <c r="D38" s="611"/>
      <c r="E38" s="612">
        <f>SUM(E35:E37)</f>
        <v>754999.6727</v>
      </c>
      <c r="F38" s="611"/>
      <c r="G38" s="612">
        <f>SUM(G35:G37)</f>
        <v>705000</v>
      </c>
      <c r="H38" s="611"/>
      <c r="I38" s="610"/>
      <c r="J38" s="58" t="s">
        <v>0</v>
      </c>
      <c r="K38" s="1111"/>
    </row>
    <row r="39" spans="1:23" ht="16.899999999999999" customHeight="1">
      <c r="A39" s="599" t="s">
        <v>47</v>
      </c>
      <c r="B39" s="595"/>
      <c r="C39" s="601">
        <v>-50000</v>
      </c>
      <c r="D39" s="595"/>
      <c r="E39" s="601">
        <v>-50000</v>
      </c>
      <c r="F39" s="595"/>
      <c r="G39" s="601"/>
      <c r="H39" s="595"/>
      <c r="I39" s="600"/>
      <c r="J39" s="58" t="s">
        <v>0</v>
      </c>
    </row>
    <row r="40" spans="1:23">
      <c r="A40" s="599" t="s">
        <v>48</v>
      </c>
      <c r="B40" s="595"/>
      <c r="C40" s="601">
        <v>50000</v>
      </c>
      <c r="D40" s="595"/>
      <c r="E40" s="601"/>
      <c r="F40" s="595"/>
      <c r="G40" s="601"/>
      <c r="H40" s="595"/>
      <c r="I40" s="600"/>
      <c r="J40" s="58" t="s">
        <v>0</v>
      </c>
    </row>
    <row r="41" spans="1:23">
      <c r="A41" s="599" t="s">
        <v>617</v>
      </c>
      <c r="B41" s="595"/>
      <c r="C41" s="601"/>
      <c r="D41" s="595"/>
      <c r="E41" s="601"/>
      <c r="F41" s="595"/>
      <c r="G41" s="601">
        <v>365000</v>
      </c>
      <c r="H41" s="595"/>
      <c r="I41" s="594"/>
      <c r="J41" s="58" t="s">
        <v>0</v>
      </c>
      <c r="K41" s="1111"/>
    </row>
    <row r="42" spans="1:23">
      <c r="A42" s="599" t="s">
        <v>49</v>
      </c>
      <c r="B42" s="595"/>
      <c r="C42" s="601">
        <f>-'F. 2011 Crosswalk - CVF'!L13</f>
        <v>-8230</v>
      </c>
      <c r="D42" s="595"/>
      <c r="E42" s="601"/>
      <c r="F42" s="595"/>
      <c r="G42" s="601"/>
      <c r="H42" s="595"/>
      <c r="I42" s="600"/>
      <c r="J42" s="58" t="s">
        <v>0</v>
      </c>
    </row>
    <row r="43" spans="1:23">
      <c r="A43" s="1171" t="s">
        <v>618</v>
      </c>
      <c r="B43" s="1172"/>
      <c r="C43" s="618">
        <v>4026</v>
      </c>
      <c r="D43" s="1172"/>
      <c r="E43" s="618"/>
      <c r="F43" s="1172"/>
      <c r="G43" s="618"/>
      <c r="H43" s="1172"/>
      <c r="I43" s="1173"/>
      <c r="J43" s="58" t="s">
        <v>0</v>
      </c>
      <c r="K43" s="1111"/>
    </row>
    <row r="44" spans="1:23" ht="16.5" customHeight="1" thickBot="1">
      <c r="A44" s="609" t="s">
        <v>1</v>
      </c>
      <c r="B44" s="608"/>
      <c r="C44" s="1335">
        <f>SUM(C38:C43)</f>
        <v>704999.60907000001</v>
      </c>
      <c r="D44" s="608"/>
      <c r="E44" s="1335">
        <f>SUM(E38:E43)</f>
        <v>704999.6727</v>
      </c>
      <c r="F44" s="608"/>
      <c r="G44" s="1335">
        <f>SUM(G38:G43)</f>
        <v>1070000</v>
      </c>
      <c r="H44" s="1472"/>
      <c r="I44" s="1473"/>
      <c r="J44" s="58" t="s">
        <v>0</v>
      </c>
      <c r="L44" s="1794"/>
      <c r="M44" s="1794"/>
      <c r="N44" s="1794"/>
      <c r="O44" s="1794"/>
      <c r="P44" s="1794"/>
      <c r="Q44" s="1794"/>
      <c r="R44" s="1794"/>
      <c r="S44" s="1794"/>
      <c r="T44" s="1794"/>
      <c r="U44" s="1794"/>
      <c r="V44" s="1794"/>
      <c r="W44" s="1794"/>
    </row>
    <row r="45" spans="1:23">
      <c r="A45" s="606"/>
      <c r="B45" s="604"/>
      <c r="C45" s="605"/>
      <c r="D45" s="604"/>
      <c r="E45" s="605"/>
      <c r="F45" s="604"/>
      <c r="G45" s="605"/>
      <c r="H45" s="604"/>
      <c r="I45" s="603"/>
      <c r="J45" s="58" t="s">
        <v>0</v>
      </c>
      <c r="L45" s="1794"/>
      <c r="M45" s="1794"/>
      <c r="N45" s="1794"/>
      <c r="O45" s="1794"/>
      <c r="P45" s="1794"/>
      <c r="Q45" s="1794"/>
      <c r="R45" s="1794"/>
      <c r="S45" s="1794"/>
      <c r="T45" s="1794"/>
      <c r="U45" s="1794"/>
      <c r="V45" s="1794"/>
      <c r="W45" s="1794"/>
    </row>
    <row r="46" spans="1:23">
      <c r="A46" s="602" t="s">
        <v>108</v>
      </c>
      <c r="B46" s="595"/>
      <c r="C46" s="601"/>
      <c r="D46" s="595"/>
      <c r="E46" s="601"/>
      <c r="F46" s="595"/>
      <c r="G46" s="601"/>
      <c r="H46" s="595"/>
      <c r="I46" s="600"/>
      <c r="J46" s="58" t="s">
        <v>0</v>
      </c>
      <c r="L46" s="1794"/>
      <c r="M46" s="1794"/>
      <c r="N46" s="1794"/>
      <c r="O46" s="1794"/>
      <c r="P46" s="1794"/>
      <c r="Q46" s="1794"/>
      <c r="R46" s="1794"/>
      <c r="S46" s="1794"/>
      <c r="T46" s="1794"/>
      <c r="U46" s="1794"/>
      <c r="V46" s="1794"/>
      <c r="W46" s="1794"/>
    </row>
    <row r="47" spans="1:23">
      <c r="A47" s="599" t="s">
        <v>36</v>
      </c>
      <c r="B47" s="598"/>
      <c r="C47" s="596"/>
      <c r="D47" s="598"/>
      <c r="E47" s="596"/>
      <c r="F47" s="598"/>
      <c r="G47" s="596"/>
      <c r="H47" s="595"/>
      <c r="I47" s="594"/>
      <c r="J47" s="58" t="s">
        <v>0</v>
      </c>
    </row>
    <row r="48" spans="1:23">
      <c r="A48" s="597" t="s">
        <v>2</v>
      </c>
      <c r="B48" s="595"/>
      <c r="C48" s="596"/>
      <c r="D48" s="595"/>
      <c r="E48" s="596"/>
      <c r="F48" s="595"/>
      <c r="G48" s="596"/>
      <c r="H48" s="595"/>
      <c r="I48" s="594"/>
      <c r="J48" s="58" t="s">
        <v>0</v>
      </c>
    </row>
    <row r="49" spans="1:11">
      <c r="A49" s="593" t="s">
        <v>3</v>
      </c>
      <c r="B49" s="591"/>
      <c r="C49" s="592"/>
      <c r="D49" s="591"/>
      <c r="E49" s="592"/>
      <c r="F49" s="591"/>
      <c r="G49" s="592"/>
      <c r="H49" s="591"/>
      <c r="I49" s="590"/>
      <c r="J49" s="58" t="s">
        <v>0</v>
      </c>
    </row>
    <row r="50" spans="1:11">
      <c r="A50" s="589"/>
      <c r="B50" s="588"/>
      <c r="C50" s="588"/>
      <c r="D50" s="588"/>
      <c r="E50" s="588"/>
      <c r="F50" s="588"/>
      <c r="G50" s="588"/>
      <c r="H50" s="588"/>
      <c r="I50" s="588"/>
      <c r="J50" s="58" t="s">
        <v>13</v>
      </c>
    </row>
    <row r="51" spans="1:11">
      <c r="A51" s="1791"/>
      <c r="B51" s="1792"/>
      <c r="C51" s="1792"/>
      <c r="D51" s="1792"/>
      <c r="E51" s="1792"/>
      <c r="F51" s="1792"/>
      <c r="G51" s="1792"/>
      <c r="H51" s="1792"/>
      <c r="I51" s="1792"/>
      <c r="J51" s="1792"/>
    </row>
    <row r="52" spans="1:11">
      <c r="H52" s="15"/>
      <c r="I52" s="15"/>
      <c r="J52" s="295"/>
      <c r="K52" s="296"/>
    </row>
    <row r="53" spans="1:11" ht="18.75">
      <c r="A53" s="1789"/>
      <c r="B53" s="1789"/>
      <c r="C53" s="1789"/>
      <c r="D53" s="1789"/>
      <c r="E53" s="1789"/>
      <c r="F53" s="1789"/>
      <c r="G53" s="1789"/>
      <c r="H53" s="1789"/>
      <c r="I53" s="1789"/>
      <c r="J53" s="295"/>
      <c r="K53" s="296"/>
    </row>
    <row r="54" spans="1:11" s="18" customFormat="1" ht="27" customHeight="1">
      <c r="A54" s="1793"/>
      <c r="B54" s="1793"/>
      <c r="C54" s="1793"/>
      <c r="D54" s="1793"/>
      <c r="E54" s="1793"/>
      <c r="F54" s="1793"/>
      <c r="G54" s="1793"/>
      <c r="H54" s="1793"/>
      <c r="I54" s="1793"/>
      <c r="J54" s="182"/>
      <c r="K54" s="298"/>
    </row>
    <row r="55" spans="1:11" s="18" customFormat="1" ht="27" customHeight="1">
      <c r="A55" s="1793"/>
      <c r="B55" s="1793"/>
      <c r="C55" s="1793"/>
      <c r="D55" s="1793"/>
      <c r="E55" s="1793"/>
      <c r="F55" s="1793"/>
      <c r="G55" s="1793"/>
      <c r="H55" s="1793"/>
      <c r="I55" s="1793"/>
      <c r="J55" s="182"/>
      <c r="K55" s="298"/>
    </row>
    <row r="56" spans="1:11" s="18" customFormat="1" ht="27" customHeight="1">
      <c r="A56" s="1793"/>
      <c r="B56" s="1793"/>
      <c r="C56" s="1793"/>
      <c r="D56" s="1793"/>
      <c r="E56" s="1793"/>
      <c r="F56" s="1793"/>
      <c r="G56" s="1793"/>
      <c r="H56" s="1793"/>
      <c r="I56" s="1793"/>
      <c r="J56" s="182"/>
      <c r="K56" s="298"/>
    </row>
    <row r="57" spans="1:11" s="18" customFormat="1" ht="35.1" customHeight="1">
      <c r="A57" s="1787"/>
      <c r="B57" s="1787"/>
      <c r="C57" s="1787"/>
      <c r="D57" s="1787"/>
      <c r="E57" s="1787"/>
      <c r="F57" s="1787"/>
      <c r="G57" s="1787"/>
      <c r="H57" s="1787"/>
      <c r="I57" s="1787"/>
      <c r="J57" s="182"/>
      <c r="K57" s="298"/>
    </row>
    <row r="58" spans="1:11" s="18" customFormat="1" ht="39.75" customHeight="1">
      <c r="A58" s="1788"/>
      <c r="B58" s="1788"/>
      <c r="C58" s="1788"/>
      <c r="D58" s="1788"/>
      <c r="E58" s="1788"/>
      <c r="F58" s="1788"/>
      <c r="G58" s="1788"/>
      <c r="H58" s="1788"/>
      <c r="I58" s="1788"/>
      <c r="J58" s="182"/>
      <c r="K58" s="298"/>
    </row>
    <row r="59" spans="1:11" s="18" customFormat="1" ht="27" customHeight="1">
      <c r="A59" s="1788"/>
      <c r="B59" s="1788"/>
      <c r="C59" s="1788"/>
      <c r="D59" s="1788"/>
      <c r="E59" s="1788"/>
      <c r="F59" s="1788"/>
      <c r="G59" s="1788"/>
      <c r="H59" s="1788"/>
      <c r="I59" s="1788"/>
      <c r="J59" s="182"/>
      <c r="K59" s="298"/>
    </row>
    <row r="60" spans="1:11" s="18" customFormat="1" ht="39.75" customHeight="1">
      <c r="A60" s="1788"/>
      <c r="B60" s="1788"/>
      <c r="C60" s="1788"/>
      <c r="D60" s="1788"/>
      <c r="E60" s="1788"/>
      <c r="F60" s="1788"/>
      <c r="G60" s="1788"/>
      <c r="H60" s="1788"/>
      <c r="I60" s="1788"/>
      <c r="J60" s="182"/>
      <c r="K60" s="298"/>
    </row>
    <row r="61" spans="1:11" s="18" customFormat="1" ht="27" customHeight="1">
      <c r="A61" s="1790"/>
      <c r="B61" s="1790"/>
      <c r="C61" s="1790"/>
      <c r="D61" s="1790"/>
      <c r="E61" s="1790"/>
      <c r="F61" s="1790"/>
      <c r="G61" s="1790"/>
      <c r="H61" s="1790"/>
      <c r="I61" s="1790"/>
      <c r="J61" s="1790"/>
      <c r="K61" s="1950"/>
    </row>
    <row r="62" spans="1:11" s="18" customFormat="1" ht="22.9" customHeight="1">
      <c r="A62" s="297"/>
      <c r="B62" s="1786"/>
      <c r="C62" s="1786"/>
      <c r="D62" s="1786"/>
      <c r="E62" s="1786"/>
      <c r="F62" s="1786"/>
      <c r="G62" s="1786"/>
      <c r="H62" s="1786"/>
      <c r="I62" s="1786"/>
      <c r="J62" s="182"/>
      <c r="K62" s="298"/>
    </row>
    <row r="63" spans="1:11" s="18" customFormat="1">
      <c r="A63" s="297"/>
      <c r="B63" s="297"/>
      <c r="C63" s="297"/>
      <c r="D63" s="297"/>
      <c r="E63" s="297"/>
      <c r="F63" s="297"/>
      <c r="G63" s="297"/>
      <c r="H63" s="30"/>
      <c r="I63" s="31"/>
      <c r="J63" s="182"/>
      <c r="K63" s="298"/>
    </row>
    <row r="64" spans="1:11">
      <c r="A64" s="299"/>
      <c r="B64" s="299"/>
      <c r="C64" s="299"/>
      <c r="D64" s="299"/>
      <c r="E64" s="299"/>
      <c r="F64" s="299"/>
      <c r="G64" s="299"/>
      <c r="H64" s="31"/>
      <c r="I64" s="31"/>
      <c r="J64" s="295"/>
      <c r="K64" s="296"/>
    </row>
    <row r="65" spans="1:11">
      <c r="A65" s="299"/>
      <c r="B65" s="299"/>
      <c r="C65" s="299"/>
      <c r="D65" s="299"/>
      <c r="E65" s="299"/>
      <c r="F65" s="299"/>
      <c r="G65" s="299"/>
      <c r="H65" s="31"/>
      <c r="I65" s="31"/>
      <c r="J65" s="295"/>
      <c r="K65" s="296"/>
    </row>
    <row r="66" spans="1:11" ht="65.45" customHeight="1">
      <c r="A66" s="299"/>
      <c r="B66" s="1785"/>
      <c r="C66" s="1785"/>
      <c r="D66" s="1785"/>
      <c r="E66" s="1785"/>
      <c r="F66" s="1785"/>
      <c r="G66" s="1785"/>
      <c r="H66" s="1785"/>
      <c r="I66" s="1785"/>
      <c r="J66" s="295"/>
      <c r="K66" s="296"/>
    </row>
    <row r="67" spans="1:11">
      <c r="H67" s="13"/>
      <c r="I67" s="13"/>
    </row>
    <row r="68" spans="1:11">
      <c r="H68" s="13"/>
      <c r="I68" s="54"/>
    </row>
    <row r="69" spans="1:11">
      <c r="H69" s="13"/>
      <c r="I69" s="13"/>
    </row>
    <row r="70" spans="1:11">
      <c r="H70" s="13"/>
      <c r="I70" s="13"/>
    </row>
    <row r="71" spans="1:11">
      <c r="H71" s="13"/>
      <c r="I71" s="13"/>
    </row>
    <row r="72" spans="1:11">
      <c r="H72" s="13"/>
      <c r="I72" s="13"/>
    </row>
    <row r="73" spans="1:11">
      <c r="H73" s="13"/>
      <c r="I73" s="13"/>
    </row>
    <row r="74" spans="1:11">
      <c r="H74" s="13"/>
      <c r="I74" s="13"/>
    </row>
    <row r="75" spans="1:11">
      <c r="H75" s="13"/>
      <c r="I75" s="13"/>
    </row>
    <row r="76" spans="1:11">
      <c r="H76" s="13"/>
      <c r="I76" s="13"/>
    </row>
    <row r="77" spans="1:11">
      <c r="H77" s="13"/>
      <c r="I77" s="13"/>
    </row>
    <row r="78" spans="1:11">
      <c r="H78" s="13"/>
      <c r="I78" s="13"/>
    </row>
    <row r="79" spans="1:11">
      <c r="H79" s="13"/>
      <c r="I79" s="14"/>
    </row>
    <row r="80" spans="1:11">
      <c r="H80" s="13"/>
      <c r="I80" s="14"/>
    </row>
    <row r="81" spans="8:9">
      <c r="H81" s="13"/>
      <c r="I81" s="13"/>
    </row>
    <row r="82" spans="8:9">
      <c r="H82" s="13"/>
      <c r="I82" s="13"/>
    </row>
    <row r="83" spans="8:9">
      <c r="H83" s="13"/>
      <c r="I83" s="13"/>
    </row>
    <row r="84" spans="8:9">
      <c r="H84" s="13"/>
      <c r="I84" s="13"/>
    </row>
    <row r="85" spans="8:9">
      <c r="H85" s="13"/>
      <c r="I85" s="13"/>
    </row>
    <row r="86" spans="8:9">
      <c r="H86" s="13"/>
      <c r="I86" s="13"/>
    </row>
    <row r="87" spans="8:9">
      <c r="H87" s="13"/>
      <c r="I87" s="13"/>
    </row>
    <row r="88" spans="8:9">
      <c r="H88" s="13"/>
      <c r="I88" s="13"/>
    </row>
    <row r="89" spans="8:9">
      <c r="H89" s="13"/>
      <c r="I89" s="13"/>
    </row>
    <row r="90" spans="8:9">
      <c r="H90" s="13"/>
      <c r="I90" s="13"/>
    </row>
    <row r="91" spans="8:9">
      <c r="H91" s="13"/>
      <c r="I91" s="13"/>
    </row>
    <row r="92" spans="8:9">
      <c r="H92" s="13"/>
      <c r="I92" s="13"/>
    </row>
    <row r="93" spans="8:9">
      <c r="H93" s="13"/>
      <c r="I93" s="13"/>
    </row>
    <row r="94" spans="8:9">
      <c r="H94" s="16"/>
      <c r="I94" s="13"/>
    </row>
    <row r="95" spans="8:9">
      <c r="H95" s="18"/>
      <c r="I95" s="18"/>
    </row>
    <row r="96" spans="8:9">
      <c r="H96" s="6"/>
      <c r="I96" s="6"/>
    </row>
    <row r="97" spans="8:9">
      <c r="H97" s="6"/>
      <c r="I97" s="6"/>
    </row>
    <row r="98" spans="8:9">
      <c r="H98" s="6"/>
      <c r="I98" s="6"/>
    </row>
    <row r="99" spans="8:9">
      <c r="H99" s="6"/>
      <c r="I99" s="6"/>
    </row>
    <row r="203" spans="1:1">
      <c r="A203" s="294" t="s">
        <v>85</v>
      </c>
    </row>
  </sheetData>
  <customSheetViews>
    <customSheetView guid="{DA38F665-F06D-4DFB-B852-747D93BB00EF}" scale="75" showPageBreaks="1" printArea="1" view="pageBreakPreview">
      <pane xSplit="1" ySplit="9" topLeftCell="B22" activePane="bottomRight" state="frozen"/>
      <selection pane="bottomRight" activeCell="B210" sqref="B210"/>
      <pageMargins left="0.5" right="0.5" top="0.5" bottom="0.25" header="0.5" footer="0.5"/>
      <printOptions horizontalCentered="1"/>
      <pageSetup scale="70" orientation="landscape" r:id="rId1"/>
      <headerFooter alignWithMargins="0">
        <oddFooter>&amp;C&amp;"Times New Roman,Regular"Exhibit L - Summary of Requirements by Object Class&amp;R&amp;"Times New Roman,Regular"Crime Victims Fund</oddFooter>
      </headerFooter>
    </customSheetView>
    <customSheetView guid="{4D0F9E3D-0229-48CC-A08B-F132802E9D7B}" scale="75" showPageBreaks="1" printArea="1" hiddenColumns="1" view="pageBreakPreview">
      <pane xSplit="1" ySplit="9" topLeftCell="B10" activePane="bottomRight" state="frozen"/>
      <selection pane="bottomRight" activeCell="E42" sqref="E42"/>
      <pageMargins left="0.5" right="0.5" top="0.5" bottom="0.25" header="0.5" footer="0.5"/>
      <printOptions horizontalCentered="1"/>
      <pageSetup scale="70" orientation="landscape" r:id="rId2"/>
      <headerFooter alignWithMargins="0">
        <oddFooter>&amp;C&amp;"Times New Roman,Regular"Exhibit L - Summary of Requirements by Object Class&amp;R&amp;"Times New Roman,Regular"Crime Victims Fund</oddFooter>
      </headerFooter>
    </customSheetView>
    <customSheetView guid="{F6772377-6B25-4EEA-B255-4C2F62B37855}" scale="75" showPageBreaks="1" printArea="1" view="pageBreakPreview">
      <pane xSplit="1" ySplit="9" topLeftCell="B22" activePane="bottomRight" state="frozen"/>
      <selection pane="bottomRight" activeCell="J1" sqref="J1"/>
      <pageMargins left="0.5" right="0.5" top="0.5" bottom="0.25" header="0.5" footer="0.5"/>
      <printOptions horizontalCentered="1"/>
      <pageSetup scale="67" orientation="landscape" r:id="rId3"/>
      <headerFooter alignWithMargins="0">
        <oddFooter>&amp;C&amp;"Times New Roman,Regular"Exhibit L - Summary of Requirements by Object Class&amp;R&amp;"Times New Roman,Regular"Crime Victims Fund</oddFooter>
      </headerFooter>
    </customSheetView>
    <customSheetView guid="{27B9C207-C13F-4981-9CED-E69585BBD779}" scale="75" showPageBreaks="1" printArea="1" view="pageBreakPreview">
      <pane xSplit="1" ySplit="9" topLeftCell="B10" activePane="bottomRight" state="frozen"/>
      <selection pane="bottomRight" activeCell="C39" sqref="C39"/>
      <pageMargins left="0.5" right="0.5" top="0.5" bottom="0.25" header="0.5" footer="0.5"/>
      <printOptions horizontalCentered="1"/>
      <pageSetup scale="65" orientation="landscape" r:id="rId4"/>
      <headerFooter alignWithMargins="0">
        <oddFooter>&amp;C&amp;"Times New Roman,Regular"Exhibit L - Summary of Requirements by Object Class&amp;R&amp;"Times New Roman,Regular"Crime Victims Fund</oddFooter>
      </headerFooter>
    </customSheetView>
  </customSheetViews>
  <mergeCells count="25">
    <mergeCell ref="A6:I6"/>
    <mergeCell ref="A1:I1"/>
    <mergeCell ref="A2:I2"/>
    <mergeCell ref="A3:I3"/>
    <mergeCell ref="A4:I4"/>
    <mergeCell ref="A5:I5"/>
    <mergeCell ref="A56:I56"/>
    <mergeCell ref="A7:I7"/>
    <mergeCell ref="A8:A9"/>
    <mergeCell ref="B8:C8"/>
    <mergeCell ref="D8:E8"/>
    <mergeCell ref="F8:G8"/>
    <mergeCell ref="H8:I8"/>
    <mergeCell ref="L44:W46"/>
    <mergeCell ref="A51:J51"/>
    <mergeCell ref="A53:I53"/>
    <mergeCell ref="A54:I54"/>
    <mergeCell ref="A55:I55"/>
    <mergeCell ref="B66:I66"/>
    <mergeCell ref="A57:I57"/>
    <mergeCell ref="A58:I58"/>
    <mergeCell ref="A59:I59"/>
    <mergeCell ref="A60:I60"/>
    <mergeCell ref="A61:K61"/>
    <mergeCell ref="B62:I62"/>
  </mergeCells>
  <printOptions horizontalCentered="1"/>
  <pageMargins left="0.5" right="0.5" top="0.5" bottom="0.25" header="0.5" footer="0.5"/>
  <pageSetup scale="65" orientation="landscape" r:id="rId5"/>
  <headerFooter alignWithMargins="0">
    <oddFooter>&amp;C&amp;"Times New Roman,Regular"Exhibit L - Summary of Requirements by Object Class&amp;R&amp;"Times New Roman,Regular"Crime Victims Fund</oddFooter>
  </headerFooter>
</worksheet>
</file>

<file path=xl/worksheets/sheet51.xml><?xml version="1.0" encoding="utf-8"?>
<worksheet xmlns="http://schemas.openxmlformats.org/spreadsheetml/2006/main" xmlns:r="http://schemas.openxmlformats.org/officeDocument/2006/relationships">
  <dimension ref="A1:K51"/>
  <sheetViews>
    <sheetView view="pageBreakPreview" zoomScale="60" zoomScaleNormal="100" workbookViewId="0">
      <selection activeCell="M31" sqref="M31"/>
    </sheetView>
  </sheetViews>
  <sheetFormatPr defaultRowHeight="15"/>
  <cols>
    <col min="7" max="7" width="21.44140625" customWidth="1"/>
    <col min="9" max="9" width="8.88671875" style="236"/>
  </cols>
  <sheetData>
    <row r="1" spans="1:11" ht="15.75">
      <c r="A1" s="148" t="s">
        <v>71</v>
      </c>
      <c r="K1" s="236" t="s">
        <v>0</v>
      </c>
    </row>
    <row r="2" spans="1:11" ht="15.75">
      <c r="A2" s="147"/>
      <c r="K2" s="236" t="s">
        <v>0</v>
      </c>
    </row>
    <row r="3" spans="1:11" ht="20.25">
      <c r="A3" s="245"/>
      <c r="B3" s="246"/>
      <c r="C3" s="246"/>
      <c r="D3" s="246"/>
      <c r="E3" s="246"/>
      <c r="F3" s="246"/>
      <c r="G3" s="246"/>
      <c r="H3" s="246"/>
      <c r="I3" s="246"/>
      <c r="J3" s="246"/>
      <c r="K3" s="236" t="s">
        <v>0</v>
      </c>
    </row>
    <row r="4" spans="1:11" ht="20.25">
      <c r="A4" s="245"/>
      <c r="B4" s="246"/>
      <c r="C4" s="246"/>
      <c r="D4" s="246"/>
      <c r="E4" s="246"/>
      <c r="F4" s="246"/>
      <c r="G4" s="246"/>
      <c r="H4" s="246"/>
      <c r="I4" s="246"/>
      <c r="J4" s="246"/>
      <c r="K4" s="236" t="s">
        <v>0</v>
      </c>
    </row>
    <row r="5" spans="1:11" ht="20.25">
      <c r="A5" s="2179" t="str">
        <f>'B. Summ of Reqs - S&amp;E-M&amp;A '!A5:X5</f>
        <v>Office of Justice Programs</v>
      </c>
      <c r="B5" s="2180"/>
      <c r="C5" s="2180"/>
      <c r="D5" s="2180"/>
      <c r="E5" s="2180"/>
      <c r="F5" s="2180"/>
      <c r="G5" s="2180"/>
      <c r="H5" s="2180"/>
      <c r="I5" s="2180"/>
      <c r="J5" s="2180"/>
      <c r="K5" s="236" t="s">
        <v>0</v>
      </c>
    </row>
    <row r="6" spans="1:11">
      <c r="A6" s="246"/>
      <c r="B6" s="246"/>
      <c r="C6" s="246"/>
      <c r="D6" s="246"/>
      <c r="E6" s="246"/>
      <c r="F6" s="246"/>
      <c r="G6" s="246"/>
      <c r="H6" s="246"/>
      <c r="I6" s="246"/>
      <c r="J6" s="246"/>
      <c r="K6" s="236" t="s">
        <v>0</v>
      </c>
    </row>
    <row r="7" spans="1:11" ht="15.75">
      <c r="A7" s="2181" t="s">
        <v>98</v>
      </c>
      <c r="B7" s="2182"/>
      <c r="C7" s="2182"/>
      <c r="D7" s="2182"/>
      <c r="E7" s="2182"/>
      <c r="F7" s="2182"/>
      <c r="G7" s="2182"/>
      <c r="H7" s="2182"/>
      <c r="I7" s="2182"/>
      <c r="J7" s="2182"/>
      <c r="K7" s="236" t="s">
        <v>0</v>
      </c>
    </row>
    <row r="8" spans="1:11">
      <c r="A8" s="247"/>
      <c r="B8" s="247"/>
      <c r="C8" s="247"/>
      <c r="D8" s="247"/>
      <c r="E8" s="247"/>
      <c r="F8" s="247"/>
      <c r="G8" s="247"/>
      <c r="H8" s="247"/>
      <c r="I8" s="247"/>
      <c r="J8" s="247"/>
      <c r="K8" s="236" t="s">
        <v>0</v>
      </c>
    </row>
    <row r="9" spans="1:11" ht="15.75">
      <c r="A9" s="248"/>
      <c r="B9" s="248"/>
      <c r="C9" s="248"/>
      <c r="D9" s="248"/>
      <c r="E9" s="249"/>
      <c r="F9" s="249"/>
      <c r="G9" s="249"/>
      <c r="H9" s="249"/>
      <c r="I9" s="249"/>
      <c r="J9" s="248"/>
      <c r="K9" s="236" t="s">
        <v>0</v>
      </c>
    </row>
    <row r="10" spans="1:11" ht="15.75">
      <c r="A10" s="2183" t="s">
        <v>138</v>
      </c>
      <c r="B10" s="2183"/>
      <c r="C10" s="2183"/>
      <c r="D10" s="2183"/>
      <c r="E10" s="2183"/>
      <c r="F10" s="2183"/>
      <c r="G10" s="2183"/>
      <c r="H10" s="2183"/>
      <c r="I10" s="2183"/>
      <c r="J10" s="2183"/>
      <c r="K10" s="236" t="s">
        <v>0</v>
      </c>
    </row>
    <row r="11" spans="1:11" ht="20.25">
      <c r="A11" s="250"/>
      <c r="B11" s="248"/>
      <c r="C11" s="248"/>
      <c r="D11" s="248"/>
      <c r="E11" s="248"/>
      <c r="F11" s="248"/>
      <c r="G11" s="248"/>
      <c r="H11" s="248"/>
      <c r="I11" s="248"/>
      <c r="J11" s="248"/>
      <c r="K11" s="236" t="s">
        <v>0</v>
      </c>
    </row>
    <row r="12" spans="1:11" ht="21.75" customHeight="1">
      <c r="A12" s="2177" t="s">
        <v>687</v>
      </c>
      <c r="B12" s="2178"/>
      <c r="C12" s="2178"/>
      <c r="D12" s="2178"/>
      <c r="E12" s="2178"/>
      <c r="F12" s="2178"/>
      <c r="G12" s="2178"/>
      <c r="H12" s="2178"/>
      <c r="I12" s="2178"/>
      <c r="J12" s="2178"/>
      <c r="K12" s="236" t="s">
        <v>0</v>
      </c>
    </row>
    <row r="13" spans="1:11">
      <c r="A13" s="2178"/>
      <c r="B13" s="2178"/>
      <c r="C13" s="2178"/>
      <c r="D13" s="2178"/>
      <c r="E13" s="2178"/>
      <c r="F13" s="2178"/>
      <c r="G13" s="2178"/>
      <c r="H13" s="2178"/>
      <c r="I13" s="2178"/>
      <c r="J13" s="2178"/>
      <c r="K13" s="236" t="s">
        <v>0</v>
      </c>
    </row>
    <row r="14" spans="1:11" ht="18" customHeight="1">
      <c r="A14" s="2178"/>
      <c r="B14" s="2178"/>
      <c r="C14" s="2178"/>
      <c r="D14" s="2178"/>
      <c r="E14" s="2178"/>
      <c r="F14" s="2178"/>
      <c r="G14" s="2178"/>
      <c r="H14" s="2178"/>
      <c r="I14" s="2178"/>
      <c r="J14" s="2178"/>
      <c r="K14" s="236" t="s">
        <v>0</v>
      </c>
    </row>
    <row r="15" spans="1:11" s="905" customFormat="1" ht="19.5" customHeight="1">
      <c r="A15" s="2173" t="s">
        <v>485</v>
      </c>
      <c r="B15" s="2173"/>
      <c r="C15" s="2173"/>
      <c r="D15" s="2173"/>
      <c r="E15" s="2173"/>
      <c r="F15" s="2173"/>
      <c r="G15" s="2173"/>
      <c r="H15" s="2173"/>
      <c r="I15" s="2173"/>
      <c r="J15" s="2173"/>
      <c r="K15" s="236" t="s">
        <v>0</v>
      </c>
    </row>
    <row r="16" spans="1:11" s="905" customFormat="1" ht="15.75" customHeight="1">
      <c r="A16" s="915"/>
      <c r="B16" s="915"/>
      <c r="C16" s="915"/>
      <c r="D16" s="915"/>
      <c r="E16" s="915"/>
      <c r="F16" s="915"/>
      <c r="G16" s="915"/>
      <c r="H16" s="915"/>
      <c r="I16" s="915"/>
      <c r="J16" s="915"/>
      <c r="K16" s="236" t="s">
        <v>0</v>
      </c>
    </row>
    <row r="17" spans="1:11" ht="18.75" customHeight="1">
      <c r="A17" s="2177" t="s">
        <v>688</v>
      </c>
      <c r="B17" s="2178"/>
      <c r="C17" s="2178"/>
      <c r="D17" s="2178"/>
      <c r="E17" s="2178"/>
      <c r="F17" s="2178"/>
      <c r="G17" s="2178"/>
      <c r="H17" s="2178"/>
      <c r="I17" s="2178"/>
      <c r="J17" s="2178"/>
      <c r="K17" s="236" t="s">
        <v>0</v>
      </c>
    </row>
    <row r="18" spans="1:11">
      <c r="A18" s="2178"/>
      <c r="B18" s="2178"/>
      <c r="C18" s="2178"/>
      <c r="D18" s="2178"/>
      <c r="E18" s="2178"/>
      <c r="F18" s="2178"/>
      <c r="G18" s="2178"/>
      <c r="H18" s="2178"/>
      <c r="I18" s="2178"/>
      <c r="J18" s="2178"/>
      <c r="K18" s="236" t="s">
        <v>0</v>
      </c>
    </row>
    <row r="19" spans="1:11" ht="9.75" customHeight="1">
      <c r="A19" s="2178"/>
      <c r="B19" s="2178"/>
      <c r="C19" s="2178"/>
      <c r="D19" s="2178"/>
      <c r="E19" s="2178"/>
      <c r="F19" s="2178"/>
      <c r="G19" s="2178"/>
      <c r="H19" s="2178"/>
      <c r="I19" s="2178"/>
      <c r="J19" s="2178"/>
      <c r="K19" s="236" t="s">
        <v>0</v>
      </c>
    </row>
    <row r="20" spans="1:11" s="860" customFormat="1" ht="17.25" customHeight="1">
      <c r="A20" s="2173" t="s">
        <v>484</v>
      </c>
      <c r="B20" s="2173"/>
      <c r="C20" s="2173"/>
      <c r="D20" s="2173"/>
      <c r="E20" s="2173"/>
      <c r="F20" s="2173"/>
      <c r="G20" s="2173"/>
      <c r="H20" s="2173"/>
      <c r="I20" s="2173"/>
      <c r="J20" s="2173"/>
      <c r="K20" s="236" t="s">
        <v>0</v>
      </c>
    </row>
    <row r="21" spans="1:11" s="905" customFormat="1" ht="15.75" customHeight="1">
      <c r="A21" s="914"/>
      <c r="B21" s="914"/>
      <c r="C21" s="914"/>
      <c r="D21" s="914"/>
      <c r="E21" s="914"/>
      <c r="F21" s="914"/>
      <c r="G21" s="914"/>
      <c r="H21" s="914"/>
      <c r="I21" s="914"/>
      <c r="J21" s="914"/>
      <c r="K21" s="236" t="s">
        <v>0</v>
      </c>
    </row>
    <row r="22" spans="1:11" s="860" customFormat="1" ht="23.25" customHeight="1">
      <c r="A22" s="2177" t="s">
        <v>689</v>
      </c>
      <c r="B22" s="2178"/>
      <c r="C22" s="2178"/>
      <c r="D22" s="2178"/>
      <c r="E22" s="2178"/>
      <c r="F22" s="2178"/>
      <c r="G22" s="2178"/>
      <c r="H22" s="2178"/>
      <c r="I22" s="2178"/>
      <c r="J22" s="2178"/>
      <c r="K22" s="236" t="s">
        <v>0</v>
      </c>
    </row>
    <row r="23" spans="1:11" s="860" customFormat="1">
      <c r="A23" s="2178"/>
      <c r="B23" s="2178"/>
      <c r="C23" s="2178"/>
      <c r="D23" s="2178"/>
      <c r="E23" s="2178"/>
      <c r="F23" s="2178"/>
      <c r="G23" s="2178"/>
      <c r="H23" s="2178"/>
      <c r="I23" s="2178"/>
      <c r="J23" s="2178"/>
      <c r="K23" s="236" t="s">
        <v>0</v>
      </c>
    </row>
    <row r="24" spans="1:11" s="860" customFormat="1" ht="28.5" customHeight="1">
      <c r="A24" s="2178"/>
      <c r="B24" s="2178"/>
      <c r="C24" s="2178"/>
      <c r="D24" s="2178"/>
      <c r="E24" s="2178"/>
      <c r="F24" s="2178"/>
      <c r="G24" s="2178"/>
      <c r="H24" s="2178"/>
      <c r="I24" s="2178"/>
      <c r="J24" s="2178"/>
      <c r="K24" s="236" t="s">
        <v>0</v>
      </c>
    </row>
    <row r="25" spans="1:11" ht="15.75">
      <c r="A25" s="911" t="s">
        <v>485</v>
      </c>
      <c r="B25" s="912"/>
      <c r="C25" s="912"/>
      <c r="D25" s="912"/>
      <c r="E25" s="912"/>
      <c r="F25" s="912"/>
      <c r="G25" s="912"/>
      <c r="H25" s="912"/>
      <c r="I25" s="912"/>
      <c r="J25" s="912"/>
      <c r="K25" s="236" t="s">
        <v>0</v>
      </c>
    </row>
    <row r="26" spans="1:11" s="905" customFormat="1" ht="15.75">
      <c r="A26" s="911"/>
      <c r="B26" s="912"/>
      <c r="C26" s="912"/>
      <c r="D26" s="912"/>
      <c r="E26" s="912"/>
      <c r="F26" s="912"/>
      <c r="G26" s="912"/>
      <c r="H26" s="912"/>
      <c r="I26" s="912"/>
      <c r="J26" s="912"/>
      <c r="K26" s="236" t="s">
        <v>0</v>
      </c>
    </row>
    <row r="27" spans="1:11" ht="41.25" customHeight="1">
      <c r="A27" s="2175" t="s">
        <v>690</v>
      </c>
      <c r="B27" s="2176"/>
      <c r="C27" s="2176"/>
      <c r="D27" s="2176"/>
      <c r="E27" s="2176"/>
      <c r="F27" s="2176"/>
      <c r="G27" s="2176"/>
      <c r="H27" s="2176"/>
      <c r="I27" s="2176"/>
      <c r="J27" s="2176"/>
      <c r="K27" s="236" t="s">
        <v>0</v>
      </c>
    </row>
    <row r="28" spans="1:11" ht="15.75" customHeight="1">
      <c r="A28" s="2173" t="s">
        <v>485</v>
      </c>
      <c r="B28" s="2173"/>
      <c r="C28" s="2173"/>
      <c r="D28" s="2173"/>
      <c r="E28" s="2173"/>
      <c r="F28" s="2173"/>
      <c r="G28" s="2173"/>
      <c r="H28" s="2173"/>
      <c r="I28" s="2173"/>
      <c r="J28" s="2173"/>
      <c r="K28" s="236" t="s">
        <v>0</v>
      </c>
    </row>
    <row r="29" spans="1:11" s="905" customFormat="1" ht="15.75" customHeight="1">
      <c r="A29" s="916"/>
      <c r="B29" s="916"/>
      <c r="C29" s="916"/>
      <c r="D29" s="916"/>
      <c r="E29" s="916"/>
      <c r="F29" s="916"/>
      <c r="G29" s="916"/>
      <c r="H29" s="916"/>
      <c r="I29" s="916"/>
      <c r="J29" s="916"/>
      <c r="K29" s="236" t="s">
        <v>0</v>
      </c>
    </row>
    <row r="30" spans="1:11" ht="72" customHeight="1">
      <c r="A30" s="2172" t="s">
        <v>694</v>
      </c>
      <c r="B30" s="2172"/>
      <c r="C30" s="2172"/>
      <c r="D30" s="2172"/>
      <c r="E30" s="2172"/>
      <c r="F30" s="2172"/>
      <c r="G30" s="2172"/>
      <c r="H30" s="2172"/>
      <c r="I30" s="2172"/>
      <c r="J30" s="2172"/>
      <c r="K30" s="236" t="s">
        <v>0</v>
      </c>
    </row>
    <row r="31" spans="1:11" ht="15.75" customHeight="1">
      <c r="A31" s="2174" t="s">
        <v>486</v>
      </c>
      <c r="B31" s="2172"/>
      <c r="C31" s="2172"/>
      <c r="D31" s="2172"/>
      <c r="E31" s="2172"/>
      <c r="F31" s="2172"/>
      <c r="G31" s="2172"/>
      <c r="H31" s="2172"/>
      <c r="I31" s="2172"/>
      <c r="J31" s="2172"/>
      <c r="K31" s="236" t="s">
        <v>0</v>
      </c>
    </row>
    <row r="32" spans="1:11" s="905" customFormat="1" ht="15.75" customHeight="1">
      <c r="A32" s="917"/>
      <c r="B32" s="917"/>
      <c r="C32" s="917"/>
      <c r="D32" s="917"/>
      <c r="E32" s="917"/>
      <c r="F32" s="917"/>
      <c r="G32" s="917"/>
      <c r="H32" s="917"/>
      <c r="I32" s="917"/>
      <c r="J32" s="917"/>
      <c r="K32" s="236" t="s">
        <v>0</v>
      </c>
    </row>
    <row r="33" spans="1:11" ht="35.25" customHeight="1">
      <c r="A33" s="2172" t="s">
        <v>691</v>
      </c>
      <c r="B33" s="2172"/>
      <c r="C33" s="2172"/>
      <c r="D33" s="2172"/>
      <c r="E33" s="2172"/>
      <c r="F33" s="2172"/>
      <c r="G33" s="2172"/>
      <c r="H33" s="2172"/>
      <c r="I33" s="2172"/>
      <c r="J33" s="2172"/>
      <c r="K33" s="236" t="s">
        <v>0</v>
      </c>
    </row>
    <row r="34" spans="1:11" ht="15.75" customHeight="1">
      <c r="A34" s="2174" t="s">
        <v>486</v>
      </c>
      <c r="B34" s="2172"/>
      <c r="C34" s="2172"/>
      <c r="D34" s="2172"/>
      <c r="E34" s="2172"/>
      <c r="F34" s="2172"/>
      <c r="G34" s="2172"/>
      <c r="H34" s="2172"/>
      <c r="I34" s="2172"/>
      <c r="J34" s="2172"/>
      <c r="K34" s="236" t="s">
        <v>0</v>
      </c>
    </row>
    <row r="35" spans="1:11" s="905" customFormat="1" ht="15.75" customHeight="1">
      <c r="A35" s="918"/>
      <c r="B35" s="917"/>
      <c r="C35" s="917"/>
      <c r="D35" s="917"/>
      <c r="E35" s="917"/>
      <c r="F35" s="917"/>
      <c r="G35" s="917"/>
      <c r="H35" s="917"/>
      <c r="I35" s="917"/>
      <c r="J35" s="917"/>
      <c r="K35" s="236" t="s">
        <v>0</v>
      </c>
    </row>
    <row r="36" spans="1:11" ht="34.5" customHeight="1">
      <c r="A36" s="2172" t="s">
        <v>692</v>
      </c>
      <c r="B36" s="2172"/>
      <c r="C36" s="2172"/>
      <c r="D36" s="2172"/>
      <c r="E36" s="2172"/>
      <c r="F36" s="2172"/>
      <c r="G36" s="2172"/>
      <c r="H36" s="2172"/>
      <c r="I36" s="2172"/>
      <c r="J36" s="2172"/>
      <c r="K36" s="236" t="s">
        <v>0</v>
      </c>
    </row>
    <row r="37" spans="1:11" s="905" customFormat="1" ht="15.75" customHeight="1">
      <c r="A37" s="917"/>
      <c r="B37" s="917"/>
      <c r="C37" s="917"/>
      <c r="D37" s="917"/>
      <c r="E37" s="917"/>
      <c r="F37" s="917"/>
      <c r="G37" s="917"/>
      <c r="H37" s="917"/>
      <c r="I37" s="917"/>
      <c r="J37" s="917"/>
      <c r="K37" s="236" t="s">
        <v>0</v>
      </c>
    </row>
    <row r="38" spans="1:11" ht="15.75" customHeight="1">
      <c r="A38" s="2174" t="s">
        <v>487</v>
      </c>
      <c r="B38" s="2174"/>
      <c r="C38" s="2174"/>
      <c r="D38" s="2174"/>
      <c r="E38" s="2174"/>
      <c r="F38" s="2174"/>
      <c r="G38" s="2174"/>
      <c r="H38" s="2174"/>
      <c r="I38" s="2174"/>
      <c r="J38" s="2174"/>
      <c r="K38" s="236" t="s">
        <v>0</v>
      </c>
    </row>
    <row r="39" spans="1:11" s="905" customFormat="1" ht="15.75" customHeight="1">
      <c r="A39" s="918"/>
      <c r="B39" s="918"/>
      <c r="C39" s="918"/>
      <c r="D39" s="918"/>
      <c r="E39" s="918"/>
      <c r="F39" s="918"/>
      <c r="G39" s="918"/>
      <c r="H39" s="918"/>
      <c r="I39" s="918"/>
      <c r="J39" s="918"/>
      <c r="K39" s="236" t="s">
        <v>0</v>
      </c>
    </row>
    <row r="40" spans="1:11" ht="69.75" customHeight="1">
      <c r="A40" s="2172" t="s">
        <v>693</v>
      </c>
      <c r="B40" s="2172"/>
      <c r="C40" s="2172"/>
      <c r="D40" s="2172"/>
      <c r="E40" s="2172"/>
      <c r="F40" s="2172"/>
      <c r="G40" s="2172"/>
      <c r="H40" s="2172"/>
      <c r="I40" s="2172"/>
      <c r="J40" s="2172"/>
      <c r="K40" s="236" t="s">
        <v>0</v>
      </c>
    </row>
    <row r="41" spans="1:11" ht="15.75">
      <c r="A41" s="919" t="s">
        <v>485</v>
      </c>
      <c r="B41" s="913"/>
      <c r="C41" s="913"/>
      <c r="D41" s="913"/>
      <c r="E41" s="913"/>
      <c r="F41" s="913"/>
      <c r="G41" s="913"/>
      <c r="H41" s="1227"/>
      <c r="I41" s="1227"/>
      <c r="J41" s="1227"/>
      <c r="K41" s="236" t="s">
        <v>13</v>
      </c>
    </row>
    <row r="42" spans="1:11">
      <c r="A42" s="913"/>
      <c r="B42" s="913"/>
      <c r="C42" s="913"/>
      <c r="D42" s="913"/>
      <c r="E42" s="913"/>
      <c r="F42" s="913"/>
      <c r="G42" s="913"/>
      <c r="H42" s="913"/>
      <c r="J42" s="913"/>
    </row>
    <row r="43" spans="1:11">
      <c r="A43" s="913"/>
      <c r="B43" s="913"/>
      <c r="C43" s="913"/>
      <c r="D43" s="913"/>
      <c r="E43" s="913"/>
      <c r="F43" s="913"/>
      <c r="G43" s="913"/>
      <c r="H43" s="913"/>
      <c r="J43" s="913"/>
    </row>
    <row r="44" spans="1:11">
      <c r="A44" s="913"/>
      <c r="B44" s="913"/>
      <c r="C44" s="913"/>
      <c r="D44" s="913"/>
      <c r="E44" s="913"/>
      <c r="F44" s="913"/>
      <c r="G44" s="913"/>
      <c r="H44" s="913"/>
      <c r="J44" s="913"/>
    </row>
    <row r="45" spans="1:11">
      <c r="A45" s="913"/>
      <c r="B45" s="913"/>
      <c r="C45" s="913"/>
      <c r="D45" s="913"/>
      <c r="E45" s="913"/>
      <c r="F45" s="913"/>
      <c r="G45" s="913"/>
      <c r="H45" s="913"/>
      <c r="J45" s="913"/>
    </row>
    <row r="46" spans="1:11">
      <c r="A46" s="913"/>
      <c r="B46" s="913"/>
      <c r="C46" s="913"/>
      <c r="D46" s="913"/>
      <c r="E46" s="913"/>
      <c r="F46" s="913"/>
      <c r="G46" s="913"/>
      <c r="H46" s="913"/>
      <c r="J46" s="913"/>
    </row>
    <row r="47" spans="1:11">
      <c r="A47" s="913"/>
      <c r="B47" s="913"/>
      <c r="C47" s="913"/>
      <c r="D47" s="913"/>
      <c r="E47" s="913"/>
      <c r="F47" s="913"/>
      <c r="G47" s="913"/>
      <c r="H47" s="913"/>
      <c r="J47" s="913"/>
    </row>
    <row r="48" spans="1:11">
      <c r="A48" s="913"/>
      <c r="B48" s="913"/>
      <c r="C48" s="913"/>
      <c r="D48" s="913"/>
      <c r="E48" s="913"/>
      <c r="F48" s="913"/>
      <c r="G48" s="913"/>
      <c r="H48" s="913"/>
      <c r="J48" s="913"/>
    </row>
    <row r="49" spans="1:10">
      <c r="A49" s="913"/>
      <c r="B49" s="913"/>
      <c r="C49" s="913"/>
      <c r="D49" s="913"/>
      <c r="E49" s="913"/>
      <c r="F49" s="913"/>
      <c r="G49" s="913"/>
      <c r="H49" s="913"/>
      <c r="J49" s="913"/>
    </row>
    <row r="50" spans="1:10">
      <c r="A50" s="913"/>
      <c r="B50" s="913"/>
      <c r="C50" s="913"/>
      <c r="D50" s="913"/>
      <c r="E50" s="913"/>
      <c r="F50" s="913"/>
      <c r="G50" s="913"/>
      <c r="H50" s="913"/>
      <c r="J50" s="913"/>
    </row>
    <row r="51" spans="1:10">
      <c r="A51" s="913"/>
      <c r="B51" s="913"/>
      <c r="C51" s="913"/>
      <c r="D51" s="913"/>
      <c r="E51" s="913"/>
      <c r="F51" s="913"/>
      <c r="G51" s="913"/>
      <c r="H51" s="913"/>
      <c r="J51" s="913"/>
    </row>
  </sheetData>
  <customSheetViews>
    <customSheetView guid="{DA38F665-F06D-4DFB-B852-747D93BB00EF}" printArea="1" topLeftCell="A10">
      <selection activeCell="B210" sqref="B210"/>
      <pageMargins left="0.75" right="0.75" top="1" bottom="1" header="0.5" footer="0.5"/>
      <pageSetup scale="70" orientation="portrait" r:id="rId1"/>
      <headerFooter alignWithMargins="0">
        <oddFooter>&amp;R&amp;"Times New Roman,Regular"Research, Evaluation, and Statistics</oddFooter>
      </headerFooter>
    </customSheetView>
    <customSheetView guid="{3118AF25-8423-420A-806A-487665220C68}" showPageBreaks="1" fitToPage="1" printArea="1">
      <selection activeCell="A14" sqref="A14:J16"/>
      <pageMargins left="0.75" right="0.75" top="1" bottom="1" header="0.5" footer="0.5"/>
      <pageSetup orientation="landscape" r:id="rId2"/>
      <headerFooter alignWithMargins="0"/>
    </customSheetView>
    <customSheetView guid="{56C0A34E-45B4-448B-85E5-70B3A8E63333}" fitToPage="1">
      <selection activeCell="A26" sqref="A26"/>
      <pageMargins left="0.75" right="0.75" top="1" bottom="1" header="0.5" footer="0.5"/>
      <pageSetup orientation="landscape" r:id="rId3"/>
      <headerFooter alignWithMargins="0"/>
    </customSheetView>
    <customSheetView guid="{4148B88B-8ED7-4FDE-9459-DEB244AD0552}" fitToPage="1">
      <selection activeCell="A26" sqref="A26"/>
      <pageMargins left="0.75" right="0.75" top="1" bottom="1" header="0.5" footer="0.5"/>
      <pageSetup orientation="landscape" r:id="rId4"/>
      <headerFooter alignWithMargins="0"/>
    </customSheetView>
    <customSheetView guid="{12C66D54-5067-4346-818B-6EAB1C8A9183}" showPageBreaks="1" fitToPage="1" printArea="1">
      <selection activeCell="A14" sqref="A14:J16"/>
      <pageMargins left="0.75" right="0.75" top="1" bottom="1" header="0.5" footer="0.5"/>
      <pageSetup orientation="landscape" r:id="rId5"/>
      <headerFooter alignWithMargins="0"/>
    </customSheetView>
    <customSheetView guid="{AB21D485-B25C-4861-87C3-6754CE948F1C}" showPageBreaks="1" fitToPage="1" printArea="1">
      <selection activeCell="A14" sqref="A14:J16"/>
      <pageMargins left="0.75" right="0.75" top="1" bottom="1" header="0.5" footer="0.5"/>
      <pageSetup orientation="landscape" r:id="rId6"/>
      <headerFooter alignWithMargins="0"/>
    </customSheetView>
    <customSheetView guid="{4D0F9E3D-0229-48CC-A08B-F132802E9D7B}" fitToPage="1" printArea="1" topLeftCell="A16">
      <selection activeCell="A26" sqref="A26:J26"/>
      <pageMargins left="0.75" right="0.75" top="1" bottom="1" header="0.5" footer="0.5"/>
      <pageSetup orientation="landscape" r:id="rId7"/>
      <headerFooter alignWithMargins="0">
        <oddFooter>&amp;R&amp;"Times New Roman,Regular"Research, Evaluation, and Statistics</oddFooter>
      </headerFooter>
    </customSheetView>
    <customSheetView guid="{F6772377-6B25-4EEA-B255-4C2F62B37855}" showPageBreaks="1" printArea="1" topLeftCell="A10">
      <selection activeCell="A28" sqref="A28:J28"/>
      <pageMargins left="0.75" right="0.75" top="1" bottom="1" header="0.5" footer="0.5"/>
      <pageSetup scale="70" orientation="portrait" r:id="rId8"/>
      <headerFooter alignWithMargins="0">
        <oddFooter>&amp;R&amp;"Times New Roman,Regular"Research, Evaluation, and Statistics</oddFooter>
      </headerFooter>
    </customSheetView>
    <customSheetView guid="{27B9C207-C13F-4981-9CED-E69585BBD779}" scale="60" showPageBreaks="1" printArea="1" view="pageBreakPreview">
      <selection activeCell="A27" sqref="A27:J27"/>
      <pageMargins left="0.75" right="0.75" top="1" bottom="1" header="0.5" footer="0.5"/>
      <pageSetup scale="70" orientation="portrait" r:id="rId9"/>
      <headerFooter alignWithMargins="0"/>
    </customSheetView>
  </customSheetViews>
  <mergeCells count="17">
    <mergeCell ref="A5:J5"/>
    <mergeCell ref="A7:J7"/>
    <mergeCell ref="A10:J10"/>
    <mergeCell ref="A12:J14"/>
    <mergeCell ref="A30:J30"/>
    <mergeCell ref="A33:J33"/>
    <mergeCell ref="A36:J36"/>
    <mergeCell ref="A40:J40"/>
    <mergeCell ref="A15:J15"/>
    <mergeCell ref="A20:J20"/>
    <mergeCell ref="A28:J28"/>
    <mergeCell ref="A31:J31"/>
    <mergeCell ref="A34:J34"/>
    <mergeCell ref="A38:J38"/>
    <mergeCell ref="A27:J27"/>
    <mergeCell ref="A17:J19"/>
    <mergeCell ref="A22:J24"/>
  </mergeCells>
  <phoneticPr fontId="41" type="noConversion"/>
  <pageMargins left="0.75" right="0.75" top="1" bottom="1" header="0.5" footer="0.5"/>
  <pageSetup scale="70" orientation="portrait" r:id="rId10"/>
  <headerFooter alignWithMargins="0"/>
</worksheet>
</file>

<file path=xl/worksheets/sheet52.xml><?xml version="1.0" encoding="utf-8"?>
<worksheet xmlns="http://schemas.openxmlformats.org/spreadsheetml/2006/main" xmlns:r="http://schemas.openxmlformats.org/officeDocument/2006/relationships">
  <dimension ref="A1:G270"/>
  <sheetViews>
    <sheetView view="pageBreakPreview" topLeftCell="A55" zoomScale="75" zoomScaleNormal="100" zoomScaleSheetLayoutView="75" workbookViewId="0">
      <selection activeCell="B133" sqref="B133"/>
    </sheetView>
  </sheetViews>
  <sheetFormatPr defaultRowHeight="12.75"/>
  <cols>
    <col min="1" max="1" width="12.77734375" style="922" customWidth="1"/>
    <col min="2" max="2" width="74" style="921" customWidth="1"/>
    <col min="3" max="6" width="12.6640625" style="920" customWidth="1"/>
    <col min="7" max="16384" width="8.88671875" style="920"/>
  </cols>
  <sheetData>
    <row r="1" spans="1:7" ht="100.5" customHeight="1">
      <c r="A1" s="986" t="s">
        <v>490</v>
      </c>
      <c r="B1" s="985"/>
      <c r="C1" s="984" t="s">
        <v>491</v>
      </c>
      <c r="D1" s="984" t="s">
        <v>492</v>
      </c>
      <c r="E1" s="984" t="s">
        <v>662</v>
      </c>
      <c r="F1" s="984" t="s">
        <v>493</v>
      </c>
      <c r="G1" s="58" t="s">
        <v>0</v>
      </c>
    </row>
    <row r="2" spans="1:7" ht="15.75" customHeight="1">
      <c r="B2" s="983"/>
      <c r="C2" s="938"/>
      <c r="D2" s="938"/>
      <c r="E2" s="922"/>
      <c r="F2" s="922"/>
      <c r="G2" s="58" t="s">
        <v>0</v>
      </c>
    </row>
    <row r="3" spans="1:7" ht="15.75" customHeight="1">
      <c r="A3" s="945"/>
      <c r="B3" s="950" t="s">
        <v>549</v>
      </c>
      <c r="C3" s="954">
        <v>140124</v>
      </c>
      <c r="D3" s="982" t="s">
        <v>494</v>
      </c>
      <c r="E3" s="982" t="s">
        <v>494</v>
      </c>
      <c r="F3" s="954"/>
      <c r="G3" s="58" t="s">
        <v>0</v>
      </c>
    </row>
    <row r="4" spans="1:7" s="959" customFormat="1" ht="15.75" customHeight="1">
      <c r="A4" s="958"/>
      <c r="B4" s="942" t="s">
        <v>495</v>
      </c>
      <c r="C4" s="953">
        <v>140124</v>
      </c>
      <c r="D4" s="953">
        <v>0</v>
      </c>
      <c r="E4" s="953">
        <v>0</v>
      </c>
      <c r="F4" s="953">
        <v>0</v>
      </c>
      <c r="G4" s="58" t="s">
        <v>0</v>
      </c>
    </row>
    <row r="5" spans="1:7" s="959" customFormat="1" ht="15.75" customHeight="1">
      <c r="A5" s="958"/>
      <c r="B5" s="965"/>
      <c r="C5" s="981"/>
      <c r="D5" s="981"/>
      <c r="E5" s="941"/>
      <c r="F5" s="941"/>
      <c r="G5" s="58" t="s">
        <v>0</v>
      </c>
    </row>
    <row r="6" spans="1:7" ht="15.75" customHeight="1">
      <c r="B6" s="950" t="s">
        <v>496</v>
      </c>
      <c r="C6" s="980"/>
      <c r="D6" s="980"/>
      <c r="E6" s="938"/>
      <c r="F6" s="938"/>
      <c r="G6" s="58" t="s">
        <v>0</v>
      </c>
    </row>
    <row r="7" spans="1:7" ht="15.75" customHeight="1">
      <c r="A7" s="945" t="s">
        <v>497</v>
      </c>
      <c r="B7" s="973" t="s">
        <v>231</v>
      </c>
      <c r="C7" s="954">
        <v>59880</v>
      </c>
      <c r="D7" s="954">
        <v>45000</v>
      </c>
      <c r="E7" s="938">
        <v>60000</v>
      </c>
      <c r="F7" s="938">
        <v>15000</v>
      </c>
      <c r="G7" s="58" t="s">
        <v>0</v>
      </c>
    </row>
    <row r="8" spans="1:7" ht="15.75">
      <c r="A8" s="945" t="s">
        <v>497</v>
      </c>
      <c r="B8" s="957" t="s">
        <v>230</v>
      </c>
      <c r="C8" s="966">
        <v>40918</v>
      </c>
      <c r="D8" s="966">
        <v>26000</v>
      </c>
      <c r="E8" s="938"/>
      <c r="F8" s="948">
        <v>-26000</v>
      </c>
      <c r="G8" s="58" t="s">
        <v>0</v>
      </c>
    </row>
    <row r="9" spans="1:7" ht="15.75" customHeight="1">
      <c r="A9" s="945" t="s">
        <v>497</v>
      </c>
      <c r="B9" s="957" t="s">
        <v>259</v>
      </c>
      <c r="C9" s="956"/>
      <c r="D9" s="956">
        <v>10000</v>
      </c>
      <c r="E9" s="938"/>
      <c r="F9" s="948">
        <v>-10000</v>
      </c>
      <c r="G9" s="58" t="s">
        <v>0</v>
      </c>
    </row>
    <row r="10" spans="1:7" ht="15.75" customHeight="1">
      <c r="A10" s="945" t="s">
        <v>497</v>
      </c>
      <c r="B10" s="957" t="s">
        <v>260</v>
      </c>
      <c r="C10" s="956"/>
      <c r="D10" s="956">
        <v>500</v>
      </c>
      <c r="E10" s="938"/>
      <c r="F10" s="948">
        <v>-500</v>
      </c>
      <c r="G10" s="58" t="s">
        <v>0</v>
      </c>
    </row>
    <row r="11" spans="1:7" ht="18.75">
      <c r="A11" s="945" t="s">
        <v>498</v>
      </c>
      <c r="B11" s="939" t="s">
        <v>550</v>
      </c>
      <c r="C11" s="954">
        <v>69860</v>
      </c>
      <c r="D11" s="954"/>
      <c r="E11" s="938"/>
      <c r="F11" s="938">
        <v>0</v>
      </c>
      <c r="G11" s="58" t="s">
        <v>0</v>
      </c>
    </row>
    <row r="12" spans="1:7" ht="15.75">
      <c r="A12" s="945" t="s">
        <v>499</v>
      </c>
      <c r="B12" s="939" t="s">
        <v>500</v>
      </c>
      <c r="C12" s="954">
        <v>44910</v>
      </c>
      <c r="D12" s="954">
        <v>27000</v>
      </c>
      <c r="E12" s="938">
        <v>27000</v>
      </c>
      <c r="F12" s="938">
        <v>0</v>
      </c>
      <c r="G12" s="58" t="s">
        <v>0</v>
      </c>
    </row>
    <row r="13" spans="1:7" ht="15.75" customHeight="1">
      <c r="A13" s="945" t="s">
        <v>501</v>
      </c>
      <c r="B13" s="939" t="s">
        <v>252</v>
      </c>
      <c r="C13" s="954">
        <v>47904</v>
      </c>
      <c r="D13" s="954">
        <v>40000</v>
      </c>
      <c r="E13" s="938">
        <v>48000</v>
      </c>
      <c r="F13" s="938">
        <v>8000</v>
      </c>
      <c r="G13" s="58" t="s">
        <v>0</v>
      </c>
    </row>
    <row r="14" spans="1:7" ht="15.75" customHeight="1">
      <c r="A14" s="945" t="s">
        <v>501</v>
      </c>
      <c r="B14" s="957" t="s">
        <v>228</v>
      </c>
      <c r="C14" s="966">
        <v>3000</v>
      </c>
      <c r="D14" s="966"/>
      <c r="E14" s="938"/>
      <c r="F14" s="938">
        <v>0</v>
      </c>
      <c r="G14" s="58" t="s">
        <v>0</v>
      </c>
    </row>
    <row r="15" spans="1:7" ht="15.75" customHeight="1">
      <c r="A15" s="945" t="s">
        <v>501</v>
      </c>
      <c r="B15" s="957" t="s">
        <v>226</v>
      </c>
      <c r="C15" s="966">
        <v>1000</v>
      </c>
      <c r="D15" s="966">
        <v>5000</v>
      </c>
      <c r="E15" s="938"/>
      <c r="F15" s="938">
        <v>-5000</v>
      </c>
      <c r="G15" s="58" t="s">
        <v>0</v>
      </c>
    </row>
    <row r="16" spans="1:7" ht="18.75">
      <c r="A16" s="945" t="s">
        <v>502</v>
      </c>
      <c r="B16" s="973" t="s">
        <v>667</v>
      </c>
      <c r="C16" s="956"/>
      <c r="D16" s="972">
        <v>1000</v>
      </c>
      <c r="E16" s="938">
        <v>1000</v>
      </c>
      <c r="F16" s="938">
        <v>0</v>
      </c>
      <c r="G16" s="58" t="s">
        <v>0</v>
      </c>
    </row>
    <row r="17" spans="1:7" ht="15.75" customHeight="1">
      <c r="A17" s="945" t="s">
        <v>499</v>
      </c>
      <c r="B17" s="939" t="s">
        <v>225</v>
      </c>
      <c r="C17" s="954">
        <v>11976</v>
      </c>
      <c r="D17" s="954">
        <v>0</v>
      </c>
      <c r="E17" s="938">
        <v>0</v>
      </c>
      <c r="F17" s="938">
        <v>0</v>
      </c>
      <c r="G17" s="58" t="s">
        <v>0</v>
      </c>
    </row>
    <row r="18" spans="1:7" ht="15.75" customHeight="1">
      <c r="A18" s="945"/>
      <c r="B18" s="942" t="s">
        <v>551</v>
      </c>
      <c r="C18" s="953">
        <f>C7+C11+C12+C13+C17</f>
        <v>234530</v>
      </c>
      <c r="D18" s="953">
        <f>D7+D11+D12+D13+D16+D17</f>
        <v>113000</v>
      </c>
      <c r="E18" s="953">
        <f>E7+E11+E12+E13+E16+E17</f>
        <v>136000</v>
      </c>
      <c r="F18" s="953">
        <f>F7+F11+F12+F13+F16+F17</f>
        <v>23000</v>
      </c>
      <c r="G18" s="58" t="s">
        <v>0</v>
      </c>
    </row>
    <row r="19" spans="1:7" ht="15.75" customHeight="1">
      <c r="A19" s="945"/>
      <c r="B19" s="968"/>
      <c r="C19" s="980"/>
      <c r="D19" s="953"/>
      <c r="E19" s="953"/>
      <c r="F19" s="953"/>
      <c r="G19" s="58" t="s">
        <v>0</v>
      </c>
    </row>
    <row r="20" spans="1:7" ht="15.75" customHeight="1">
      <c r="A20" s="945"/>
      <c r="B20" s="950" t="s">
        <v>281</v>
      </c>
      <c r="C20" s="980"/>
      <c r="D20" s="980"/>
      <c r="E20" s="938"/>
      <c r="F20" s="938"/>
      <c r="G20" s="58" t="s">
        <v>0</v>
      </c>
    </row>
    <row r="21" spans="1:7" ht="15.75" customHeight="1">
      <c r="A21" s="945" t="s">
        <v>499</v>
      </c>
      <c r="B21" s="939" t="s">
        <v>307</v>
      </c>
      <c r="C21" s="954"/>
      <c r="D21" s="954">
        <v>10000</v>
      </c>
      <c r="E21" s="938"/>
      <c r="F21" s="938">
        <f>+E21-D21</f>
        <v>-10000</v>
      </c>
      <c r="G21" s="58" t="s">
        <v>0</v>
      </c>
    </row>
    <row r="22" spans="1:7" ht="15.75" customHeight="1">
      <c r="A22" s="945" t="s">
        <v>499</v>
      </c>
      <c r="B22" s="939" t="s">
        <v>308</v>
      </c>
      <c r="C22" s="979" t="s">
        <v>504</v>
      </c>
      <c r="D22" s="954">
        <v>24000</v>
      </c>
      <c r="E22" s="938">
        <v>24000</v>
      </c>
      <c r="F22" s="938">
        <f t="shared" ref="F22:F31" si="0">+E22-D22</f>
        <v>0</v>
      </c>
      <c r="G22" s="58" t="s">
        <v>0</v>
      </c>
    </row>
    <row r="23" spans="1:7" ht="15.75" customHeight="1">
      <c r="A23" s="945"/>
      <c r="B23" s="970" t="s">
        <v>309</v>
      </c>
      <c r="C23" s="979"/>
      <c r="D23" s="966">
        <v>1500</v>
      </c>
      <c r="E23" s="938"/>
      <c r="F23" s="938">
        <f t="shared" si="0"/>
        <v>-1500</v>
      </c>
      <c r="G23" s="58" t="s">
        <v>0</v>
      </c>
    </row>
    <row r="24" spans="1:7" s="952" customFormat="1" ht="15.75" customHeight="1">
      <c r="A24" s="975" t="s">
        <v>499</v>
      </c>
      <c r="B24" s="939" t="s">
        <v>310</v>
      </c>
      <c r="C24" s="954">
        <v>33133.599999999999</v>
      </c>
      <c r="D24" s="954">
        <v>15000</v>
      </c>
      <c r="E24" s="938">
        <v>25000</v>
      </c>
      <c r="F24" s="938">
        <f t="shared" si="0"/>
        <v>10000</v>
      </c>
      <c r="G24" s="58" t="s">
        <v>0</v>
      </c>
    </row>
    <row r="25" spans="1:7" ht="15.75" customHeight="1">
      <c r="A25" s="945" t="s">
        <v>499</v>
      </c>
      <c r="B25" s="939" t="s">
        <v>311</v>
      </c>
      <c r="C25" s="956"/>
      <c r="D25" s="972">
        <v>15000</v>
      </c>
      <c r="E25" s="938">
        <v>20000</v>
      </c>
      <c r="F25" s="938">
        <f t="shared" si="0"/>
        <v>5000</v>
      </c>
      <c r="G25" s="58" t="s">
        <v>0</v>
      </c>
    </row>
    <row r="26" spans="1:7" ht="15.75" customHeight="1">
      <c r="A26" s="945"/>
      <c r="B26" s="1064" t="s">
        <v>588</v>
      </c>
      <c r="C26" s="956"/>
      <c r="D26" s="972"/>
      <c r="E26" s="948">
        <v>2000</v>
      </c>
      <c r="F26" s="938">
        <f t="shared" si="0"/>
        <v>2000</v>
      </c>
      <c r="G26" s="58" t="s">
        <v>0</v>
      </c>
    </row>
    <row r="27" spans="1:7" ht="15.75" customHeight="1">
      <c r="A27" s="975" t="s">
        <v>499</v>
      </c>
      <c r="B27" s="939" t="s">
        <v>312</v>
      </c>
      <c r="C27" s="954">
        <v>4555.87</v>
      </c>
      <c r="D27" s="954">
        <v>3000</v>
      </c>
      <c r="E27" s="938">
        <v>2000</v>
      </c>
      <c r="F27" s="938">
        <f t="shared" si="0"/>
        <v>-1000</v>
      </c>
      <c r="G27" s="58" t="s">
        <v>0</v>
      </c>
    </row>
    <row r="28" spans="1:7" ht="15.75" customHeight="1">
      <c r="A28" s="975" t="s">
        <v>499</v>
      </c>
      <c r="B28" s="957" t="s">
        <v>313</v>
      </c>
      <c r="C28" s="966">
        <v>2485.02</v>
      </c>
      <c r="D28" s="966"/>
      <c r="E28" s="938"/>
      <c r="F28" s="938">
        <f t="shared" si="0"/>
        <v>0</v>
      </c>
      <c r="G28" s="58" t="s">
        <v>0</v>
      </c>
    </row>
    <row r="29" spans="1:7" ht="15.75" customHeight="1">
      <c r="A29" s="945" t="s">
        <v>498</v>
      </c>
      <c r="B29" s="939" t="s">
        <v>462</v>
      </c>
      <c r="C29" s="972">
        <v>2070.85</v>
      </c>
      <c r="D29" s="954"/>
      <c r="E29" s="938"/>
      <c r="F29" s="938">
        <f t="shared" si="0"/>
        <v>0</v>
      </c>
      <c r="G29" s="58" t="s">
        <v>0</v>
      </c>
    </row>
    <row r="30" spans="1:7" ht="15.75" customHeight="1">
      <c r="A30" s="945" t="s">
        <v>505</v>
      </c>
      <c r="B30" s="949" t="s">
        <v>314</v>
      </c>
      <c r="C30" s="956"/>
      <c r="D30" s="956"/>
      <c r="E30" s="938"/>
      <c r="F30" s="938">
        <f t="shared" si="0"/>
        <v>0</v>
      </c>
      <c r="G30" s="58" t="s">
        <v>0</v>
      </c>
    </row>
    <row r="31" spans="1:7" ht="15.75" customHeight="1">
      <c r="A31" s="945" t="s">
        <v>506</v>
      </c>
      <c r="B31" s="957" t="s">
        <v>315</v>
      </c>
      <c r="C31" s="979" t="s">
        <v>218</v>
      </c>
      <c r="D31" s="954">
        <v>1000</v>
      </c>
      <c r="E31" s="938">
        <v>1000</v>
      </c>
      <c r="F31" s="938">
        <f t="shared" si="0"/>
        <v>0</v>
      </c>
      <c r="G31" s="58" t="s">
        <v>0</v>
      </c>
    </row>
    <row r="32" spans="1:7" ht="15.75" customHeight="1">
      <c r="A32" s="945" t="s">
        <v>498</v>
      </c>
      <c r="B32" s="939" t="s">
        <v>358</v>
      </c>
      <c r="C32" s="956"/>
      <c r="D32" s="972">
        <v>10000</v>
      </c>
      <c r="E32" s="954" t="s">
        <v>507</v>
      </c>
      <c r="F32" s="938">
        <f>-D32</f>
        <v>-10000</v>
      </c>
      <c r="G32" s="58" t="s">
        <v>0</v>
      </c>
    </row>
    <row r="33" spans="1:7" ht="15.75" customHeight="1">
      <c r="A33" s="945" t="s">
        <v>498</v>
      </c>
      <c r="B33" s="939" t="s">
        <v>391</v>
      </c>
      <c r="C33" s="972">
        <v>12425.1</v>
      </c>
      <c r="D33" s="972">
        <v>4500</v>
      </c>
      <c r="E33" s="938"/>
      <c r="F33" s="938">
        <v>-4500</v>
      </c>
      <c r="G33" s="58" t="s">
        <v>0</v>
      </c>
    </row>
    <row r="34" spans="1:7" ht="18.75">
      <c r="A34" s="945" t="s">
        <v>501</v>
      </c>
      <c r="B34" s="939" t="s">
        <v>552</v>
      </c>
      <c r="C34" s="979" t="s">
        <v>218</v>
      </c>
      <c r="D34" s="954">
        <v>125000</v>
      </c>
      <c r="E34" s="954" t="s">
        <v>507</v>
      </c>
      <c r="F34" s="938">
        <f>-D34</f>
        <v>-125000</v>
      </c>
      <c r="G34" s="58" t="s">
        <v>0</v>
      </c>
    </row>
    <row r="35" spans="1:7" ht="15.75" customHeight="1">
      <c r="A35" s="945" t="s">
        <v>501</v>
      </c>
      <c r="B35" s="957" t="s">
        <v>220</v>
      </c>
      <c r="C35" s="956"/>
      <c r="D35" s="966">
        <v>117000</v>
      </c>
      <c r="E35" s="948"/>
      <c r="F35" s="948">
        <f>+E35-D35</f>
        <v>-117000</v>
      </c>
      <c r="G35" s="58" t="s">
        <v>0</v>
      </c>
    </row>
    <row r="36" spans="1:7" ht="15.75" customHeight="1">
      <c r="A36" s="945" t="s">
        <v>501</v>
      </c>
      <c r="B36" s="957" t="s">
        <v>253</v>
      </c>
      <c r="C36" s="956"/>
      <c r="D36" s="966">
        <v>4000</v>
      </c>
      <c r="E36" s="948"/>
      <c r="F36" s="948">
        <f t="shared" ref="F36:F41" si="1">+E36-D36</f>
        <v>-4000</v>
      </c>
      <c r="G36" s="58" t="s">
        <v>0</v>
      </c>
    </row>
    <row r="37" spans="1:7" ht="15.75" customHeight="1">
      <c r="A37" s="945" t="s">
        <v>501</v>
      </c>
      <c r="B37" s="957" t="s">
        <v>219</v>
      </c>
      <c r="C37" s="956"/>
      <c r="D37" s="966">
        <v>4000</v>
      </c>
      <c r="E37" s="948"/>
      <c r="F37" s="948">
        <f t="shared" si="1"/>
        <v>-4000</v>
      </c>
      <c r="G37" s="58" t="s">
        <v>0</v>
      </c>
    </row>
    <row r="38" spans="1:7" ht="15.75" customHeight="1">
      <c r="A38" s="945" t="s">
        <v>499</v>
      </c>
      <c r="B38" s="939" t="s">
        <v>318</v>
      </c>
      <c r="C38" s="954">
        <v>37275.300000000003</v>
      </c>
      <c r="D38" s="954">
        <v>35000</v>
      </c>
      <c r="E38" s="938"/>
      <c r="F38" s="938">
        <f t="shared" si="1"/>
        <v>-35000</v>
      </c>
      <c r="G38" s="58" t="s">
        <v>0</v>
      </c>
    </row>
    <row r="39" spans="1:7" ht="15.75" customHeight="1">
      <c r="A39" s="975" t="s">
        <v>508</v>
      </c>
      <c r="B39" s="973" t="s">
        <v>319</v>
      </c>
      <c r="C39" s="954">
        <v>16566.8</v>
      </c>
      <c r="D39" s="954">
        <v>7000</v>
      </c>
      <c r="E39" s="938">
        <v>15000</v>
      </c>
      <c r="F39" s="938">
        <f t="shared" si="1"/>
        <v>8000</v>
      </c>
      <c r="G39" s="58" t="s">
        <v>0</v>
      </c>
    </row>
    <row r="40" spans="1:7" ht="15.75" customHeight="1">
      <c r="A40" s="975"/>
      <c r="B40" s="957" t="s">
        <v>652</v>
      </c>
      <c r="C40" s="954"/>
      <c r="D40" s="954"/>
      <c r="E40" s="948">
        <v>2500</v>
      </c>
      <c r="F40" s="948">
        <f t="shared" si="1"/>
        <v>2500</v>
      </c>
      <c r="G40" s="58"/>
    </row>
    <row r="41" spans="1:7" ht="15.75" customHeight="1">
      <c r="A41" s="945" t="s">
        <v>499</v>
      </c>
      <c r="B41" s="939" t="s">
        <v>553</v>
      </c>
      <c r="C41" s="972">
        <v>828.34</v>
      </c>
      <c r="D41" s="972">
        <v>0</v>
      </c>
      <c r="E41" s="938"/>
      <c r="F41" s="948">
        <f t="shared" si="1"/>
        <v>0</v>
      </c>
      <c r="G41" s="58" t="s">
        <v>0</v>
      </c>
    </row>
    <row r="42" spans="1:7" ht="15.75" customHeight="1">
      <c r="A42" s="945" t="s">
        <v>506</v>
      </c>
      <c r="B42" s="939" t="s">
        <v>320</v>
      </c>
      <c r="C42" s="956"/>
      <c r="D42" s="972">
        <v>20000</v>
      </c>
      <c r="E42" s="954" t="s">
        <v>507</v>
      </c>
      <c r="F42" s="938">
        <f>-D42</f>
        <v>-20000</v>
      </c>
      <c r="G42" s="58" t="s">
        <v>0</v>
      </c>
    </row>
    <row r="43" spans="1:7" ht="15.75" customHeight="1">
      <c r="A43" s="945" t="s">
        <v>499</v>
      </c>
      <c r="B43" s="939" t="s">
        <v>361</v>
      </c>
      <c r="C43" s="954">
        <v>41417</v>
      </c>
      <c r="D43" s="954">
        <v>38000</v>
      </c>
      <c r="E43" s="938"/>
      <c r="F43" s="938">
        <f>+E43-D43</f>
        <v>-38000</v>
      </c>
      <c r="G43" s="58" t="s">
        <v>0</v>
      </c>
    </row>
    <row r="44" spans="1:7" ht="15.75" customHeight="1">
      <c r="A44" s="945" t="s">
        <v>499</v>
      </c>
      <c r="B44" s="957" t="s">
        <v>321</v>
      </c>
      <c r="C44" s="966">
        <v>9940.08</v>
      </c>
      <c r="D44" s="966"/>
      <c r="E44" s="938"/>
      <c r="F44" s="938">
        <f t="shared" ref="F44:F85" si="2">+E44-D44</f>
        <v>0</v>
      </c>
      <c r="G44" s="58" t="s">
        <v>0</v>
      </c>
    </row>
    <row r="45" spans="1:7" ht="15.75" customHeight="1">
      <c r="A45" s="945" t="s">
        <v>499</v>
      </c>
      <c r="B45" s="957" t="s">
        <v>322</v>
      </c>
      <c r="C45" s="966">
        <v>8283.4</v>
      </c>
      <c r="D45" s="966"/>
      <c r="E45" s="938"/>
      <c r="F45" s="938">
        <f t="shared" si="2"/>
        <v>0</v>
      </c>
      <c r="G45" s="58" t="s">
        <v>0</v>
      </c>
    </row>
    <row r="46" spans="1:7" ht="15.75" customHeight="1">
      <c r="A46" s="945" t="s">
        <v>499</v>
      </c>
      <c r="B46" s="957" t="s">
        <v>323</v>
      </c>
      <c r="C46" s="966">
        <v>2485.02</v>
      </c>
      <c r="D46" s="966"/>
      <c r="E46" s="938"/>
      <c r="F46" s="938">
        <f t="shared" si="2"/>
        <v>0</v>
      </c>
      <c r="G46" s="58" t="s">
        <v>0</v>
      </c>
    </row>
    <row r="47" spans="1:7" ht="15.75" customHeight="1">
      <c r="A47" s="945" t="s">
        <v>499</v>
      </c>
      <c r="B47" s="957" t="s">
        <v>324</v>
      </c>
      <c r="C47" s="966">
        <v>20708.5</v>
      </c>
      <c r="D47" s="966"/>
      <c r="E47" s="938"/>
      <c r="F47" s="938">
        <f t="shared" si="2"/>
        <v>0</v>
      </c>
      <c r="G47" s="58" t="s">
        <v>0</v>
      </c>
    </row>
    <row r="48" spans="1:7" ht="15.75" customHeight="1">
      <c r="A48" s="945" t="s">
        <v>499</v>
      </c>
      <c r="B48" s="973" t="s">
        <v>325</v>
      </c>
      <c r="C48" s="954">
        <v>8283.4</v>
      </c>
      <c r="D48" s="954">
        <v>4000</v>
      </c>
      <c r="E48" s="938"/>
      <c r="F48" s="938">
        <f t="shared" si="2"/>
        <v>-4000</v>
      </c>
      <c r="G48" s="58" t="s">
        <v>0</v>
      </c>
    </row>
    <row r="49" spans="1:7" ht="16.5" customHeight="1">
      <c r="A49" s="945" t="s">
        <v>499</v>
      </c>
      <c r="B49" s="939" t="s">
        <v>326</v>
      </c>
      <c r="C49" s="954">
        <v>429908.46</v>
      </c>
      <c r="D49" s="954">
        <v>370000</v>
      </c>
      <c r="E49" s="938">
        <v>430000</v>
      </c>
      <c r="F49" s="938">
        <f t="shared" si="2"/>
        <v>60000</v>
      </c>
      <c r="G49" s="58" t="s">
        <v>0</v>
      </c>
    </row>
    <row r="50" spans="1:7" ht="16.5" customHeight="1">
      <c r="A50" s="945" t="s">
        <v>501</v>
      </c>
      <c r="B50" s="944" t="s">
        <v>328</v>
      </c>
      <c r="C50" s="966">
        <v>4141.7</v>
      </c>
      <c r="D50" s="966"/>
      <c r="E50" s="948"/>
      <c r="F50" s="948">
        <f t="shared" si="2"/>
        <v>0</v>
      </c>
      <c r="G50" s="58" t="s">
        <v>0</v>
      </c>
    </row>
    <row r="51" spans="1:7" ht="15.75" customHeight="1">
      <c r="A51" s="945" t="s">
        <v>499</v>
      </c>
      <c r="B51" s="944" t="s">
        <v>329</v>
      </c>
      <c r="C51" s="966">
        <v>2485.02</v>
      </c>
      <c r="D51" s="966">
        <v>2000</v>
      </c>
      <c r="E51" s="948">
        <v>2000</v>
      </c>
      <c r="F51" s="948">
        <f t="shared" si="2"/>
        <v>0</v>
      </c>
      <c r="G51" s="58" t="s">
        <v>0</v>
      </c>
    </row>
    <row r="52" spans="1:7" ht="15.75" customHeight="1">
      <c r="A52" s="945"/>
      <c r="B52" s="944" t="s">
        <v>330</v>
      </c>
      <c r="C52" s="966"/>
      <c r="D52" s="966">
        <v>4000</v>
      </c>
      <c r="E52" s="948"/>
      <c r="F52" s="948">
        <f t="shared" si="2"/>
        <v>-4000</v>
      </c>
      <c r="G52" s="58" t="s">
        <v>0</v>
      </c>
    </row>
    <row r="53" spans="1:7" ht="15.75" customHeight="1">
      <c r="A53" s="945"/>
      <c r="B53" s="944" t="s">
        <v>327</v>
      </c>
      <c r="C53" s="966"/>
      <c r="D53" s="966">
        <v>6000</v>
      </c>
      <c r="E53" s="948">
        <v>6000</v>
      </c>
      <c r="F53" s="948">
        <f t="shared" si="2"/>
        <v>0</v>
      </c>
      <c r="G53" s="58" t="s">
        <v>0</v>
      </c>
    </row>
    <row r="54" spans="1:7" ht="15.75" customHeight="1">
      <c r="A54" s="945"/>
      <c r="B54" s="944" t="s">
        <v>332</v>
      </c>
      <c r="C54" s="966"/>
      <c r="D54" s="966">
        <v>4000</v>
      </c>
      <c r="E54" s="948">
        <v>4000</v>
      </c>
      <c r="F54" s="948">
        <f t="shared" si="2"/>
        <v>0</v>
      </c>
      <c r="G54" s="58" t="s">
        <v>0</v>
      </c>
    </row>
    <row r="55" spans="1:7" ht="15.75" customHeight="1">
      <c r="A55" s="945"/>
      <c r="B55" s="944" t="s">
        <v>333</v>
      </c>
      <c r="C55" s="966"/>
      <c r="D55" s="966">
        <v>2000</v>
      </c>
      <c r="E55" s="948">
        <v>5000</v>
      </c>
      <c r="F55" s="948">
        <f t="shared" si="2"/>
        <v>3000</v>
      </c>
      <c r="G55" s="58" t="s">
        <v>0</v>
      </c>
    </row>
    <row r="56" spans="1:7" ht="15.75" customHeight="1">
      <c r="A56" s="945"/>
      <c r="B56" s="939" t="s">
        <v>331</v>
      </c>
      <c r="C56" s="966"/>
      <c r="D56" s="954">
        <v>100000</v>
      </c>
      <c r="E56" s="948"/>
      <c r="F56" s="938">
        <v>-100000</v>
      </c>
      <c r="G56" s="58"/>
    </row>
    <row r="57" spans="1:7" ht="30" customHeight="1">
      <c r="A57" s="945" t="s">
        <v>499</v>
      </c>
      <c r="B57" s="939" t="s">
        <v>334</v>
      </c>
      <c r="C57" s="956"/>
      <c r="D57" s="956"/>
      <c r="E57" s="938">
        <v>8000</v>
      </c>
      <c r="F57" s="938">
        <f>+E57</f>
        <v>8000</v>
      </c>
      <c r="G57" s="58" t="s">
        <v>0</v>
      </c>
    </row>
    <row r="58" spans="1:7" ht="16.5" customHeight="1">
      <c r="A58" s="945" t="s">
        <v>499</v>
      </c>
      <c r="B58" s="939" t="s">
        <v>335</v>
      </c>
      <c r="C58" s="954">
        <v>9940.08</v>
      </c>
      <c r="D58" s="954">
        <v>9000</v>
      </c>
      <c r="E58" s="938"/>
      <c r="F58" s="938">
        <f t="shared" si="2"/>
        <v>-9000</v>
      </c>
      <c r="G58" s="58" t="s">
        <v>0</v>
      </c>
    </row>
    <row r="59" spans="1:7" ht="15.75" customHeight="1">
      <c r="A59" s="945" t="s">
        <v>499</v>
      </c>
      <c r="B59" s="939" t="s">
        <v>336</v>
      </c>
      <c r="C59" s="954">
        <v>1656.68</v>
      </c>
      <c r="D59" s="954">
        <v>1000</v>
      </c>
      <c r="E59" s="938"/>
      <c r="F59" s="938">
        <f t="shared" si="2"/>
        <v>-1000</v>
      </c>
      <c r="G59" s="58" t="s">
        <v>0</v>
      </c>
    </row>
    <row r="60" spans="1:7" ht="15.75">
      <c r="A60" s="945" t="s">
        <v>497</v>
      </c>
      <c r="B60" s="939" t="s">
        <v>554</v>
      </c>
      <c r="C60" s="972">
        <v>9525.91</v>
      </c>
      <c r="D60" s="972">
        <v>6000</v>
      </c>
      <c r="E60" s="938">
        <v>6000</v>
      </c>
      <c r="F60" s="938">
        <f t="shared" si="2"/>
        <v>0</v>
      </c>
      <c r="G60" s="58" t="s">
        <v>0</v>
      </c>
    </row>
    <row r="61" spans="1:7" ht="15.75">
      <c r="A61" s="945" t="s">
        <v>497</v>
      </c>
      <c r="B61" s="978" t="s">
        <v>362</v>
      </c>
      <c r="C61" s="977">
        <v>16566.8</v>
      </c>
      <c r="D61" s="977">
        <v>5000</v>
      </c>
      <c r="E61" s="938">
        <v>5000</v>
      </c>
      <c r="F61" s="938">
        <f t="shared" si="2"/>
        <v>0</v>
      </c>
      <c r="G61" s="58" t="s">
        <v>0</v>
      </c>
    </row>
    <row r="62" spans="1:7" ht="15.75" customHeight="1">
      <c r="A62" s="975" t="s">
        <v>499</v>
      </c>
      <c r="B62" s="939" t="s">
        <v>337</v>
      </c>
      <c r="C62" s="954">
        <v>2485.02</v>
      </c>
      <c r="D62" s="954">
        <v>0</v>
      </c>
      <c r="E62" s="938">
        <v>0</v>
      </c>
      <c r="F62" s="938">
        <f t="shared" si="2"/>
        <v>0</v>
      </c>
      <c r="G62" s="58" t="s">
        <v>0</v>
      </c>
    </row>
    <row r="63" spans="1:7" ht="18.75">
      <c r="A63" s="945" t="s">
        <v>501</v>
      </c>
      <c r="B63" s="939" t="s">
        <v>555</v>
      </c>
      <c r="C63" s="972">
        <v>28991.9</v>
      </c>
      <c r="D63" s="972">
        <v>12000</v>
      </c>
      <c r="E63" s="938">
        <v>0</v>
      </c>
      <c r="F63" s="938">
        <f t="shared" si="2"/>
        <v>-12000</v>
      </c>
      <c r="G63" s="58" t="s">
        <v>0</v>
      </c>
    </row>
    <row r="64" spans="1:7" ht="17.25" customHeight="1">
      <c r="A64" s="945" t="s">
        <v>499</v>
      </c>
      <c r="B64" s="939" t="s">
        <v>338</v>
      </c>
      <c r="C64" s="954">
        <v>5798.38</v>
      </c>
      <c r="D64" s="954">
        <v>7000</v>
      </c>
      <c r="E64" s="938">
        <v>7000</v>
      </c>
      <c r="F64" s="938">
        <f t="shared" si="2"/>
        <v>0</v>
      </c>
      <c r="G64" s="58" t="s">
        <v>0</v>
      </c>
    </row>
    <row r="65" spans="1:7" ht="15.75" customHeight="1">
      <c r="A65" s="975" t="s">
        <v>499</v>
      </c>
      <c r="B65" s="939" t="s">
        <v>339</v>
      </c>
      <c r="C65" s="954">
        <v>12425.1</v>
      </c>
      <c r="D65" s="954">
        <v>12500</v>
      </c>
      <c r="E65" s="938">
        <v>10500</v>
      </c>
      <c r="F65" s="938">
        <f t="shared" si="2"/>
        <v>-2000</v>
      </c>
      <c r="G65" s="58" t="s">
        <v>0</v>
      </c>
    </row>
    <row r="66" spans="1:7" ht="20.25" customHeight="1">
      <c r="A66" s="975" t="s">
        <v>499</v>
      </c>
      <c r="B66" s="973" t="s">
        <v>340</v>
      </c>
      <c r="C66" s="956"/>
      <c r="D66" s="956"/>
      <c r="E66" s="938">
        <v>52000</v>
      </c>
      <c r="F66" s="938">
        <f>+E66</f>
        <v>52000</v>
      </c>
      <c r="G66" s="58" t="s">
        <v>0</v>
      </c>
    </row>
    <row r="67" spans="1:7" ht="15.75" customHeight="1">
      <c r="A67" s="945" t="s">
        <v>501</v>
      </c>
      <c r="B67" s="939" t="s">
        <v>474</v>
      </c>
      <c r="C67" s="972">
        <v>828.34</v>
      </c>
      <c r="D67" s="972">
        <v>0</v>
      </c>
      <c r="E67" s="938">
        <v>0</v>
      </c>
      <c r="F67" s="938">
        <f t="shared" si="2"/>
        <v>0</v>
      </c>
      <c r="G67" s="58" t="s">
        <v>0</v>
      </c>
    </row>
    <row r="68" spans="1:7" ht="15.75" customHeight="1">
      <c r="A68" s="945" t="s">
        <v>499</v>
      </c>
      <c r="B68" s="939" t="s">
        <v>341</v>
      </c>
      <c r="C68" s="954">
        <v>24850.2</v>
      </c>
      <c r="D68" s="954">
        <v>10000</v>
      </c>
      <c r="E68" s="938">
        <v>21000</v>
      </c>
      <c r="F68" s="938">
        <f t="shared" si="2"/>
        <v>11000</v>
      </c>
      <c r="G68" s="58" t="s">
        <v>13</v>
      </c>
    </row>
    <row r="69" spans="1:7" ht="15.75" customHeight="1">
      <c r="A69" s="945" t="s">
        <v>509</v>
      </c>
      <c r="B69" s="973" t="s">
        <v>357</v>
      </c>
      <c r="C69" s="972">
        <v>82834</v>
      </c>
      <c r="D69" s="972">
        <v>63000</v>
      </c>
      <c r="E69" s="938">
        <v>80000</v>
      </c>
      <c r="F69" s="938">
        <f t="shared" si="2"/>
        <v>17000</v>
      </c>
      <c r="G69" s="58" t="s">
        <v>0</v>
      </c>
    </row>
    <row r="70" spans="1:7" ht="15.75" customHeight="1">
      <c r="A70" s="945"/>
      <c r="B70" s="957" t="s">
        <v>342</v>
      </c>
      <c r="C70" s="956">
        <v>30648.58</v>
      </c>
      <c r="D70" s="956"/>
      <c r="E70" s="948"/>
      <c r="F70" s="948">
        <f t="shared" si="2"/>
        <v>0</v>
      </c>
      <c r="G70" s="58" t="s">
        <v>0</v>
      </c>
    </row>
    <row r="71" spans="1:7" ht="15.75" customHeight="1">
      <c r="A71" s="945"/>
      <c r="B71" s="957" t="s">
        <v>343</v>
      </c>
      <c r="C71" s="956">
        <v>2070.85</v>
      </c>
      <c r="D71" s="956"/>
      <c r="E71" s="948"/>
      <c r="F71" s="948">
        <f t="shared" si="2"/>
        <v>0</v>
      </c>
      <c r="G71" s="58" t="s">
        <v>0</v>
      </c>
    </row>
    <row r="72" spans="1:7" ht="15.75" customHeight="1">
      <c r="A72" s="945"/>
      <c r="B72" s="957" t="s">
        <v>344</v>
      </c>
      <c r="C72" s="956">
        <v>6212.55</v>
      </c>
      <c r="D72" s="956"/>
      <c r="E72" s="948"/>
      <c r="F72" s="948">
        <f t="shared" si="2"/>
        <v>0</v>
      </c>
      <c r="G72" s="58" t="s">
        <v>0</v>
      </c>
    </row>
    <row r="73" spans="1:7" ht="15.75" customHeight="1">
      <c r="A73" s="945"/>
      <c r="B73" s="957" t="s">
        <v>345</v>
      </c>
      <c r="C73" s="956">
        <v>12425.1</v>
      </c>
      <c r="D73" s="956"/>
      <c r="E73" s="948"/>
      <c r="F73" s="948">
        <f t="shared" si="2"/>
        <v>0</v>
      </c>
      <c r="G73" s="58" t="s">
        <v>0</v>
      </c>
    </row>
    <row r="74" spans="1:7" ht="15.75" customHeight="1">
      <c r="A74" s="945"/>
      <c r="B74" s="957" t="s">
        <v>346</v>
      </c>
      <c r="C74" s="948">
        <v>10768.42</v>
      </c>
      <c r="D74" s="948"/>
      <c r="E74" s="948"/>
      <c r="F74" s="948">
        <f t="shared" si="2"/>
        <v>0</v>
      </c>
      <c r="G74" s="58" t="s">
        <v>0</v>
      </c>
    </row>
    <row r="75" spans="1:7" ht="15.75" customHeight="1">
      <c r="A75" s="945"/>
      <c r="B75" s="957" t="s">
        <v>347</v>
      </c>
      <c r="C75" s="956"/>
      <c r="D75" s="956"/>
      <c r="E75" s="948">
        <v>20000</v>
      </c>
      <c r="F75" s="948">
        <f>+E75</f>
        <v>20000</v>
      </c>
      <c r="G75" s="58" t="s">
        <v>0</v>
      </c>
    </row>
    <row r="76" spans="1:7" ht="15.75" customHeight="1">
      <c r="A76" s="945"/>
      <c r="B76" s="957" t="s">
        <v>348</v>
      </c>
      <c r="C76" s="948">
        <v>8283.4</v>
      </c>
      <c r="D76" s="948"/>
      <c r="E76" s="948"/>
      <c r="F76" s="948">
        <f t="shared" si="2"/>
        <v>0</v>
      </c>
      <c r="G76" s="58" t="s">
        <v>0</v>
      </c>
    </row>
    <row r="77" spans="1:7" s="952" customFormat="1" ht="15.75" customHeight="1">
      <c r="A77" s="945"/>
      <c r="B77" s="957" t="s">
        <v>349</v>
      </c>
      <c r="C77" s="956">
        <v>8283.4</v>
      </c>
      <c r="D77" s="956"/>
      <c r="E77" s="976"/>
      <c r="F77" s="948">
        <f t="shared" si="2"/>
        <v>0</v>
      </c>
      <c r="G77" s="58" t="s">
        <v>0</v>
      </c>
    </row>
    <row r="78" spans="1:7" s="952" customFormat="1" ht="15.75" customHeight="1">
      <c r="A78" s="945"/>
      <c r="B78" s="957" t="s">
        <v>350</v>
      </c>
      <c r="C78" s="956"/>
      <c r="D78" s="956">
        <v>4000</v>
      </c>
      <c r="E78" s="948">
        <v>10000</v>
      </c>
      <c r="F78" s="948">
        <f t="shared" si="2"/>
        <v>6000</v>
      </c>
      <c r="G78" s="58" t="s">
        <v>0</v>
      </c>
    </row>
    <row r="79" spans="1:7" s="952" customFormat="1" ht="15.75">
      <c r="A79" s="945"/>
      <c r="B79" s="957" t="s">
        <v>351</v>
      </c>
      <c r="C79" s="956">
        <v>4141.7</v>
      </c>
      <c r="D79" s="956"/>
      <c r="E79" s="948"/>
      <c r="F79" s="948">
        <f t="shared" si="2"/>
        <v>0</v>
      </c>
      <c r="G79" s="58" t="s">
        <v>0</v>
      </c>
    </row>
    <row r="80" spans="1:7" ht="15.75" customHeight="1">
      <c r="A80" s="945" t="s">
        <v>499</v>
      </c>
      <c r="B80" s="939" t="s">
        <v>352</v>
      </c>
      <c r="C80" s="954">
        <v>25678.54</v>
      </c>
      <c r="D80" s="954">
        <v>0</v>
      </c>
      <c r="E80" s="938">
        <v>0</v>
      </c>
      <c r="F80" s="938">
        <f t="shared" si="2"/>
        <v>0</v>
      </c>
      <c r="G80" s="58" t="s">
        <v>0</v>
      </c>
    </row>
    <row r="81" spans="1:7" ht="15.75" customHeight="1">
      <c r="A81" s="945" t="s">
        <v>499</v>
      </c>
      <c r="B81" s="973" t="s">
        <v>510</v>
      </c>
      <c r="C81" s="972">
        <v>12425.1</v>
      </c>
      <c r="D81" s="972">
        <v>5000</v>
      </c>
      <c r="E81" s="938">
        <v>5000</v>
      </c>
      <c r="F81" s="938">
        <f t="shared" si="2"/>
        <v>0</v>
      </c>
      <c r="G81" s="58" t="s">
        <v>0</v>
      </c>
    </row>
    <row r="82" spans="1:7" ht="15.75" customHeight="1">
      <c r="A82" s="945" t="s">
        <v>499</v>
      </c>
      <c r="B82" s="939" t="s">
        <v>353</v>
      </c>
      <c r="C82" s="954">
        <v>273352.2</v>
      </c>
      <c r="D82" s="954">
        <v>240000</v>
      </c>
      <c r="E82" s="938">
        <v>70000</v>
      </c>
      <c r="F82" s="938">
        <f t="shared" si="2"/>
        <v>-170000</v>
      </c>
      <c r="G82" s="58" t="s">
        <v>0</v>
      </c>
    </row>
    <row r="83" spans="1:7" ht="15.75" customHeight="1">
      <c r="A83" s="945" t="s">
        <v>499</v>
      </c>
      <c r="B83" s="973" t="s">
        <v>354</v>
      </c>
      <c r="C83" s="954">
        <v>8283.4</v>
      </c>
      <c r="D83" s="954">
        <v>0</v>
      </c>
      <c r="E83" s="938">
        <v>0</v>
      </c>
      <c r="F83" s="938">
        <f t="shared" si="2"/>
        <v>0</v>
      </c>
      <c r="G83" s="58" t="s">
        <v>0</v>
      </c>
    </row>
    <row r="84" spans="1:7" ht="15.75" customHeight="1">
      <c r="A84" s="945" t="s">
        <v>506</v>
      </c>
      <c r="B84" s="939" t="s">
        <v>470</v>
      </c>
      <c r="C84" s="972">
        <v>2899.19</v>
      </c>
      <c r="D84" s="954">
        <v>0</v>
      </c>
      <c r="E84" s="938">
        <v>0</v>
      </c>
      <c r="F84" s="938">
        <f t="shared" si="2"/>
        <v>0</v>
      </c>
      <c r="G84" s="58" t="s">
        <v>0</v>
      </c>
    </row>
    <row r="85" spans="1:7" ht="15.75" customHeight="1">
      <c r="A85" s="945" t="s">
        <v>497</v>
      </c>
      <c r="B85" s="939" t="s">
        <v>471</v>
      </c>
      <c r="C85" s="972">
        <v>2485.02</v>
      </c>
      <c r="D85" s="954">
        <v>0</v>
      </c>
      <c r="E85" s="938">
        <v>0</v>
      </c>
      <c r="F85" s="938">
        <f t="shared" si="2"/>
        <v>0</v>
      </c>
      <c r="G85" s="58" t="s">
        <v>0</v>
      </c>
    </row>
    <row r="86" spans="1:7" ht="15.75" customHeight="1">
      <c r="A86" s="975" t="s">
        <v>511</v>
      </c>
      <c r="B86" s="939" t="s">
        <v>355</v>
      </c>
      <c r="C86" s="954">
        <v>10354.25</v>
      </c>
      <c r="D86" s="954">
        <v>10500</v>
      </c>
      <c r="E86" s="954" t="s">
        <v>507</v>
      </c>
      <c r="F86" s="938">
        <f>-D86</f>
        <v>-10500</v>
      </c>
      <c r="G86" s="58" t="s">
        <v>0</v>
      </c>
    </row>
    <row r="87" spans="1:7" ht="15.75" customHeight="1">
      <c r="B87" s="974" t="s">
        <v>556</v>
      </c>
      <c r="C87" s="953">
        <f>C24+C27+C29+C33+C38+C39+C41+C43+C48+C49+C58+C59+C60+C61+C62+C63+C64+C65+C67+C68+C69+C80+C81+C82+C83+C84+C85+C86</f>
        <v>1117844.8299999998</v>
      </c>
      <c r="D87" s="953">
        <f>D21+D22+D24+D25+D27+D29+D31+D32+D33+D34+D38+D39+D41+D42+D43+D48+D49+D56+D58+D59+D60+D61+D62+D63+D64+D65+D67+D68+D69+D80+D81+D82+D83+D84+D85+D86</f>
        <v>1162500</v>
      </c>
      <c r="E87" s="953">
        <f>E22+E24+E25+E27+E29+E31+E38+E39+E41+E43+E48+E49+E57+E59+E60+E61+E62+E63+E64+E65+E66+E68+E69+E80+E81+E82+E83+E84+E85</f>
        <v>781500</v>
      </c>
      <c r="F87" s="953">
        <f>F21+F24+F25+F27+F29+F32+F33+F34+F38+F39+F41+F42+F43+F48+F49+F56+F57+F58+F59+F60+F61+F62+F63+F64+F65+F66+F67+F68+F69+F80+F81+F82+F83+F84+F85+F86</f>
        <v>-381000</v>
      </c>
      <c r="G87" s="58" t="s">
        <v>0</v>
      </c>
    </row>
    <row r="88" spans="1:7" s="959" customFormat="1" ht="15.75" customHeight="1">
      <c r="A88" s="945"/>
      <c r="B88" s="942"/>
      <c r="C88" s="953"/>
      <c r="D88" s="953"/>
      <c r="E88" s="953"/>
      <c r="F88" s="953"/>
      <c r="G88" s="58" t="s">
        <v>0</v>
      </c>
    </row>
    <row r="89" spans="1:7" ht="15.75" customHeight="1">
      <c r="A89" s="945"/>
      <c r="B89" s="973"/>
      <c r="C89" s="938"/>
      <c r="D89" s="938"/>
      <c r="E89" s="938"/>
      <c r="F89" s="938"/>
      <c r="G89" s="58" t="s">
        <v>0</v>
      </c>
    </row>
    <row r="90" spans="1:7" ht="15.75" customHeight="1">
      <c r="B90" s="950" t="s">
        <v>512</v>
      </c>
      <c r="C90" s="922"/>
      <c r="D90" s="922"/>
      <c r="E90" s="938"/>
      <c r="F90" s="938"/>
      <c r="G90" s="58" t="s">
        <v>0</v>
      </c>
    </row>
    <row r="91" spans="1:7" ht="15.75" customHeight="1">
      <c r="A91" s="945" t="s">
        <v>498</v>
      </c>
      <c r="B91" s="939" t="s">
        <v>462</v>
      </c>
      <c r="C91" s="972"/>
      <c r="D91" s="938">
        <v>1500</v>
      </c>
      <c r="E91" s="938">
        <v>0</v>
      </c>
      <c r="F91" s="938">
        <v>-1500</v>
      </c>
      <c r="G91" s="58" t="s">
        <v>0</v>
      </c>
    </row>
    <row r="92" spans="1:7" ht="15.75" customHeight="1">
      <c r="A92" s="945" t="s">
        <v>498</v>
      </c>
      <c r="B92" s="939" t="s">
        <v>513</v>
      </c>
      <c r="C92" s="938">
        <v>8283.4</v>
      </c>
      <c r="D92" s="938">
        <v>8000</v>
      </c>
      <c r="E92" s="938">
        <v>25000</v>
      </c>
      <c r="F92" s="938">
        <v>17000</v>
      </c>
      <c r="G92" s="58" t="s">
        <v>0</v>
      </c>
    </row>
    <row r="93" spans="1:7" ht="15.75" customHeight="1">
      <c r="A93" s="945"/>
      <c r="B93" s="939" t="s">
        <v>514</v>
      </c>
      <c r="C93" s="972"/>
      <c r="D93" s="972"/>
      <c r="E93" s="938">
        <v>20000</v>
      </c>
      <c r="F93" s="938">
        <v>20000</v>
      </c>
      <c r="G93" s="58" t="s">
        <v>0</v>
      </c>
    </row>
    <row r="94" spans="1:7" ht="15.75" customHeight="1">
      <c r="A94" s="945" t="s">
        <v>498</v>
      </c>
      <c r="B94" s="939" t="s">
        <v>515</v>
      </c>
      <c r="C94" s="938">
        <v>45558.7</v>
      </c>
      <c r="D94" s="938">
        <v>30000</v>
      </c>
      <c r="E94" s="938">
        <v>30000</v>
      </c>
      <c r="F94" s="938">
        <v>0</v>
      </c>
      <c r="G94" s="58" t="s">
        <v>0</v>
      </c>
    </row>
    <row r="95" spans="1:7" ht="18.75">
      <c r="A95" s="945" t="s">
        <v>498</v>
      </c>
      <c r="B95" s="939" t="s">
        <v>557</v>
      </c>
      <c r="C95" s="954" t="s">
        <v>516</v>
      </c>
      <c r="D95" s="1371">
        <v>65000</v>
      </c>
      <c r="E95" s="954" t="s">
        <v>507</v>
      </c>
      <c r="F95" s="1372">
        <v>-65000</v>
      </c>
      <c r="G95" s="58" t="s">
        <v>0</v>
      </c>
    </row>
    <row r="96" spans="1:7" ht="15.75" customHeight="1">
      <c r="A96" s="945" t="s">
        <v>498</v>
      </c>
      <c r="B96" s="939" t="s">
        <v>420</v>
      </c>
      <c r="C96" s="972"/>
      <c r="D96" s="972">
        <v>2000</v>
      </c>
      <c r="E96" s="938">
        <v>2000</v>
      </c>
      <c r="F96" s="938">
        <v>0</v>
      </c>
      <c r="G96" s="58" t="s">
        <v>0</v>
      </c>
    </row>
    <row r="97" spans="1:7" ht="15.75" customHeight="1">
      <c r="A97" s="945" t="s">
        <v>498</v>
      </c>
      <c r="B97" s="939" t="s">
        <v>517</v>
      </c>
      <c r="C97" s="938">
        <v>62125.5</v>
      </c>
      <c r="D97" s="938">
        <v>40000</v>
      </c>
      <c r="E97" s="938">
        <v>70000</v>
      </c>
      <c r="F97" s="938">
        <v>30000</v>
      </c>
      <c r="G97" s="58" t="s">
        <v>0</v>
      </c>
    </row>
    <row r="98" spans="1:7" ht="15.75" customHeight="1">
      <c r="A98" s="945" t="s">
        <v>498</v>
      </c>
      <c r="B98" s="939" t="s">
        <v>518</v>
      </c>
      <c r="C98" s="938">
        <v>4141.7</v>
      </c>
      <c r="D98" s="938">
        <v>0</v>
      </c>
      <c r="E98" s="938">
        <v>0</v>
      </c>
      <c r="F98" s="938">
        <v>0</v>
      </c>
      <c r="G98" s="58" t="s">
        <v>0</v>
      </c>
    </row>
    <row r="99" spans="1:7" ht="15.75" customHeight="1">
      <c r="A99" s="945" t="s">
        <v>498</v>
      </c>
      <c r="B99" s="939" t="s">
        <v>405</v>
      </c>
      <c r="C99" s="938">
        <v>53842.1</v>
      </c>
      <c r="D99" s="938">
        <v>20000</v>
      </c>
      <c r="E99" s="938">
        <v>40000</v>
      </c>
      <c r="F99" s="938">
        <v>20000</v>
      </c>
      <c r="G99" s="58" t="s">
        <v>0</v>
      </c>
    </row>
    <row r="100" spans="1:7" ht="15.75" customHeight="1">
      <c r="A100" s="945" t="s">
        <v>498</v>
      </c>
      <c r="B100" s="957" t="s">
        <v>416</v>
      </c>
      <c r="C100" s="948">
        <v>20708.5</v>
      </c>
      <c r="D100" s="948">
        <v>5000</v>
      </c>
      <c r="E100" s="948"/>
      <c r="F100" s="948">
        <v>-5000</v>
      </c>
      <c r="G100" s="58" t="s">
        <v>0</v>
      </c>
    </row>
    <row r="101" spans="1:7" ht="15.75" customHeight="1">
      <c r="A101" s="945" t="s">
        <v>519</v>
      </c>
      <c r="B101" s="957" t="s">
        <v>520</v>
      </c>
      <c r="C101" s="948">
        <v>8283.4</v>
      </c>
      <c r="D101" s="948">
        <v>5000</v>
      </c>
      <c r="E101" s="948"/>
      <c r="F101" s="948">
        <v>-5000</v>
      </c>
      <c r="G101" s="58" t="s">
        <v>0</v>
      </c>
    </row>
    <row r="102" spans="1:7" ht="15.75" customHeight="1">
      <c r="A102" s="945" t="s">
        <v>498</v>
      </c>
      <c r="B102" s="957" t="s">
        <v>413</v>
      </c>
      <c r="C102" s="948">
        <v>4141.7</v>
      </c>
      <c r="D102" s="948"/>
      <c r="E102" s="948"/>
      <c r="F102" s="948">
        <v>0</v>
      </c>
      <c r="G102" s="58" t="s">
        <v>0</v>
      </c>
    </row>
    <row r="103" spans="1:7" ht="15.75" customHeight="1">
      <c r="A103" s="945" t="s">
        <v>498</v>
      </c>
      <c r="B103" s="957" t="s">
        <v>414</v>
      </c>
      <c r="C103" s="948">
        <v>20708.5</v>
      </c>
      <c r="D103" s="948">
        <v>10000</v>
      </c>
      <c r="E103" s="948"/>
      <c r="F103" s="948">
        <v>-10000</v>
      </c>
      <c r="G103" s="58" t="s">
        <v>0</v>
      </c>
    </row>
    <row r="104" spans="1:7" ht="15.75" customHeight="1">
      <c r="A104" s="945" t="s">
        <v>498</v>
      </c>
      <c r="B104" s="939" t="s">
        <v>409</v>
      </c>
      <c r="C104" s="938">
        <v>18637.650000000001</v>
      </c>
      <c r="D104" s="938">
        <v>18000</v>
      </c>
      <c r="E104" s="938"/>
      <c r="F104" s="938">
        <v>-18000</v>
      </c>
      <c r="G104" s="58" t="s">
        <v>0</v>
      </c>
    </row>
    <row r="105" spans="1:7" ht="15.75" customHeight="1">
      <c r="A105" s="945" t="s">
        <v>498</v>
      </c>
      <c r="B105" s="957" t="s">
        <v>521</v>
      </c>
      <c r="C105" s="948">
        <v>4141.7</v>
      </c>
      <c r="D105" s="948"/>
      <c r="E105" s="938"/>
      <c r="F105" s="938">
        <v>0</v>
      </c>
      <c r="G105" s="58" t="s">
        <v>0</v>
      </c>
    </row>
    <row r="106" spans="1:7" ht="15.75" customHeight="1">
      <c r="A106" s="945" t="s">
        <v>498</v>
      </c>
      <c r="B106" s="939" t="s">
        <v>410</v>
      </c>
      <c r="C106" s="938">
        <v>82834</v>
      </c>
      <c r="D106" s="938">
        <v>78000</v>
      </c>
      <c r="E106" s="938">
        <v>58000</v>
      </c>
      <c r="F106" s="938">
        <v>-20000</v>
      </c>
      <c r="G106" s="58" t="s">
        <v>0</v>
      </c>
    </row>
    <row r="107" spans="1:7" s="971" customFormat="1" ht="15.75" customHeight="1">
      <c r="A107" s="945"/>
      <c r="B107" s="942" t="s">
        <v>558</v>
      </c>
      <c r="C107" s="941">
        <f>C92+C94+C97+C98+C99+C104+C106</f>
        <v>275423.05</v>
      </c>
      <c r="D107" s="941">
        <f>D91+D92+D94+D95+D96+D97+D98+D99+D104+D106</f>
        <v>262500</v>
      </c>
      <c r="E107" s="941">
        <f>E92+E93+E94+E96+E97+E98+E99+E104+E106</f>
        <v>245000</v>
      </c>
      <c r="F107" s="941">
        <f>F91+F92+F93+F94+F95+F96+F97+F98+F99+F104+F106</f>
        <v>-17500</v>
      </c>
      <c r="G107" s="58" t="s">
        <v>0</v>
      </c>
    </row>
    <row r="108" spans="1:7" ht="15.75" customHeight="1">
      <c r="A108" s="945"/>
      <c r="B108" s="939"/>
      <c r="C108" s="941"/>
      <c r="D108" s="941"/>
      <c r="E108" s="941"/>
      <c r="F108" s="941"/>
      <c r="G108" s="58" t="s">
        <v>0</v>
      </c>
    </row>
    <row r="109" spans="1:7" ht="15.75" customHeight="1">
      <c r="A109" s="945"/>
      <c r="B109" s="950" t="s">
        <v>443</v>
      </c>
      <c r="C109" s="922"/>
      <c r="D109" s="922"/>
      <c r="E109" s="938"/>
      <c r="F109" s="938"/>
      <c r="G109" s="58" t="s">
        <v>0</v>
      </c>
    </row>
    <row r="110" spans="1:7" ht="15.75" customHeight="1">
      <c r="A110" s="945" t="s">
        <v>499</v>
      </c>
      <c r="B110" s="939" t="s">
        <v>522</v>
      </c>
      <c r="C110" s="954">
        <v>4990</v>
      </c>
      <c r="D110" s="954"/>
      <c r="E110" s="938"/>
      <c r="F110" s="938"/>
      <c r="G110" s="58" t="s">
        <v>0</v>
      </c>
    </row>
    <row r="111" spans="1:7" ht="15.75" customHeight="1">
      <c r="A111" s="945" t="s">
        <v>499</v>
      </c>
      <c r="B111" s="939" t="s">
        <v>523</v>
      </c>
      <c r="C111" s="954">
        <v>4091.8</v>
      </c>
      <c r="D111" s="954"/>
      <c r="E111" s="938"/>
      <c r="F111" s="938"/>
      <c r="G111" s="58" t="s">
        <v>0</v>
      </c>
    </row>
    <row r="112" spans="1:7" s="951" customFormat="1" ht="15.75" customHeight="1">
      <c r="A112" s="945"/>
      <c r="B112" s="942" t="s">
        <v>524</v>
      </c>
      <c r="C112" s="953">
        <v>9081.7999999999993</v>
      </c>
      <c r="D112" s="953">
        <v>16300</v>
      </c>
      <c r="E112" s="953">
        <v>16300</v>
      </c>
      <c r="F112" s="953">
        <v>0</v>
      </c>
      <c r="G112" s="58" t="s">
        <v>0</v>
      </c>
    </row>
    <row r="113" spans="1:7" ht="15.75" customHeight="1">
      <c r="A113" s="945"/>
      <c r="B113" s="939"/>
      <c r="C113" s="922"/>
      <c r="D113" s="922"/>
      <c r="E113" s="938"/>
      <c r="F113" s="938"/>
      <c r="G113" s="58" t="s">
        <v>0</v>
      </c>
    </row>
    <row r="114" spans="1:7" ht="15.75" customHeight="1">
      <c r="A114" s="945"/>
      <c r="B114" s="950" t="s">
        <v>649</v>
      </c>
      <c r="C114" s="941"/>
      <c r="D114" s="941"/>
      <c r="E114" s="941">
        <v>220500</v>
      </c>
      <c r="F114" s="941">
        <v>220500</v>
      </c>
      <c r="G114" s="58" t="s">
        <v>0</v>
      </c>
    </row>
    <row r="115" spans="1:7" ht="15.75" customHeight="1">
      <c r="A115" s="945"/>
      <c r="B115" s="950"/>
      <c r="C115" s="941"/>
      <c r="D115" s="941"/>
      <c r="E115" s="941"/>
      <c r="F115" s="941"/>
      <c r="G115" s="58"/>
    </row>
    <row r="116" spans="1:7" s="951" customFormat="1" ht="15.75" customHeight="1">
      <c r="A116" s="945"/>
      <c r="B116" s="942" t="s">
        <v>559</v>
      </c>
      <c r="C116" s="941">
        <f>C4+C18+C87+C107+C112</f>
        <v>1777003.68</v>
      </c>
      <c r="D116" s="941">
        <f>D4+D18+D87+D107+D112</f>
        <v>1554300</v>
      </c>
      <c r="E116" s="941">
        <f>E4+E18+E87+E107+E112+E114</f>
        <v>1399300</v>
      </c>
      <c r="F116" s="941">
        <f>F4+F18++F87+F107+F112+F114</f>
        <v>-155000</v>
      </c>
      <c r="G116" s="58" t="s">
        <v>0</v>
      </c>
    </row>
    <row r="117" spans="1:7" ht="15.75" customHeight="1">
      <c r="A117" s="945" t="s">
        <v>503</v>
      </c>
      <c r="B117" s="949" t="s">
        <v>525</v>
      </c>
      <c r="C117" s="956"/>
      <c r="D117" s="956"/>
      <c r="E117" s="966">
        <f>SUM(E116-E114-E112-E43)*7%</f>
        <v>81375.000000000015</v>
      </c>
      <c r="F117" s="941"/>
      <c r="G117" s="58" t="s">
        <v>0</v>
      </c>
    </row>
    <row r="118" spans="1:7" ht="15.75" customHeight="1">
      <c r="A118" s="945" t="s">
        <v>503</v>
      </c>
      <c r="B118" s="949" t="s">
        <v>587</v>
      </c>
      <c r="C118" s="956"/>
      <c r="D118" s="969">
        <v>27060</v>
      </c>
      <c r="E118" s="966">
        <v>25500</v>
      </c>
      <c r="F118" s="938"/>
      <c r="G118" s="58" t="s">
        <v>0</v>
      </c>
    </row>
    <row r="119" spans="1:7" ht="15.75" customHeight="1">
      <c r="A119" s="945"/>
      <c r="B119" s="970" t="s">
        <v>526</v>
      </c>
      <c r="C119" s="956"/>
      <c r="D119" s="969">
        <v>1300</v>
      </c>
      <c r="E119" s="938"/>
      <c r="F119" s="938"/>
      <c r="G119" s="58" t="s">
        <v>0</v>
      </c>
    </row>
    <row r="120" spans="1:7" ht="15.75" customHeight="1">
      <c r="A120" s="945"/>
      <c r="B120" s="949"/>
      <c r="C120" s="956"/>
      <c r="D120" s="956"/>
      <c r="E120" s="938"/>
      <c r="F120" s="938"/>
      <c r="G120" s="58" t="s">
        <v>0</v>
      </c>
    </row>
    <row r="121" spans="1:7" ht="15.75" customHeight="1">
      <c r="A121" s="945"/>
      <c r="B121" s="950"/>
      <c r="C121" s="953"/>
      <c r="D121" s="953"/>
      <c r="E121" s="938"/>
      <c r="F121" s="938"/>
      <c r="G121" s="58" t="s">
        <v>0</v>
      </c>
    </row>
    <row r="122" spans="1:7" ht="15.75" customHeight="1">
      <c r="A122" s="945" t="s">
        <v>499</v>
      </c>
      <c r="B122" s="950" t="s">
        <v>527</v>
      </c>
      <c r="C122" s="941"/>
      <c r="D122" s="941"/>
      <c r="E122" s="941"/>
      <c r="F122" s="941"/>
      <c r="G122" s="58" t="s">
        <v>0</v>
      </c>
    </row>
    <row r="123" spans="1:7" s="951" customFormat="1" ht="15.75" customHeight="1">
      <c r="A123" s="945"/>
      <c r="B123" s="942" t="s">
        <v>528</v>
      </c>
      <c r="C123" s="941">
        <v>61000</v>
      </c>
      <c r="D123" s="941">
        <v>62000</v>
      </c>
      <c r="E123" s="941">
        <v>65000</v>
      </c>
      <c r="F123" s="941">
        <f>E123-D123</f>
        <v>3000</v>
      </c>
      <c r="G123" s="58" t="s">
        <v>0</v>
      </c>
    </row>
    <row r="124" spans="1:7" ht="15.75" customHeight="1">
      <c r="A124" s="945"/>
      <c r="B124" s="968"/>
      <c r="C124" s="938"/>
      <c r="D124" s="938"/>
      <c r="E124" s="938"/>
      <c r="F124" s="938"/>
      <c r="G124" s="58" t="s">
        <v>0</v>
      </c>
    </row>
    <row r="125" spans="1:7" ht="15.75" customHeight="1">
      <c r="A125" s="945"/>
      <c r="B125" s="942" t="s">
        <v>529</v>
      </c>
      <c r="C125" s="941">
        <f>C116+C123</f>
        <v>1838003.68</v>
      </c>
      <c r="D125" s="941">
        <f>D116+D123</f>
        <v>1616300</v>
      </c>
      <c r="E125" s="941">
        <f>E116+E123</f>
        <v>1464300</v>
      </c>
      <c r="F125" s="941">
        <f>F116+F123</f>
        <v>-152000</v>
      </c>
      <c r="G125" s="58" t="s">
        <v>13</v>
      </c>
    </row>
    <row r="126" spans="1:7" ht="15.75" customHeight="1">
      <c r="A126" s="945"/>
      <c r="B126" s="942"/>
      <c r="C126" s="941"/>
      <c r="D126" s="941"/>
      <c r="E126" s="941"/>
      <c r="F126" s="941"/>
      <c r="G126" s="58" t="s">
        <v>0</v>
      </c>
    </row>
    <row r="127" spans="1:7" ht="15.75" customHeight="1">
      <c r="A127" s="945"/>
      <c r="B127" s="942"/>
      <c r="C127" s="941"/>
      <c r="D127" s="941"/>
      <c r="E127" s="938"/>
      <c r="F127" s="938"/>
      <c r="G127" s="58" t="s">
        <v>0</v>
      </c>
    </row>
    <row r="128" spans="1:7" s="947" customFormat="1" ht="19.5" customHeight="1">
      <c r="A128" s="945" t="s">
        <v>530</v>
      </c>
      <c r="B128" s="950" t="s">
        <v>670</v>
      </c>
      <c r="C128" s="941">
        <v>705000</v>
      </c>
      <c r="D128" s="941">
        <v>705000</v>
      </c>
      <c r="E128" s="941">
        <f>D128+220500</f>
        <v>925500</v>
      </c>
      <c r="F128" s="941">
        <v>220500</v>
      </c>
      <c r="G128" s="58" t="s">
        <v>0</v>
      </c>
    </row>
    <row r="129" spans="1:7" s="947" customFormat="1" ht="15.75" customHeight="1">
      <c r="A129" s="945" t="s">
        <v>530</v>
      </c>
      <c r="B129" s="967" t="s">
        <v>531</v>
      </c>
      <c r="C129" s="941"/>
      <c r="D129" s="941"/>
      <c r="E129" s="948">
        <v>705000</v>
      </c>
      <c r="F129" s="948">
        <v>0</v>
      </c>
      <c r="G129" s="58" t="s">
        <v>0</v>
      </c>
    </row>
    <row r="130" spans="1:7" s="947" customFormat="1" ht="15.75" customHeight="1">
      <c r="A130" s="945"/>
      <c r="B130" s="967" t="s">
        <v>358</v>
      </c>
      <c r="C130" s="941"/>
      <c r="D130" s="941"/>
      <c r="E130" s="948">
        <v>23000</v>
      </c>
      <c r="F130" s="948">
        <v>23000</v>
      </c>
      <c r="G130" s="58" t="s">
        <v>0</v>
      </c>
    </row>
    <row r="131" spans="1:7" s="947" customFormat="1" ht="15.75" customHeight="1">
      <c r="A131" s="945" t="s">
        <v>501</v>
      </c>
      <c r="B131" s="967" t="s">
        <v>532</v>
      </c>
      <c r="C131" s="941"/>
      <c r="D131" s="941"/>
      <c r="E131" s="948">
        <v>100000</v>
      </c>
      <c r="F131" s="948">
        <v>100000</v>
      </c>
      <c r="G131" s="58" t="s">
        <v>0</v>
      </c>
    </row>
    <row r="132" spans="1:7" s="947" customFormat="1" ht="15.75" customHeight="1">
      <c r="A132" s="945" t="s">
        <v>506</v>
      </c>
      <c r="B132" s="967" t="s">
        <v>450</v>
      </c>
      <c r="C132" s="941"/>
      <c r="D132" s="941"/>
      <c r="E132" s="948">
        <v>20000</v>
      </c>
      <c r="F132" s="948">
        <v>20000</v>
      </c>
      <c r="G132" s="58" t="s">
        <v>0</v>
      </c>
    </row>
    <row r="133" spans="1:7" s="947" customFormat="1" ht="15.75" customHeight="1">
      <c r="A133" s="945" t="s">
        <v>498</v>
      </c>
      <c r="B133" s="967" t="s">
        <v>533</v>
      </c>
      <c r="C133" s="941"/>
      <c r="D133" s="941"/>
      <c r="E133" s="948">
        <v>67000</v>
      </c>
      <c r="F133" s="948">
        <v>67000</v>
      </c>
      <c r="G133" s="58" t="s">
        <v>0</v>
      </c>
    </row>
    <row r="134" spans="1:7" s="947" customFormat="1" ht="15.75" customHeight="1">
      <c r="A134" s="945" t="s">
        <v>498</v>
      </c>
      <c r="B134" s="1046" t="s">
        <v>584</v>
      </c>
      <c r="C134" s="941"/>
      <c r="D134" s="941"/>
      <c r="E134" s="966" t="s">
        <v>585</v>
      </c>
      <c r="F134" s="966" t="str">
        <f>E134</f>
        <v>[22,000]</v>
      </c>
      <c r="G134" s="58" t="s">
        <v>0</v>
      </c>
    </row>
    <row r="135" spans="1:7" s="947" customFormat="1" ht="15.75" customHeight="1">
      <c r="A135" s="945" t="s">
        <v>534</v>
      </c>
      <c r="B135" s="967" t="s">
        <v>355</v>
      </c>
      <c r="C135" s="941"/>
      <c r="D135" s="941"/>
      <c r="E135" s="948">
        <v>10500</v>
      </c>
      <c r="F135" s="948">
        <v>10500</v>
      </c>
      <c r="G135" s="58" t="s">
        <v>0</v>
      </c>
    </row>
    <row r="136" spans="1:7" s="947" customFormat="1" ht="15.75" customHeight="1">
      <c r="A136" s="945" t="s">
        <v>535</v>
      </c>
      <c r="B136" s="967" t="s">
        <v>452</v>
      </c>
      <c r="C136" s="941"/>
      <c r="D136" s="941"/>
      <c r="E136" s="966" t="s">
        <v>650</v>
      </c>
      <c r="F136" s="966" t="s">
        <v>650</v>
      </c>
      <c r="G136" s="58" t="s">
        <v>0</v>
      </c>
    </row>
    <row r="137" spans="1:7" s="947" customFormat="1" ht="15.75" customHeight="1">
      <c r="A137" s="945" t="s">
        <v>530</v>
      </c>
      <c r="B137" s="967" t="s">
        <v>536</v>
      </c>
      <c r="C137" s="966">
        <v>50000</v>
      </c>
      <c r="D137" s="966">
        <v>50000</v>
      </c>
      <c r="E137" s="948">
        <v>50000</v>
      </c>
      <c r="F137" s="948">
        <v>0</v>
      </c>
      <c r="G137" s="58" t="s">
        <v>0</v>
      </c>
    </row>
    <row r="138" spans="1:7" s="947" customFormat="1" ht="15.75" customHeight="1">
      <c r="A138" s="964"/>
      <c r="B138" s="963" t="s">
        <v>537</v>
      </c>
      <c r="C138" s="948">
        <v>755000</v>
      </c>
      <c r="D138" s="948">
        <f>D128+D137</f>
        <v>755000</v>
      </c>
      <c r="E138" s="948">
        <f>E128+E137</f>
        <v>975500</v>
      </c>
      <c r="F138" s="948">
        <f>E138-D138</f>
        <v>220500</v>
      </c>
      <c r="G138" s="58" t="s">
        <v>0</v>
      </c>
    </row>
    <row r="139" spans="1:7" s="947" customFormat="1" ht="15.75" customHeight="1">
      <c r="A139" s="964"/>
      <c r="B139" s="963"/>
      <c r="C139" s="948"/>
      <c r="D139" s="948"/>
      <c r="E139" s="948"/>
      <c r="F139" s="948"/>
      <c r="G139" s="58" t="s">
        <v>0</v>
      </c>
    </row>
    <row r="140" spans="1:7" s="947" customFormat="1" ht="15.75" customHeight="1">
      <c r="A140" s="945" t="s">
        <v>499</v>
      </c>
      <c r="B140" s="965" t="s">
        <v>663</v>
      </c>
      <c r="C140" s="956"/>
      <c r="D140" s="956"/>
      <c r="E140" s="1374">
        <v>250000</v>
      </c>
      <c r="F140" s="1374">
        <v>250000</v>
      </c>
      <c r="G140" s="58" t="s">
        <v>0</v>
      </c>
    </row>
    <row r="141" spans="1:7" s="959" customFormat="1" ht="15.75" customHeight="1">
      <c r="A141" s="964"/>
      <c r="B141" s="963"/>
      <c r="C141" s="948"/>
      <c r="D141" s="948"/>
      <c r="E141" s="941"/>
      <c r="F141" s="941"/>
      <c r="G141" s="58" t="s">
        <v>0</v>
      </c>
    </row>
    <row r="142" spans="1:7" ht="15.75" customHeight="1">
      <c r="A142" s="958"/>
      <c r="B142" s="942" t="s">
        <v>538</v>
      </c>
      <c r="C142" s="941">
        <f>C123+C128</f>
        <v>766000</v>
      </c>
      <c r="D142" s="941">
        <f>D123+D128</f>
        <v>767000</v>
      </c>
      <c r="E142" s="941">
        <f>E123+E128+E140-220500</f>
        <v>1020000</v>
      </c>
      <c r="F142" s="941">
        <f>F123+F128+F140-220500</f>
        <v>253000</v>
      </c>
      <c r="G142" s="58" t="s">
        <v>0</v>
      </c>
    </row>
    <row r="143" spans="1:7" s="962" customFormat="1" ht="15.75" customHeight="1">
      <c r="A143" s="945"/>
      <c r="B143" s="942"/>
      <c r="C143" s="922"/>
      <c r="D143" s="941"/>
      <c r="E143" s="953"/>
      <c r="F143" s="953"/>
      <c r="G143" s="58" t="s">
        <v>0</v>
      </c>
    </row>
    <row r="144" spans="1:7" s="951" customFormat="1" ht="15.75" customHeight="1">
      <c r="A144" s="961"/>
      <c r="B144" s="942" t="s">
        <v>539</v>
      </c>
      <c r="C144" s="941">
        <f>C116+C142</f>
        <v>2543003.6799999997</v>
      </c>
      <c r="D144" s="941">
        <f>D116+D142</f>
        <v>2321300</v>
      </c>
      <c r="E144" s="941">
        <f>E116+E142</f>
        <v>2419300</v>
      </c>
      <c r="F144" s="941">
        <f>F116+F142</f>
        <v>98000</v>
      </c>
      <c r="G144" s="58" t="s">
        <v>0</v>
      </c>
    </row>
    <row r="145" spans="1:7" ht="15.75" customHeight="1">
      <c r="A145" s="945"/>
      <c r="B145" s="942"/>
      <c r="C145" s="941"/>
      <c r="D145" s="941"/>
      <c r="E145" s="953"/>
      <c r="F145" s="953"/>
      <c r="G145" s="58" t="s">
        <v>0</v>
      </c>
    </row>
    <row r="146" spans="1:7" ht="15.75" customHeight="1">
      <c r="A146" s="945"/>
      <c r="B146" s="939" t="s">
        <v>540</v>
      </c>
      <c r="C146" s="954">
        <v>2994</v>
      </c>
      <c r="D146" s="954">
        <v>3000</v>
      </c>
      <c r="E146" s="954">
        <v>3000</v>
      </c>
      <c r="F146" s="954">
        <f>E146-D146</f>
        <v>0</v>
      </c>
      <c r="G146" s="58" t="s">
        <v>0</v>
      </c>
    </row>
    <row r="147" spans="1:7" s="959" customFormat="1" ht="15.75" customHeight="1">
      <c r="A147" s="945"/>
      <c r="B147" s="939" t="s">
        <v>541</v>
      </c>
      <c r="C147" s="954">
        <v>168153.02</v>
      </c>
      <c r="D147" s="954"/>
      <c r="E147" s="941"/>
      <c r="F147" s="941"/>
      <c r="G147" s="58" t="s">
        <v>0</v>
      </c>
    </row>
    <row r="148" spans="1:7" ht="15.75" customHeight="1">
      <c r="A148" s="958"/>
      <c r="B148" s="942" t="s">
        <v>542</v>
      </c>
      <c r="C148" s="941">
        <f>SUM(C146:C147)</f>
        <v>171147.02</v>
      </c>
      <c r="D148" s="941">
        <f t="shared" ref="D148:F148" si="3">SUM(D146:D147)</f>
        <v>3000</v>
      </c>
      <c r="E148" s="941">
        <f t="shared" si="3"/>
        <v>3000</v>
      </c>
      <c r="F148" s="941">
        <f t="shared" si="3"/>
        <v>0</v>
      </c>
      <c r="G148" s="58" t="s">
        <v>0</v>
      </c>
    </row>
    <row r="149" spans="1:7" s="959" customFormat="1" ht="15.75" customHeight="1">
      <c r="A149" s="945"/>
      <c r="B149" s="939"/>
      <c r="C149" s="938"/>
      <c r="D149" s="938"/>
      <c r="E149" s="941"/>
      <c r="F149" s="941"/>
      <c r="G149" s="58" t="s">
        <v>0</v>
      </c>
    </row>
    <row r="150" spans="1:7" s="960" customFormat="1" ht="15.75" customHeight="1">
      <c r="A150" s="958"/>
      <c r="B150" s="942" t="s">
        <v>560</v>
      </c>
      <c r="C150" s="941">
        <f>C144+C148</f>
        <v>2714150.6999999997</v>
      </c>
      <c r="D150" s="941">
        <f t="shared" ref="D150:E150" si="4">D144+D148</f>
        <v>2324300</v>
      </c>
      <c r="E150" s="941">
        <f t="shared" si="4"/>
        <v>2422300</v>
      </c>
      <c r="F150" s="941">
        <f>F144+F148</f>
        <v>98000</v>
      </c>
      <c r="G150" s="58" t="s">
        <v>0</v>
      </c>
    </row>
    <row r="151" spans="1:7" s="960" customFormat="1" ht="15.75" customHeight="1">
      <c r="A151" s="958"/>
      <c r="B151" s="942"/>
      <c r="C151" s="941"/>
      <c r="D151" s="941"/>
      <c r="E151" s="941"/>
      <c r="F151" s="941"/>
      <c r="G151" s="58" t="s">
        <v>0</v>
      </c>
    </row>
    <row r="152" spans="1:7" s="959" customFormat="1" ht="21.75" customHeight="1">
      <c r="A152" s="945"/>
      <c r="B152" s="939" t="s">
        <v>669</v>
      </c>
      <c r="C152" s="954">
        <v>-42000</v>
      </c>
      <c r="D152" s="954">
        <v>-55000</v>
      </c>
      <c r="E152" s="938">
        <v>-43000</v>
      </c>
      <c r="F152" s="938">
        <f>E152-D152</f>
        <v>12000</v>
      </c>
      <c r="G152" s="58" t="s">
        <v>0</v>
      </c>
    </row>
    <row r="153" spans="1:7" s="959" customFormat="1" ht="15.75" customHeight="1">
      <c r="A153" s="2185" t="s">
        <v>543</v>
      </c>
      <c r="B153" s="2185"/>
      <c r="C153" s="2185"/>
      <c r="D153" s="2185"/>
      <c r="E153" s="941"/>
      <c r="F153" s="941"/>
      <c r="G153" s="58" t="s">
        <v>0</v>
      </c>
    </row>
    <row r="154" spans="1:7" ht="15.75" customHeight="1">
      <c r="A154" s="945"/>
      <c r="B154" s="955"/>
      <c r="C154" s="954"/>
      <c r="D154" s="954"/>
      <c r="E154" s="938"/>
      <c r="F154" s="938"/>
      <c r="G154" s="58" t="s">
        <v>0</v>
      </c>
    </row>
    <row r="155" spans="1:7" ht="15.75" customHeight="1">
      <c r="A155" s="945"/>
      <c r="B155" s="950" t="s">
        <v>544</v>
      </c>
      <c r="C155" s="953"/>
      <c r="D155" s="953"/>
      <c r="E155" s="938"/>
      <c r="F155" s="938"/>
      <c r="G155" s="58" t="s">
        <v>0</v>
      </c>
    </row>
    <row r="156" spans="1:7" ht="15.75" customHeight="1">
      <c r="A156" s="945" t="s">
        <v>501</v>
      </c>
      <c r="B156" s="939" t="s">
        <v>545</v>
      </c>
      <c r="C156" s="946">
        <v>2994</v>
      </c>
      <c r="D156" s="946">
        <v>3000</v>
      </c>
      <c r="E156" s="938">
        <v>3000</v>
      </c>
      <c r="F156" s="938">
        <f>E156-D156</f>
        <v>0</v>
      </c>
      <c r="G156" s="58" t="s">
        <v>0</v>
      </c>
    </row>
    <row r="157" spans="1:7" s="951" customFormat="1" ht="15.75" customHeight="1">
      <c r="A157" s="945"/>
      <c r="B157" s="942" t="s">
        <v>546</v>
      </c>
      <c r="C157" s="941">
        <f>SUM(C156:C156)</f>
        <v>2994</v>
      </c>
      <c r="D157" s="941">
        <f>SUM(D156:D156)</f>
        <v>3000</v>
      </c>
      <c r="E157" s="941">
        <f>SUM(E156:E156)</f>
        <v>3000</v>
      </c>
      <c r="F157" s="941">
        <f>SUM(F156:F156)</f>
        <v>0</v>
      </c>
      <c r="G157" s="58" t="s">
        <v>0</v>
      </c>
    </row>
    <row r="158" spans="1:7" ht="15.75" customHeight="1">
      <c r="A158" s="945"/>
      <c r="B158" s="939"/>
      <c r="C158" s="922"/>
      <c r="D158" s="922"/>
      <c r="E158" s="938"/>
      <c r="F158" s="938"/>
      <c r="G158" s="58" t="s">
        <v>0</v>
      </c>
    </row>
    <row r="159" spans="1:7" ht="15.75" customHeight="1">
      <c r="A159" s="945"/>
      <c r="B159" s="950" t="s">
        <v>547</v>
      </c>
      <c r="C159" s="922"/>
      <c r="D159" s="922"/>
      <c r="E159" s="938"/>
      <c r="F159" s="938"/>
      <c r="G159" s="58" t="s">
        <v>0</v>
      </c>
    </row>
    <row r="160" spans="1:7" ht="15.75" customHeight="1">
      <c r="A160" s="945" t="s">
        <v>499</v>
      </c>
      <c r="B160" s="939" t="s">
        <v>308</v>
      </c>
      <c r="C160" s="946">
        <v>24850.2</v>
      </c>
      <c r="D160" s="946"/>
      <c r="E160" s="938"/>
      <c r="F160" s="938"/>
      <c r="G160" s="58" t="s">
        <v>0</v>
      </c>
    </row>
    <row r="161" spans="1:7" ht="15.75" customHeight="1">
      <c r="A161" s="945" t="s">
        <v>501</v>
      </c>
      <c r="B161" s="944" t="s">
        <v>548</v>
      </c>
      <c r="C161" s="943">
        <v>1242.51</v>
      </c>
      <c r="D161" s="943"/>
      <c r="E161" s="938"/>
      <c r="F161" s="938"/>
      <c r="G161" s="58" t="s">
        <v>0</v>
      </c>
    </row>
    <row r="162" spans="1:7" s="947" customFormat="1" ht="17.25" customHeight="1">
      <c r="A162" s="945" t="s">
        <v>505</v>
      </c>
      <c r="B162" s="949" t="s">
        <v>314</v>
      </c>
      <c r="C162" s="943">
        <v>19880.16</v>
      </c>
      <c r="D162" s="943"/>
      <c r="E162" s="948"/>
      <c r="F162" s="948"/>
      <c r="G162" s="58" t="s">
        <v>0</v>
      </c>
    </row>
    <row r="163" spans="1:7" s="947" customFormat="1" ht="17.25" customHeight="1">
      <c r="A163" s="945" t="s">
        <v>506</v>
      </c>
      <c r="B163" s="944" t="s">
        <v>315</v>
      </c>
      <c r="C163" s="946">
        <v>828.34</v>
      </c>
      <c r="D163" s="946"/>
      <c r="E163" s="948"/>
      <c r="F163" s="948"/>
      <c r="G163" s="58" t="s">
        <v>0</v>
      </c>
    </row>
    <row r="164" spans="1:7" s="947" customFormat="1" ht="17.25" customHeight="1">
      <c r="A164" s="945" t="s">
        <v>506</v>
      </c>
      <c r="B164" s="944" t="s">
        <v>316</v>
      </c>
      <c r="C164" s="946">
        <v>9111.74</v>
      </c>
      <c r="D164" s="946"/>
      <c r="E164" s="948"/>
      <c r="F164" s="948"/>
      <c r="G164" s="58" t="s">
        <v>0</v>
      </c>
    </row>
    <row r="165" spans="1:7" ht="15.75" customHeight="1">
      <c r="A165" s="945" t="s">
        <v>501</v>
      </c>
      <c r="B165" s="939" t="s">
        <v>360</v>
      </c>
      <c r="C165" s="946">
        <v>133362.74</v>
      </c>
      <c r="D165" s="946"/>
      <c r="E165" s="938"/>
      <c r="F165" s="938"/>
      <c r="G165" s="58" t="s">
        <v>0</v>
      </c>
    </row>
    <row r="166" spans="1:7" ht="15.75" customHeight="1">
      <c r="A166" s="945" t="s">
        <v>501</v>
      </c>
      <c r="B166" s="944" t="s">
        <v>220</v>
      </c>
      <c r="C166" s="943">
        <v>125079.34</v>
      </c>
      <c r="D166" s="943"/>
      <c r="E166" s="938"/>
      <c r="F166" s="938"/>
      <c r="G166" s="58" t="s">
        <v>0</v>
      </c>
    </row>
    <row r="167" spans="1:7" ht="15.75" customHeight="1">
      <c r="A167" s="945" t="s">
        <v>501</v>
      </c>
      <c r="B167" s="944" t="s">
        <v>253</v>
      </c>
      <c r="C167" s="943">
        <v>4141.7</v>
      </c>
      <c r="D167" s="943"/>
      <c r="E167" s="938"/>
      <c r="F167" s="938"/>
      <c r="G167" s="58" t="s">
        <v>0</v>
      </c>
    </row>
    <row r="168" spans="1:7" ht="15.75" customHeight="1">
      <c r="A168" s="945" t="s">
        <v>501</v>
      </c>
      <c r="B168" s="944" t="s">
        <v>219</v>
      </c>
      <c r="C168" s="943">
        <v>4141.7</v>
      </c>
      <c r="D168" s="943"/>
      <c r="E168" s="938"/>
      <c r="F168" s="938"/>
      <c r="G168" s="58" t="s">
        <v>0</v>
      </c>
    </row>
    <row r="169" spans="1:7" s="940" customFormat="1" ht="15.75" customHeight="1">
      <c r="A169" s="922"/>
      <c r="B169" s="942" t="s">
        <v>561</v>
      </c>
      <c r="C169" s="941">
        <v>168153.02</v>
      </c>
      <c r="D169" s="941"/>
      <c r="E169" s="941"/>
      <c r="F169" s="941"/>
      <c r="G169" s="58" t="s">
        <v>0</v>
      </c>
    </row>
    <row r="170" spans="1:7" ht="15.75" customHeight="1">
      <c r="B170" s="939"/>
      <c r="C170" s="938"/>
      <c r="D170" s="938"/>
      <c r="E170" s="938"/>
      <c r="F170" s="938"/>
      <c r="G170" s="58" t="s">
        <v>0</v>
      </c>
    </row>
    <row r="171" spans="1:7" ht="15.75" customHeight="1">
      <c r="A171" s="923"/>
      <c r="B171" s="937"/>
      <c r="C171" s="936"/>
      <c r="D171" s="936"/>
      <c r="G171" s="58" t="s">
        <v>0</v>
      </c>
    </row>
    <row r="172" spans="1:7" s="935" customFormat="1" ht="42.75" customHeight="1">
      <c r="A172" s="2186" t="s">
        <v>562</v>
      </c>
      <c r="B172" s="2186"/>
      <c r="C172" s="2186"/>
      <c r="D172" s="2186"/>
      <c r="E172" s="2186"/>
      <c r="F172" s="2186"/>
      <c r="G172" s="58" t="s">
        <v>0</v>
      </c>
    </row>
    <row r="173" spans="1:7" s="935" customFormat="1" ht="19.5" customHeight="1">
      <c r="A173" s="2186" t="s">
        <v>586</v>
      </c>
      <c r="B173" s="2186"/>
      <c r="C173" s="2186"/>
      <c r="D173" s="2186"/>
      <c r="E173" s="2186"/>
      <c r="F173" s="2186"/>
      <c r="G173" s="58" t="s">
        <v>0</v>
      </c>
    </row>
    <row r="174" spans="1:7" s="935" customFormat="1" ht="22.5" customHeight="1">
      <c r="A174" s="2186" t="s">
        <v>563</v>
      </c>
      <c r="B174" s="2186"/>
      <c r="C174" s="2186"/>
      <c r="D174" s="2186"/>
      <c r="E174" s="2186"/>
      <c r="F174" s="2186"/>
      <c r="G174" s="58" t="s">
        <v>0</v>
      </c>
    </row>
    <row r="175" spans="1:7" s="934" customFormat="1" ht="22.5" customHeight="1">
      <c r="A175" s="2186" t="s">
        <v>564</v>
      </c>
      <c r="B175" s="2186"/>
      <c r="C175" s="2186"/>
      <c r="D175" s="2186"/>
      <c r="E175" s="2186"/>
      <c r="F175" s="2186"/>
      <c r="G175" s="58" t="s">
        <v>0</v>
      </c>
    </row>
    <row r="176" spans="1:7" s="934" customFormat="1" ht="22.5" customHeight="1">
      <c r="A176" s="2186" t="s">
        <v>565</v>
      </c>
      <c r="B176" s="2186"/>
      <c r="C176" s="2186"/>
      <c r="D176" s="2186"/>
      <c r="E176" s="2186"/>
      <c r="F176" s="2186"/>
      <c r="G176" s="58" t="s">
        <v>0</v>
      </c>
    </row>
    <row r="177" spans="1:7" s="934" customFormat="1" ht="22.5" customHeight="1">
      <c r="A177" s="2186" t="s">
        <v>566</v>
      </c>
      <c r="B177" s="2186"/>
      <c r="C177" s="2186"/>
      <c r="D177" s="2186"/>
      <c r="E177" s="2186"/>
      <c r="F177" s="2186"/>
      <c r="G177" s="58" t="s">
        <v>0</v>
      </c>
    </row>
    <row r="178" spans="1:7" s="934" customFormat="1" ht="45.75" customHeight="1">
      <c r="A178" s="2186" t="s">
        <v>664</v>
      </c>
      <c r="B178" s="2186"/>
      <c r="C178" s="2186"/>
      <c r="D178" s="2186"/>
      <c r="E178" s="2186"/>
      <c r="F178" s="2186"/>
      <c r="G178" s="58" t="s">
        <v>0</v>
      </c>
    </row>
    <row r="179" spans="1:7" ht="60" customHeight="1">
      <c r="A179" s="2184" t="s">
        <v>668</v>
      </c>
      <c r="B179" s="1687"/>
      <c r="C179" s="1687"/>
      <c r="D179" s="1687"/>
      <c r="E179" s="1687"/>
      <c r="F179" s="1687"/>
      <c r="G179" s="58" t="s">
        <v>13</v>
      </c>
    </row>
    <row r="180" spans="1:7" ht="21.75" customHeight="1">
      <c r="A180" s="923"/>
    </row>
    <row r="181" spans="1:7">
      <c r="A181" s="923"/>
    </row>
    <row r="182" spans="1:7">
      <c r="A182" s="923"/>
    </row>
    <row r="183" spans="1:7">
      <c r="A183" s="923"/>
    </row>
    <row r="184" spans="1:7">
      <c r="A184" s="923"/>
    </row>
    <row r="185" spans="1:7">
      <c r="A185" s="923"/>
    </row>
    <row r="186" spans="1:7">
      <c r="A186" s="923"/>
      <c r="B186" s="920"/>
    </row>
    <row r="187" spans="1:7">
      <c r="A187" s="923"/>
      <c r="B187" s="920"/>
    </row>
    <row r="188" spans="1:7">
      <c r="A188" s="923"/>
      <c r="B188" s="920"/>
    </row>
    <row r="189" spans="1:7">
      <c r="A189" s="923"/>
      <c r="B189" s="920"/>
    </row>
    <row r="190" spans="1:7">
      <c r="A190" s="923"/>
      <c r="B190" s="920"/>
    </row>
    <row r="191" spans="1:7">
      <c r="A191" s="923"/>
      <c r="B191" s="920"/>
    </row>
    <row r="192" spans="1:7">
      <c r="A192" s="923"/>
      <c r="B192" s="920"/>
    </row>
    <row r="193" spans="1:2">
      <c r="A193" s="923"/>
      <c r="B193" s="920"/>
    </row>
    <row r="194" spans="1:2">
      <c r="A194" s="923"/>
      <c r="B194" s="920"/>
    </row>
    <row r="195" spans="1:2">
      <c r="A195" s="923"/>
      <c r="B195" s="920"/>
    </row>
    <row r="196" spans="1:2">
      <c r="A196" s="923"/>
      <c r="B196" s="920"/>
    </row>
    <row r="197" spans="1:2">
      <c r="A197" s="923"/>
      <c r="B197" s="920"/>
    </row>
    <row r="198" spans="1:2">
      <c r="A198" s="923"/>
      <c r="B198" s="920"/>
    </row>
    <row r="199" spans="1:2">
      <c r="A199" s="923"/>
      <c r="B199" s="920"/>
    </row>
    <row r="200" spans="1:2">
      <c r="A200" s="923"/>
      <c r="B200" s="920"/>
    </row>
    <row r="201" spans="1:2">
      <c r="A201" s="923"/>
      <c r="B201" s="920"/>
    </row>
    <row r="202" spans="1:2">
      <c r="A202" s="923"/>
      <c r="B202" s="920"/>
    </row>
    <row r="203" spans="1:2">
      <c r="A203" s="923"/>
      <c r="B203" s="920"/>
    </row>
    <row r="204" spans="1:2">
      <c r="A204" s="923"/>
      <c r="B204" s="920"/>
    </row>
    <row r="205" spans="1:2">
      <c r="A205" s="923"/>
      <c r="B205" s="920"/>
    </row>
    <row r="206" spans="1:2">
      <c r="A206" s="923"/>
      <c r="B206" s="920"/>
    </row>
    <row r="207" spans="1:2">
      <c r="A207" s="923"/>
      <c r="B207" s="920"/>
    </row>
    <row r="208" spans="1:2">
      <c r="A208" s="923"/>
      <c r="B208" s="920"/>
    </row>
    <row r="209" spans="1:2">
      <c r="A209" s="923"/>
      <c r="B209" s="920"/>
    </row>
    <row r="210" spans="1:2">
      <c r="A210" s="923"/>
      <c r="B210" s="920"/>
    </row>
    <row r="211" spans="1:2">
      <c r="A211" s="923"/>
      <c r="B211" s="920"/>
    </row>
    <row r="212" spans="1:2">
      <c r="A212" s="923"/>
      <c r="B212" s="920"/>
    </row>
    <row r="213" spans="1:2">
      <c r="A213" s="923"/>
      <c r="B213" s="920"/>
    </row>
    <row r="214" spans="1:2">
      <c r="A214" s="923"/>
      <c r="B214" s="920"/>
    </row>
    <row r="215" spans="1:2">
      <c r="A215" s="923"/>
      <c r="B215" s="920"/>
    </row>
    <row r="216" spans="1:2">
      <c r="A216" s="923"/>
      <c r="B216" s="920"/>
    </row>
    <row r="217" spans="1:2">
      <c r="A217" s="923"/>
      <c r="B217" s="920"/>
    </row>
    <row r="218" spans="1:2">
      <c r="A218" s="923"/>
      <c r="B218" s="920"/>
    </row>
    <row r="219" spans="1:2">
      <c r="A219" s="923"/>
      <c r="B219" s="920"/>
    </row>
    <row r="220" spans="1:2">
      <c r="A220" s="923"/>
      <c r="B220" s="920"/>
    </row>
    <row r="221" spans="1:2">
      <c r="A221" s="923"/>
      <c r="B221" s="920"/>
    </row>
    <row r="222" spans="1:2">
      <c r="A222" s="923"/>
      <c r="B222" s="920"/>
    </row>
    <row r="223" spans="1:2">
      <c r="A223" s="923"/>
      <c r="B223" s="920"/>
    </row>
    <row r="224" spans="1:2">
      <c r="A224" s="923"/>
      <c r="B224" s="920"/>
    </row>
    <row r="225" spans="1:4">
      <c r="A225" s="923"/>
      <c r="B225" s="920"/>
    </row>
    <row r="226" spans="1:4">
      <c r="A226" s="923"/>
      <c r="B226" s="920"/>
    </row>
    <row r="227" spans="1:4">
      <c r="A227" s="923"/>
      <c r="B227" s="920"/>
    </row>
    <row r="228" spans="1:4">
      <c r="A228" s="923"/>
      <c r="B228" s="920"/>
    </row>
    <row r="229" spans="1:4">
      <c r="A229" s="923"/>
      <c r="B229" s="920"/>
    </row>
    <row r="230" spans="1:4">
      <c r="A230" s="923"/>
      <c r="B230" s="920"/>
    </row>
    <row r="231" spans="1:4">
      <c r="A231" s="923"/>
      <c r="B231" s="920"/>
    </row>
    <row r="232" spans="1:4">
      <c r="A232" s="923"/>
      <c r="B232" s="920"/>
    </row>
    <row r="233" spans="1:4">
      <c r="A233" s="923"/>
      <c r="B233" s="920"/>
    </row>
    <row r="234" spans="1:4">
      <c r="A234" s="923"/>
    </row>
    <row r="235" spans="1:4">
      <c r="A235" s="923"/>
    </row>
    <row r="236" spans="1:4">
      <c r="A236" s="923"/>
    </row>
    <row r="237" spans="1:4" ht="15.75">
      <c r="A237" s="923"/>
      <c r="B237" s="933"/>
      <c r="C237" s="924"/>
      <c r="D237" s="924"/>
    </row>
    <row r="238" spans="1:4" ht="15.75">
      <c r="A238" s="923"/>
      <c r="B238" s="925"/>
      <c r="C238" s="924"/>
      <c r="D238" s="924"/>
    </row>
    <row r="239" spans="1:4" ht="15.75">
      <c r="A239" s="923"/>
      <c r="B239" s="928"/>
      <c r="C239" s="931"/>
      <c r="D239" s="931"/>
    </row>
    <row r="240" spans="1:4" ht="15.75">
      <c r="A240" s="923"/>
      <c r="B240" s="925"/>
      <c r="C240" s="924"/>
      <c r="D240" s="924"/>
    </row>
    <row r="241" spans="1:4" ht="15.75">
      <c r="A241" s="923"/>
      <c r="B241" s="928"/>
      <c r="C241" s="924"/>
      <c r="D241" s="924"/>
    </row>
    <row r="242" spans="1:4" ht="15.75">
      <c r="A242" s="923"/>
      <c r="B242" s="925"/>
      <c r="C242" s="924"/>
      <c r="D242" s="924"/>
    </row>
    <row r="243" spans="1:4" ht="15.75">
      <c r="A243" s="923"/>
      <c r="B243" s="925"/>
      <c r="C243" s="924"/>
      <c r="D243" s="924"/>
    </row>
    <row r="244" spans="1:4" ht="15.75">
      <c r="A244" s="923"/>
      <c r="B244" s="928"/>
      <c r="C244" s="931"/>
      <c r="D244" s="931"/>
    </row>
    <row r="245" spans="1:4" ht="15.75">
      <c r="A245" s="923"/>
      <c r="B245" s="928"/>
      <c r="C245" s="931"/>
      <c r="D245" s="931"/>
    </row>
    <row r="246" spans="1:4" ht="15.75">
      <c r="A246" s="923"/>
      <c r="B246" s="925"/>
      <c r="C246" s="924"/>
      <c r="D246" s="924"/>
    </row>
    <row r="247" spans="1:4" s="923" customFormat="1" ht="15.75">
      <c r="B247" s="925"/>
      <c r="C247" s="924"/>
      <c r="D247" s="924"/>
    </row>
    <row r="248" spans="1:4" s="923" customFormat="1" ht="15.75">
      <c r="B248" s="925"/>
      <c r="C248" s="924"/>
      <c r="D248" s="924"/>
    </row>
    <row r="249" spans="1:4" s="923" customFormat="1" ht="15.75">
      <c r="B249" s="932"/>
      <c r="C249" s="931"/>
      <c r="D249" s="931"/>
    </row>
    <row r="250" spans="1:4" s="923" customFormat="1" ht="15.75">
      <c r="B250" s="928"/>
      <c r="C250" s="924"/>
      <c r="D250" s="924"/>
    </row>
    <row r="251" spans="1:4" s="923" customFormat="1" ht="15.75">
      <c r="B251" s="928"/>
      <c r="C251" s="924"/>
      <c r="D251" s="924"/>
    </row>
    <row r="252" spans="1:4" s="923" customFormat="1" ht="15.75">
      <c r="B252" s="928"/>
      <c r="C252" s="924"/>
      <c r="D252" s="924"/>
    </row>
    <row r="253" spans="1:4" s="923" customFormat="1" ht="15.75">
      <c r="B253" s="928"/>
      <c r="C253" s="931"/>
      <c r="D253" s="931"/>
    </row>
    <row r="254" spans="1:4" s="923" customFormat="1" ht="15.75">
      <c r="B254" s="928"/>
      <c r="C254" s="931"/>
      <c r="D254" s="931"/>
    </row>
    <row r="255" spans="1:4" s="923" customFormat="1" ht="15.75">
      <c r="B255" s="929"/>
      <c r="C255" s="930"/>
      <c r="D255" s="930"/>
    </row>
    <row r="256" spans="1:4" s="923" customFormat="1" ht="15.75">
      <c r="B256" s="928"/>
      <c r="C256" s="926"/>
      <c r="D256" s="926"/>
    </row>
    <row r="257" spans="1:4" s="923" customFormat="1" ht="15.75">
      <c r="B257" s="929"/>
      <c r="C257" s="924"/>
      <c r="D257" s="924"/>
    </row>
    <row r="258" spans="1:4" s="923" customFormat="1" ht="15.75">
      <c r="B258" s="928"/>
      <c r="C258" s="924"/>
      <c r="D258" s="924"/>
    </row>
    <row r="259" spans="1:4" s="923" customFormat="1" ht="15.75">
      <c r="B259" s="927"/>
      <c r="C259" s="926"/>
      <c r="D259" s="926"/>
    </row>
    <row r="260" spans="1:4" s="923" customFormat="1" ht="15.75">
      <c r="B260" s="925"/>
      <c r="C260" s="924"/>
      <c r="D260" s="924"/>
    </row>
    <row r="261" spans="1:4" s="923" customFormat="1">
      <c r="B261" s="921"/>
      <c r="C261" s="920"/>
      <c r="D261" s="920"/>
    </row>
    <row r="262" spans="1:4" s="923" customFormat="1">
      <c r="A262" s="922"/>
      <c r="B262" s="921"/>
      <c r="C262" s="920"/>
      <c r="D262" s="920"/>
    </row>
    <row r="263" spans="1:4" s="923" customFormat="1">
      <c r="A263" s="922"/>
      <c r="B263" s="921"/>
      <c r="C263" s="920"/>
      <c r="D263" s="920"/>
    </row>
    <row r="264" spans="1:4" s="923" customFormat="1">
      <c r="A264" s="922"/>
      <c r="B264" s="921"/>
      <c r="C264" s="920"/>
      <c r="D264" s="920"/>
    </row>
    <row r="265" spans="1:4" s="923" customFormat="1">
      <c r="A265" s="922"/>
      <c r="B265" s="921"/>
      <c r="C265" s="920"/>
      <c r="D265" s="920"/>
    </row>
    <row r="266" spans="1:4" s="923" customFormat="1">
      <c r="A266" s="922"/>
      <c r="B266" s="921"/>
      <c r="C266" s="920"/>
      <c r="D266" s="920"/>
    </row>
    <row r="267" spans="1:4" s="923" customFormat="1">
      <c r="A267" s="922"/>
      <c r="B267" s="921"/>
      <c r="C267" s="920"/>
      <c r="D267" s="920"/>
    </row>
    <row r="268" spans="1:4" s="923" customFormat="1">
      <c r="A268" s="922"/>
      <c r="B268" s="921"/>
      <c r="C268" s="920"/>
      <c r="D268" s="920"/>
    </row>
    <row r="269" spans="1:4" s="923" customFormat="1">
      <c r="A269" s="922"/>
      <c r="B269" s="921"/>
      <c r="C269" s="920"/>
      <c r="D269" s="920"/>
    </row>
    <row r="270" spans="1:4" s="923" customFormat="1">
      <c r="A270" s="922"/>
      <c r="B270" s="921"/>
      <c r="C270" s="920"/>
      <c r="D270" s="920"/>
    </row>
  </sheetData>
  <customSheetViews>
    <customSheetView guid="{DA38F665-F06D-4DFB-B852-747D93BB00EF}" scale="90" showPageBreaks="1" printArea="1" view="pageBreakPreview" topLeftCell="A41">
      <selection activeCell="A174" sqref="A174:F174"/>
      <rowBreaks count="5" manualBreakCount="5">
        <brk id="19" max="5" man="1"/>
        <brk id="63" max="5" man="1"/>
        <brk id="116" max="5" man="1"/>
        <brk id="152" max="5" man="1"/>
        <brk id="220" max="50" man="1"/>
      </rowBreaks>
      <pageMargins left="0.32" right="0.31" top="1.1100000000000001" bottom="0.5" header="0.5" footer="0.3"/>
      <printOptions horizontalCentered="1"/>
      <pageSetup scale="53" orientation="landscape" r:id="rId1"/>
      <headerFooter>
        <oddHeader>&amp;L
&amp;COffice of Justice Programs
Summary of Program Changes
FYs 2011-2013
(Dollars in Thousands)</oddHeader>
        <oddFooter>&amp;C &amp;P&amp;RLast updated: 1/17/2012; 2:56 PM
G:\2013\Funding Tables\&amp;F\&amp;A</oddFooter>
      </headerFooter>
    </customSheetView>
    <customSheetView guid="{F6772377-6B25-4EEA-B255-4C2F62B37855}" scale="90" showPageBreaks="1" printArea="1" view="pageBreakPreview">
      <selection activeCell="G49" sqref="G49"/>
      <rowBreaks count="4" manualBreakCount="4">
        <brk id="19" max="50" man="1"/>
        <brk id="63" max="53" man="1"/>
        <brk id="127" max="50" man="1"/>
        <brk id="221" max="50" man="1"/>
      </rowBreaks>
      <pageMargins left="0.32" right="0.31" top="1.1100000000000001" bottom="0.5" header="0.5" footer="0.3"/>
      <printOptions horizontalCentered="1"/>
      <pageSetup scale="53" orientation="landscape" r:id="rId2"/>
      <headerFooter>
        <oddHeader>&amp;L
&amp;COffice of Justice Programs
Summary of Program Changes
FYs 2011-2013
(Dollars in Thousands)</oddHeader>
        <oddFooter>&amp;C &amp;P&amp;RLast updated: 1/17/2012; 2:56 PM
G:\2013\Funding Tables\&amp;F\&amp;A</oddFooter>
      </headerFooter>
    </customSheetView>
    <customSheetView guid="{27B9C207-C13F-4981-9CED-E69585BBD779}" scale="75" showPageBreaks="1" printArea="1" view="pageBreakPreview">
      <selection activeCell="B137" sqref="B137"/>
      <rowBreaks count="2" manualBreakCount="2">
        <brk id="68" max="5" man="1"/>
        <brk id="125" max="5" man="1"/>
      </rowBreaks>
      <pageMargins left="0.32" right="0.31" top="1.1100000000000001" bottom="0.5" header="0.5" footer="0.3"/>
      <printOptions horizontalCentered="1"/>
      <pageSetup scale="53" orientation="portrait" r:id="rId3"/>
      <headerFooter>
        <oddHeader>&amp;L&amp;"Times New Roman,Regular"N. Summary of Program Changes&amp;"Arial,Regular"
&amp;C&amp;"Times New Roman,Regular"Office of Justice Programs
Summary of Program Changes
FYs 2011-2013
(Dollars in Thousands)</oddHeader>
        <oddFooter>&amp;C&amp;"Times New Roman,Regular"N. Summary of Program Changes</oddFooter>
      </headerFooter>
    </customSheetView>
  </customSheetViews>
  <mergeCells count="9">
    <mergeCell ref="A179:F179"/>
    <mergeCell ref="A153:D153"/>
    <mergeCell ref="A178:F178"/>
    <mergeCell ref="A174:F174"/>
    <mergeCell ref="A175:F175"/>
    <mergeCell ref="A172:F172"/>
    <mergeCell ref="A173:F173"/>
    <mergeCell ref="A176:F176"/>
    <mergeCell ref="A177:F177"/>
  </mergeCells>
  <printOptions horizontalCentered="1"/>
  <pageMargins left="0.32" right="0.31" top="1.1100000000000001" bottom="0.5" header="0.5" footer="0.3"/>
  <pageSetup scale="53" orientation="portrait" r:id="rId4"/>
  <headerFooter>
    <oddHeader>&amp;L&amp;"Times New Roman,Regular"N. Summary of Program Changes&amp;"Arial,Regular"
&amp;C&amp;"Times New Roman,Regular"Office of Justice Programs
Summary of Program Changes
FYs 2011-2013
(Dollars in Thousands)</oddHeader>
    <oddFooter>&amp;C&amp;"Times New Roman,Regular"N. Summary of Program Changes</oddFooter>
  </headerFooter>
  <rowBreaks count="2" manualBreakCount="2">
    <brk id="68" max="5" man="1"/>
    <brk id="12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72</vt:i4>
      </vt:variant>
    </vt:vector>
  </HeadingPairs>
  <TitlesOfParts>
    <vt:vector size="124" baseType="lpstr">
      <vt:lpstr>B. Summ of Reqs - S&amp;E-M&amp;A </vt:lpstr>
      <vt:lpstr>D. Strat Goals &amp; Objs - S&amp;E-M&amp;A</vt:lpstr>
      <vt:lpstr>E. ATB Justification - S&amp;E-M&amp;A</vt:lpstr>
      <vt:lpstr>F. 2011 Crosswalk - S&amp;E-M&amp;A</vt:lpstr>
      <vt:lpstr>G. 2012 Crosswalk - S&amp;E-M&amp;A</vt:lpstr>
      <vt:lpstr>H. Reimb Resources - S&amp;E-M&amp;A</vt:lpstr>
      <vt:lpstr>I. Perm Positions - S&amp;E-M&amp;A</vt:lpstr>
      <vt:lpstr>K. Summ by Grade - S&amp;E-M&amp;A</vt:lpstr>
      <vt:lpstr>L. Summ by Ob Class  - S&amp;E-M&amp;A </vt:lpstr>
      <vt:lpstr>B. Summ of Reqs - RES </vt:lpstr>
      <vt:lpstr>C. Increases Offsets  - RES </vt:lpstr>
      <vt:lpstr>D. Strat Goals &amp; Obs  - RES </vt:lpstr>
      <vt:lpstr>F. 2011 Crosswalk  - RES </vt:lpstr>
      <vt:lpstr>G. 2012 Crosswalk  - RES </vt:lpstr>
      <vt:lpstr>H. Reimb Resources  - RES </vt:lpstr>
      <vt:lpstr>J. Finan Analysis  - RES </vt:lpstr>
      <vt:lpstr>L. Summ by Ob Class  - RES </vt:lpstr>
      <vt:lpstr>B. Summ of Reqs -SLLEA </vt:lpstr>
      <vt:lpstr>C. Increases Offsets - SLLEA</vt:lpstr>
      <vt:lpstr>D. Strat Goals &amp; Obs - SLLEA</vt:lpstr>
      <vt:lpstr>F. 2011 Crosswalk - SLLEA</vt:lpstr>
      <vt:lpstr>G. 2012 Crosswalk - SLLEA</vt:lpstr>
      <vt:lpstr>H. Reimb Resources - SLLEA</vt:lpstr>
      <vt:lpstr>J. Finan Analysis - SLLEA</vt:lpstr>
      <vt:lpstr>L. Summ by Object Class - SLLEA</vt:lpstr>
      <vt:lpstr>F. 2011 Crosswalk - W&amp;S</vt:lpstr>
      <vt:lpstr>G. 2012 Crosswalk - W&amp;S</vt:lpstr>
      <vt:lpstr>L. Summ by Object Class - W&amp;S</vt:lpstr>
      <vt:lpstr>B. Summ of Reqs - JJ </vt:lpstr>
      <vt:lpstr>C. Increases Offsets - JJ</vt:lpstr>
      <vt:lpstr>D. Strat Goals &amp; Objs - JJ</vt:lpstr>
      <vt:lpstr>F. 2011 Crosswalk - JJ</vt:lpstr>
      <vt:lpstr>G. 2012 Crosswalk - JJ</vt:lpstr>
      <vt:lpstr>H. Reimb Resources - JJ</vt:lpstr>
      <vt:lpstr>J. Finan Analysis - JJ</vt:lpstr>
      <vt:lpstr>L. Summ by Ob Class - JJ</vt:lpstr>
      <vt:lpstr>B. Summ of Reqs - PSOB </vt:lpstr>
      <vt:lpstr>C. Increases Offsets - PSOB </vt:lpstr>
      <vt:lpstr>D. Strat Goals &amp; Obs - PSOB </vt:lpstr>
      <vt:lpstr>F. 2011 Crosswalk - PSOB </vt:lpstr>
      <vt:lpstr>G. 2012 Crosswalk - PSOB </vt:lpstr>
      <vt:lpstr>J. Finan Analysis - PSOB </vt:lpstr>
      <vt:lpstr>L. Summ by Ob Class - PSOB </vt:lpstr>
      <vt:lpstr>B. Summ of Reqs - CVF </vt:lpstr>
      <vt:lpstr>C. Increases Offsets - CVF</vt:lpstr>
      <vt:lpstr>D. Strat Goals &amp; Obs - CVF</vt:lpstr>
      <vt:lpstr>F. 2011 Crosswalk - CVF</vt:lpstr>
      <vt:lpstr>G. 2012 Crosswalk - CVF</vt:lpstr>
      <vt:lpstr>J. Finan Analysis - CVF</vt:lpstr>
      <vt:lpstr>L. Summ by Object Class - CVF</vt:lpstr>
      <vt:lpstr>M. Studies</vt:lpstr>
      <vt:lpstr>N. Summary of Program Changes</vt:lpstr>
      <vt:lpstr>'B. Summ of Reqs - CVF '!DL</vt:lpstr>
      <vt:lpstr>'B. Summ of Reqs - JJ '!DL</vt:lpstr>
      <vt:lpstr>'B. Summ of Reqs - PSOB '!DL</vt:lpstr>
      <vt:lpstr>'B. Summ of Reqs - RES '!DL</vt:lpstr>
      <vt:lpstr>'B. Summ of Reqs - S&amp;E-M&amp;A '!DL</vt:lpstr>
      <vt:lpstr>'B. Summ of Reqs -SLLEA '!DL</vt:lpstr>
      <vt:lpstr>'B. Summ of Reqs - CVF '!Print_Area</vt:lpstr>
      <vt:lpstr>'B. Summ of Reqs - JJ '!Print_Area</vt:lpstr>
      <vt:lpstr>'B. Summ of Reqs - PSOB '!Print_Area</vt:lpstr>
      <vt:lpstr>'B. Summ of Reqs - RES '!Print_Area</vt:lpstr>
      <vt:lpstr>'B. Summ of Reqs - S&amp;E-M&amp;A '!Print_Area</vt:lpstr>
      <vt:lpstr>'B. Summ of Reqs -SLLEA '!Print_Area</vt:lpstr>
      <vt:lpstr>'C. Increases Offsets  - RES '!Print_Area</vt:lpstr>
      <vt:lpstr>'C. Increases Offsets - CVF'!Print_Area</vt:lpstr>
      <vt:lpstr>'C. Increases Offsets - JJ'!Print_Area</vt:lpstr>
      <vt:lpstr>'C. Increases Offsets - PSOB '!Print_Area</vt:lpstr>
      <vt:lpstr>'C. Increases Offsets - SLLEA'!Print_Area</vt:lpstr>
      <vt:lpstr>'D. Strat Goals &amp; Objs - JJ'!Print_Area</vt:lpstr>
      <vt:lpstr>'D. Strat Goals &amp; Objs - S&amp;E-M&amp;A'!Print_Area</vt:lpstr>
      <vt:lpstr>'D. Strat Goals &amp; Obs  - RES '!Print_Area</vt:lpstr>
      <vt:lpstr>'D. Strat Goals &amp; Obs - CVF'!Print_Area</vt:lpstr>
      <vt:lpstr>'D. Strat Goals &amp; Obs - PSOB '!Print_Area</vt:lpstr>
      <vt:lpstr>'D. Strat Goals &amp; Obs - SLLEA'!Print_Area</vt:lpstr>
      <vt:lpstr>'E. ATB Justification - S&amp;E-M&amp;A'!Print_Area</vt:lpstr>
      <vt:lpstr>'F. 2011 Crosswalk  - RES '!Print_Area</vt:lpstr>
      <vt:lpstr>'F. 2011 Crosswalk - CVF'!Print_Area</vt:lpstr>
      <vt:lpstr>'F. 2011 Crosswalk - JJ'!Print_Area</vt:lpstr>
      <vt:lpstr>'F. 2011 Crosswalk - PSOB '!Print_Area</vt:lpstr>
      <vt:lpstr>'F. 2011 Crosswalk - S&amp;E-M&amp;A'!Print_Area</vt:lpstr>
      <vt:lpstr>'F. 2011 Crosswalk - SLLEA'!Print_Area</vt:lpstr>
      <vt:lpstr>'F. 2011 Crosswalk - W&amp;S'!Print_Area</vt:lpstr>
      <vt:lpstr>'G. 2012 Crosswalk  - RES '!Print_Area</vt:lpstr>
      <vt:lpstr>'G. 2012 Crosswalk - CVF'!Print_Area</vt:lpstr>
      <vt:lpstr>'G. 2012 Crosswalk - JJ'!Print_Area</vt:lpstr>
      <vt:lpstr>'G. 2012 Crosswalk - PSOB '!Print_Area</vt:lpstr>
      <vt:lpstr>'G. 2012 Crosswalk - S&amp;E-M&amp;A'!Print_Area</vt:lpstr>
      <vt:lpstr>'G. 2012 Crosswalk - SLLEA'!Print_Area</vt:lpstr>
      <vt:lpstr>'G. 2012 Crosswalk - W&amp;S'!Print_Area</vt:lpstr>
      <vt:lpstr>'H. Reimb Resources  - RES '!Print_Area</vt:lpstr>
      <vt:lpstr>'H. Reimb Resources - JJ'!Print_Area</vt:lpstr>
      <vt:lpstr>'H. Reimb Resources - S&amp;E-M&amp;A'!Print_Area</vt:lpstr>
      <vt:lpstr>'H. Reimb Resources - SLLEA'!Print_Area</vt:lpstr>
      <vt:lpstr>'I. Perm Positions - S&amp;E-M&amp;A'!Print_Area</vt:lpstr>
      <vt:lpstr>'J. Finan Analysis  - RES '!Print_Area</vt:lpstr>
      <vt:lpstr>'J. Finan Analysis - CVF'!Print_Area</vt:lpstr>
      <vt:lpstr>'J. Finan Analysis - JJ'!Print_Area</vt:lpstr>
      <vt:lpstr>'J. Finan Analysis - PSOB '!Print_Area</vt:lpstr>
      <vt:lpstr>'J. Finan Analysis - SLLEA'!Print_Area</vt:lpstr>
      <vt:lpstr>'K. Summ by Grade - S&amp;E-M&amp;A'!Print_Area</vt:lpstr>
      <vt:lpstr>'L. Summ by Ob Class  - RES '!Print_Area</vt:lpstr>
      <vt:lpstr>'L. Summ by Ob Class  - S&amp;E-M&amp;A '!Print_Area</vt:lpstr>
      <vt:lpstr>'L. Summ by Ob Class - JJ'!Print_Area</vt:lpstr>
      <vt:lpstr>'L. Summ by Ob Class - PSOB '!Print_Area</vt:lpstr>
      <vt:lpstr>'L. Summ by Object Class - CVF'!Print_Area</vt:lpstr>
      <vt:lpstr>'L. Summ by Object Class - SLLEA'!Print_Area</vt:lpstr>
      <vt:lpstr>'L. Summ by Object Class - W&amp;S'!Print_Area</vt:lpstr>
      <vt:lpstr>'M. Studies'!Print_Area</vt:lpstr>
      <vt:lpstr>'N. Summary of Program Changes'!Print_Area</vt:lpstr>
      <vt:lpstr>'B. Summ of Reqs -SLLEA '!Print_Titles</vt:lpstr>
      <vt:lpstr>'C. Increases Offsets - SLLEA'!Print_Titles</vt:lpstr>
      <vt:lpstr>'E. ATB Justification - S&amp;E-M&amp;A'!Print_Titles</vt:lpstr>
      <vt:lpstr>'F. 2011 Crosswalk - SLLEA'!Print_Titles</vt:lpstr>
      <vt:lpstr>'G. 2012 Crosswalk - SLLEA'!Print_Titles</vt:lpstr>
      <vt:lpstr>'J. Finan Analysis - SLLEA'!Print_Titles</vt:lpstr>
      <vt:lpstr>'N. Summary of Program Changes'!Print_Titles</vt:lpstr>
      <vt:lpstr>'H. Reimb Resources  - RES '!REIMPRO</vt:lpstr>
      <vt:lpstr>'H. Reimb Resources - JJ'!REIMPRO</vt:lpstr>
      <vt:lpstr>'H. Reimb Resources - S&amp;E-M&amp;A'!REIMPRO</vt:lpstr>
      <vt:lpstr>'H. Reimb Resources - SLLEA'!REIMPRO</vt:lpstr>
      <vt:lpstr>'H. Reimb Resources  - RES '!REIMSOR</vt:lpstr>
      <vt:lpstr>'H. Reimb Resources - S&amp;E-M&amp;A'!REIMSOR</vt:lpstr>
      <vt:lpstr>'H. Reimb Resources - SLLEA'!REIMSOR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rlindsay</cp:lastModifiedBy>
  <cp:lastPrinted>2012-02-08T16:23:50Z</cp:lastPrinted>
  <dcterms:created xsi:type="dcterms:W3CDTF">2003-08-28T20:51:00Z</dcterms:created>
  <dcterms:modified xsi:type="dcterms:W3CDTF">2012-02-09T13:12:41Z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