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2615" windowHeight="11370" tabRatio="799" activeTab="2"/>
  </bookViews>
  <sheets>
    <sheet name="(A) Org Chart " sheetId="67" r:id="rId1"/>
    <sheet name="B. Summary of Requirements " sheetId="66" r:id="rId2"/>
    <sheet name="(C) Increases Offsets" sheetId="21" r:id="rId3"/>
    <sheet name="(D) Strat Goal &amp; Obj" sheetId="22" r:id="rId4"/>
    <sheet name="(F) 2011 Crosswalk" sheetId="50" r:id="rId5"/>
    <sheet name="G. 2012 Crosswalk " sheetId="64" r:id="rId6"/>
    <sheet name="(J) Financial Analysis" sheetId="46" r:id="rId7"/>
    <sheet name="(L) Sum by OC" sheetId="5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1ATTORNEY_SUPP" localSheetId="5">#REF!</definedName>
    <definedName name="___1ATTORNEY_SUPP">#REF!</definedName>
    <definedName name="__1ATTORNEY_SUPP" localSheetId="0">#REF!</definedName>
    <definedName name="__1ATTORNEY_SUPP" localSheetId="5">#REF!</definedName>
    <definedName name="__1ATTORNEY_SUPP">#REF!</definedName>
    <definedName name="__2GA_ROLLUP" localSheetId="5">#REF!</definedName>
    <definedName name="__2GA_ROLLUP">#REF!</definedName>
    <definedName name="__3POS_BY_CAT">#REF!</definedName>
    <definedName name="_11POS_BY_CAT" localSheetId="1">#REF!</definedName>
    <definedName name="_11POS_BY_CAT">#REF!</definedName>
    <definedName name="_1ATTORNEY_SUPP" localSheetId="1">#REF!</definedName>
    <definedName name="_1ATTORNEY_SUPP">#REF!</definedName>
    <definedName name="_2ATTORNEY_SUPP" localSheetId="7">#REF!</definedName>
    <definedName name="_2ATTORNEY_SUPP" localSheetId="1">#REF!</definedName>
    <definedName name="_2ATTORNEY_SUPP" localSheetId="5">#REF!</definedName>
    <definedName name="_2ATTORNEY_SUPP">#REF!</definedName>
    <definedName name="_2GA_ROLLUP">#REF!</definedName>
    <definedName name="_3GA_ROLLUP" localSheetId="0">#REF!</definedName>
    <definedName name="_3GA_ROLLUP" localSheetId="1">'B. Summary of Requirements '!#REF!</definedName>
    <definedName name="_3GA_ROLLUP" localSheetId="5">#REF!</definedName>
    <definedName name="_3GA_ROLLUP">#REF!</definedName>
    <definedName name="_3POS_BY_CAT" localSheetId="5">#REF!</definedName>
    <definedName name="_3POS_BY_CAT">#REF!</definedName>
    <definedName name="_4GA_ROLLUP" localSheetId="6">'[1]Sum of Req'!#REF!</definedName>
    <definedName name="_4POS_BY_CAT" localSheetId="0">#REF!</definedName>
    <definedName name="_4POS_BY_CAT" localSheetId="5">#REF!</definedName>
    <definedName name="_4POS_BY_CAT">#REF!</definedName>
    <definedName name="_5GA_ROLLUP" localSheetId="0">#REF!</definedName>
    <definedName name="_5GA_ROLLUP" localSheetId="7">#REF!</definedName>
    <definedName name="_5GA_ROLLUP" localSheetId="5">#REF!</definedName>
    <definedName name="_5GA_ROLLUP">#REF!</definedName>
    <definedName name="_7GA_ROLLUP" localSheetId="1">#REF!</definedName>
    <definedName name="_7GA_ROLLUP">#REF!</definedName>
    <definedName name="_7POS_BY_CAT" localSheetId="6">'[1]Summ Atty Agt'!#REF!</definedName>
    <definedName name="_8POS_BY_CAT" localSheetId="0">#REF!</definedName>
    <definedName name="_8POS_BY_CAT" localSheetId="7">#REF!</definedName>
    <definedName name="_8POS_BY_CAT" localSheetId="1">#REF!</definedName>
    <definedName name="_8POS_BY_CAT" localSheetId="5">#REF!</definedName>
    <definedName name="_8POS_BY_CAT">#REF!</definedName>
    <definedName name="DL" localSheetId="0">#REF!</definedName>
    <definedName name="DL" localSheetId="7">#REF!</definedName>
    <definedName name="DL" localSheetId="1">'B. Summary of Requirements '!$A$3:$X$87</definedName>
    <definedName name="DL" localSheetId="5">#REF!</definedName>
    <definedName name="DL">#REF!</definedName>
    <definedName name="EXECSUPP" localSheetId="0">#REF!</definedName>
    <definedName name="EXECSUPP" localSheetId="6">'[1]Sum of Req'!#REF!</definedName>
    <definedName name="EXECSUPP" localSheetId="7">#REF!</definedName>
    <definedName name="EXECSUPP" localSheetId="1">'B. Summary of Requirements '!#REF!</definedName>
    <definedName name="EXECSUPP" localSheetId="5">#REF!</definedName>
    <definedName name="EXECSUPP">#REF!</definedName>
    <definedName name="FY0711.1" localSheetId="7">#REF!</definedName>
    <definedName name="FY0711.1" localSheetId="1">#REF!</definedName>
    <definedName name="FY0711.1" localSheetId="5">#REF!</definedName>
    <definedName name="FY0711.1">#REF!</definedName>
    <definedName name="FY0711.5" localSheetId="1">#REF!</definedName>
    <definedName name="FY0711.5">#REF!</definedName>
    <definedName name="FY0712.1" localSheetId="1">#REF!</definedName>
    <definedName name="FY0712.1">#REF!</definedName>
    <definedName name="FY0721.0" localSheetId="1">#REF!</definedName>
    <definedName name="FY0721.0">#REF!</definedName>
    <definedName name="FY0722.0" localSheetId="1">#REF!</definedName>
    <definedName name="FY0722.0">#REF!</definedName>
    <definedName name="FY0723.1" localSheetId="1">#REF!</definedName>
    <definedName name="FY0723.1">#REF!</definedName>
    <definedName name="FY0723.2" localSheetId="1">#REF!</definedName>
    <definedName name="FY0723.2">#REF!</definedName>
    <definedName name="FY0723.3" localSheetId="1">#REF!</definedName>
    <definedName name="FY0723.3">#REF!</definedName>
    <definedName name="FY0724.0" localSheetId="1">#REF!</definedName>
    <definedName name="FY0724.0">#REF!</definedName>
    <definedName name="FY0725.2" localSheetId="1">#REF!</definedName>
    <definedName name="FY0725.2">#REF!</definedName>
    <definedName name="FY0725.3" localSheetId="1">#REF!</definedName>
    <definedName name="FY0725.3">#REF!</definedName>
    <definedName name="FY0725.6" localSheetId="1">#REF!</definedName>
    <definedName name="FY0725.6">#REF!</definedName>
    <definedName name="FY0726.0" localSheetId="1">#REF!</definedName>
    <definedName name="FY0726.0">#REF!</definedName>
    <definedName name="FY0731.0" localSheetId="1">#REF!</definedName>
    <definedName name="FY0731.0">#REF!</definedName>
    <definedName name="FY0732.0" localSheetId="1">#REF!</definedName>
    <definedName name="FY0732.0">#REF!</definedName>
    <definedName name="FY07Ling" localSheetId="1">#REF!</definedName>
    <definedName name="FY07Ling">#REF!</definedName>
    <definedName name="FY07Mult" localSheetId="1">#REF!</definedName>
    <definedName name="FY07Mult">#REF!</definedName>
    <definedName name="FY07PEPI" localSheetId="1">#REF!</definedName>
    <definedName name="FY07PEPI">#REF!</definedName>
    <definedName name="FY07Tot" localSheetId="1">#REF!</definedName>
    <definedName name="FY07Tot">#REF!</definedName>
    <definedName name="FY07Train" localSheetId="1">#REF!</definedName>
    <definedName name="FY07Train">#REF!</definedName>
    <definedName name="FY0811.1" localSheetId="1">#REF!</definedName>
    <definedName name="FY0811.1">#REF!</definedName>
    <definedName name="FY0811.5" localSheetId="1">#REF!</definedName>
    <definedName name="FY0811.5">#REF!</definedName>
    <definedName name="FY0812.1" localSheetId="1">#REF!</definedName>
    <definedName name="FY0812.1">#REF!</definedName>
    <definedName name="FY0821.0" localSheetId="1">#REF!</definedName>
    <definedName name="FY0821.0">#REF!</definedName>
    <definedName name="FY0822.0" localSheetId="1">#REF!</definedName>
    <definedName name="FY0822.0">#REF!</definedName>
    <definedName name="FY0823.1" localSheetId="1">#REF!</definedName>
    <definedName name="FY0823.1">#REF!</definedName>
    <definedName name="FY0823.2" localSheetId="1">#REF!</definedName>
    <definedName name="FY0823.2">#REF!</definedName>
    <definedName name="FY0823.3" localSheetId="1">#REF!</definedName>
    <definedName name="FY0823.3">#REF!</definedName>
    <definedName name="FY0824.0" localSheetId="1">#REF!</definedName>
    <definedName name="FY0824.0">#REF!</definedName>
    <definedName name="FY0825.2" localSheetId="1">#REF!</definedName>
    <definedName name="FY0825.2">#REF!</definedName>
    <definedName name="FY0825.3" localSheetId="1">#REF!</definedName>
    <definedName name="FY0825.3">#REF!</definedName>
    <definedName name="FY0825.6" localSheetId="1">#REF!</definedName>
    <definedName name="FY0825.6">#REF!</definedName>
    <definedName name="FY0826.0" localSheetId="1">#REF!</definedName>
    <definedName name="FY0826.0">#REF!</definedName>
    <definedName name="FY0831.0" localSheetId="1">#REF!</definedName>
    <definedName name="FY0831.0">#REF!</definedName>
    <definedName name="FY0832.0" localSheetId="1">#REF!</definedName>
    <definedName name="FY0832.0">#REF!</definedName>
    <definedName name="FY08Ling" localSheetId="1">#REF!</definedName>
    <definedName name="FY08Ling">#REF!</definedName>
    <definedName name="FY08Mult" localSheetId="1">#REF!</definedName>
    <definedName name="FY08Mult">#REF!</definedName>
    <definedName name="FY08PEPI" localSheetId="1">#REF!</definedName>
    <definedName name="FY08PEPI">#REF!</definedName>
    <definedName name="FY08Tot" localSheetId="1">#REF!</definedName>
    <definedName name="FY08Tot">#REF!</definedName>
    <definedName name="FY08Train" localSheetId="1">#REF!</definedName>
    <definedName name="FY08Train">#REF!</definedName>
    <definedName name="FY0911.1" localSheetId="1">#REF!</definedName>
    <definedName name="FY0911.1">#REF!</definedName>
    <definedName name="FY0911.5" localSheetId="1">#REF!</definedName>
    <definedName name="FY0911.5">#REF!</definedName>
    <definedName name="FY0912.1" localSheetId="1">#REF!</definedName>
    <definedName name="FY0912.1">#REF!</definedName>
    <definedName name="FY0921.0" localSheetId="1">#REF!</definedName>
    <definedName name="FY0921.0">#REF!</definedName>
    <definedName name="FY0922.0" localSheetId="1">#REF!</definedName>
    <definedName name="FY0922.0">#REF!</definedName>
    <definedName name="FY0923.1" localSheetId="1">#REF!</definedName>
    <definedName name="FY0923.1">#REF!</definedName>
    <definedName name="FY0923.2" localSheetId="1">#REF!</definedName>
    <definedName name="FY0923.2">#REF!</definedName>
    <definedName name="FY0923.3" localSheetId="1">#REF!</definedName>
    <definedName name="FY0923.3">#REF!</definedName>
    <definedName name="FY0924.0" localSheetId="1">#REF!</definedName>
    <definedName name="FY0924.0">#REF!</definedName>
    <definedName name="FY0925.2" localSheetId="1">#REF!</definedName>
    <definedName name="FY0925.2">#REF!</definedName>
    <definedName name="FY0925.3" localSheetId="1">#REF!</definedName>
    <definedName name="FY0925.3">#REF!</definedName>
    <definedName name="FY0925.6" localSheetId="1">#REF!</definedName>
    <definedName name="FY0925.6">#REF!</definedName>
    <definedName name="FY0926.0" localSheetId="1">#REF!</definedName>
    <definedName name="FY0926.0">#REF!</definedName>
    <definedName name="FY0931.0" localSheetId="1">#REF!</definedName>
    <definedName name="FY0931.0">#REF!</definedName>
    <definedName name="FY0932.0" localSheetId="1">#REF!</definedName>
    <definedName name="FY0932.0">#REF!</definedName>
    <definedName name="FY09Ling" localSheetId="1">#REF!</definedName>
    <definedName name="FY09Ling">#REF!</definedName>
    <definedName name="FY09Mult" localSheetId="1">#REF!</definedName>
    <definedName name="FY09Mult">#REF!</definedName>
    <definedName name="FY09PEPI" localSheetId="1">#REF!</definedName>
    <definedName name="FY09PEPI">#REF!</definedName>
    <definedName name="FY09Tot" localSheetId="1">#REF!</definedName>
    <definedName name="FY09Tot">#REF!</definedName>
    <definedName name="FY09Train" localSheetId="1">#REF!</definedName>
    <definedName name="FY09Train">#REF!</definedName>
    <definedName name="INTEL" localSheetId="0">#REF!</definedName>
    <definedName name="INTEL" localSheetId="6">'[1]Sum of Req'!#REF!</definedName>
    <definedName name="INTEL" localSheetId="7">#REF!</definedName>
    <definedName name="INTEL" localSheetId="1">'B. Summary of Requirements '!#REF!</definedName>
    <definedName name="INTEL" localSheetId="5">#REF!</definedName>
    <definedName name="INTEL">#REF!</definedName>
    <definedName name="JMD" localSheetId="0">#REF!</definedName>
    <definedName name="JMD" localSheetId="6">'[1]Sum of Req'!#REF!</definedName>
    <definedName name="JMD" localSheetId="7">#REF!</definedName>
    <definedName name="JMD" localSheetId="1">'B. Summary of Requirements '!#REF!</definedName>
    <definedName name="JMD" localSheetId="5">#REF!</definedName>
    <definedName name="JMD">#REF!</definedName>
    <definedName name="PART" localSheetId="0">#REF!</definedName>
    <definedName name="PART" localSheetId="7">#REF!</definedName>
    <definedName name="PART" localSheetId="1">#REF!</definedName>
    <definedName name="PART" localSheetId="5">#REF!</definedName>
    <definedName name="PART">#REF!</definedName>
    <definedName name="_xlnm.Print_Area" localSheetId="0">'(A) Org Chart '!$A$1:$N$29</definedName>
    <definedName name="_xlnm.Print_Area" localSheetId="2">'(C) Increases Offsets'!$A$1:$G$27</definedName>
    <definedName name="_xlnm.Print_Area" localSheetId="3">'(D) Strat Goal &amp; Obj'!$A$1:$P$90</definedName>
    <definedName name="_xlnm.Print_Area" localSheetId="4">'(F) 2011 Crosswalk'!$A$1:$AC$51</definedName>
    <definedName name="_xlnm.Print_Area" localSheetId="6">'(J) Financial Analysis'!$B$1:$E$31</definedName>
    <definedName name="_xlnm.Print_Area" localSheetId="7">'(L) Sum by OC'!$A$1:$O$45</definedName>
    <definedName name="_xlnm.Print_Area" localSheetId="1">'B. Summary of Requirements '!$A$1:$X$108</definedName>
    <definedName name="_xlnm.Print_Area" localSheetId="5">'G. 2012 Crosswalk '!$A$1:$Q$50</definedName>
    <definedName name="_xlnm.Print_Area">#REF!</definedName>
    <definedName name="REIMPRO" localSheetId="0">#REF!</definedName>
    <definedName name="REIMPRO" localSheetId="1">#REF!</definedName>
    <definedName name="REIMPRO" localSheetId="5">#REF!</definedName>
    <definedName name="REIMPRO">#REF!</definedName>
    <definedName name="REIMSOR" localSheetId="0">#REF!</definedName>
    <definedName name="REIMSOR" localSheetId="1">#REF!</definedName>
    <definedName name="REIMSOR" localSheetId="5">#REF!</definedName>
    <definedName name="REIMSOR">#REF!</definedName>
    <definedName name="Z_12C66D54_5067_4346_818B_6EAB1C8A9183_.wvu.PrintArea" localSheetId="1" hidden="1">'B. Summary of Requirements '!$A$1:$X$107</definedName>
    <definedName name="Z_3118AF25_8423_420A_806A_487665220C68_.wvu.PrintArea" localSheetId="1" hidden="1">'B. Summary of Requirements '!$A$1:$X$107</definedName>
    <definedName name="Z_4148B88B_8ED7_4FDE_9459_DEB244AD0552_.wvu.PrintArea" localSheetId="1" hidden="1">'B. Summary of Requirements '!$A$1:$X$107</definedName>
    <definedName name="Z_56C0A34E_45B4_448B_85E5_70B3A8E63333_.wvu.PrintArea" localSheetId="1" hidden="1">'B. Summary of Requirements '!$A$1:$X$107</definedName>
  </definedNames>
  <calcPr calcId="125725"/>
</workbook>
</file>

<file path=xl/calcChain.xml><?xml version="1.0" encoding="utf-8"?>
<calcChain xmlns="http://schemas.openxmlformats.org/spreadsheetml/2006/main">
  <c r="N44" i="22"/>
  <c r="F100" i="66"/>
  <c r="I100"/>
  <c r="L100"/>
  <c r="O100"/>
  <c r="R100"/>
  <c r="U100"/>
  <c r="X100"/>
  <c r="O99"/>
  <c r="R99"/>
  <c r="W99"/>
  <c r="V99"/>
  <c r="T99"/>
  <c r="S99"/>
  <c r="Q99"/>
  <c r="P99"/>
  <c r="N99"/>
  <c r="M99"/>
  <c r="K99"/>
  <c r="J99"/>
  <c r="H99"/>
  <c r="G99"/>
  <c r="E99"/>
  <c r="D99"/>
  <c r="F99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E96"/>
  <c r="D96"/>
  <c r="F96"/>
  <c r="W94"/>
  <c r="V94"/>
  <c r="T94"/>
  <c r="S94"/>
  <c r="Q94"/>
  <c r="P94"/>
  <c r="N94"/>
  <c r="M94"/>
  <c r="K94"/>
  <c r="J94"/>
  <c r="H94"/>
  <c r="G94"/>
  <c r="E94"/>
  <c r="D94"/>
  <c r="X94"/>
  <c r="U94"/>
  <c r="R94"/>
  <c r="O94"/>
  <c r="L94"/>
  <c r="I94"/>
  <c r="O86" i="22" l="1"/>
  <c r="M86"/>
  <c r="K86"/>
  <c r="I86"/>
  <c r="F86"/>
  <c r="C86"/>
  <c r="O43" i="53" l="1"/>
  <c r="O42"/>
  <c r="O41"/>
  <c r="O45" s="1"/>
  <c r="L45"/>
  <c r="X98" i="66" l="1"/>
  <c r="D27" i="46"/>
  <c r="D31" s="1"/>
  <c r="Q37" i="64"/>
  <c r="Q36"/>
  <c r="N41"/>
  <c r="E27" i="46" l="1"/>
  <c r="E31" s="1"/>
  <c r="C31"/>
  <c r="K18" i="64" l="1"/>
  <c r="Q18" s="1"/>
  <c r="K15"/>
  <c r="Q15" s="1"/>
  <c r="K31"/>
  <c r="Q31" s="1"/>
  <c r="K29"/>
  <c r="Q29" s="1"/>
  <c r="K28"/>
  <c r="Q28" s="1"/>
  <c r="K20"/>
  <c r="Q20" s="1"/>
  <c r="K23"/>
  <c r="Q23" s="1"/>
  <c r="K19"/>
  <c r="Q19" s="1"/>
  <c r="D41"/>
  <c r="C41"/>
  <c r="Q38"/>
  <c r="P38"/>
  <c r="O38"/>
  <c r="P37"/>
  <c r="O37"/>
  <c r="P36"/>
  <c r="O36"/>
  <c r="Q35"/>
  <c r="P35"/>
  <c r="O35"/>
  <c r="Q34"/>
  <c r="P34"/>
  <c r="O34"/>
  <c r="Q33"/>
  <c r="P33"/>
  <c r="O33"/>
  <c r="Q32"/>
  <c r="P32"/>
  <c r="O32"/>
  <c r="P31"/>
  <c r="O31"/>
  <c r="Q30"/>
  <c r="P30"/>
  <c r="O30"/>
  <c r="P29"/>
  <c r="O29"/>
  <c r="P28"/>
  <c r="O28"/>
  <c r="Q27"/>
  <c r="P27"/>
  <c r="O27"/>
  <c r="Q26"/>
  <c r="P26"/>
  <c r="O26"/>
  <c r="Q25"/>
  <c r="P25"/>
  <c r="O25"/>
  <c r="Q24"/>
  <c r="P24"/>
  <c r="O24"/>
  <c r="Q22"/>
  <c r="P22"/>
  <c r="O22"/>
  <c r="Q21"/>
  <c r="P21"/>
  <c r="O21"/>
  <c r="P20"/>
  <c r="O20"/>
  <c r="P19"/>
  <c r="O19"/>
  <c r="P18"/>
  <c r="O18"/>
  <c r="Q17"/>
  <c r="P17"/>
  <c r="O17"/>
  <c r="Q16"/>
  <c r="P16"/>
  <c r="O16"/>
  <c r="P15"/>
  <c r="O15"/>
  <c r="J41"/>
  <c r="J43" s="1"/>
  <c r="J47" s="1"/>
  <c r="I41"/>
  <c r="AB41" i="50"/>
  <c r="AB37"/>
  <c r="AB36"/>
  <c r="AB35"/>
  <c r="AB16"/>
  <c r="AB34"/>
  <c r="AB33"/>
  <c r="AB31"/>
  <c r="AB30"/>
  <c r="AB29"/>
  <c r="AB28"/>
  <c r="AB27"/>
  <c r="AB26"/>
  <c r="AB25"/>
  <c r="AB24"/>
  <c r="AB23"/>
  <c r="AB22"/>
  <c r="AB21"/>
  <c r="AB20"/>
  <c r="AB18"/>
  <c r="AB15"/>
  <c r="U34"/>
  <c r="X15"/>
  <c r="P41" i="64" l="1"/>
  <c r="O41"/>
  <c r="K41"/>
  <c r="Q41"/>
  <c r="U15" i="50" l="1"/>
  <c r="U18"/>
  <c r="U36"/>
  <c r="U29"/>
  <c r="U28"/>
  <c r="U27"/>
  <c r="U21"/>
  <c r="U26"/>
  <c r="U20"/>
  <c r="U16"/>
  <c r="T48"/>
  <c r="T49" s="1"/>
  <c r="T44"/>
  <c r="T41"/>
  <c r="S41"/>
  <c r="O90" i="22"/>
  <c r="M90"/>
  <c r="K90"/>
  <c r="I90"/>
  <c r="F90"/>
  <c r="C90"/>
  <c r="U41" i="50" l="1"/>
  <c r="O89" i="22"/>
  <c r="J89"/>
  <c r="P89" s="1"/>
  <c r="G89"/>
  <c r="D89"/>
  <c r="F27" i="21"/>
  <c r="G26"/>
  <c r="G27" l="1"/>
  <c r="A5" i="64" l="1"/>
  <c r="X20" i="66"/>
  <c r="X22" s="1"/>
  <c r="W20"/>
  <c r="W22" s="1"/>
  <c r="V20"/>
  <c r="V22" s="1"/>
  <c r="V17"/>
  <c r="W17"/>
  <c r="X17"/>
  <c r="V29"/>
  <c r="W29"/>
  <c r="X29"/>
  <c r="V35"/>
  <c r="W35"/>
  <c r="X35"/>
  <c r="A56"/>
  <c r="X69"/>
  <c r="X70"/>
  <c r="X71"/>
  <c r="X72"/>
  <c r="X73"/>
  <c r="X75"/>
  <c r="X76"/>
  <c r="X77"/>
  <c r="X78"/>
  <c r="X79"/>
  <c r="X80"/>
  <c r="X81"/>
  <c r="X82"/>
  <c r="X83"/>
  <c r="X84"/>
  <c r="X85"/>
  <c r="X86"/>
  <c r="X87"/>
  <c r="X88"/>
  <c r="X89"/>
  <c r="X90"/>
  <c r="X95"/>
  <c r="F94"/>
  <c r="W101"/>
  <c r="W105"/>
  <c r="W106"/>
  <c r="W37" l="1"/>
  <c r="D22" i="22"/>
  <c r="L22"/>
  <c r="J22"/>
  <c r="X24" i="66"/>
  <c r="V37"/>
  <c r="X37"/>
  <c r="V24"/>
  <c r="W24"/>
  <c r="W39" s="1"/>
  <c r="W46" s="1"/>
  <c r="P22" i="22" l="1"/>
  <c r="X39" i="66"/>
  <c r="X45" s="1"/>
  <c r="V39"/>
  <c r="V46" s="1"/>
  <c r="X43" l="1"/>
  <c r="X44" s="1"/>
  <c r="F21" i="21"/>
  <c r="X46" i="66" l="1"/>
  <c r="M41" i="64"/>
  <c r="M43" s="1"/>
  <c r="M47" s="1"/>
  <c r="L41"/>
  <c r="H41"/>
  <c r="G41"/>
  <c r="G43" s="1"/>
  <c r="G47" s="1"/>
  <c r="F41"/>
  <c r="E41"/>
  <c r="D43"/>
  <c r="D47" s="1"/>
  <c r="A4"/>
  <c r="G18" i="21" l="1"/>
  <c r="G11"/>
  <c r="G12"/>
  <c r="G13"/>
  <c r="Q30" i="50" l="1"/>
  <c r="Q24"/>
  <c r="Q23"/>
  <c r="Q22"/>
  <c r="Q20"/>
  <c r="Q31"/>
  <c r="Q29"/>
  <c r="Q28"/>
  <c r="Q27"/>
  <c r="Q26"/>
  <c r="Q25"/>
  <c r="Q21"/>
  <c r="Q18"/>
  <c r="Q16"/>
  <c r="Q15"/>
  <c r="O24" i="53"/>
  <c r="R24"/>
  <c r="O44" l="1"/>
  <c r="G20" i="21"/>
  <c r="E21"/>
  <c r="D21"/>
  <c r="C21"/>
  <c r="O29" i="53"/>
  <c r="D30" i="22"/>
  <c r="O35" i="53"/>
  <c r="G19" i="21"/>
  <c r="F14"/>
  <c r="O40" i="53"/>
  <c r="B4"/>
  <c r="B5"/>
  <c r="N10"/>
  <c r="O10"/>
  <c r="L11"/>
  <c r="O11" s="1"/>
  <c r="N11"/>
  <c r="E12"/>
  <c r="F12"/>
  <c r="F16" s="1"/>
  <c r="F36" s="1"/>
  <c r="F45" s="1"/>
  <c r="H12"/>
  <c r="H16" s="1"/>
  <c r="I12"/>
  <c r="I16" s="1"/>
  <c r="K12"/>
  <c r="K16" s="1"/>
  <c r="L12"/>
  <c r="N13"/>
  <c r="O13"/>
  <c r="N14"/>
  <c r="N12" s="1"/>
  <c r="O14"/>
  <c r="N15"/>
  <c r="O15"/>
  <c r="E16"/>
  <c r="P16"/>
  <c r="Q16"/>
  <c r="O20"/>
  <c r="Q20"/>
  <c r="R20"/>
  <c r="O21"/>
  <c r="R21"/>
  <c r="O22"/>
  <c r="R22"/>
  <c r="O23"/>
  <c r="P23"/>
  <c r="R23"/>
  <c r="O25"/>
  <c r="R25"/>
  <c r="O26"/>
  <c r="R26"/>
  <c r="O27"/>
  <c r="R27"/>
  <c r="O28"/>
  <c r="R28"/>
  <c r="R29"/>
  <c r="O30"/>
  <c r="O31"/>
  <c r="R31"/>
  <c r="O32"/>
  <c r="R32"/>
  <c r="I33"/>
  <c r="O33" s="1"/>
  <c r="I34"/>
  <c r="O34" s="1"/>
  <c r="AA47" i="50"/>
  <c r="AA46"/>
  <c r="AA41"/>
  <c r="AA43"/>
  <c r="W41"/>
  <c r="W44" s="1"/>
  <c r="W48" s="1"/>
  <c r="W49" s="1"/>
  <c r="P41"/>
  <c r="P44" s="1"/>
  <c r="P48" s="1"/>
  <c r="P49" s="1"/>
  <c r="L41"/>
  <c r="L44" s="1"/>
  <c r="L48" s="1"/>
  <c r="L49" s="1"/>
  <c r="H41"/>
  <c r="H44" s="1"/>
  <c r="H48" s="1"/>
  <c r="H49" s="1"/>
  <c r="D41"/>
  <c r="D44" s="1"/>
  <c r="D48" s="1"/>
  <c r="D49" s="1"/>
  <c r="Q41"/>
  <c r="A4"/>
  <c r="A5"/>
  <c r="AB14"/>
  <c r="C41"/>
  <c r="E41"/>
  <c r="I41"/>
  <c r="G41"/>
  <c r="K41"/>
  <c r="M41"/>
  <c r="O41"/>
  <c r="V41"/>
  <c r="Z41"/>
  <c r="B5" i="46"/>
  <c r="P39" i="22"/>
  <c r="P38"/>
  <c r="P37"/>
  <c r="P36"/>
  <c r="P35"/>
  <c r="P34"/>
  <c r="P33"/>
  <c r="P42" s="1"/>
  <c r="O39"/>
  <c r="O38"/>
  <c r="O37"/>
  <c r="O36"/>
  <c r="O35"/>
  <c r="O34"/>
  <c r="O33"/>
  <c r="O42" s="1"/>
  <c r="O15"/>
  <c r="O25"/>
  <c r="P29"/>
  <c r="P28"/>
  <c r="P27"/>
  <c r="P26"/>
  <c r="P25"/>
  <c r="P24"/>
  <c r="P23"/>
  <c r="O29"/>
  <c r="O28"/>
  <c r="O27"/>
  <c r="O26"/>
  <c r="O24"/>
  <c r="O23"/>
  <c r="O30" s="1"/>
  <c r="O22"/>
  <c r="P17"/>
  <c r="P16"/>
  <c r="P15"/>
  <c r="P14"/>
  <c r="P19"/>
  <c r="O17"/>
  <c r="O16"/>
  <c r="O14"/>
  <c r="O19"/>
  <c r="M30"/>
  <c r="K30"/>
  <c r="I30"/>
  <c r="F30"/>
  <c r="C30"/>
  <c r="N42"/>
  <c r="M42"/>
  <c r="L42"/>
  <c r="K42"/>
  <c r="J42"/>
  <c r="I42"/>
  <c r="G42"/>
  <c r="F42"/>
  <c r="D42"/>
  <c r="C42"/>
  <c r="N19"/>
  <c r="M19"/>
  <c r="M44"/>
  <c r="L19"/>
  <c r="K19"/>
  <c r="K44" s="1"/>
  <c r="J19"/>
  <c r="I19"/>
  <c r="I44" s="1"/>
  <c r="G19"/>
  <c r="F19"/>
  <c r="D19"/>
  <c r="C19"/>
  <c r="C44" s="1"/>
  <c r="P41"/>
  <c r="O41"/>
  <c r="P40"/>
  <c r="O40"/>
  <c r="A47"/>
  <c r="C51"/>
  <c r="F51"/>
  <c r="I51"/>
  <c r="K51"/>
  <c r="O51"/>
  <c r="C52"/>
  <c r="F52"/>
  <c r="I52"/>
  <c r="O52"/>
  <c r="O57"/>
  <c r="P57"/>
  <c r="P59" s="1"/>
  <c r="C59"/>
  <c r="D59"/>
  <c r="F59"/>
  <c r="G59"/>
  <c r="G85"/>
  <c r="I59"/>
  <c r="I85" s="1"/>
  <c r="J59"/>
  <c r="K59"/>
  <c r="K85" s="1"/>
  <c r="N59"/>
  <c r="N85" s="1"/>
  <c r="O59"/>
  <c r="O62"/>
  <c r="O68" s="1"/>
  <c r="O85" s="1"/>
  <c r="P62"/>
  <c r="P68" s="1"/>
  <c r="C68"/>
  <c r="C85" s="1"/>
  <c r="D68"/>
  <c r="F68"/>
  <c r="G68"/>
  <c r="I68"/>
  <c r="J68"/>
  <c r="J85" s="1"/>
  <c r="K68"/>
  <c r="N68"/>
  <c r="O71"/>
  <c r="O74" s="1"/>
  <c r="P71"/>
  <c r="P74" s="1"/>
  <c r="C74"/>
  <c r="D74"/>
  <c r="F74"/>
  <c r="G74"/>
  <c r="I74"/>
  <c r="J74"/>
  <c r="K74"/>
  <c r="N74"/>
  <c r="O77"/>
  <c r="O83" s="1"/>
  <c r="P77"/>
  <c r="P83" s="1"/>
  <c r="C83"/>
  <c r="D83"/>
  <c r="F83"/>
  <c r="G83"/>
  <c r="I83"/>
  <c r="J83"/>
  <c r="K83"/>
  <c r="N83"/>
  <c r="D85"/>
  <c r="F85"/>
  <c r="O12" i="53" l="1"/>
  <c r="O16" s="1"/>
  <c r="O36" s="1"/>
  <c r="Q36"/>
  <c r="P36"/>
  <c r="L16"/>
  <c r="P85" i="22"/>
  <c r="O44"/>
  <c r="F44"/>
  <c r="D44"/>
  <c r="G21" i="21"/>
  <c r="AA44" i="50"/>
  <c r="AA48" s="1"/>
  <c r="AA49" s="1"/>
  <c r="X41"/>
  <c r="R34" i="53"/>
  <c r="J30" i="22"/>
  <c r="J44" s="1"/>
  <c r="G14" i="21"/>
  <c r="N16" i="53"/>
  <c r="R33"/>
  <c r="J90" i="22" l="1"/>
  <c r="J86"/>
  <c r="D90"/>
  <c r="D86"/>
  <c r="L36" i="53"/>
  <c r="R16"/>
  <c r="N30" i="22"/>
  <c r="I45" i="53"/>
  <c r="R36"/>
  <c r="L39" l="1"/>
  <c r="L30" i="22"/>
  <c r="L44" s="1"/>
  <c r="L86" s="1"/>
  <c r="P30"/>
  <c r="P44" s="1"/>
  <c r="D17" i="46" l="1"/>
  <c r="N86" i="22"/>
  <c r="N90"/>
  <c r="P90"/>
  <c r="P86"/>
  <c r="C13" i="46"/>
  <c r="C17" s="1"/>
  <c r="L90" i="22"/>
  <c r="E13" i="46" l="1"/>
  <c r="E17" s="1"/>
  <c r="G22" i="22"/>
  <c r="G30"/>
  <c r="G44" s="1"/>
  <c r="Q107" i="66"/>
  <c r="Q102"/>
  <c r="E102"/>
  <c r="E107"/>
  <c r="H102"/>
  <c r="H107" s="1"/>
  <c r="T102"/>
  <c r="T107"/>
  <c r="N102"/>
  <c r="N107" s="1"/>
  <c r="K102"/>
  <c r="K107"/>
  <c r="W102"/>
  <c r="W107" s="1"/>
  <c r="M100"/>
  <c r="K100"/>
  <c r="G100"/>
  <c r="J100"/>
  <c r="N100"/>
  <c r="E100"/>
  <c r="W100"/>
  <c r="V100"/>
  <c r="H100"/>
  <c r="D100"/>
  <c r="T100"/>
  <c r="Q100"/>
  <c r="S100"/>
  <c r="P100"/>
  <c r="G90" i="22" l="1"/>
  <c r="G86"/>
</calcChain>
</file>

<file path=xl/sharedStrings.xml><?xml version="1.0" encoding="utf-8"?>
<sst xmlns="http://schemas.openxmlformats.org/spreadsheetml/2006/main" count="853" uniqueCount="285">
  <si>
    <t>Office on Violence Against Women</t>
  </si>
  <si>
    <t>STOP</t>
  </si>
  <si>
    <t xml:space="preserve">     Transitional Housing</t>
  </si>
  <si>
    <t>Youth Advocacy</t>
  </si>
  <si>
    <t>Children &amp; Youth Exposed</t>
  </si>
  <si>
    <t>Court Training &amp; Improvements</t>
  </si>
  <si>
    <t>Legal Assistance to Victims (LAV)</t>
  </si>
  <si>
    <t>Engaging Men &amp; Youth</t>
  </si>
  <si>
    <t>Indian Women - Tracking</t>
  </si>
  <si>
    <t>National Resource Center</t>
  </si>
  <si>
    <t>OJP Administered</t>
  </si>
  <si>
    <t>Indian Women - Analysis &amp; Research</t>
  </si>
  <si>
    <t>C: Program Increases/Offsets By Decision Unit - GRANTS</t>
  </si>
  <si>
    <t>D: Resources by DOJ Strategic Goal and Strategic Objective - GRANTS</t>
  </si>
  <si>
    <t xml:space="preserve">     NIJ Research and Development</t>
  </si>
  <si>
    <t>Sexual Assault Services</t>
  </si>
  <si>
    <t>Children and Youth Exposed</t>
  </si>
  <si>
    <t>Indian Women - Analysis and Res</t>
  </si>
  <si>
    <t>Violence Against Women</t>
  </si>
  <si>
    <t xml:space="preserve">Prevention and Prosecution of </t>
  </si>
  <si>
    <t xml:space="preserve">  </t>
  </si>
  <si>
    <t>L: Summary of Requirements by Object Class - GRANTS</t>
  </si>
  <si>
    <t xml:space="preserve">   3.4  Provide services and programs to facilitate inmates’ successful reintegration into society, consistent with community expectations and standards </t>
  </si>
  <si>
    <t xml:space="preserve">   3.5  Adjudicate all immigration cases promptly and impartially in accordance with due process </t>
  </si>
  <si>
    <t xml:space="preserve">   3.6  Promote and strengthen innovate strategies in the administration of State and local justice systems </t>
  </si>
  <si>
    <t xml:space="preserve">   3.7  Uphold the rights and improve services to America’s crime victims </t>
  </si>
  <si>
    <t>Total Adjustments to Base and Technical Adjustments</t>
  </si>
  <si>
    <t>Increase/Decrease</t>
  </si>
  <si>
    <t>Decision Unit</t>
  </si>
  <si>
    <t>atb</t>
  </si>
  <si>
    <t>enhance</t>
  </si>
  <si>
    <t>FTE</t>
  </si>
  <si>
    <t>Total</t>
  </si>
  <si>
    <t>LEAP</t>
  </si>
  <si>
    <t>11.5  Total, Other personnel compensation</t>
  </si>
  <si>
    <t xml:space="preserve">     Other Compensation</t>
  </si>
  <si>
    <t xml:space="preserve">     Overtime</t>
  </si>
  <si>
    <t>11.8  Special personal services payments</t>
  </si>
  <si>
    <t xml:space="preserve">    Full-time permanent</t>
  </si>
  <si>
    <t>12.0  Personnel benefits</t>
  </si>
  <si>
    <t>21.0  Travel and transportation of persons</t>
  </si>
  <si>
    <t>22.0  Transportation of things</t>
  </si>
  <si>
    <t>23.3  Comm., util., &amp; other misc. charges</t>
  </si>
  <si>
    <t>24.0  Printing and reproduction</t>
  </si>
  <si>
    <t>25.1  Advisory and assistance services</t>
  </si>
  <si>
    <t>25.2 Other services</t>
  </si>
  <si>
    <t>26.0  Supplies and materials</t>
  </si>
  <si>
    <t>31.0  Equipment</t>
  </si>
  <si>
    <t xml:space="preserve">          Total obligations</t>
  </si>
  <si>
    <t>Unobligated balance, start of year</t>
  </si>
  <si>
    <t>Unobligated balance, end of year</t>
  </si>
  <si>
    <t>Recoveries of prior year obligations</t>
  </si>
  <si>
    <t xml:space="preserve">          Total requirements</t>
  </si>
  <si>
    <t>11.3  Other than full-time permanent</t>
  </si>
  <si>
    <t>Object Classes</t>
  </si>
  <si>
    <t>Other Object Classes:</t>
  </si>
  <si>
    <t>Decision Unit 1</t>
  </si>
  <si>
    <t>Summary of Requirements by Object Class</t>
  </si>
  <si>
    <t>Overtime</t>
  </si>
  <si>
    <t>Technical Adjustments</t>
  </si>
  <si>
    <t>Program Changes</t>
  </si>
  <si>
    <t>Total Program Changes</t>
  </si>
  <si>
    <t>Subtotal Increases</t>
  </si>
  <si>
    <t>23.1  GSA rent</t>
  </si>
  <si>
    <t>25.4  Operation and maintenance of facilities</t>
  </si>
  <si>
    <t>Strategic Goal and Strategic Objective</t>
  </si>
  <si>
    <t>Program Increases</t>
  </si>
  <si>
    <t>25.3 Purchases of goods &amp; services from Government accounts</t>
  </si>
  <si>
    <t>25.5 Research and development contracts</t>
  </si>
  <si>
    <t>25.7 Operation and maintenance of equipment</t>
  </si>
  <si>
    <t>(Dollars in Thousands)</t>
  </si>
  <si>
    <t>Increases/Offsets</t>
  </si>
  <si>
    <t>Other FTE:</t>
  </si>
  <si>
    <t>Total Comp. FTE</t>
  </si>
  <si>
    <t>Total FTE</t>
  </si>
  <si>
    <t>Reimbursable FTE</t>
  </si>
  <si>
    <t>Other FTE</t>
  </si>
  <si>
    <t>Total Compensable FTE</t>
  </si>
  <si>
    <t>Summary of Requirements</t>
  </si>
  <si>
    <t>95% Budget</t>
  </si>
  <si>
    <t>Reimbursable FTE:</t>
  </si>
  <si>
    <t>Total Program Increases</t>
  </si>
  <si>
    <t>Rescissions</t>
  </si>
  <si>
    <t>Supplementals</t>
  </si>
  <si>
    <t>Estimates by budget activity</t>
  </si>
  <si>
    <t>Pos.</t>
  </si>
  <si>
    <t xml:space="preserve"> </t>
  </si>
  <si>
    <t>Amount</t>
  </si>
  <si>
    <t>Recoveries</t>
  </si>
  <si>
    <t>Increases</t>
  </si>
  <si>
    <t>Offsets</t>
  </si>
  <si>
    <t>TOTAL</t>
  </si>
  <si>
    <t xml:space="preserve">                Total ..........................................................</t>
  </si>
  <si>
    <t>Agt./Atty.</t>
  </si>
  <si>
    <t>Resources by Department of Justice Strategic Goal/Objective</t>
  </si>
  <si>
    <t>Program Offsets</t>
  </si>
  <si>
    <t>Total Program Offsets</t>
  </si>
  <si>
    <t xml:space="preserve">1.2: </t>
  </si>
  <si>
    <t>1.1:</t>
  </si>
  <si>
    <t xml:space="preserve">3.1: </t>
  </si>
  <si>
    <t xml:space="preserve">4.1: </t>
  </si>
  <si>
    <t xml:space="preserve">Decision </t>
  </si>
  <si>
    <t>Unit(s)</t>
  </si>
  <si>
    <t>Strategic Goal/Objective</t>
  </si>
  <si>
    <t>$000s</t>
  </si>
  <si>
    <t>Goal 1: Prevent Terrorism and Promote the Nation's Security</t>
  </si>
  <si>
    <t>Subtotal, Goal 1</t>
  </si>
  <si>
    <t>Goal 2: Enforce Federal Laws and Represent the Rights and
                 Interests of the American People</t>
  </si>
  <si>
    <t>2.2: Drugs</t>
  </si>
  <si>
    <t>2.3: White Collar Crime</t>
  </si>
  <si>
    <t>2.4: Civil Rights/Exploitation Crimes</t>
  </si>
  <si>
    <t>2.5: Federal Statutes</t>
  </si>
  <si>
    <t>2.6: Bankruptcy</t>
  </si>
  <si>
    <t>Subtotal, Goal 2</t>
  </si>
  <si>
    <t>Goal 3: Assist State, Local, and Tribal Efforts to Prevent or
                 Crime and Violence</t>
  </si>
  <si>
    <t>3.2: Drug Prevention and Treatment</t>
  </si>
  <si>
    <t>3.3: Crime Victim Services</t>
  </si>
  <si>
    <t>Subtotal, Goal 3</t>
  </si>
  <si>
    <t>Goal 4: Ensure the Fair and Efficient Operation of the 
                 Federal Justice System</t>
  </si>
  <si>
    <t>4.2: Apprehension of Fugitives</t>
  </si>
  <si>
    <t>4.3: Treatment of Detainees</t>
  </si>
  <si>
    <t>4.4: Federal Prison System</t>
  </si>
  <si>
    <t>4.5: Inmate Programs and Services</t>
  </si>
  <si>
    <t>4.6: Immigration</t>
  </si>
  <si>
    <t>Subtotal, Goal 4</t>
  </si>
  <si>
    <t>GRAND TOTAL</t>
  </si>
  <si>
    <t>Direct, Reimb. Other FTE</t>
  </si>
  <si>
    <t>Direct Amount $000s</t>
  </si>
  <si>
    <t>11.1  Direct FTE &amp; personnel compensation</t>
  </si>
  <si>
    <t xml:space="preserve">       Total </t>
  </si>
  <si>
    <t xml:space="preserve">   1.3  Prosecute those who have committed, or intend to commit, terrorist acts 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United States  </t>
  </si>
  <si>
    <t>Goal 2: Prevent Crime, Enforce Federal Laws and Represent the 
              Rights and Interests of the American People</t>
  </si>
  <si>
    <t>41.0 Grants</t>
  </si>
  <si>
    <t>A: Organizational Chart - GRANTS</t>
  </si>
  <si>
    <t xml:space="preserve">Goal 3: Ensure the Fair and Efficient Administration of Justice
           </t>
  </si>
  <si>
    <r>
      <t xml:space="preserve">   1.1 Prevent, disrupt, and defeat terrorist operations before they occur</t>
    </r>
    <r>
      <rPr>
        <b/>
        <sz val="10"/>
        <rFont val="Times New Roman"/>
        <family val="1"/>
      </rPr>
      <t xml:space="preserve"> </t>
    </r>
  </si>
  <si>
    <t xml:space="preserve">   1.2  Strengthen partnerships to prevent, deter, and respond to terrorist incidents </t>
  </si>
  <si>
    <t xml:space="preserve">    1.4  Combat espionage against the United States </t>
  </si>
  <si>
    <t xml:space="preserve">   2.1  Strengthen partnerships for safer communities and enhance the Nation’s capacity to prevent, solve, and control crime </t>
  </si>
  <si>
    <t xml:space="preserve">   2.2  Reduce the threat, incidence, and prevalence of violent crime </t>
  </si>
  <si>
    <r>
      <t xml:space="preserve">   2.3  Prevent, suppress, and intervene in crimes against children</t>
    </r>
    <r>
      <rPr>
        <b/>
        <sz val="10"/>
        <rFont val="Times New Roman"/>
        <family val="1"/>
      </rPr>
      <t xml:space="preserve"> </t>
    </r>
  </si>
  <si>
    <t xml:space="preserve">   2.4  Reduce the threat, trafficking, use, and related violence of illegal drugs </t>
  </si>
  <si>
    <r>
      <t xml:space="preserve">   2.5 Combat public and corporate corruption, fraud, economic crime, and cybercrime</t>
    </r>
    <r>
      <rPr>
        <b/>
        <sz val="10"/>
        <rFont val="Times New Roman"/>
        <family val="1"/>
      </rPr>
      <t xml:space="preserve"> </t>
    </r>
  </si>
  <si>
    <t xml:space="preserve">   2.6 Uphold the civil and Constitutional rights of all Americans </t>
  </si>
  <si>
    <t xml:space="preserve">   2.7 Vigorously enforce and represent the interests of the United States in all matters over which the Department has jurisdiction </t>
  </si>
  <si>
    <t xml:space="preserve">   2.8 Protect the integrity and ensure the effective operation of the Nation’s bankruptcy system </t>
  </si>
  <si>
    <t xml:space="preserve">   3.1 Protect judges, witnesses, and other participants in federal proceedings, and ensure the appearance of criminal defendants for judicial proceedings or confinement </t>
  </si>
  <si>
    <r>
      <t xml:space="preserve">   3.2 Ensure the apprehension of fugitives from justice</t>
    </r>
    <r>
      <rPr>
        <b/>
        <sz val="10"/>
        <rFont val="Times New Roman"/>
        <family val="1"/>
      </rPr>
      <t xml:space="preserve"> </t>
    </r>
  </si>
  <si>
    <t xml:space="preserve">   3.3  Provide for the safe, secure, and humane confinement of detained persons awaiting trial and/or sentencing and those in the custody of the Federal Prison System </t>
  </si>
  <si>
    <t>23.2 Moving/Lease Expirations/Contract Parking</t>
  </si>
  <si>
    <t>Indian Country - Sexual-Assault Clearinghouse</t>
  </si>
  <si>
    <t>Prevention &amp; Prosecution of Violence Against Women</t>
  </si>
  <si>
    <t>Financial Analysis of Program Changes</t>
  </si>
  <si>
    <t xml:space="preserve">   J: Financial Analysis of Program Changes - GRANTS</t>
  </si>
  <si>
    <t>Grants</t>
  </si>
  <si>
    <t>end of line</t>
  </si>
  <si>
    <t>Decreases</t>
  </si>
  <si>
    <t>Subtotal Decreases</t>
  </si>
  <si>
    <t>VAWA Tribal Coalitions</t>
  </si>
  <si>
    <t>VAWA Tribal Governments Grants Program</t>
  </si>
  <si>
    <t>Supplemental Funding</t>
  </si>
  <si>
    <t>Sexual Assault Services Program</t>
  </si>
  <si>
    <t>Perm. Pos.</t>
  </si>
  <si>
    <t xml:space="preserve"> Supporting Teens (STEP)</t>
  </si>
  <si>
    <t>Consolidated Grants Program</t>
  </si>
  <si>
    <t>STOP Program</t>
  </si>
  <si>
    <t>Sexual Assault Svcs Program</t>
  </si>
  <si>
    <t>Arrest Program</t>
  </si>
  <si>
    <t>Rural Program</t>
  </si>
  <si>
    <t>Disabilities Program</t>
  </si>
  <si>
    <t>Engaging Men &amp; Youth Program</t>
  </si>
  <si>
    <t>Safe Havens: Supervised Visitation Program</t>
  </si>
  <si>
    <t>Abuse in Later Life Program</t>
  </si>
  <si>
    <t>Abuse In later Life Program</t>
  </si>
  <si>
    <t>Safe Havens: Supervised Visitation</t>
  </si>
  <si>
    <t>Campus Program</t>
  </si>
  <si>
    <t>Family Court Initiative</t>
  </si>
  <si>
    <t>Transitional Housing</t>
  </si>
  <si>
    <t>NIJ Research and Development</t>
  </si>
  <si>
    <t>Arrest</t>
  </si>
  <si>
    <t>Rural</t>
  </si>
  <si>
    <t>Campus</t>
  </si>
  <si>
    <t>Elder</t>
  </si>
  <si>
    <t>Safe Havens</t>
  </si>
  <si>
    <t>Disabilities</t>
  </si>
  <si>
    <t>[38,970]</t>
  </si>
  <si>
    <t>[3,930]</t>
  </si>
  <si>
    <t>Televised Testimony</t>
  </si>
  <si>
    <t>Crosswalk of 2011 Availability</t>
  </si>
  <si>
    <t>2011 Availability</t>
  </si>
  <si>
    <t>FY 2013 Request</t>
  </si>
  <si>
    <t>2013 Request</t>
  </si>
  <si>
    <t>2013 Program Increases/Offsets By Decision Unit</t>
  </si>
  <si>
    <t>F: Crosswalk of 2011 Availability</t>
  </si>
  <si>
    <t>2011 Enacted</t>
  </si>
  <si>
    <t>[17,964]</t>
  </si>
  <si>
    <t>[2,994]</t>
  </si>
  <si>
    <t>[38,892]</t>
  </si>
  <si>
    <t>[3,922]</t>
  </si>
  <si>
    <t>2013 Total Request</t>
  </si>
  <si>
    <t xml:space="preserve"> Homicide Reduction Initiative</t>
  </si>
  <si>
    <t xml:space="preserve"> Consolidated Grants Program</t>
  </si>
  <si>
    <t>2013 Net Budget Request</t>
  </si>
  <si>
    <t>end of sheet</t>
  </si>
  <si>
    <t>2013 Current Services</t>
  </si>
  <si>
    <t>Tribal Government Grants Program</t>
  </si>
  <si>
    <t>Tribal Coalition Grants</t>
  </si>
  <si>
    <t>National Resource Center - Workplace Response</t>
  </si>
  <si>
    <t xml:space="preserve">  Total, 2013 Program Changes Requested</t>
  </si>
  <si>
    <t>Transfers in</t>
  </si>
  <si>
    <t>2012 Rescissions</t>
  </si>
  <si>
    <t>Total 2012 Enacted (with Rescissions)</t>
  </si>
  <si>
    <t>Crosswalk of 2012 Availability</t>
  </si>
  <si>
    <t>FY 2012 Enacted Without Rescissions</t>
  </si>
  <si>
    <t>2012 Availability</t>
  </si>
  <si>
    <t>2012 
Enacted</t>
  </si>
  <si>
    <t>Rural Domestic Violence/Child Abuse Enforcement</t>
  </si>
  <si>
    <t>Homicide Reduction Initiative</t>
  </si>
  <si>
    <t>Sexual Assault Clearinghouse - Indian Country</t>
  </si>
  <si>
    <t>Without Rescissions</t>
  </si>
  <si>
    <t>NIJ Research &amp; Development</t>
  </si>
  <si>
    <t>2011 Actuals</t>
  </si>
  <si>
    <t>N/A</t>
  </si>
  <si>
    <t>Appropriated</t>
  </si>
  <si>
    <t>2012 Enacted</t>
  </si>
  <si>
    <t>G: Crosswalk of 2012 Availability</t>
  </si>
  <si>
    <t>Consolidated Youth Oriented Program</t>
  </si>
  <si>
    <t>Research on Violence Against Indian Women</t>
  </si>
  <si>
    <t>Rural and Domestic/Child Enforcement</t>
  </si>
  <si>
    <t>[35,270]</t>
  </si>
  <si>
    <t>[3,605]</t>
  </si>
  <si>
    <t>[4,000]</t>
  </si>
  <si>
    <t>Tribal Registry</t>
  </si>
  <si>
    <t>2013 Offsets</t>
  </si>
  <si>
    <t>2013 Increases</t>
  </si>
  <si>
    <t>2013 Adjustments to Base and Technical Adjustments</t>
  </si>
  <si>
    <t>2011 Appropriation Enacted w/Rescissions</t>
  </si>
  <si>
    <t>Increase 2</t>
  </si>
  <si>
    <t>2012 Enacted (without Rescissions, direct only)</t>
  </si>
  <si>
    <t>2011 Enacted (without Rescissions, direct only)</t>
  </si>
  <si>
    <t>B: Summary of Requirements</t>
  </si>
  <si>
    <t>Rescissions from Prior Year Unobligated Balances</t>
  </si>
  <si>
    <t>Court Training &amp; Improvement</t>
  </si>
  <si>
    <t>Supporting Teens through Education</t>
  </si>
  <si>
    <t xml:space="preserve">Rural Program </t>
  </si>
  <si>
    <t>Transitiona Housing</t>
  </si>
  <si>
    <t>Against Women</t>
  </si>
  <si>
    <t>Prevention and Prosecution of Violence</t>
  </si>
  <si>
    <t>Grants Program</t>
  </si>
  <si>
    <t>National Resources Center - Workplace Response</t>
  </si>
  <si>
    <t xml:space="preserve">Increases: </t>
  </si>
  <si>
    <t>Restoration of FY2012 Prior Year Balances</t>
  </si>
  <si>
    <t xml:space="preserve">     Subtotal Technical Adjustments</t>
  </si>
  <si>
    <t>Rescission from Prior Year Unobligated Balance</t>
  </si>
  <si>
    <t>Funds transferred from OJP-Crime Victims Fund (Mandatory)</t>
  </si>
  <si>
    <t>GRAND TOTAL - Discretionary</t>
  </si>
  <si>
    <t>GRAND TOTAL - Discretionary and Mandatory</t>
  </si>
  <si>
    <t>Carryover</t>
  </si>
  <si>
    <t>Reprogrammings /Transfers</t>
  </si>
  <si>
    <t>[Transfer to Indian Law and Order Commission]</t>
  </si>
  <si>
    <t xml:space="preserve"> Recoveries</t>
  </si>
  <si>
    <t xml:space="preserve">  Youth Advocacy</t>
  </si>
  <si>
    <t>Rescission of Balances</t>
  </si>
  <si>
    <t>Funds transferred from OJP - Crime Victims Fund (Mandatory)</t>
  </si>
  <si>
    <t xml:space="preserve">  Rescissions</t>
  </si>
  <si>
    <t>An additional $7,268 million was reprogrammed from OVW Grant programs to the OJP no-year Salaries and Expense account on behalf of OVW to support OVW Management and Administration.  The Carryover amount of $96.88 million includes $82.1 million in carryforward from FY '10 and $14.7 million in recoveries of prior year unpaid obligations.</t>
  </si>
  <si>
    <t>2013 Total Request (with Rescission)</t>
  </si>
  <si>
    <t>2013 STOP Program - Funds transferred from OJP Crime Victims Fund (Mandatory)</t>
  </si>
  <si>
    <t>2013 Total Request Discretionary and Mandatory</t>
  </si>
  <si>
    <t>2013 Total Request Discretionary and Mandatory (with Rescission of Balances)</t>
  </si>
  <si>
    <t>2012 - 2013 Total Change - Discretionary (without Rescission of Balances)</t>
  </si>
  <si>
    <t xml:space="preserve">Funds transferred from OJP-Crime Victims Fund (Mandatory)    </t>
  </si>
  <si>
    <t xml:space="preserve">         STOP Program</t>
  </si>
  <si>
    <t>Total Discretionry and Mandatory</t>
  </si>
  <si>
    <t>Note:  FY 2012 Grants Program includes $18,186,000 for S&amp;E and $18,782,000 in FY 2013</t>
  </si>
  <si>
    <t>[35,320]</t>
  </si>
  <si>
    <t>STOP Program*</t>
  </si>
  <si>
    <t>*Note that for 2013, $144.5 million is requested by transfer from the Office of Justice Programs' Crime Victims Fund.</t>
  </si>
  <si>
    <t>Total with Rescissions</t>
  </si>
  <si>
    <t>Total Discretionry and Mandatory with Rescission</t>
  </si>
  <si>
    <t>GRAND TOTAL - Discretionary with Rescission</t>
  </si>
  <si>
    <t xml:space="preserve">The $15 million in recissions is in accordanced with The Consolidated Appropriations Act, P.L. 112-55; The $45 million carry-over is based on the FY2011 fourth quarter SF-133; and  $15 million in recoveries are estimated for FY2012. </t>
  </si>
  <si>
    <t>2011  Appropriated Enacted</t>
  </si>
  <si>
    <t>Current Services</t>
  </si>
  <si>
    <t>Request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</si>
</sst>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....&quot;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_);\(0\)"/>
    <numFmt numFmtId="169" formatCode="#,##0,"/>
  </numFmts>
  <fonts count="46">
    <font>
      <sz val="12"/>
      <name val="Arial"/>
    </font>
    <font>
      <u/>
      <sz val="12"/>
      <name val="TimesNewRomanPS"/>
    </font>
    <font>
      <sz val="12"/>
      <name val="TimesNewRomanPS"/>
    </font>
    <font>
      <sz val="12"/>
      <name val="Times New Roman"/>
      <family val="1"/>
    </font>
    <font>
      <sz val="12"/>
      <name val="Arial MT"/>
    </font>
    <font>
      <b/>
      <sz val="14"/>
      <name val="TimesNewRomanPS"/>
    </font>
    <font>
      <sz val="13"/>
      <name val="TimesNewRomanPS"/>
    </font>
    <font>
      <sz val="12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sz val="10"/>
      <name val="TimesNewRomanPS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u/>
      <sz val="10"/>
      <name val="Times New Roman"/>
      <family val="1"/>
    </font>
    <font>
      <sz val="12"/>
      <color indexed="8"/>
      <name val="Times New Roman"/>
      <family val="1"/>
    </font>
    <font>
      <b/>
      <sz val="12"/>
      <name val="TimesNewRomanPS"/>
    </font>
    <font>
      <b/>
      <sz val="10"/>
      <color indexed="8"/>
      <name val="Times New Roman"/>
      <family val="1"/>
    </font>
    <font>
      <b/>
      <sz val="12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b/>
      <sz val="9"/>
      <name val="Times New Roman"/>
      <family val="1"/>
    </font>
    <font>
      <b/>
      <sz val="24"/>
      <name val="Times New Roman"/>
      <family val="1"/>
    </font>
    <font>
      <sz val="16"/>
      <color indexed="8"/>
      <name val="Times New Roman"/>
      <family val="1"/>
    </font>
    <font>
      <sz val="10"/>
      <color indexed="8"/>
      <name val="TMS"/>
    </font>
    <font>
      <b/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sz val="8"/>
      <color indexed="9"/>
      <name val="Times New Roman"/>
      <family val="1"/>
    </font>
    <font>
      <sz val="8"/>
      <name val="Arial"/>
      <family val="2"/>
    </font>
    <font>
      <sz val="12"/>
      <color indexed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sz val="12"/>
      <color theme="0"/>
      <name val="Times New Roman"/>
      <family val="1"/>
    </font>
    <font>
      <sz val="10"/>
      <color indexed="9"/>
      <name val="Times New Roman"/>
      <family val="1"/>
    </font>
    <font>
      <sz val="20"/>
      <name val="Arial"/>
      <family val="2"/>
    </font>
    <font>
      <sz val="16"/>
      <name val="Arial"/>
      <family val="2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/>
      <diagonal/>
    </border>
  </borders>
  <cellStyleXfs count="12">
    <xf numFmtId="0" fontId="0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0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679">
    <xf numFmtId="0" fontId="0" fillId="0" borderId="0" xfId="0"/>
    <xf numFmtId="165" fontId="2" fillId="0" borderId="0" xfId="0" applyNumberFormat="1" applyFont="1" applyAlignment="1"/>
    <xf numFmtId="165" fontId="2" fillId="0" borderId="0" xfId="0" applyNumberFormat="1" applyFont="1" applyBorder="1" applyAlignment="1"/>
    <xf numFmtId="165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5" fontId="7" fillId="0" borderId="0" xfId="0" applyNumberFormat="1" applyFont="1" applyBorder="1"/>
    <xf numFmtId="165" fontId="7" fillId="0" borderId="0" xfId="0" applyNumberFormat="1" applyFont="1" applyBorder="1" applyAlignment="1">
      <alignment horizontal="centerContinuous"/>
    </xf>
    <xf numFmtId="165" fontId="10" fillId="0" borderId="0" xfId="0" applyNumberFormat="1" applyFont="1" applyAlignment="1"/>
    <xf numFmtId="165" fontId="7" fillId="0" borderId="0" xfId="0" applyNumberFormat="1" applyFont="1" applyAlignment="1"/>
    <xf numFmtId="165" fontId="11" fillId="0" borderId="0" xfId="0" applyNumberFormat="1" applyFont="1" applyAlignment="1">
      <alignment horizontal="centerContinuous"/>
    </xf>
    <xf numFmtId="165" fontId="12" fillId="0" borderId="0" xfId="0" applyNumberFormat="1" applyFont="1" applyAlignment="1">
      <alignment horizontal="centerContinuous"/>
    </xf>
    <xf numFmtId="165" fontId="3" fillId="0" borderId="0" xfId="0" applyNumberFormat="1" applyFont="1" applyAlignment="1"/>
    <xf numFmtId="165" fontId="5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165" fontId="6" fillId="0" borderId="0" xfId="0" applyNumberFormat="1" applyFont="1" applyAlignment="1">
      <alignment horizontal="centerContinuous"/>
    </xf>
    <xf numFmtId="165" fontId="4" fillId="0" borderId="0" xfId="0" applyNumberFormat="1" applyFont="1" applyAlignment="1"/>
    <xf numFmtId="165" fontId="3" fillId="0" borderId="0" xfId="0" applyNumberFormat="1" applyFont="1" applyBorder="1" applyAlignment="1"/>
    <xf numFmtId="165" fontId="8" fillId="2" borderId="0" xfId="0" applyNumberFormat="1" applyFont="1" applyFill="1" applyAlignment="1"/>
    <xf numFmtId="165" fontId="8" fillId="2" borderId="0" xfId="0" applyNumberFormat="1" applyFont="1" applyFill="1" applyBorder="1" applyAlignment="1"/>
    <xf numFmtId="165" fontId="13" fillId="2" borderId="0" xfId="0" applyNumberFormat="1" applyFont="1" applyFill="1" applyAlignment="1"/>
    <xf numFmtId="165" fontId="7" fillId="0" borderId="0" xfId="0" applyNumberFormat="1" applyFont="1" applyAlignment="1">
      <alignment horizontal="right"/>
    </xf>
    <xf numFmtId="165" fontId="2" fillId="0" borderId="2" xfId="0" applyNumberFormat="1" applyFont="1" applyBorder="1" applyAlignment="1"/>
    <xf numFmtId="3" fontId="16" fillId="0" borderId="0" xfId="0" applyNumberFormat="1" applyFont="1" applyAlignment="1"/>
    <xf numFmtId="0" fontId="18" fillId="0" borderId="0" xfId="3"/>
    <xf numFmtId="0" fontId="18" fillId="0" borderId="0" xfId="4" applyAlignment="1">
      <alignment horizontal="centerContinuous"/>
    </xf>
    <xf numFmtId="0" fontId="18" fillId="0" borderId="0" xfId="4"/>
    <xf numFmtId="0" fontId="20" fillId="0" borderId="0" xfId="4" applyFont="1"/>
    <xf numFmtId="0" fontId="20" fillId="0" borderId="0" xfId="4" applyFont="1" applyAlignment="1">
      <alignment horizontal="left"/>
    </xf>
    <xf numFmtId="0" fontId="18" fillId="0" borderId="0" xfId="3" applyAlignment="1">
      <alignment horizontal="centerContinuous"/>
    </xf>
    <xf numFmtId="3" fontId="15" fillId="0" borderId="0" xfId="0" applyNumberFormat="1" applyFont="1" applyAlignment="1"/>
    <xf numFmtId="0" fontId="15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3" fontId="7" fillId="0" borderId="0" xfId="3" applyNumberFormat="1" applyFont="1" applyAlignment="1">
      <alignment horizontal="centerContinuous"/>
    </xf>
    <xf numFmtId="0" fontId="15" fillId="0" borderId="0" xfId="4" applyFont="1"/>
    <xf numFmtId="0" fontId="15" fillId="0" borderId="0" xfId="4" applyFont="1" applyAlignment="1">
      <alignment horizontal="centerContinuous"/>
    </xf>
    <xf numFmtId="3" fontId="15" fillId="0" borderId="0" xfId="4" applyNumberFormat="1" applyFont="1" applyAlignment="1">
      <alignment horizontal="centerContinuous"/>
    </xf>
    <xf numFmtId="0" fontId="10" fillId="0" borderId="0" xfId="4" applyFont="1" applyAlignment="1">
      <alignment horizontal="centerContinuous"/>
    </xf>
    <xf numFmtId="0" fontId="19" fillId="0" borderId="5" xfId="3" applyFont="1" applyBorder="1" applyAlignment="1">
      <alignment horizontal="center"/>
    </xf>
    <xf numFmtId="0" fontId="19" fillId="0" borderId="6" xfId="3" applyFont="1" applyBorder="1" applyAlignment="1">
      <alignment horizontal="centerContinuous"/>
    </xf>
    <xf numFmtId="0" fontId="19" fillId="0" borderId="7" xfId="3" applyFont="1" applyBorder="1" applyAlignment="1">
      <alignment horizontal="centerContinuous"/>
    </xf>
    <xf numFmtId="0" fontId="19" fillId="0" borderId="8" xfId="3" applyFont="1" applyBorder="1" applyAlignment="1">
      <alignment horizontal="centerContinuous"/>
    </xf>
    <xf numFmtId="0" fontId="19" fillId="0" borderId="9" xfId="3" applyFont="1" applyBorder="1" applyAlignment="1">
      <alignment horizontal="center"/>
    </xf>
    <xf numFmtId="0" fontId="19" fillId="0" borderId="10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0" fillId="0" borderId="0" xfId="4" applyFont="1"/>
    <xf numFmtId="0" fontId="10" fillId="0" borderId="12" xfId="4" applyFont="1" applyBorder="1"/>
    <xf numFmtId="0" fontId="10" fillId="0" borderId="11" xfId="4" applyFont="1" applyBorder="1"/>
    <xf numFmtId="0" fontId="10" fillId="0" borderId="1" xfId="4" applyFont="1" applyBorder="1"/>
    <xf numFmtId="0" fontId="19" fillId="0" borderId="12" xfId="4" applyFont="1" applyBorder="1"/>
    <xf numFmtId="166" fontId="19" fillId="0" borderId="11" xfId="4" applyNumberFormat="1" applyFont="1" applyBorder="1"/>
    <xf numFmtId="167" fontId="19" fillId="0" borderId="1" xfId="2" applyNumberFormat="1" applyFont="1" applyBorder="1"/>
    <xf numFmtId="0" fontId="10" fillId="0" borderId="12" xfId="4" applyFont="1" applyBorder="1" applyAlignment="1">
      <alignment horizontal="left" indent="1"/>
    </xf>
    <xf numFmtId="166" fontId="10" fillId="0" borderId="11" xfId="1" applyNumberFormat="1" applyFont="1" applyBorder="1"/>
    <xf numFmtId="166" fontId="10" fillId="0" borderId="1" xfId="1" applyNumberFormat="1" applyFont="1" applyBorder="1"/>
    <xf numFmtId="166" fontId="10" fillId="0" borderId="0" xfId="1" applyNumberFormat="1" applyFont="1"/>
    <xf numFmtId="166" fontId="21" fillId="0" borderId="11" xfId="1" applyNumberFormat="1" applyFont="1" applyBorder="1"/>
    <xf numFmtId="166" fontId="21" fillId="0" borderId="1" xfId="1" applyNumberFormat="1" applyFont="1" applyBorder="1"/>
    <xf numFmtId="166" fontId="19" fillId="0" borderId="0" xfId="1" applyNumberFormat="1" applyFont="1"/>
    <xf numFmtId="0" fontId="19" fillId="0" borderId="12" xfId="4" applyFont="1" applyBorder="1" applyAlignment="1">
      <alignment wrapText="1"/>
    </xf>
    <xf numFmtId="0" fontId="19" fillId="0" borderId="10" xfId="4" applyFont="1" applyBorder="1"/>
    <xf numFmtId="166" fontId="19" fillId="0" borderId="4" xfId="1" applyNumberFormat="1" applyFont="1" applyBorder="1"/>
    <xf numFmtId="166" fontId="19" fillId="0" borderId="3" xfId="1" applyNumberFormat="1" applyFont="1" applyBorder="1"/>
    <xf numFmtId="167" fontId="19" fillId="0" borderId="13" xfId="2" applyNumberFormat="1" applyFont="1" applyBorder="1" applyAlignment="1">
      <alignment horizontal="left"/>
    </xf>
    <xf numFmtId="0" fontId="19" fillId="0" borderId="0" xfId="4" applyFont="1" applyBorder="1" applyAlignment="1">
      <alignment horizontal="left"/>
    </xf>
    <xf numFmtId="166" fontId="19" fillId="0" borderId="0" xfId="4" applyNumberFormat="1" applyFont="1" applyBorder="1" applyAlignment="1">
      <alignment horizontal="left"/>
    </xf>
    <xf numFmtId="167" fontId="19" fillId="0" borderId="0" xfId="2" applyNumberFormat="1" applyFont="1" applyBorder="1" applyAlignment="1">
      <alignment horizontal="left"/>
    </xf>
    <xf numFmtId="165" fontId="17" fillId="0" borderId="0" xfId="0" applyNumberFormat="1" applyFont="1" applyAlignment="1">
      <alignment horizontal="centerContinuous"/>
    </xf>
    <xf numFmtId="165" fontId="10" fillId="0" borderId="0" xfId="0" applyNumberFormat="1" applyFont="1" applyAlignment="1">
      <alignment horizontal="centerContinuous"/>
    </xf>
    <xf numFmtId="165" fontId="8" fillId="2" borderId="14" xfId="0" applyNumberFormat="1" applyFont="1" applyFill="1" applyBorder="1" applyAlignment="1"/>
    <xf numFmtId="165" fontId="8" fillId="2" borderId="15" xfId="0" applyNumberFormat="1" applyFont="1" applyFill="1" applyBorder="1" applyAlignment="1"/>
    <xf numFmtId="165" fontId="2" fillId="0" borderId="1" xfId="0" applyNumberFormat="1" applyFont="1" applyBorder="1" applyAlignment="1"/>
    <xf numFmtId="165" fontId="2" fillId="0" borderId="3" xfId="0" applyNumberFormat="1" applyFont="1" applyBorder="1" applyAlignment="1"/>
    <xf numFmtId="165" fontId="23" fillId="0" borderId="2" xfId="0" applyNumberFormat="1" applyFont="1" applyBorder="1" applyAlignment="1"/>
    <xf numFmtId="5" fontId="23" fillId="0" borderId="2" xfId="0" applyNumberFormat="1" applyFont="1" applyBorder="1" applyAlignment="1"/>
    <xf numFmtId="5" fontId="23" fillId="0" borderId="3" xfId="0" applyNumberFormat="1" applyFont="1" applyBorder="1" applyAlignment="1"/>
    <xf numFmtId="165" fontId="2" fillId="0" borderId="11" xfId="0" applyNumberFormat="1" applyFont="1" applyBorder="1" applyAlignment="1"/>
    <xf numFmtId="165" fontId="2" fillId="0" borderId="16" xfId="0" applyNumberFormat="1" applyFont="1" applyBorder="1" applyAlignment="1"/>
    <xf numFmtId="165" fontId="2" fillId="0" borderId="17" xfId="0" applyNumberFormat="1" applyFont="1" applyBorder="1" applyAlignment="1"/>
    <xf numFmtId="165" fontId="23" fillId="0" borderId="17" xfId="0" applyNumberFormat="1" applyFont="1" applyBorder="1" applyAlignment="1">
      <alignment horizontal="centerContinuous"/>
    </xf>
    <xf numFmtId="165" fontId="23" fillId="0" borderId="9" xfId="0" applyNumberFormat="1" applyFont="1" applyBorder="1" applyAlignment="1">
      <alignment horizontal="centerContinuous"/>
    </xf>
    <xf numFmtId="165" fontId="23" fillId="0" borderId="18" xfId="0" applyNumberFormat="1" applyFont="1" applyBorder="1" applyAlignment="1">
      <alignment horizontal="right"/>
    </xf>
    <xf numFmtId="165" fontId="23" fillId="0" borderId="1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6" xfId="0" applyNumberFormat="1" applyFont="1" applyBorder="1" applyAlignment="1"/>
    <xf numFmtId="165" fontId="2" fillId="0" borderId="7" xfId="0" applyNumberFormat="1" applyFont="1" applyBorder="1" applyAlignment="1"/>
    <xf numFmtId="165" fontId="2" fillId="0" borderId="8" xfId="0" applyNumberFormat="1" applyFont="1" applyBorder="1" applyAlignment="1"/>
    <xf numFmtId="165" fontId="2" fillId="0" borderId="20" xfId="0" applyNumberFormat="1" applyFont="1" applyBorder="1" applyAlignment="1"/>
    <xf numFmtId="165" fontId="2" fillId="0" borderId="14" xfId="0" applyNumberFormat="1" applyFont="1" applyBorder="1" applyAlignment="1"/>
    <xf numFmtId="165" fontId="2" fillId="0" borderId="15" xfId="0" applyNumberFormat="1" applyFont="1" applyBorder="1" applyAlignment="1"/>
    <xf numFmtId="165" fontId="2" fillId="0" borderId="4" xfId="0" applyNumberFormat="1" applyFont="1" applyBorder="1" applyAlignment="1">
      <alignment horizontal="left"/>
    </xf>
    <xf numFmtId="165" fontId="2" fillId="0" borderId="16" xfId="0" applyNumberFormat="1" applyFont="1" applyBorder="1" applyAlignment="1">
      <alignment horizontal="left"/>
    </xf>
    <xf numFmtId="165" fontId="3" fillId="0" borderId="4" xfId="0" applyNumberFormat="1" applyFont="1" applyBorder="1" applyAlignment="1"/>
    <xf numFmtId="165" fontId="2" fillId="0" borderId="4" xfId="0" applyNumberFormat="1" applyFont="1" applyBorder="1" applyAlignment="1"/>
    <xf numFmtId="165" fontId="23" fillId="0" borderId="16" xfId="0" applyNumberFormat="1" applyFont="1" applyBorder="1" applyAlignment="1">
      <alignment horizontal="centerContinuous"/>
    </xf>
    <xf numFmtId="0" fontId="25" fillId="0" borderId="17" xfId="0" applyFont="1" applyBorder="1"/>
    <xf numFmtId="0" fontId="25" fillId="0" borderId="16" xfId="0" applyFont="1" applyBorder="1"/>
    <xf numFmtId="165" fontId="23" fillId="0" borderId="4" xfId="0" applyNumberFormat="1" applyFont="1" applyBorder="1" applyAlignment="1"/>
    <xf numFmtId="165" fontId="3" fillId="0" borderId="20" xfId="0" applyNumberFormat="1" applyFont="1" applyBorder="1" applyAlignment="1"/>
    <xf numFmtId="165" fontId="7" fillId="0" borderId="4" xfId="0" applyNumberFormat="1" applyFont="1" applyBorder="1" applyAlignment="1"/>
    <xf numFmtId="165" fontId="7" fillId="0" borderId="20" xfId="0" applyNumberFormat="1" applyFont="1" applyBorder="1" applyAlignment="1"/>
    <xf numFmtId="165" fontId="7" fillId="0" borderId="19" xfId="0" applyNumberFormat="1" applyFont="1" applyBorder="1" applyAlignment="1"/>
    <xf numFmtId="0" fontId="0" fillId="0" borderId="14" xfId="0" applyBorder="1"/>
    <xf numFmtId="165" fontId="3" fillId="0" borderId="2" xfId="0" applyNumberFormat="1" applyFont="1" applyBorder="1" applyAlignment="1"/>
    <xf numFmtId="165" fontId="8" fillId="2" borderId="2" xfId="0" applyNumberFormat="1" applyFont="1" applyFill="1" applyBorder="1" applyAlignment="1">
      <alignment horizontal="left"/>
    </xf>
    <xf numFmtId="165" fontId="8" fillId="2" borderId="2" xfId="0" applyNumberFormat="1" applyFont="1" applyFill="1" applyBorder="1" applyAlignment="1"/>
    <xf numFmtId="165" fontId="8" fillId="2" borderId="3" xfId="0" applyNumberFormat="1" applyFont="1" applyFill="1" applyBorder="1" applyAlignment="1"/>
    <xf numFmtId="165" fontId="8" fillId="2" borderId="16" xfId="0" applyNumberFormat="1" applyFont="1" applyFill="1" applyBorder="1" applyAlignment="1"/>
    <xf numFmtId="165" fontId="8" fillId="2" borderId="17" xfId="0" applyNumberFormat="1" applyFont="1" applyFill="1" applyBorder="1" applyAlignment="1"/>
    <xf numFmtId="165" fontId="8" fillId="2" borderId="18" xfId="0" applyNumberFormat="1" applyFont="1" applyFill="1" applyBorder="1" applyAlignment="1"/>
    <xf numFmtId="165" fontId="8" fillId="2" borderId="9" xfId="0" applyNumberFormat="1" applyFont="1" applyFill="1" applyBorder="1" applyAlignment="1"/>
    <xf numFmtId="165" fontId="8" fillId="2" borderId="22" xfId="0" applyNumberFormat="1" applyFont="1" applyFill="1" applyBorder="1" applyAlignment="1"/>
    <xf numFmtId="165" fontId="24" fillId="2" borderId="6" xfId="0" applyNumberFormat="1" applyFont="1" applyFill="1" applyBorder="1" applyAlignment="1">
      <alignment horizontal="centerContinuous"/>
    </xf>
    <xf numFmtId="165" fontId="24" fillId="2" borderId="7" xfId="0" applyNumberFormat="1" applyFont="1" applyFill="1" applyBorder="1" applyAlignment="1">
      <alignment horizontal="centerContinuous"/>
    </xf>
    <xf numFmtId="165" fontId="24" fillId="2" borderId="7" xfId="0" applyNumberFormat="1" applyFont="1" applyFill="1" applyBorder="1" applyAlignment="1"/>
    <xf numFmtId="165" fontId="24" fillId="2" borderId="8" xfId="0" applyNumberFormat="1" applyFont="1" applyFill="1" applyBorder="1" applyAlignment="1">
      <alignment horizontal="centerContinuous"/>
    </xf>
    <xf numFmtId="165" fontId="24" fillId="2" borderId="19" xfId="0" applyNumberFormat="1" applyFont="1" applyFill="1" applyBorder="1" applyAlignment="1">
      <alignment horizontal="right"/>
    </xf>
    <xf numFmtId="165" fontId="24" fillId="2" borderId="18" xfId="0" applyNumberFormat="1" applyFont="1" applyFill="1" applyBorder="1" applyAlignment="1">
      <alignment horizontal="right"/>
    </xf>
    <xf numFmtId="165" fontId="24" fillId="2" borderId="19" xfId="0" applyNumberFormat="1" applyFont="1" applyFill="1" applyBorder="1" applyAlignment="1"/>
    <xf numFmtId="165" fontId="24" fillId="2" borderId="18" xfId="0" applyNumberFormat="1" applyFont="1" applyFill="1" applyBorder="1" applyAlignment="1"/>
    <xf numFmtId="165" fontId="24" fillId="2" borderId="22" xfId="0" applyNumberFormat="1" applyFont="1" applyFill="1" applyBorder="1" applyAlignment="1">
      <alignment horizontal="right"/>
    </xf>
    <xf numFmtId="165" fontId="8" fillId="2" borderId="14" xfId="0" applyNumberFormat="1" applyFont="1" applyFill="1" applyBorder="1" applyAlignment="1">
      <alignment horizontal="left"/>
    </xf>
    <xf numFmtId="165" fontId="9" fillId="2" borderId="14" xfId="0" applyNumberFormat="1" applyFont="1" applyFill="1" applyBorder="1" applyAlignment="1">
      <alignment horizontal="left"/>
    </xf>
    <xf numFmtId="165" fontId="7" fillId="0" borderId="23" xfId="0" applyNumberFormat="1" applyFont="1" applyBorder="1" applyAlignment="1"/>
    <xf numFmtId="165" fontId="23" fillId="0" borderId="19" xfId="0" applyNumberFormat="1" applyFont="1" applyBorder="1" applyAlignment="1">
      <alignment horizontal="right"/>
    </xf>
    <xf numFmtId="165" fontId="23" fillId="0" borderId="22" xfId="0" applyNumberFormat="1" applyFont="1" applyBorder="1" applyAlignment="1">
      <alignment horizontal="right"/>
    </xf>
    <xf numFmtId="165" fontId="3" fillId="0" borderId="6" xfId="0" applyNumberFormat="1" applyFont="1" applyBorder="1" applyAlignment="1"/>
    <xf numFmtId="0" fontId="10" fillId="0" borderId="10" xfId="4" applyFont="1" applyBorder="1" applyAlignment="1">
      <alignment horizontal="left" indent="1"/>
    </xf>
    <xf numFmtId="166" fontId="10" fillId="0" borderId="4" xfId="1" applyNumberFormat="1" applyFont="1" applyBorder="1"/>
    <xf numFmtId="166" fontId="10" fillId="0" borderId="3" xfId="1" applyNumberFormat="1" applyFont="1" applyBorder="1"/>
    <xf numFmtId="166" fontId="19" fillId="0" borderId="12" xfId="1" applyNumberFormat="1" applyFont="1" applyBorder="1"/>
    <xf numFmtId="166" fontId="10" fillId="0" borderId="12" xfId="1" applyNumberFormat="1" applyFont="1" applyBorder="1"/>
    <xf numFmtId="166" fontId="19" fillId="0" borderId="24" xfId="4" applyNumberFormat="1" applyFont="1" applyBorder="1" applyAlignment="1">
      <alignment horizontal="left"/>
    </xf>
    <xf numFmtId="0" fontId="19" fillId="0" borderId="25" xfId="4" applyFont="1" applyBorder="1" applyAlignment="1">
      <alignment horizontal="left"/>
    </xf>
    <xf numFmtId="0" fontId="19" fillId="0" borderId="26" xfId="4" applyFont="1" applyBorder="1" applyAlignment="1">
      <alignment horizontal="left"/>
    </xf>
    <xf numFmtId="0" fontId="18" fillId="0" borderId="0" xfId="3" applyBorder="1"/>
    <xf numFmtId="165" fontId="1" fillId="0" borderId="18" xfId="0" applyNumberFormat="1" applyFont="1" applyBorder="1" applyAlignment="1"/>
    <xf numFmtId="165" fontId="23" fillId="0" borderId="18" xfId="0" applyNumberFormat="1" applyFont="1" applyBorder="1" applyAlignment="1">
      <alignment horizontal="center"/>
    </xf>
    <xf numFmtId="165" fontId="23" fillId="0" borderId="11" xfId="0" applyNumberFormat="1" applyFont="1" applyBorder="1" applyAlignment="1">
      <alignment horizontal="centerContinuous"/>
    </xf>
    <xf numFmtId="165" fontId="23" fillId="0" borderId="0" xfId="0" applyNumberFormat="1" applyFont="1" applyBorder="1" applyAlignment="1">
      <alignment horizontal="centerContinuous"/>
    </xf>
    <xf numFmtId="165" fontId="23" fillId="0" borderId="0" xfId="0" applyNumberFormat="1" applyFont="1" applyBorder="1" applyAlignment="1"/>
    <xf numFmtId="165" fontId="23" fillId="0" borderId="1" xfId="0" applyNumberFormat="1" applyFont="1" applyBorder="1" applyAlignment="1">
      <alignment horizontal="centerContinuous"/>
    </xf>
    <xf numFmtId="0" fontId="0" fillId="0" borderId="9" xfId="0" applyFill="1" applyBorder="1"/>
    <xf numFmtId="165" fontId="7" fillId="0" borderId="27" xfId="0" applyNumberFormat="1" applyFont="1" applyBorder="1" applyAlignment="1"/>
    <xf numFmtId="165" fontId="8" fillId="2" borderId="28" xfId="0" applyNumberFormat="1" applyFont="1" applyFill="1" applyBorder="1" applyAlignment="1"/>
    <xf numFmtId="0" fontId="0" fillId="0" borderId="28" xfId="0" applyBorder="1"/>
    <xf numFmtId="165" fontId="24" fillId="2" borderId="14" xfId="0" applyNumberFormat="1" applyFont="1" applyFill="1" applyBorder="1" applyAlignment="1">
      <alignment horizontal="left"/>
    </xf>
    <xf numFmtId="0" fontId="19" fillId="0" borderId="16" xfId="4" applyFont="1" applyFill="1" applyBorder="1" applyAlignment="1">
      <alignment horizontal="centerContinuous"/>
    </xf>
    <xf numFmtId="0" fontId="19" fillId="0" borderId="9" xfId="4" applyFont="1" applyFill="1" applyBorder="1" applyAlignment="1">
      <alignment horizontal="centerContinuous"/>
    </xf>
    <xf numFmtId="0" fontId="10" fillId="0" borderId="0" xfId="4" applyFont="1" applyFill="1"/>
    <xf numFmtId="1" fontId="19" fillId="0" borderId="16" xfId="4" applyNumberFormat="1" applyFont="1" applyFill="1" applyBorder="1" applyAlignment="1">
      <alignment horizontal="centerContinuous"/>
    </xf>
    <xf numFmtId="0" fontId="19" fillId="0" borderId="4" xfId="4" applyFont="1" applyFill="1" applyBorder="1" applyAlignment="1">
      <alignment horizontal="centerContinuous"/>
    </xf>
    <xf numFmtId="0" fontId="10" fillId="0" borderId="3" xfId="4" applyFont="1" applyFill="1" applyBorder="1" applyAlignment="1">
      <alignment horizontal="centerContinuous"/>
    </xf>
    <xf numFmtId="0" fontId="19" fillId="0" borderId="3" xfId="4" applyFont="1" applyFill="1" applyBorder="1" applyAlignment="1">
      <alignment horizontal="centerContinuous"/>
    </xf>
    <xf numFmtId="0" fontId="10" fillId="0" borderId="11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21" fillId="0" borderId="4" xfId="4" applyFont="1" applyFill="1" applyBorder="1" applyAlignment="1">
      <alignment horizontal="center"/>
    </xf>
    <xf numFmtId="0" fontId="21" fillId="0" borderId="3" xfId="4" applyFont="1" applyFill="1" applyBorder="1" applyAlignment="1">
      <alignment horizontal="center"/>
    </xf>
    <xf numFmtId="0" fontId="14" fillId="0" borderId="0" xfId="3" applyFont="1" applyAlignment="1">
      <alignment horizontal="left"/>
    </xf>
    <xf numFmtId="0" fontId="19" fillId="0" borderId="5" xfId="3" applyFont="1" applyBorder="1"/>
    <xf numFmtId="0" fontId="20" fillId="0" borderId="10" xfId="3" applyFont="1" applyBorder="1"/>
    <xf numFmtId="0" fontId="19" fillId="0" borderId="32" xfId="4" applyFont="1" applyFill="1" applyBorder="1" applyAlignment="1">
      <alignment horizontal="centerContinuous"/>
    </xf>
    <xf numFmtId="1" fontId="19" fillId="0" borderId="33" xfId="4" applyNumberFormat="1" applyFont="1" applyFill="1" applyBorder="1" applyAlignment="1">
      <alignment horizontal="centerContinuous"/>
    </xf>
    <xf numFmtId="0" fontId="19" fillId="0" borderId="0" xfId="4" applyFont="1"/>
    <xf numFmtId="165" fontId="8" fillId="0" borderId="14" xfId="0" applyNumberFormat="1" applyFont="1" applyFill="1" applyBorder="1" applyAlignment="1">
      <alignment horizontal="left"/>
    </xf>
    <xf numFmtId="165" fontId="8" fillId="0" borderId="14" xfId="0" applyNumberFormat="1" applyFont="1" applyFill="1" applyBorder="1" applyAlignment="1"/>
    <xf numFmtId="0" fontId="0" fillId="0" borderId="14" xfId="0" applyFill="1" applyBorder="1"/>
    <xf numFmtId="165" fontId="8" fillId="0" borderId="34" xfId="0" applyNumberFormat="1" applyFont="1" applyFill="1" applyBorder="1" applyAlignment="1">
      <alignment horizontal="left"/>
    </xf>
    <xf numFmtId="165" fontId="8" fillId="0" borderId="34" xfId="0" applyNumberFormat="1" applyFont="1" applyFill="1" applyBorder="1" applyAlignment="1"/>
    <xf numFmtId="0" fontId="0" fillId="0" borderId="34" xfId="0" applyFill="1" applyBorder="1"/>
    <xf numFmtId="165" fontId="8" fillId="0" borderId="2" xfId="0" applyNumberFormat="1" applyFont="1" applyFill="1" applyBorder="1" applyAlignment="1">
      <alignment horizontal="left"/>
    </xf>
    <xf numFmtId="165" fontId="8" fillId="0" borderId="2" xfId="0" applyNumberFormat="1" applyFont="1" applyFill="1" applyBorder="1" applyAlignment="1"/>
    <xf numFmtId="0" fontId="19" fillId="0" borderId="2" xfId="4" applyFont="1" applyFill="1" applyBorder="1" applyAlignment="1">
      <alignment horizontal="centerContinuous"/>
    </xf>
    <xf numFmtId="0" fontId="10" fillId="0" borderId="0" xfId="4" applyFont="1" applyFill="1" applyBorder="1" applyAlignment="1">
      <alignment horizontal="center"/>
    </xf>
    <xf numFmtId="0" fontId="21" fillId="0" borderId="2" xfId="4" applyFont="1" applyFill="1" applyBorder="1" applyAlignment="1">
      <alignment horizontal="center"/>
    </xf>
    <xf numFmtId="0" fontId="10" fillId="0" borderId="0" xfId="4" applyFont="1" applyBorder="1"/>
    <xf numFmtId="166" fontId="19" fillId="0" borderId="0" xfId="4" applyNumberFormat="1" applyFont="1" applyBorder="1"/>
    <xf numFmtId="166" fontId="10" fillId="0" borderId="2" xfId="1" applyNumberFormat="1" applyFont="1" applyBorder="1"/>
    <xf numFmtId="166" fontId="21" fillId="0" borderId="0" xfId="1" applyNumberFormat="1" applyFont="1" applyBorder="1"/>
    <xf numFmtId="166" fontId="19" fillId="0" borderId="2" xfId="1" applyNumberFormat="1" applyFont="1" applyBorder="1"/>
    <xf numFmtId="166" fontId="10" fillId="0" borderId="0" xfId="1" applyNumberFormat="1" applyFont="1" applyBorder="1"/>
    <xf numFmtId="166" fontId="19" fillId="0" borderId="35" xfId="4" applyNumberFormat="1" applyFont="1" applyBorder="1" applyAlignment="1">
      <alignment horizontal="left"/>
    </xf>
    <xf numFmtId="1" fontId="19" fillId="0" borderId="17" xfId="4" applyNumberFormat="1" applyFont="1" applyFill="1" applyBorder="1" applyAlignment="1">
      <alignment horizontal="centerContinuous"/>
    </xf>
    <xf numFmtId="1" fontId="19" fillId="0" borderId="36" xfId="4" applyNumberFormat="1" applyFont="1" applyFill="1" applyBorder="1" applyAlignment="1">
      <alignment horizontal="centerContinuous"/>
    </xf>
    <xf numFmtId="1" fontId="19" fillId="0" borderId="37" xfId="4" applyNumberFormat="1" applyFont="1" applyFill="1" applyBorder="1" applyAlignment="1">
      <alignment horizontal="centerContinuous"/>
    </xf>
    <xf numFmtId="1" fontId="19" fillId="0" borderId="38" xfId="4" applyNumberFormat="1" applyFont="1" applyFill="1" applyBorder="1" applyAlignment="1">
      <alignment horizontal="centerContinuous"/>
    </xf>
    <xf numFmtId="0" fontId="19" fillId="0" borderId="37" xfId="4" applyFont="1" applyFill="1" applyBorder="1" applyAlignment="1">
      <alignment horizontal="centerContinuous"/>
    </xf>
    <xf numFmtId="0" fontId="10" fillId="0" borderId="16" xfId="4" applyFont="1" applyBorder="1"/>
    <xf numFmtId="0" fontId="28" fillId="0" borderId="33" xfId="4" applyFont="1" applyFill="1" applyBorder="1" applyAlignment="1">
      <alignment horizontal="centerContinuous"/>
    </xf>
    <xf numFmtId="0" fontId="28" fillId="0" borderId="4" xfId="4" applyFont="1" applyFill="1" applyBorder="1" applyAlignment="1">
      <alignment horizontal="centerContinuous"/>
    </xf>
    <xf numFmtId="1" fontId="19" fillId="0" borderId="0" xfId="4" applyNumberFormat="1" applyFont="1" applyFill="1" applyBorder="1" applyAlignment="1">
      <alignment horizontal="centerContinuous"/>
    </xf>
    <xf numFmtId="0" fontId="19" fillId="0" borderId="0" xfId="4" applyFont="1" applyFill="1" applyBorder="1" applyAlignment="1">
      <alignment horizontal="centerContinuous"/>
    </xf>
    <xf numFmtId="0" fontId="21" fillId="0" borderId="0" xfId="4" applyFont="1" applyFill="1" applyBorder="1" applyAlignment="1">
      <alignment horizontal="center"/>
    </xf>
    <xf numFmtId="167" fontId="19" fillId="0" borderId="0" xfId="2" applyNumberFormat="1" applyFont="1" applyBorder="1"/>
    <xf numFmtId="166" fontId="19" fillId="0" borderId="0" xfId="1" applyNumberFormat="1" applyFont="1" applyBorder="1"/>
    <xf numFmtId="0" fontId="20" fillId="0" borderId="0" xfId="4" applyFont="1" applyBorder="1" applyAlignment="1">
      <alignment horizontal="left"/>
    </xf>
    <xf numFmtId="0" fontId="18" fillId="0" borderId="0" xfId="4" applyBorder="1" applyAlignment="1">
      <alignment horizontal="centerContinuous"/>
    </xf>
    <xf numFmtId="0" fontId="18" fillId="0" borderId="0" xfId="4" applyBorder="1"/>
    <xf numFmtId="166" fontId="19" fillId="0" borderId="11" xfId="1" applyNumberFormat="1" applyFont="1" applyBorder="1"/>
    <xf numFmtId="166" fontId="10" fillId="0" borderId="11" xfId="4" applyNumberFormat="1" applyFont="1" applyBorder="1"/>
    <xf numFmtId="167" fontId="10" fillId="0" borderId="1" xfId="2" applyNumberFormat="1" applyFont="1" applyBorder="1"/>
    <xf numFmtId="166" fontId="10" fillId="0" borderId="0" xfId="4" applyNumberFormat="1" applyFont="1" applyBorder="1"/>
    <xf numFmtId="0" fontId="10" fillId="0" borderId="44" xfId="4" applyFont="1" applyBorder="1"/>
    <xf numFmtId="0" fontId="10" fillId="0" borderId="4" xfId="4" applyFont="1" applyFill="1" applyBorder="1" applyAlignment="1">
      <alignment horizontal="center" wrapText="1"/>
    </xf>
    <xf numFmtId="0" fontId="10" fillId="0" borderId="3" xfId="4" applyFont="1" applyFill="1" applyBorder="1" applyAlignment="1">
      <alignment horizontal="center" wrapText="1"/>
    </xf>
    <xf numFmtId="41" fontId="10" fillId="0" borderId="11" xfId="4" applyNumberFormat="1" applyFont="1" applyBorder="1" applyAlignment="1"/>
    <xf numFmtId="41" fontId="10" fillId="0" borderId="1" xfId="4" applyNumberFormat="1" applyFont="1" applyBorder="1" applyAlignment="1"/>
    <xf numFmtId="0" fontId="10" fillId="0" borderId="5" xfId="4" applyFont="1" applyBorder="1"/>
    <xf numFmtId="0" fontId="10" fillId="0" borderId="12" xfId="0" applyFont="1" applyBorder="1"/>
    <xf numFmtId="0" fontId="10" fillId="0" borderId="12" xfId="0" applyFont="1" applyBorder="1" applyAlignment="1">
      <alignment wrapText="1"/>
    </xf>
    <xf numFmtId="166" fontId="19" fillId="0" borderId="6" xfId="1" applyNumberFormat="1" applyFont="1" applyBorder="1"/>
    <xf numFmtId="166" fontId="10" fillId="0" borderId="1" xfId="4" applyNumberFormat="1" applyFont="1" applyBorder="1"/>
    <xf numFmtId="166" fontId="10" fillId="0" borderId="3" xfId="4" applyNumberFormat="1" applyFont="1" applyBorder="1"/>
    <xf numFmtId="165" fontId="2" fillId="0" borderId="23" xfId="0" applyNumberFormat="1" applyFont="1" applyBorder="1" applyAlignment="1"/>
    <xf numFmtId="0" fontId="0" fillId="0" borderId="48" xfId="0" applyBorder="1" applyAlignment="1"/>
    <xf numFmtId="165" fontId="23" fillId="0" borderId="23" xfId="0" applyNumberFormat="1" applyFont="1" applyBorder="1" applyAlignment="1"/>
    <xf numFmtId="0" fontId="0" fillId="0" borderId="32" xfId="0" applyBorder="1" applyAlignment="1"/>
    <xf numFmtId="0" fontId="0" fillId="0" borderId="15" xfId="0" applyBorder="1" applyAlignment="1"/>
    <xf numFmtId="165" fontId="15" fillId="0" borderId="33" xfId="0" applyNumberFormat="1" applyFont="1" applyBorder="1" applyAlignment="1"/>
    <xf numFmtId="0" fontId="15" fillId="0" borderId="20" xfId="0" applyFont="1" applyBorder="1" applyAlignment="1"/>
    <xf numFmtId="5" fontId="7" fillId="0" borderId="14" xfId="0" applyNumberFormat="1" applyFont="1" applyBorder="1" applyAlignment="1"/>
    <xf numFmtId="37" fontId="7" fillId="0" borderId="14" xfId="0" applyNumberFormat="1" applyFont="1" applyBorder="1" applyAlignment="1"/>
    <xf numFmtId="0" fontId="0" fillId="0" borderId="2" xfId="0" applyFill="1" applyBorder="1"/>
    <xf numFmtId="165" fontId="7" fillId="0" borderId="17" xfId="0" applyNumberFormat="1" applyFont="1" applyBorder="1" applyAlignment="1"/>
    <xf numFmtId="165" fontId="19" fillId="0" borderId="17" xfId="0" applyNumberFormat="1" applyFont="1" applyBorder="1"/>
    <xf numFmtId="165" fontId="8" fillId="0" borderId="17" xfId="0" applyNumberFormat="1" applyFont="1" applyFill="1" applyBorder="1" applyAlignment="1"/>
    <xf numFmtId="0" fontId="0" fillId="0" borderId="17" xfId="0" applyFill="1" applyBorder="1"/>
    <xf numFmtId="6" fontId="10" fillId="0" borderId="1" xfId="4" applyNumberFormat="1" applyFont="1" applyBorder="1"/>
    <xf numFmtId="6" fontId="10" fillId="0" borderId="0" xfId="4" applyNumberFormat="1" applyFont="1" applyBorder="1"/>
    <xf numFmtId="167" fontId="10" fillId="0" borderId="1" xfId="4" applyNumberFormat="1" applyFont="1" applyBorder="1"/>
    <xf numFmtId="3" fontId="29" fillId="0" borderId="0" xfId="0" applyNumberFormat="1" applyFont="1" applyAlignment="1"/>
    <xf numFmtId="3" fontId="30" fillId="2" borderId="0" xfId="0" applyNumberFormat="1" applyFont="1" applyFill="1" applyAlignment="1"/>
    <xf numFmtId="3" fontId="31" fillId="2" borderId="0" xfId="0" applyNumberFormat="1" applyFont="1" applyFill="1" applyAlignment="1"/>
    <xf numFmtId="3" fontId="31" fillId="2" borderId="0" xfId="0" applyNumberFormat="1" applyFont="1" applyFill="1" applyBorder="1" applyAlignment="1"/>
    <xf numFmtId="0" fontId="3" fillId="0" borderId="0" xfId="0" applyNumberFormat="1" applyFont="1" applyAlignment="1"/>
    <xf numFmtId="3" fontId="31" fillId="2" borderId="0" xfId="0" applyNumberFormat="1" applyFont="1" applyFill="1" applyAlignment="1">
      <alignment horizontal="centerContinuous"/>
    </xf>
    <xf numFmtId="3" fontId="31" fillId="2" borderId="0" xfId="0" applyNumberFormat="1" applyFont="1" applyFill="1" applyBorder="1" applyAlignment="1">
      <alignment horizontal="centerContinuous"/>
    </xf>
    <xf numFmtId="3" fontId="3" fillId="0" borderId="0" xfId="0" applyNumberFormat="1" applyFont="1" applyAlignment="1"/>
    <xf numFmtId="3" fontId="22" fillId="2" borderId="49" xfId="0" applyNumberFormat="1" applyFont="1" applyFill="1" applyBorder="1" applyAlignment="1"/>
    <xf numFmtId="3" fontId="22" fillId="2" borderId="50" xfId="0" applyNumberFormat="1" applyFont="1" applyFill="1" applyBorder="1" applyAlignment="1"/>
    <xf numFmtId="3" fontId="32" fillId="2" borderId="51" xfId="0" applyNumberFormat="1" applyFont="1" applyFill="1" applyBorder="1" applyAlignment="1"/>
    <xf numFmtId="3" fontId="33" fillId="2" borderId="50" xfId="0" applyNumberFormat="1" applyFont="1" applyFill="1" applyBorder="1" applyAlignment="1"/>
    <xf numFmtId="3" fontId="22" fillId="2" borderId="50" xfId="0" applyNumberFormat="1" applyFont="1" applyFill="1" applyBorder="1" applyAlignment="1">
      <alignment horizontal="left"/>
    </xf>
    <xf numFmtId="3" fontId="22" fillId="2" borderId="52" xfId="0" applyNumberFormat="1" applyFont="1" applyFill="1" applyBorder="1" applyAlignment="1"/>
    <xf numFmtId="165" fontId="22" fillId="2" borderId="53" xfId="0" applyNumberFormat="1" applyFont="1" applyFill="1" applyBorder="1" applyAlignment="1"/>
    <xf numFmtId="3" fontId="32" fillId="2" borderId="50" xfId="0" applyNumberFormat="1" applyFont="1" applyFill="1" applyBorder="1" applyAlignment="1">
      <alignment horizontal="left"/>
    </xf>
    <xf numFmtId="3" fontId="32" fillId="2" borderId="53" xfId="0" applyNumberFormat="1" applyFont="1" applyFill="1" applyBorder="1" applyAlignment="1"/>
    <xf numFmtId="3" fontId="32" fillId="2" borderId="54" xfId="0" applyNumberFormat="1" applyFont="1" applyFill="1" applyBorder="1" applyAlignment="1">
      <alignment horizontal="left"/>
    </xf>
    <xf numFmtId="0" fontId="0" fillId="0" borderId="0" xfId="0" applyBorder="1"/>
    <xf numFmtId="165" fontId="7" fillId="0" borderId="55" xfId="0" applyNumberFormat="1" applyFont="1" applyBorder="1" applyAlignment="1"/>
    <xf numFmtId="3" fontId="22" fillId="2" borderId="56" xfId="0" applyNumberFormat="1" applyFont="1" applyFill="1" applyBorder="1" applyAlignment="1"/>
    <xf numFmtId="165" fontId="32" fillId="2" borderId="57" xfId="0" applyNumberFormat="1" applyFont="1" applyFill="1" applyBorder="1" applyAlignment="1"/>
    <xf numFmtId="5" fontId="10" fillId="0" borderId="1" xfId="4" applyNumberFormat="1" applyFont="1" applyBorder="1" applyAlignment="1"/>
    <xf numFmtId="3" fontId="32" fillId="2" borderId="58" xfId="0" applyNumberFormat="1" applyFont="1" applyFill="1" applyBorder="1" applyAlignment="1">
      <alignment horizontal="centerContinuous" wrapText="1"/>
    </xf>
    <xf numFmtId="0" fontId="0" fillId="0" borderId="9" xfId="0" applyBorder="1"/>
    <xf numFmtId="3" fontId="32" fillId="2" borderId="1" xfId="0" applyNumberFormat="1" applyFont="1" applyFill="1" applyBorder="1" applyAlignment="1">
      <alignment horizontal="centerContinuous"/>
    </xf>
    <xf numFmtId="0" fontId="0" fillId="0" borderId="1" xfId="0" applyBorder="1"/>
    <xf numFmtId="165" fontId="2" fillId="0" borderId="48" xfId="0" applyNumberFormat="1" applyFont="1" applyBorder="1" applyAlignment="1"/>
    <xf numFmtId="37" fontId="8" fillId="0" borderId="14" xfId="0" applyNumberFormat="1" applyFont="1" applyFill="1" applyBorder="1" applyAlignment="1"/>
    <xf numFmtId="37" fontId="8" fillId="0" borderId="34" xfId="0" applyNumberFormat="1" applyFont="1" applyFill="1" applyBorder="1" applyAlignment="1"/>
    <xf numFmtId="37" fontId="8" fillId="0" borderId="15" xfId="0" applyNumberFormat="1" applyFont="1" applyFill="1" applyBorder="1" applyAlignment="1"/>
    <xf numFmtId="37" fontId="8" fillId="2" borderId="14" xfId="0" applyNumberFormat="1" applyFont="1" applyFill="1" applyBorder="1" applyAlignment="1"/>
    <xf numFmtId="165" fontId="2" fillId="0" borderId="14" xfId="0" applyNumberFormat="1" applyFont="1" applyFill="1" applyBorder="1" applyAlignment="1"/>
    <xf numFmtId="37" fontId="3" fillId="0" borderId="14" xfId="0" applyNumberFormat="1" applyFont="1" applyBorder="1" applyAlignment="1">
      <alignment horizontal="right"/>
    </xf>
    <xf numFmtId="0" fontId="38" fillId="0" borderId="0" xfId="0" applyFont="1" applyBorder="1" applyAlignment="1">
      <alignment vertical="top" wrapText="1"/>
    </xf>
    <xf numFmtId="0" fontId="39" fillId="0" borderId="0" xfId="0" applyFont="1" applyBorder="1" applyAlignment="1">
      <alignment vertical="top" wrapText="1"/>
    </xf>
    <xf numFmtId="165" fontId="2" fillId="0" borderId="0" xfId="0" applyNumberFormat="1" applyFont="1" applyFill="1" applyBorder="1" applyAlignment="1"/>
    <xf numFmtId="165" fontId="2" fillId="0" borderId="46" xfId="0" applyNumberFormat="1" applyFont="1" applyBorder="1" applyAlignment="1"/>
    <xf numFmtId="5" fontId="23" fillId="0" borderId="28" xfId="0" applyNumberFormat="1" applyFont="1" applyBorder="1" applyAlignment="1"/>
    <xf numFmtId="0" fontId="14" fillId="0" borderId="0" xfId="3" applyFont="1"/>
    <xf numFmtId="0" fontId="20" fillId="0" borderId="12" xfId="3" applyFont="1" applyBorder="1" applyAlignment="1">
      <alignment horizontal="center"/>
    </xf>
    <xf numFmtId="0" fontId="20" fillId="0" borderId="0" xfId="3" applyFont="1" applyBorder="1" applyAlignment="1">
      <alignment horizontal="center"/>
    </xf>
    <xf numFmtId="165" fontId="23" fillId="0" borderId="2" xfId="0" applyNumberFormat="1" applyFont="1" applyFill="1" applyBorder="1" applyAlignment="1"/>
    <xf numFmtId="3" fontId="41" fillId="0" borderId="0" xfId="0" applyNumberFormat="1" applyFont="1" applyAlignment="1"/>
    <xf numFmtId="37" fontId="14" fillId="0" borderId="43" xfId="3" applyNumberFormat="1" applyFont="1" applyBorder="1" applyAlignment="1">
      <alignment horizontal="right"/>
    </xf>
    <xf numFmtId="165" fontId="14" fillId="0" borderId="43" xfId="0" applyNumberFormat="1" applyFont="1" applyBorder="1" applyAlignment="1"/>
    <xf numFmtId="3" fontId="14" fillId="0" borderId="43" xfId="0" applyNumberFormat="1" applyFont="1" applyBorder="1"/>
    <xf numFmtId="165" fontId="20" fillId="0" borderId="5" xfId="3" applyNumberFormat="1" applyFont="1" applyBorder="1"/>
    <xf numFmtId="5" fontId="20" fillId="0" borderId="43" xfId="3" applyNumberFormat="1" applyFont="1" applyBorder="1"/>
    <xf numFmtId="165" fontId="20" fillId="0" borderId="43" xfId="3" applyNumberFormat="1" applyFont="1" applyBorder="1"/>
    <xf numFmtId="37" fontId="14" fillId="0" borderId="43" xfId="0" applyNumberFormat="1" applyFont="1" applyBorder="1"/>
    <xf numFmtId="0" fontId="19" fillId="0" borderId="11" xfId="3" applyFont="1" applyBorder="1" applyAlignment="1">
      <alignment horizontal="left"/>
    </xf>
    <xf numFmtId="37" fontId="14" fillId="0" borderId="16" xfId="3" applyNumberFormat="1" applyFont="1" applyBorder="1" applyAlignment="1">
      <alignment horizontal="right"/>
    </xf>
    <xf numFmtId="37" fontId="14" fillId="0" borderId="17" xfId="3" applyNumberFormat="1" applyFont="1" applyBorder="1" applyAlignment="1">
      <alignment horizontal="right"/>
    </xf>
    <xf numFmtId="5" fontId="20" fillId="0" borderId="9" xfId="3" applyNumberFormat="1" applyFont="1" applyBorder="1"/>
    <xf numFmtId="0" fontId="19" fillId="0" borderId="1" xfId="3" applyFont="1" applyBorder="1" applyAlignment="1">
      <alignment horizontal="center"/>
    </xf>
    <xf numFmtId="0" fontId="19" fillId="0" borderId="6" xfId="3" applyFont="1" applyBorder="1" applyAlignment="1">
      <alignment horizontal="center"/>
    </xf>
    <xf numFmtId="0" fontId="20" fillId="0" borderId="43" xfId="3" applyFont="1" applyBorder="1"/>
    <xf numFmtId="165" fontId="20" fillId="0" borderId="43" xfId="0" applyNumberFormat="1" applyFont="1" applyBorder="1" applyAlignment="1"/>
    <xf numFmtId="37" fontId="20" fillId="0" borderId="43" xfId="3" applyNumberFormat="1" applyFont="1" applyBorder="1"/>
    <xf numFmtId="3" fontId="14" fillId="0" borderId="20" xfId="0" applyNumberFormat="1" applyFont="1" applyBorder="1" applyAlignment="1"/>
    <xf numFmtId="3" fontId="14" fillId="0" borderId="23" xfId="0" applyNumberFormat="1" applyFont="1" applyBorder="1" applyAlignment="1"/>
    <xf numFmtId="3" fontId="14" fillId="0" borderId="30" xfId="0" applyNumberFormat="1" applyFont="1" applyBorder="1" applyAlignment="1"/>
    <xf numFmtId="0" fontId="20" fillId="0" borderId="62" xfId="3" applyFont="1" applyBorder="1" applyAlignment="1">
      <alignment horizontal="left"/>
    </xf>
    <xf numFmtId="0" fontId="0" fillId="0" borderId="63" xfId="0" applyBorder="1"/>
    <xf numFmtId="3" fontId="22" fillId="2" borderId="64" xfId="0" applyNumberFormat="1" applyFont="1" applyFill="1" applyBorder="1" applyAlignment="1">
      <alignment horizontal="left"/>
    </xf>
    <xf numFmtId="0" fontId="0" fillId="0" borderId="5" xfId="0" applyBorder="1"/>
    <xf numFmtId="3" fontId="32" fillId="2" borderId="12" xfId="0" applyNumberFormat="1" applyFont="1" applyFill="1" applyBorder="1" applyAlignment="1">
      <alignment horizontal="centerContinuous"/>
    </xf>
    <xf numFmtId="0" fontId="0" fillId="0" borderId="12" xfId="0" applyBorder="1"/>
    <xf numFmtId="3" fontId="32" fillId="2" borderId="65" xfId="0" applyNumberFormat="1" applyFont="1" applyFill="1" applyBorder="1" applyAlignment="1">
      <alignment horizontal="centerContinuous" wrapText="1"/>
    </xf>
    <xf numFmtId="3" fontId="22" fillId="2" borderId="66" xfId="0" applyNumberFormat="1" applyFont="1" applyFill="1" applyBorder="1" applyAlignment="1"/>
    <xf numFmtId="165" fontId="7" fillId="0" borderId="67" xfId="0" applyNumberFormat="1" applyFont="1" applyBorder="1" applyAlignment="1"/>
    <xf numFmtId="165" fontId="22" fillId="2" borderId="68" xfId="0" applyNumberFormat="1" applyFont="1" applyFill="1" applyBorder="1" applyAlignment="1"/>
    <xf numFmtId="3" fontId="22" fillId="2" borderId="69" xfId="0" applyNumberFormat="1" applyFont="1" applyFill="1" applyBorder="1" applyAlignment="1"/>
    <xf numFmtId="3" fontId="32" fillId="2" borderId="68" xfId="0" applyNumberFormat="1" applyFont="1" applyFill="1" applyBorder="1" applyAlignment="1"/>
    <xf numFmtId="165" fontId="32" fillId="2" borderId="65" xfId="0" applyNumberFormat="1" applyFont="1" applyFill="1" applyBorder="1" applyAlignment="1"/>
    <xf numFmtId="1" fontId="8" fillId="2" borderId="20" xfId="0" applyNumberFormat="1" applyFont="1" applyFill="1" applyBorder="1" applyAlignment="1"/>
    <xf numFmtId="1" fontId="8" fillId="2" borderId="14" xfId="0" applyNumberFormat="1" applyFont="1" applyFill="1" applyBorder="1" applyAlignment="1"/>
    <xf numFmtId="1" fontId="8" fillId="2" borderId="15" xfId="0" applyNumberFormat="1" applyFont="1" applyFill="1" applyBorder="1" applyAlignment="1"/>
    <xf numFmtId="1" fontId="8" fillId="2" borderId="11" xfId="0" applyNumberFormat="1" applyFont="1" applyFill="1" applyBorder="1" applyAlignment="1"/>
    <xf numFmtId="1" fontId="8" fillId="2" borderId="0" xfId="0" applyNumberFormat="1" applyFont="1" applyFill="1" applyBorder="1" applyAlignment="1"/>
    <xf numFmtId="1" fontId="8" fillId="2" borderId="1" xfId="0" applyNumberFormat="1" applyFont="1" applyFill="1" applyBorder="1" applyAlignment="1"/>
    <xf numFmtId="1" fontId="8" fillId="2" borderId="6" xfId="0" applyNumberFormat="1" applyFont="1" applyFill="1" applyBorder="1" applyAlignment="1"/>
    <xf numFmtId="1" fontId="8" fillId="2" borderId="8" xfId="0" applyNumberFormat="1" applyFont="1" applyFill="1" applyBorder="1" applyAlignment="1"/>
    <xf numFmtId="1" fontId="8" fillId="2" borderId="7" xfId="0" applyNumberFormat="1" applyFont="1" applyFill="1" applyBorder="1" applyAlignment="1"/>
    <xf numFmtId="1" fontId="8" fillId="2" borderId="20" xfId="0" applyNumberFormat="1" applyFont="1" applyFill="1" applyBorder="1" applyAlignment="1">
      <alignment horizontal="right"/>
    </xf>
    <xf numFmtId="1" fontId="8" fillId="2" borderId="14" xfId="0" applyNumberFormat="1" applyFont="1" applyFill="1" applyBorder="1" applyAlignment="1">
      <alignment horizontal="right"/>
    </xf>
    <xf numFmtId="1" fontId="24" fillId="2" borderId="20" xfId="0" applyNumberFormat="1" applyFont="1" applyFill="1" applyBorder="1" applyAlignment="1"/>
    <xf numFmtId="1" fontId="8" fillId="2" borderId="27" xfId="0" applyNumberFormat="1" applyFont="1" applyFill="1" applyBorder="1" applyAlignment="1"/>
    <xf numFmtId="1" fontId="8" fillId="0" borderId="20" xfId="0" applyNumberFormat="1" applyFont="1" applyFill="1" applyBorder="1" applyAlignment="1"/>
    <xf numFmtId="1" fontId="8" fillId="0" borderId="23" xfId="0" applyNumberFormat="1" applyFont="1" applyFill="1" applyBorder="1" applyAlignment="1"/>
    <xf numFmtId="1" fontId="8" fillId="0" borderId="4" xfId="0" applyNumberFormat="1" applyFont="1" applyFill="1" applyBorder="1" applyAlignment="1"/>
    <xf numFmtId="37" fontId="8" fillId="2" borderId="20" xfId="0" applyNumberFormat="1" applyFont="1" applyFill="1" applyBorder="1" applyAlignment="1"/>
    <xf numFmtId="37" fontId="8" fillId="2" borderId="15" xfId="0" applyNumberFormat="1" applyFont="1" applyFill="1" applyBorder="1" applyAlignment="1"/>
    <xf numFmtId="37" fontId="24" fillId="2" borderId="14" xfId="0" applyNumberFormat="1" applyFont="1" applyFill="1" applyBorder="1" applyAlignment="1"/>
    <xf numFmtId="37" fontId="24" fillId="2" borderId="20" xfId="0" applyNumberFormat="1" applyFont="1" applyFill="1" applyBorder="1" applyAlignment="1"/>
    <xf numFmtId="37" fontId="24" fillId="2" borderId="15" xfId="0" applyNumberFormat="1" applyFont="1" applyFill="1" applyBorder="1" applyAlignment="1"/>
    <xf numFmtId="37" fontId="8" fillId="2" borderId="28" xfId="0" applyNumberFormat="1" applyFont="1" applyFill="1" applyBorder="1" applyAlignment="1"/>
    <xf numFmtId="37" fontId="8" fillId="2" borderId="27" xfId="0" applyNumberFormat="1" applyFont="1" applyFill="1" applyBorder="1" applyAlignment="1"/>
    <xf numFmtId="37" fontId="8" fillId="2" borderId="29" xfId="0" applyNumberFormat="1" applyFont="1" applyFill="1" applyBorder="1" applyAlignment="1"/>
    <xf numFmtId="37" fontId="8" fillId="0" borderId="20" xfId="0" applyNumberFormat="1" applyFont="1" applyFill="1" applyBorder="1" applyAlignment="1"/>
    <xf numFmtId="37" fontId="8" fillId="0" borderId="23" xfId="0" applyNumberFormat="1" applyFont="1" applyFill="1" applyBorder="1" applyAlignment="1"/>
    <xf numFmtId="37" fontId="8" fillId="0" borderId="2" xfId="0" applyNumberFormat="1" applyFont="1" applyFill="1" applyBorder="1" applyAlignment="1"/>
    <xf numFmtId="37" fontId="8" fillId="0" borderId="4" xfId="0" applyNumberFormat="1" applyFont="1" applyFill="1" applyBorder="1" applyAlignment="1"/>
    <xf numFmtId="37" fontId="8" fillId="0" borderId="3" xfId="0" applyNumberFormat="1" applyFont="1" applyFill="1" applyBorder="1" applyAlignment="1"/>
    <xf numFmtId="37" fontId="3" fillId="0" borderId="14" xfId="0" applyNumberFormat="1" applyFont="1" applyBorder="1" applyAlignment="1"/>
    <xf numFmtId="37" fontId="3" fillId="0" borderId="15" xfId="0" applyNumberFormat="1" applyFont="1" applyBorder="1" applyAlignment="1"/>
    <xf numFmtId="37" fontId="15" fillId="0" borderId="2" xfId="0" applyNumberFormat="1" applyFont="1" applyBorder="1" applyAlignment="1"/>
    <xf numFmtId="3" fontId="41" fillId="0" borderId="0" xfId="0" applyNumberFormat="1" applyFont="1" applyFill="1" applyAlignment="1"/>
    <xf numFmtId="165" fontId="7" fillId="0" borderId="20" xfId="0" applyNumberFormat="1" applyFont="1" applyFill="1" applyBorder="1" applyAlignment="1"/>
    <xf numFmtId="1" fontId="8" fillId="0" borderId="14" xfId="0" applyNumberFormat="1" applyFont="1" applyFill="1" applyBorder="1" applyAlignment="1"/>
    <xf numFmtId="1" fontId="8" fillId="0" borderId="15" xfId="0" applyNumberFormat="1" applyFont="1" applyFill="1" applyBorder="1" applyAlignment="1"/>
    <xf numFmtId="165" fontId="7" fillId="0" borderId="0" xfId="0" applyNumberFormat="1" applyFont="1" applyFill="1" applyAlignment="1"/>
    <xf numFmtId="165" fontId="7" fillId="0" borderId="0" xfId="0" applyNumberFormat="1" applyFont="1" applyFill="1"/>
    <xf numFmtId="0" fontId="3" fillId="0" borderId="0" xfId="8" applyFont="1"/>
    <xf numFmtId="0" fontId="36" fillId="0" borderId="0" xfId="8" applyFont="1"/>
    <xf numFmtId="0" fontId="34" fillId="0" borderId="0" xfId="8" applyFont="1"/>
    <xf numFmtId="0" fontId="40" fillId="0" borderId="0" xfId="8"/>
    <xf numFmtId="165" fontId="34" fillId="0" borderId="0" xfId="8" applyNumberFormat="1" applyFont="1" applyAlignment="1"/>
    <xf numFmtId="165" fontId="3" fillId="0" borderId="0" xfId="8" applyNumberFormat="1" applyFont="1" applyAlignment="1"/>
    <xf numFmtId="165" fontId="3" fillId="0" borderId="0" xfId="8" applyNumberFormat="1" applyFont="1" applyAlignment="1">
      <alignment horizontal="centerContinuous"/>
    </xf>
    <xf numFmtId="165" fontId="15" fillId="0" borderId="16" xfId="8" applyNumberFormat="1" applyFont="1" applyBorder="1" applyAlignment="1"/>
    <xf numFmtId="165" fontId="15" fillId="0" borderId="17" xfId="8" applyNumberFormat="1" applyFont="1" applyBorder="1" applyAlignment="1"/>
    <xf numFmtId="165" fontId="15" fillId="0" borderId="0" xfId="8" applyNumberFormat="1" applyFont="1" applyAlignment="1"/>
    <xf numFmtId="165" fontId="15" fillId="0" borderId="11" xfId="8" applyNumberFormat="1" applyFont="1" applyBorder="1" applyAlignment="1"/>
    <xf numFmtId="165" fontId="15" fillId="0" borderId="0" xfId="8" applyNumberFormat="1" applyFont="1" applyBorder="1" applyAlignment="1"/>
    <xf numFmtId="165" fontId="15" fillId="0" borderId="1" xfId="8" applyNumberFormat="1" applyFont="1" applyBorder="1" applyAlignment="1"/>
    <xf numFmtId="165" fontId="15" fillId="0" borderId="19" xfId="8" applyNumberFormat="1" applyFont="1" applyBorder="1" applyAlignment="1"/>
    <xf numFmtId="165" fontId="15" fillId="0" borderId="18" xfId="8" applyNumberFormat="1" applyFont="1" applyBorder="1" applyAlignment="1"/>
    <xf numFmtId="165" fontId="15" fillId="0" borderId="19" xfId="8" applyNumberFormat="1" applyFont="1" applyBorder="1" applyAlignment="1">
      <alignment horizontal="right"/>
    </xf>
    <xf numFmtId="165" fontId="15" fillId="0" borderId="18" xfId="8" applyNumberFormat="1" applyFont="1" applyBorder="1" applyAlignment="1">
      <alignment horizontal="right"/>
    </xf>
    <xf numFmtId="165" fontId="15" fillId="0" borderId="22" xfId="8" applyNumberFormat="1" applyFont="1" applyBorder="1" applyAlignment="1">
      <alignment horizontal="right"/>
    </xf>
    <xf numFmtId="165" fontId="15" fillId="0" borderId="33" xfId="8" applyNumberFormat="1" applyFont="1" applyBorder="1" applyAlignment="1"/>
    <xf numFmtId="0" fontId="40" fillId="0" borderId="32" xfId="8" applyBorder="1" applyAlignment="1"/>
    <xf numFmtId="3" fontId="3" fillId="0" borderId="20" xfId="8" applyNumberFormat="1" applyFont="1" applyBorder="1" applyAlignment="1"/>
    <xf numFmtId="3" fontId="3" fillId="0" borderId="14" xfId="8" applyNumberFormat="1" applyFont="1" applyBorder="1" applyAlignment="1"/>
    <xf numFmtId="3" fontId="3" fillId="0" borderId="15" xfId="8" applyNumberFormat="1" applyFont="1" applyBorder="1" applyAlignment="1"/>
    <xf numFmtId="0" fontId="15" fillId="0" borderId="20" xfId="8" applyFont="1" applyBorder="1" applyAlignment="1"/>
    <xf numFmtId="0" fontId="40" fillId="0" borderId="15" xfId="8" applyBorder="1" applyAlignment="1"/>
    <xf numFmtId="165" fontId="2" fillId="0" borderId="23" xfId="8" applyNumberFormat="1" applyFont="1" applyBorder="1" applyAlignment="1"/>
    <xf numFmtId="0" fontId="40" fillId="0" borderId="48" xfId="8" applyBorder="1" applyAlignment="1"/>
    <xf numFmtId="3" fontId="3" fillId="0" borderId="4" xfId="8" applyNumberFormat="1" applyFont="1" applyFill="1" applyBorder="1" applyAlignment="1"/>
    <xf numFmtId="3" fontId="3" fillId="0" borderId="2" xfId="8" applyNumberFormat="1" applyFont="1" applyFill="1" applyBorder="1" applyAlignment="1"/>
    <xf numFmtId="3" fontId="3" fillId="0" borderId="14" xfId="8" applyNumberFormat="1" applyFont="1" applyBorder="1" applyAlignment="1">
      <alignment horizontal="right"/>
    </xf>
    <xf numFmtId="3" fontId="3" fillId="0" borderId="11" xfId="8" applyNumberFormat="1" applyFont="1" applyBorder="1" applyAlignment="1"/>
    <xf numFmtId="3" fontId="3" fillId="0" borderId="0" xfId="8" applyNumberFormat="1" applyFont="1" applyBorder="1" applyAlignment="1"/>
    <xf numFmtId="3" fontId="15" fillId="0" borderId="4" xfId="8" applyNumberFormat="1" applyFont="1" applyBorder="1" applyAlignment="1"/>
    <xf numFmtId="3" fontId="15" fillId="0" borderId="2" xfId="8" applyNumberFormat="1" applyFont="1" applyBorder="1" applyAlignment="1"/>
    <xf numFmtId="3" fontId="15" fillId="0" borderId="3" xfId="8" applyNumberFormat="1" applyFont="1" applyBorder="1" applyAlignment="1"/>
    <xf numFmtId="3" fontId="3" fillId="0" borderId="4" xfId="8" applyNumberFormat="1" applyFont="1" applyBorder="1" applyAlignment="1"/>
    <xf numFmtId="3" fontId="3" fillId="0" borderId="2" xfId="8" applyNumberFormat="1" applyFont="1" applyBorder="1" applyAlignment="1"/>
    <xf numFmtId="3" fontId="3" fillId="0" borderId="3" xfId="8" applyNumberFormat="1" applyFont="1" applyBorder="1" applyAlignment="1"/>
    <xf numFmtId="165" fontId="3" fillId="0" borderId="0" xfId="8" applyNumberFormat="1" applyFont="1" applyBorder="1" applyAlignment="1"/>
    <xf numFmtId="3" fontId="3" fillId="0" borderId="6" xfId="8" applyNumberFormat="1" applyFont="1" applyBorder="1" applyAlignment="1"/>
    <xf numFmtId="3" fontId="3" fillId="0" borderId="7" xfId="8" applyNumberFormat="1" applyFont="1" applyBorder="1" applyAlignment="1"/>
    <xf numFmtId="3" fontId="3" fillId="0" borderId="8" xfId="8" applyNumberFormat="1" applyFont="1" applyBorder="1" applyAlignment="1"/>
    <xf numFmtId="165" fontId="37" fillId="0" borderId="0" xfId="8" applyNumberFormat="1" applyFont="1" applyAlignment="1"/>
    <xf numFmtId="165" fontId="10" fillId="0" borderId="0" xfId="8" applyNumberFormat="1" applyFont="1" applyFill="1" applyAlignment="1"/>
    <xf numFmtId="165" fontId="10" fillId="0" borderId="0" xfId="8" applyNumberFormat="1" applyFont="1" applyAlignment="1"/>
    <xf numFmtId="0" fontId="35" fillId="0" borderId="0" xfId="8" applyFont="1"/>
    <xf numFmtId="165" fontId="2" fillId="0" borderId="23" xfId="8" applyNumberFormat="1" applyFont="1" applyBorder="1" applyAlignment="1"/>
    <xf numFmtId="3" fontId="3" fillId="0" borderId="0" xfId="8" applyNumberFormat="1" applyFont="1" applyAlignment="1"/>
    <xf numFmtId="3" fontId="37" fillId="0" borderId="0" xfId="8" applyNumberFormat="1" applyFont="1" applyAlignment="1"/>
    <xf numFmtId="165" fontId="36" fillId="0" borderId="0" xfId="8" applyNumberFormat="1" applyFont="1" applyAlignment="1"/>
    <xf numFmtId="165" fontId="3" fillId="0" borderId="0" xfId="8" applyNumberFormat="1" applyFont="1" applyFill="1" applyAlignment="1"/>
    <xf numFmtId="3" fontId="3" fillId="0" borderId="0" xfId="8" applyNumberFormat="1" applyFont="1" applyFill="1" applyAlignment="1"/>
    <xf numFmtId="0" fontId="43" fillId="0" borderId="0" xfId="8" applyFont="1" applyFill="1" applyBorder="1" applyAlignment="1">
      <alignment vertical="top" wrapText="1"/>
    </xf>
    <xf numFmtId="165" fontId="40" fillId="0" borderId="0" xfId="8" applyNumberFormat="1" applyFont="1" applyFill="1" applyAlignment="1"/>
    <xf numFmtId="3" fontId="40" fillId="0" borderId="0" xfId="8" applyNumberFormat="1" applyFont="1" applyFill="1" applyAlignment="1"/>
    <xf numFmtId="3" fontId="34" fillId="0" borderId="0" xfId="8" applyNumberFormat="1" applyFont="1" applyAlignment="1"/>
    <xf numFmtId="37" fontId="3" fillId="0" borderId="15" xfId="8" applyNumberFormat="1" applyFont="1" applyBorder="1" applyAlignment="1"/>
    <xf numFmtId="37" fontId="3" fillId="0" borderId="14" xfId="8" applyNumberFormat="1" applyFont="1" applyBorder="1" applyAlignment="1"/>
    <xf numFmtId="37" fontId="3" fillId="0" borderId="14" xfId="8" applyNumberFormat="1" applyFont="1" applyBorder="1" applyAlignment="1">
      <alignment horizontal="center"/>
    </xf>
    <xf numFmtId="37" fontId="3" fillId="0" borderId="20" xfId="8" applyNumberFormat="1" applyFont="1" applyBorder="1" applyAlignment="1">
      <alignment horizontal="center"/>
    </xf>
    <xf numFmtId="0" fontId="3" fillId="0" borderId="14" xfId="8" applyNumberFormat="1" applyFont="1" applyBorder="1" applyAlignment="1"/>
    <xf numFmtId="0" fontId="3" fillId="0" borderId="20" xfId="8" applyNumberFormat="1" applyFont="1" applyBorder="1" applyAlignment="1"/>
    <xf numFmtId="0" fontId="3" fillId="0" borderId="22" xfId="8" applyNumberFormat="1" applyFont="1" applyBorder="1" applyAlignment="1">
      <alignment horizontal="right"/>
    </xf>
    <xf numFmtId="0" fontId="3" fillId="0" borderId="18" xfId="8" applyNumberFormat="1" applyFont="1" applyBorder="1" applyAlignment="1">
      <alignment horizontal="center"/>
    </xf>
    <xf numFmtId="0" fontId="3" fillId="0" borderId="19" xfId="8" applyNumberFormat="1" applyFont="1" applyBorder="1" applyAlignment="1">
      <alignment horizontal="center"/>
    </xf>
    <xf numFmtId="0" fontId="3" fillId="0" borderId="18" xfId="8" applyNumberFormat="1" applyFont="1" applyBorder="1" applyAlignment="1">
      <alignment horizontal="right"/>
    </xf>
    <xf numFmtId="0" fontId="3" fillId="0" borderId="19" xfId="8" applyNumberFormat="1" applyFont="1" applyBorder="1" applyAlignment="1">
      <alignment horizontal="right"/>
    </xf>
    <xf numFmtId="165" fontId="15" fillId="0" borderId="0" xfId="8" applyNumberFormat="1" applyFont="1" applyAlignment="1">
      <alignment horizontal="centerContinuous"/>
    </xf>
    <xf numFmtId="3" fontId="15" fillId="0" borderId="0" xfId="8" applyNumberFormat="1" applyFont="1" applyAlignment="1">
      <alignment horizontal="centerContinuous"/>
    </xf>
    <xf numFmtId="37" fontId="3" fillId="0" borderId="10" xfId="8" applyNumberFormat="1" applyFont="1" applyBorder="1" applyAlignment="1"/>
    <xf numFmtId="37" fontId="15" fillId="0" borderId="10" xfId="8" applyNumberFormat="1" applyFont="1" applyBorder="1" applyAlignment="1">
      <alignment horizontal="right"/>
    </xf>
    <xf numFmtId="37" fontId="3" fillId="0" borderId="62" xfId="8" applyNumberFormat="1" applyFont="1" applyBorder="1" applyAlignment="1"/>
    <xf numFmtId="37" fontId="3" fillId="0" borderId="12" xfId="8" applyNumberFormat="1" applyFont="1" applyBorder="1" applyAlignment="1"/>
    <xf numFmtId="0" fontId="3" fillId="0" borderId="23" xfId="8" applyNumberFormat="1" applyFont="1" applyBorder="1" applyAlignment="1">
      <alignment horizontal="left" indent="4"/>
    </xf>
    <xf numFmtId="37" fontId="3" fillId="0" borderId="21" xfId="8" applyNumberFormat="1" applyFont="1" applyBorder="1" applyAlignment="1"/>
    <xf numFmtId="37" fontId="3" fillId="0" borderId="70" xfId="8" applyNumberFormat="1" applyFont="1" applyBorder="1" applyAlignment="1"/>
    <xf numFmtId="37" fontId="15" fillId="0" borderId="70" xfId="8" applyNumberFormat="1" applyFont="1" applyBorder="1" applyAlignment="1">
      <alignment horizontal="right"/>
    </xf>
    <xf numFmtId="37" fontId="15" fillId="0" borderId="73" xfId="8" applyNumberFormat="1" applyFont="1" applyBorder="1" applyAlignment="1"/>
    <xf numFmtId="37" fontId="15" fillId="0" borderId="73" xfId="8" applyNumberFormat="1" applyFont="1" applyBorder="1" applyAlignment="1">
      <alignment horizontal="right"/>
    </xf>
    <xf numFmtId="1" fontId="3" fillId="0" borderId="41" xfId="8" applyNumberFormat="1" applyFont="1" applyBorder="1" applyAlignment="1">
      <alignment horizontal="right"/>
    </xf>
    <xf numFmtId="37" fontId="3" fillId="0" borderId="41" xfId="8" applyNumberFormat="1" applyFont="1" applyBorder="1" applyAlignment="1"/>
    <xf numFmtId="37" fontId="3" fillId="0" borderId="41" xfId="8" applyNumberFormat="1" applyFont="1" applyBorder="1" applyAlignment="1">
      <alignment horizontal="right"/>
    </xf>
    <xf numFmtId="164" fontId="15" fillId="0" borderId="42" xfId="8" applyNumberFormat="1" applyFont="1" applyBorder="1" applyAlignment="1"/>
    <xf numFmtId="1" fontId="15" fillId="0" borderId="41" xfId="8" applyNumberFormat="1" applyFont="1" applyBorder="1" applyAlignment="1">
      <alignment horizontal="right"/>
    </xf>
    <xf numFmtId="3" fontId="37" fillId="0" borderId="0" xfId="8" applyNumberFormat="1" applyFont="1" applyFill="1" applyAlignment="1"/>
    <xf numFmtId="3" fontId="35" fillId="0" borderId="0" xfId="8" applyNumberFormat="1" applyFont="1" applyFill="1" applyAlignment="1"/>
    <xf numFmtId="3" fontId="10" fillId="0" borderId="0" xfId="8" applyNumberFormat="1" applyFont="1" applyAlignment="1"/>
    <xf numFmtId="3" fontId="42" fillId="0" borderId="0" xfId="8" applyNumberFormat="1" applyFont="1" applyAlignment="1"/>
    <xf numFmtId="37" fontId="10" fillId="0" borderId="3" xfId="8" applyNumberFormat="1" applyFont="1" applyBorder="1" applyAlignment="1"/>
    <xf numFmtId="37" fontId="10" fillId="0" borderId="2" xfId="8" applyNumberFormat="1" applyFont="1" applyBorder="1" applyAlignment="1">
      <alignment horizontal="center"/>
    </xf>
    <xf numFmtId="37" fontId="10" fillId="0" borderId="4" xfId="8" applyNumberFormat="1" applyFont="1" applyBorder="1" applyAlignment="1"/>
    <xf numFmtId="37" fontId="10" fillId="0" borderId="2" xfId="8" applyNumberFormat="1" applyFont="1" applyBorder="1" applyAlignment="1"/>
    <xf numFmtId="3" fontId="10" fillId="0" borderId="2" xfId="8" applyNumberFormat="1" applyFont="1" applyBorder="1" applyAlignment="1"/>
    <xf numFmtId="37" fontId="10" fillId="0" borderId="4" xfId="8" applyNumberFormat="1" applyFont="1" applyBorder="1" applyAlignment="1">
      <alignment horizontal="center"/>
    </xf>
    <xf numFmtId="0" fontId="10" fillId="0" borderId="4" xfId="8" applyNumberFormat="1" applyFont="1" applyBorder="1" applyAlignment="1"/>
    <xf numFmtId="0" fontId="10" fillId="0" borderId="2" xfId="8" applyNumberFormat="1" applyFont="1" applyBorder="1" applyAlignment="1"/>
    <xf numFmtId="0" fontId="10" fillId="0" borderId="2" xfId="8" applyNumberFormat="1" applyFont="1" applyBorder="1" applyAlignment="1">
      <alignment horizontal="fill"/>
    </xf>
    <xf numFmtId="37" fontId="10" fillId="0" borderId="15" xfId="8" applyNumberFormat="1" applyFont="1" applyBorder="1" applyAlignment="1"/>
    <xf numFmtId="37" fontId="10" fillId="0" borderId="34" xfId="8" applyNumberFormat="1" applyFont="1" applyBorder="1" applyAlignment="1">
      <alignment horizontal="center"/>
    </xf>
    <xf numFmtId="37" fontId="10" fillId="0" borderId="20" xfId="8" applyNumberFormat="1" applyFont="1" applyBorder="1" applyAlignment="1"/>
    <xf numFmtId="37" fontId="10" fillId="0" borderId="14" xfId="8" applyNumberFormat="1" applyFont="1" applyBorder="1" applyAlignment="1"/>
    <xf numFmtId="37" fontId="10" fillId="0" borderId="14" xfId="8" applyNumberFormat="1" applyFont="1" applyBorder="1" applyAlignment="1">
      <alignment horizontal="center"/>
    </xf>
    <xf numFmtId="3" fontId="10" fillId="0" borderId="14" xfId="8" applyNumberFormat="1" applyFont="1" applyBorder="1" applyAlignment="1"/>
    <xf numFmtId="37" fontId="10" fillId="0" borderId="20" xfId="8" applyNumberFormat="1" applyFont="1" applyBorder="1" applyAlignment="1">
      <alignment horizontal="center"/>
    </xf>
    <xf numFmtId="0" fontId="10" fillId="0" borderId="14" xfId="8" applyNumberFormat="1" applyFont="1" applyBorder="1" applyAlignment="1"/>
    <xf numFmtId="0" fontId="10" fillId="0" borderId="14" xfId="8" applyNumberFormat="1" applyFont="1" applyBorder="1" applyAlignment="1">
      <alignment horizontal="fill"/>
    </xf>
    <xf numFmtId="0" fontId="10" fillId="0" borderId="20" xfId="8" applyNumberFormat="1" applyFont="1" applyBorder="1" applyAlignment="1"/>
    <xf numFmtId="37" fontId="10" fillId="0" borderId="1" xfId="8" applyNumberFormat="1" applyFont="1" applyBorder="1" applyAlignment="1"/>
    <xf numFmtId="37" fontId="10" fillId="0" borderId="0" xfId="8" applyNumberFormat="1" applyFont="1" applyBorder="1" applyAlignment="1"/>
    <xf numFmtId="37" fontId="10" fillId="0" borderId="11" xfId="8" applyNumberFormat="1" applyFont="1" applyBorder="1" applyAlignment="1"/>
    <xf numFmtId="37" fontId="10" fillId="0" borderId="0" xfId="8" applyNumberFormat="1" applyFont="1" applyAlignment="1"/>
    <xf numFmtId="37" fontId="10" fillId="0" borderId="0" xfId="8" applyNumberFormat="1" applyFont="1" applyAlignment="1">
      <alignment horizontal="center"/>
    </xf>
    <xf numFmtId="37" fontId="10" fillId="0" borderId="11" xfId="8" applyNumberFormat="1" applyFont="1" applyBorder="1" applyAlignment="1">
      <alignment horizontal="center"/>
    </xf>
    <xf numFmtId="0" fontId="10" fillId="0" borderId="45" xfId="8" applyNumberFormat="1" applyFont="1" applyBorder="1" applyAlignment="1"/>
    <xf numFmtId="164" fontId="19" fillId="0" borderId="3" xfId="8" applyNumberFormat="1" applyFont="1" applyBorder="1" applyAlignment="1"/>
    <xf numFmtId="37" fontId="19" fillId="0" borderId="2" xfId="8" applyNumberFormat="1" applyFont="1" applyBorder="1" applyAlignment="1">
      <alignment horizontal="center"/>
    </xf>
    <xf numFmtId="37" fontId="19" fillId="0" borderId="27" xfId="8" applyNumberFormat="1" applyFont="1" applyBorder="1" applyAlignment="1">
      <alignment horizontal="center"/>
    </xf>
    <xf numFmtId="164" fontId="19" fillId="0" borderId="2" xfId="8" applyNumberFormat="1" applyFont="1" applyBorder="1" applyAlignment="1"/>
    <xf numFmtId="0" fontId="19" fillId="0" borderId="2" xfId="8" applyNumberFormat="1" applyFont="1" applyBorder="1" applyAlignment="1"/>
    <xf numFmtId="3" fontId="10" fillId="0" borderId="15" xfId="8" applyNumberFormat="1" applyFont="1" applyBorder="1" applyAlignment="1"/>
    <xf numFmtId="3" fontId="10" fillId="0" borderId="15" xfId="8" applyNumberFormat="1" applyFont="1" applyBorder="1" applyAlignment="1">
      <alignment horizontal="right"/>
    </xf>
    <xf numFmtId="3" fontId="10" fillId="0" borderId="14" xfId="8" applyNumberFormat="1" applyFont="1" applyBorder="1" applyAlignment="1">
      <alignment horizontal="right"/>
    </xf>
    <xf numFmtId="0" fontId="10" fillId="0" borderId="34" xfId="8" applyNumberFormat="1" applyFont="1" applyBorder="1" applyAlignment="1"/>
    <xf numFmtId="0" fontId="10" fillId="0" borderId="48" xfId="8" applyNumberFormat="1" applyFont="1" applyBorder="1" applyAlignment="1"/>
    <xf numFmtId="0" fontId="10" fillId="0" borderId="15" xfId="8" applyNumberFormat="1" applyFont="1" applyBorder="1" applyAlignment="1"/>
    <xf numFmtId="37" fontId="10" fillId="0" borderId="14" xfId="8" applyNumberFormat="1" applyFont="1" applyBorder="1" applyAlignment="1">
      <alignment horizontal="right"/>
    </xf>
    <xf numFmtId="0" fontId="10" fillId="0" borderId="14" xfId="8" applyNumberFormat="1" applyFont="1" applyBorder="1" applyAlignment="1">
      <alignment horizontal="left" indent="2"/>
    </xf>
    <xf numFmtId="0" fontId="19" fillId="0" borderId="14" xfId="8" applyNumberFormat="1" applyFont="1" applyBorder="1" applyAlignment="1"/>
    <xf numFmtId="3" fontId="45" fillId="0" borderId="0" xfId="0" applyNumberFormat="1" applyFont="1" applyAlignment="1"/>
    <xf numFmtId="0" fontId="3" fillId="0" borderId="23" xfId="8" applyNumberFormat="1" applyFont="1" applyBorder="1" applyAlignment="1">
      <alignment horizontal="left" indent="2"/>
    </xf>
    <xf numFmtId="0" fontId="3" fillId="0" borderId="20" xfId="8" applyNumberFormat="1" applyFont="1" applyBorder="1" applyAlignment="1">
      <alignment horizontal="left" indent="4"/>
    </xf>
    <xf numFmtId="0" fontId="15" fillId="0" borderId="6" xfId="8" applyNumberFormat="1" applyFont="1" applyBorder="1" applyAlignment="1"/>
    <xf numFmtId="0" fontId="3" fillId="0" borderId="7" xfId="8" applyNumberFormat="1" applyFont="1" applyBorder="1" applyAlignment="1"/>
    <xf numFmtId="0" fontId="3" fillId="0" borderId="34" xfId="8" applyNumberFormat="1" applyFont="1" applyBorder="1" applyAlignment="1">
      <alignment horizontal="left" indent="4"/>
    </xf>
    <xf numFmtId="0" fontId="3" fillId="0" borderId="14" xfId="8" applyNumberFormat="1" applyFont="1" applyBorder="1" applyAlignment="1">
      <alignment horizontal="left" indent="4"/>
    </xf>
    <xf numFmtId="0" fontId="3" fillId="0" borderId="34" xfId="8" applyNumberFormat="1" applyFont="1" applyBorder="1" applyAlignment="1">
      <alignment horizontal="left" indent="2"/>
    </xf>
    <xf numFmtId="0" fontId="3" fillId="0" borderId="11" xfId="8" applyNumberFormat="1" applyFont="1" applyBorder="1" applyAlignment="1">
      <alignment horizontal="left" indent="2"/>
    </xf>
    <xf numFmtId="0" fontId="3" fillId="0" borderId="0" xfId="8" applyNumberFormat="1" applyFont="1" applyBorder="1" applyAlignment="1">
      <alignment horizontal="left" indent="2"/>
    </xf>
    <xf numFmtId="168" fontId="10" fillId="0" borderId="0" xfId="4" applyNumberFormat="1" applyFont="1"/>
    <xf numFmtId="37" fontId="3" fillId="0" borderId="42" xfId="8" applyNumberFormat="1" applyFont="1" applyBorder="1" applyAlignment="1"/>
    <xf numFmtId="37" fontId="15" fillId="0" borderId="0" xfId="8" applyNumberFormat="1" applyFont="1" applyAlignment="1"/>
    <xf numFmtId="2" fontId="3" fillId="0" borderId="0" xfId="8" applyNumberFormat="1" applyFont="1" applyAlignment="1">
      <alignment horizontal="right"/>
    </xf>
    <xf numFmtId="165" fontId="2" fillId="0" borderId="23" xfId="8" applyNumberFormat="1" applyFont="1" applyBorder="1" applyAlignment="1"/>
    <xf numFmtId="3" fontId="3" fillId="0" borderId="0" xfId="8" applyNumberFormat="1" applyFont="1" applyFill="1" applyBorder="1" applyAlignment="1"/>
    <xf numFmtId="2" fontId="3" fillId="0" borderId="0" xfId="8" applyNumberFormat="1" applyFont="1" applyBorder="1" applyAlignment="1">
      <alignment horizontal="right"/>
    </xf>
    <xf numFmtId="0" fontId="40" fillId="0" borderId="0" xfId="8"/>
    <xf numFmtId="169" fontId="3" fillId="0" borderId="14" xfId="1" applyNumberFormat="1" applyFont="1" applyFill="1" applyBorder="1" applyAlignment="1"/>
    <xf numFmtId="169" fontId="3" fillId="0" borderId="29" xfId="1" applyNumberFormat="1" applyFont="1" applyFill="1" applyBorder="1" applyAlignment="1"/>
    <xf numFmtId="169" fontId="3" fillId="0" borderId="14" xfId="8" applyNumberFormat="1" applyFont="1" applyFill="1" applyBorder="1" applyAlignment="1"/>
    <xf numFmtId="169" fontId="3" fillId="0" borderId="2" xfId="8" applyNumberFormat="1" applyFont="1" applyFill="1" applyBorder="1" applyAlignment="1"/>
    <xf numFmtId="169" fontId="3" fillId="0" borderId="1" xfId="8" applyNumberFormat="1" applyFont="1" applyBorder="1" applyAlignment="1"/>
    <xf numFmtId="0" fontId="11" fillId="0" borderId="0" xfId="8" applyFont="1"/>
    <xf numFmtId="0" fontId="39" fillId="0" borderId="0" xfId="0" applyFont="1" applyBorder="1" applyAlignment="1">
      <alignment vertical="top" wrapText="1"/>
    </xf>
    <xf numFmtId="0" fontId="40" fillId="0" borderId="0" xfId="8"/>
    <xf numFmtId="165" fontId="2" fillId="0" borderId="23" xfId="8" applyNumberFormat="1" applyFont="1" applyBorder="1" applyAlignment="1"/>
    <xf numFmtId="0" fontId="40" fillId="0" borderId="48" xfId="8" applyBorder="1" applyAlignment="1"/>
    <xf numFmtId="0" fontId="3" fillId="0" borderId="0" xfId="0" applyNumberFormat="1" applyFont="1" applyAlignment="1"/>
    <xf numFmtId="3" fontId="38" fillId="0" borderId="0" xfId="8" applyNumberFormat="1" applyFont="1" applyAlignment="1"/>
    <xf numFmtId="0" fontId="10" fillId="0" borderId="0" xfId="3" applyFont="1" applyBorder="1"/>
    <xf numFmtId="0" fontId="20" fillId="0" borderId="0" xfId="3" applyFont="1" applyBorder="1"/>
    <xf numFmtId="0" fontId="19" fillId="0" borderId="5" xfId="4" applyFont="1" applyBorder="1" applyAlignment="1">
      <alignment wrapText="1"/>
    </xf>
    <xf numFmtId="0" fontId="10" fillId="0" borderId="9" xfId="4" applyFont="1" applyBorder="1"/>
    <xf numFmtId="0" fontId="10" fillId="0" borderId="17" xfId="4" applyFont="1" applyBorder="1"/>
    <xf numFmtId="41" fontId="10" fillId="0" borderId="16" xfId="4" applyNumberFormat="1" applyFont="1" applyBorder="1" applyAlignment="1"/>
    <xf numFmtId="41" fontId="10" fillId="0" borderId="9" xfId="4" applyNumberFormat="1" applyFont="1" applyBorder="1" applyAlignment="1"/>
    <xf numFmtId="0" fontId="10" fillId="0" borderId="4" xfId="4" applyFont="1" applyBorder="1"/>
    <xf numFmtId="166" fontId="10" fillId="0" borderId="4" xfId="4" applyNumberFormat="1" applyFont="1" applyBorder="1"/>
    <xf numFmtId="0" fontId="10" fillId="0" borderId="10" xfId="0" applyFont="1" applyBorder="1" applyAlignment="1">
      <alignment wrapText="1"/>
    </xf>
    <xf numFmtId="6" fontId="10" fillId="0" borderId="2" xfId="4" applyNumberFormat="1" applyFont="1" applyBorder="1"/>
    <xf numFmtId="167" fontId="10" fillId="0" borderId="3" xfId="4" applyNumberFormat="1" applyFont="1" applyBorder="1"/>
    <xf numFmtId="165" fontId="23" fillId="0" borderId="76" xfId="0" applyNumberFormat="1" applyFont="1" applyBorder="1" applyAlignment="1">
      <alignment horizontal="centerContinuous"/>
    </xf>
    <xf numFmtId="0" fontId="3" fillId="0" borderId="48" xfId="0" applyFont="1" applyBorder="1" applyAlignment="1"/>
    <xf numFmtId="165" fontId="2" fillId="0" borderId="23" xfId="8" applyNumberFormat="1" applyFont="1" applyBorder="1" applyAlignment="1"/>
    <xf numFmtId="3" fontId="3" fillId="0" borderId="11" xfId="8" applyNumberFormat="1" applyFont="1" applyFill="1" applyBorder="1" applyAlignment="1"/>
    <xf numFmtId="169" fontId="3" fillId="0" borderId="76" xfId="8" applyNumberFormat="1" applyFont="1" applyFill="1" applyBorder="1" applyAlignment="1"/>
    <xf numFmtId="37" fontId="3" fillId="0" borderId="29" xfId="0" applyNumberFormat="1" applyFont="1" applyBorder="1" applyAlignment="1"/>
    <xf numFmtId="3" fontId="3" fillId="0" borderId="45" xfId="8" applyNumberFormat="1" applyFont="1" applyFill="1" applyBorder="1" applyAlignment="1"/>
    <xf numFmtId="3" fontId="3" fillId="0" borderId="46" xfId="8" applyNumberFormat="1" applyFont="1" applyFill="1" applyBorder="1" applyAlignment="1"/>
    <xf numFmtId="3" fontId="32" fillId="2" borderId="0" xfId="0" applyNumberFormat="1" applyFont="1" applyFill="1" applyBorder="1" applyAlignment="1"/>
    <xf numFmtId="3" fontId="8" fillId="0" borderId="14" xfId="0" applyNumberFormat="1" applyFont="1" applyFill="1" applyBorder="1" applyAlignment="1"/>
    <xf numFmtId="165" fontId="7" fillId="0" borderId="11" xfId="0" applyNumberFormat="1" applyFont="1" applyBorder="1" applyAlignment="1"/>
    <xf numFmtId="165" fontId="24" fillId="2" borderId="0" xfId="0" applyNumberFormat="1" applyFont="1" applyFill="1" applyBorder="1" applyAlignment="1">
      <alignment horizontal="left"/>
    </xf>
    <xf numFmtId="1" fontId="24" fillId="2" borderId="11" xfId="0" applyNumberFormat="1" applyFont="1" applyFill="1" applyBorder="1" applyAlignment="1"/>
    <xf numFmtId="37" fontId="24" fillId="2" borderId="0" xfId="0" applyNumberFormat="1" applyFont="1" applyFill="1" applyBorder="1" applyAlignment="1"/>
    <xf numFmtId="37" fontId="24" fillId="2" borderId="11" xfId="0" applyNumberFormat="1" applyFont="1" applyFill="1" applyBorder="1" applyAlignment="1"/>
    <xf numFmtId="37" fontId="24" fillId="2" borderId="76" xfId="0" applyNumberFormat="1" applyFont="1" applyFill="1" applyBorder="1" applyAlignment="1"/>
    <xf numFmtId="165" fontId="8" fillId="2" borderId="0" xfId="0" applyNumberFormat="1" applyFont="1" applyFill="1" applyBorder="1" applyAlignment="1">
      <alignment horizontal="left"/>
    </xf>
    <xf numFmtId="37" fontId="24" fillId="2" borderId="28" xfId="0" applyNumberFormat="1" applyFont="1" applyFill="1" applyBorder="1" applyAlignment="1"/>
    <xf numFmtId="37" fontId="3" fillId="0" borderId="48" xfId="0" applyNumberFormat="1" applyFont="1" applyBorder="1" applyAlignment="1"/>
    <xf numFmtId="37" fontId="3" fillId="0" borderId="47" xfId="0" applyNumberFormat="1" applyFont="1" applyBorder="1" applyAlignment="1"/>
    <xf numFmtId="37" fontId="15" fillId="0" borderId="3" xfId="0" applyNumberFormat="1" applyFont="1" applyBorder="1" applyAlignment="1"/>
    <xf numFmtId="0" fontId="10" fillId="0" borderId="14" xfId="8" applyNumberFormat="1" applyFont="1" applyBorder="1" applyAlignment="1"/>
    <xf numFmtId="37" fontId="19" fillId="0" borderId="20" xfId="8" applyNumberFormat="1" applyFont="1" applyBorder="1" applyAlignment="1">
      <alignment horizontal="center"/>
    </xf>
    <xf numFmtId="37" fontId="19" fillId="0" borderId="14" xfId="8" applyNumberFormat="1" applyFont="1" applyBorder="1" applyAlignment="1">
      <alignment horizontal="center"/>
    </xf>
    <xf numFmtId="37" fontId="19" fillId="0" borderId="14" xfId="8" applyNumberFormat="1" applyFont="1" applyBorder="1" applyAlignment="1"/>
    <xf numFmtId="3" fontId="19" fillId="0" borderId="15" xfId="8" applyNumberFormat="1" applyFont="1" applyBorder="1" applyAlignment="1"/>
    <xf numFmtId="37" fontId="19" fillId="0" borderId="28" xfId="8" applyNumberFormat="1" applyFont="1" applyBorder="1" applyAlignment="1">
      <alignment horizontal="center"/>
    </xf>
    <xf numFmtId="37" fontId="19" fillId="0" borderId="29" xfId="8" applyNumberFormat="1" applyFont="1" applyBorder="1" applyAlignment="1"/>
    <xf numFmtId="37" fontId="19" fillId="0" borderId="28" xfId="8" applyNumberFormat="1" applyFont="1" applyBorder="1" applyAlignment="1"/>
    <xf numFmtId="3" fontId="19" fillId="0" borderId="29" xfId="8" applyNumberFormat="1" applyFont="1" applyBorder="1" applyAlignment="1"/>
    <xf numFmtId="0" fontId="19" fillId="0" borderId="62" xfId="3" applyFont="1" applyBorder="1" applyAlignment="1">
      <alignment horizontal="left"/>
    </xf>
    <xf numFmtId="37" fontId="10" fillId="3" borderId="14" xfId="8" applyNumberFormat="1" applyFont="1" applyFill="1" applyBorder="1" applyAlignment="1">
      <alignment horizontal="center"/>
    </xf>
    <xf numFmtId="3" fontId="3" fillId="3" borderId="0" xfId="8" applyNumberFormat="1" applyFont="1" applyFill="1" applyAlignment="1"/>
    <xf numFmtId="0" fontId="28" fillId="0" borderId="16" xfId="3" applyFont="1" applyBorder="1"/>
    <xf numFmtId="0" fontId="19" fillId="0" borderId="11" xfId="3" applyFont="1" applyBorder="1"/>
    <xf numFmtId="0" fontId="20" fillId="0" borderId="11" xfId="3" applyFont="1" applyBorder="1"/>
    <xf numFmtId="37" fontId="8" fillId="0" borderId="28" xfId="0" applyNumberFormat="1" applyFont="1" applyFill="1" applyBorder="1" applyAlignment="1"/>
    <xf numFmtId="0" fontId="25" fillId="0" borderId="0" xfId="8" applyFont="1" applyFill="1" applyAlignment="1">
      <alignment vertical="top" wrapText="1"/>
    </xf>
    <xf numFmtId="0" fontId="19" fillId="0" borderId="14" xfId="8" applyNumberFormat="1" applyFont="1" applyBorder="1" applyAlignment="1"/>
    <xf numFmtId="0" fontId="10" fillId="0" borderId="14" xfId="8" applyNumberFormat="1" applyFont="1" applyBorder="1" applyAlignment="1"/>
    <xf numFmtId="0" fontId="10" fillId="0" borderId="34" xfId="8" applyNumberFormat="1" applyFont="1" applyBorder="1" applyAlignment="1"/>
    <xf numFmtId="165" fontId="3" fillId="0" borderId="0" xfId="8" applyNumberFormat="1" applyFont="1" applyFill="1" applyAlignment="1">
      <alignment horizontal="left" vertical="top" wrapText="1"/>
    </xf>
    <xf numFmtId="0" fontId="10" fillId="0" borderId="14" xfId="8" applyNumberFormat="1" applyFont="1" applyBorder="1" applyAlignment="1">
      <alignment horizontal="left"/>
    </xf>
    <xf numFmtId="0" fontId="10" fillId="0" borderId="15" xfId="8" applyNumberFormat="1" applyFont="1" applyBorder="1" applyAlignment="1">
      <alignment horizontal="left"/>
    </xf>
    <xf numFmtId="0" fontId="10" fillId="0" borderId="46" xfId="8" applyNumberFormat="1" applyFont="1" applyBorder="1" applyAlignment="1">
      <alignment horizontal="center"/>
    </xf>
    <xf numFmtId="0" fontId="10" fillId="0" borderId="47" xfId="8" applyNumberFormat="1" applyFont="1" applyBorder="1" applyAlignment="1">
      <alignment horizontal="center"/>
    </xf>
    <xf numFmtId="0" fontId="10" fillId="0" borderId="7" xfId="8" applyNumberFormat="1" applyFont="1" applyBorder="1" applyAlignment="1">
      <alignment horizontal="left"/>
    </xf>
    <xf numFmtId="0" fontId="10" fillId="0" borderId="8" xfId="8" applyNumberFormat="1" applyFont="1" applyBorder="1" applyAlignment="1">
      <alignment horizontal="left"/>
    </xf>
    <xf numFmtId="3" fontId="3" fillId="0" borderId="0" xfId="8" applyNumberFormat="1" applyFont="1" applyFill="1" applyAlignment="1">
      <alignment horizontal="left" vertical="top" wrapText="1"/>
    </xf>
    <xf numFmtId="165" fontId="3" fillId="0" borderId="0" xfId="8" applyNumberFormat="1" applyFont="1" applyFill="1" applyAlignment="1">
      <alignment horizontal="left" wrapText="1"/>
    </xf>
    <xf numFmtId="0" fontId="10" fillId="0" borderId="2" xfId="8" applyNumberFormat="1" applyFont="1" applyBorder="1" applyAlignment="1">
      <alignment horizontal="left"/>
    </xf>
    <xf numFmtId="0" fontId="10" fillId="0" borderId="3" xfId="8" applyNumberFormat="1" applyFont="1" applyBorder="1" applyAlignment="1">
      <alignment horizontal="left"/>
    </xf>
    <xf numFmtId="0" fontId="3" fillId="0" borderId="23" xfId="8" applyNumberFormat="1" applyFont="1" applyBorder="1" applyAlignment="1">
      <alignment horizontal="left" indent="4"/>
    </xf>
    <xf numFmtId="0" fontId="3" fillId="0" borderId="34" xfId="8" applyNumberFormat="1" applyFont="1" applyBorder="1" applyAlignment="1">
      <alignment horizontal="left" indent="4"/>
    </xf>
    <xf numFmtId="0" fontId="27" fillId="0" borderId="0" xfId="8" applyNumberFormat="1" applyFont="1" applyAlignment="1">
      <alignment horizontal="center"/>
    </xf>
    <xf numFmtId="0" fontId="40" fillId="0" borderId="0" xfId="8" applyNumberFormat="1" applyBorder="1" applyAlignment="1">
      <alignment horizontal="center"/>
    </xf>
    <xf numFmtId="0" fontId="15" fillId="0" borderId="16" xfId="8" applyNumberFormat="1" applyFont="1" applyBorder="1" applyAlignment="1"/>
    <xf numFmtId="0" fontId="40" fillId="0" borderId="17" xfId="8" applyNumberFormat="1" applyFont="1" applyBorder="1" applyAlignment="1"/>
    <xf numFmtId="0" fontId="40" fillId="0" borderId="11" xfId="8" applyNumberFormat="1" applyFont="1" applyBorder="1" applyAlignment="1"/>
    <xf numFmtId="0" fontId="40" fillId="0" borderId="0" xfId="8" applyNumberFormat="1" applyFont="1" applyBorder="1" applyAlignment="1"/>
    <xf numFmtId="0" fontId="40" fillId="0" borderId="19" xfId="8" applyNumberFormat="1" applyFont="1" applyBorder="1" applyAlignment="1"/>
    <xf numFmtId="0" fontId="40" fillId="0" borderId="18" xfId="8" applyNumberFormat="1" applyFont="1" applyBorder="1" applyAlignment="1"/>
    <xf numFmtId="0" fontId="3" fillId="0" borderId="16" xfId="8" applyNumberFormat="1" applyFont="1" applyBorder="1" applyAlignment="1">
      <alignment horizontal="center" vertical="center" wrapText="1"/>
    </xf>
    <xf numFmtId="0" fontId="40" fillId="0" borderId="17" xfId="8" applyNumberFormat="1" applyFont="1" applyBorder="1" applyAlignment="1">
      <alignment horizontal="center" vertical="center" wrapText="1"/>
    </xf>
    <xf numFmtId="0" fontId="40" fillId="0" borderId="9" xfId="8" applyNumberFormat="1" applyFont="1" applyBorder="1" applyAlignment="1">
      <alignment horizontal="center" vertical="center" wrapText="1"/>
    </xf>
    <xf numFmtId="0" fontId="40" fillId="0" borderId="4" xfId="8" applyNumberFormat="1" applyFont="1" applyBorder="1" applyAlignment="1">
      <alignment horizontal="center" vertical="center" wrapText="1"/>
    </xf>
    <xf numFmtId="0" fontId="40" fillId="0" borderId="2" xfId="8" applyNumberFormat="1" applyFont="1" applyBorder="1" applyAlignment="1">
      <alignment horizontal="center" vertical="center" wrapText="1"/>
    </xf>
    <xf numFmtId="0" fontId="40" fillId="0" borderId="3" xfId="8" applyNumberFormat="1" applyFont="1" applyBorder="1" applyAlignment="1">
      <alignment horizontal="center" vertical="center" wrapText="1"/>
    </xf>
    <xf numFmtId="0" fontId="40" fillId="0" borderId="17" xfId="8" applyNumberFormat="1" applyFont="1" applyBorder="1" applyAlignment="1">
      <alignment vertical="center"/>
    </xf>
    <xf numFmtId="0" fontId="40" fillId="0" borderId="9" xfId="8" applyNumberFormat="1" applyFont="1" applyBorder="1" applyAlignment="1">
      <alignment vertical="center"/>
    </xf>
    <xf numFmtId="0" fontId="40" fillId="0" borderId="4" xfId="8" applyNumberFormat="1" applyFont="1" applyBorder="1" applyAlignment="1">
      <alignment vertical="center"/>
    </xf>
    <xf numFmtId="0" fontId="40" fillId="0" borderId="2" xfId="8" applyNumberFormat="1" applyFont="1" applyBorder="1" applyAlignment="1">
      <alignment vertical="center"/>
    </xf>
    <xf numFmtId="0" fontId="40" fillId="0" borderId="3" xfId="8" applyNumberFormat="1" applyFont="1" applyBorder="1" applyAlignment="1">
      <alignment vertical="center"/>
    </xf>
    <xf numFmtId="0" fontId="40" fillId="0" borderId="17" xfId="8" applyNumberFormat="1" applyFont="1" applyBorder="1" applyAlignment="1">
      <alignment vertical="center" wrapText="1"/>
    </xf>
    <xf numFmtId="0" fontId="40" fillId="0" borderId="4" xfId="8" applyNumberFormat="1" applyFont="1" applyBorder="1" applyAlignment="1">
      <alignment vertical="center" wrapText="1"/>
    </xf>
    <xf numFmtId="0" fontId="40" fillId="0" borderId="2" xfId="8" applyNumberFormat="1" applyFont="1" applyBorder="1" applyAlignment="1">
      <alignment vertical="center" wrapText="1"/>
    </xf>
    <xf numFmtId="0" fontId="3" fillId="0" borderId="23" xfId="8" applyNumberFormat="1" applyFont="1" applyBorder="1" applyAlignment="1">
      <alignment horizontal="left" indent="2"/>
    </xf>
    <xf numFmtId="0" fontId="3" fillId="0" borderId="34" xfId="8" applyNumberFormat="1" applyFont="1" applyBorder="1" applyAlignment="1">
      <alignment horizontal="left" indent="2"/>
    </xf>
    <xf numFmtId="0" fontId="15" fillId="0" borderId="6" xfId="8" applyNumberFormat="1" applyFont="1" applyBorder="1" applyAlignment="1"/>
    <xf numFmtId="0" fontId="3" fillId="0" borderId="7" xfId="8" applyNumberFormat="1" applyFont="1" applyBorder="1" applyAlignment="1"/>
    <xf numFmtId="0" fontId="3" fillId="0" borderId="6" xfId="8" applyNumberFormat="1" applyFont="1" applyBorder="1" applyAlignment="1"/>
    <xf numFmtId="0" fontId="26" fillId="0" borderId="0" xfId="8" applyNumberFormat="1" applyFont="1" applyAlignment="1">
      <alignment horizontal="center"/>
    </xf>
    <xf numFmtId="0" fontId="40" fillId="0" borderId="0" xfId="8" applyNumberFormat="1" applyAlignment="1">
      <alignment horizontal="center"/>
    </xf>
    <xf numFmtId="0" fontId="40" fillId="0" borderId="0" xfId="8"/>
    <xf numFmtId="0" fontId="3" fillId="0" borderId="48" xfId="8" applyNumberFormat="1" applyFont="1" applyBorder="1" applyAlignment="1">
      <alignment horizontal="left" indent="4"/>
    </xf>
    <xf numFmtId="0" fontId="3" fillId="0" borderId="20" xfId="8" applyNumberFormat="1" applyFont="1" applyBorder="1" applyAlignment="1">
      <alignment horizontal="left" indent="4"/>
    </xf>
    <xf numFmtId="0" fontId="3" fillId="0" borderId="14" xfId="8" applyNumberFormat="1" applyFont="1" applyBorder="1" applyAlignment="1">
      <alignment horizontal="left" indent="4"/>
    </xf>
    <xf numFmtId="0" fontId="16" fillId="0" borderId="0" xfId="8" applyNumberFormat="1" applyFont="1" applyAlignment="1"/>
    <xf numFmtId="0" fontId="44" fillId="0" borderId="0" xfId="8" applyNumberFormat="1" applyFont="1" applyAlignment="1"/>
    <xf numFmtId="3" fontId="3" fillId="0" borderId="0" xfId="8" applyNumberFormat="1" applyFont="1" applyAlignment="1">
      <alignment horizontal="center"/>
    </xf>
    <xf numFmtId="3" fontId="10" fillId="0" borderId="0" xfId="8" applyNumberFormat="1" applyFont="1" applyAlignment="1">
      <alignment horizontal="center"/>
    </xf>
    <xf numFmtId="165" fontId="15" fillId="0" borderId="6" xfId="8" applyNumberFormat="1" applyFont="1" applyBorder="1" applyAlignment="1">
      <alignment horizontal="center"/>
    </xf>
    <xf numFmtId="165" fontId="15" fillId="0" borderId="7" xfId="8" applyNumberFormat="1" applyFont="1" applyBorder="1" applyAlignment="1">
      <alignment horizontal="center"/>
    </xf>
    <xf numFmtId="165" fontId="15" fillId="0" borderId="8" xfId="8" applyNumberFormat="1" applyFont="1" applyBorder="1" applyAlignment="1">
      <alignment horizontal="center"/>
    </xf>
    <xf numFmtId="165" fontId="15" fillId="0" borderId="5" xfId="8" applyNumberFormat="1" applyFont="1" applyBorder="1" applyAlignment="1">
      <alignment horizontal="center" wrapText="1"/>
    </xf>
    <xf numFmtId="0" fontId="40" fillId="0" borderId="61" xfId="8" applyBorder="1" applyAlignment="1">
      <alignment horizontal="center" wrapText="1"/>
    </xf>
    <xf numFmtId="165" fontId="15" fillId="0" borderId="5" xfId="8" applyNumberFormat="1" applyFont="1" applyBorder="1" applyAlignment="1">
      <alignment horizontal="center"/>
    </xf>
    <xf numFmtId="0" fontId="40" fillId="0" borderId="61" xfId="8" applyBorder="1" applyAlignment="1"/>
    <xf numFmtId="165" fontId="15" fillId="0" borderId="5" xfId="8" applyNumberFormat="1" applyFont="1" applyBorder="1" applyAlignment="1">
      <alignment horizontal="right"/>
    </xf>
    <xf numFmtId="3" fontId="27" fillId="0" borderId="0" xfId="8" applyNumberFormat="1" applyFont="1" applyAlignment="1">
      <alignment horizontal="center"/>
    </xf>
    <xf numFmtId="3" fontId="10" fillId="0" borderId="1" xfId="8" applyNumberFormat="1" applyFont="1" applyBorder="1" applyAlignment="1">
      <alignment horizontal="center"/>
    </xf>
    <xf numFmtId="3" fontId="10" fillId="0" borderId="18" xfId="8" applyNumberFormat="1" applyFont="1" applyBorder="1" applyAlignment="1">
      <alignment horizontal="center"/>
    </xf>
    <xf numFmtId="3" fontId="10" fillId="0" borderId="22" xfId="8" applyNumberFormat="1" applyFont="1" applyBorder="1" applyAlignment="1">
      <alignment horizontal="center"/>
    </xf>
    <xf numFmtId="0" fontId="15" fillId="0" borderId="39" xfId="8" applyNumberFormat="1" applyFont="1" applyBorder="1" applyAlignment="1"/>
    <xf numFmtId="0" fontId="3" fillId="0" borderId="40" xfId="8" applyNumberFormat="1" applyFont="1" applyBorder="1" applyAlignment="1"/>
    <xf numFmtId="0" fontId="3" fillId="0" borderId="75" xfId="8" applyNumberFormat="1" applyFont="1" applyBorder="1" applyAlignment="1"/>
    <xf numFmtId="0" fontId="3" fillId="0" borderId="74" xfId="8" applyNumberFormat="1" applyFont="1" applyBorder="1" applyAlignment="1"/>
    <xf numFmtId="0" fontId="15" fillId="0" borderId="60" xfId="8" applyNumberFormat="1" applyFont="1" applyBorder="1" applyAlignment="1">
      <alignment horizontal="left" indent="2"/>
    </xf>
    <xf numFmtId="0" fontId="3" fillId="0" borderId="59" xfId="8" applyNumberFormat="1" applyFont="1" applyBorder="1" applyAlignment="1">
      <alignment horizontal="left" indent="2"/>
    </xf>
    <xf numFmtId="0" fontId="3" fillId="0" borderId="72" xfId="8" applyNumberFormat="1" applyFont="1" applyBorder="1" applyAlignment="1"/>
    <xf numFmtId="0" fontId="3" fillId="0" borderId="71" xfId="8" applyNumberFormat="1" applyFont="1" applyBorder="1" applyAlignment="1"/>
    <xf numFmtId="0" fontId="15" fillId="0" borderId="23" xfId="8" applyNumberFormat="1" applyFont="1" applyBorder="1" applyAlignment="1">
      <alignment horizontal="left"/>
    </xf>
    <xf numFmtId="0" fontId="15" fillId="0" borderId="34" xfId="8" applyNumberFormat="1" applyFont="1" applyBorder="1" applyAlignment="1">
      <alignment horizontal="left"/>
    </xf>
    <xf numFmtId="0" fontId="15" fillId="0" borderId="48" xfId="8" applyNumberFormat="1" applyFont="1" applyBorder="1" applyAlignment="1">
      <alignment horizontal="left"/>
    </xf>
    <xf numFmtId="0" fontId="3" fillId="0" borderId="23" xfId="8" applyNumberFormat="1" applyFont="1" applyBorder="1" applyAlignment="1"/>
    <xf numFmtId="0" fontId="3" fillId="0" borderId="34" xfId="8" applyNumberFormat="1" applyFont="1" applyBorder="1" applyAlignment="1"/>
    <xf numFmtId="0" fontId="19" fillId="0" borderId="4" xfId="4" applyFont="1" applyFill="1" applyBorder="1" applyAlignment="1">
      <alignment horizontal="center"/>
    </xf>
    <xf numFmtId="0" fontId="19" fillId="0" borderId="3" xfId="4" applyFont="1" applyFill="1" applyBorder="1" applyAlignment="1">
      <alignment horizontal="center"/>
    </xf>
    <xf numFmtId="0" fontId="19" fillId="0" borderId="17" xfId="4" applyFont="1" applyFill="1" applyBorder="1" applyAlignment="1"/>
    <xf numFmtId="0" fontId="10" fillId="0" borderId="2" xfId="4" applyFont="1" applyFill="1" applyBorder="1" applyAlignment="1"/>
    <xf numFmtId="0" fontId="19" fillId="0" borderId="5" xfId="4" applyFont="1" applyFill="1" applyBorder="1" applyAlignment="1"/>
    <xf numFmtId="0" fontId="10" fillId="0" borderId="10" xfId="4" applyFont="1" applyFill="1" applyBorder="1" applyAlignment="1"/>
    <xf numFmtId="165" fontId="2" fillId="0" borderId="23" xfId="0" applyNumberFormat="1" applyFont="1" applyBorder="1" applyAlignment="1"/>
    <xf numFmtId="0" fontId="0" fillId="0" borderId="48" xfId="0" applyBorder="1"/>
    <xf numFmtId="0" fontId="38" fillId="0" borderId="0" xfId="0" applyFont="1" applyBorder="1" applyAlignment="1">
      <alignment vertical="top" wrapText="1"/>
    </xf>
    <xf numFmtId="0" fontId="39" fillId="0" borderId="0" xfId="0" applyFont="1" applyBorder="1" applyAlignment="1">
      <alignment vertical="top" wrapText="1"/>
    </xf>
    <xf numFmtId="165" fontId="2" fillId="0" borderId="23" xfId="8" applyNumberFormat="1" applyFont="1" applyBorder="1" applyAlignment="1"/>
    <xf numFmtId="0" fontId="40" fillId="0" borderId="48" xfId="8" applyBorder="1" applyAlignment="1"/>
    <xf numFmtId="165" fontId="15" fillId="0" borderId="4" xfId="8" applyNumberFormat="1" applyFont="1" applyBorder="1" applyAlignment="1">
      <alignment horizontal="left" indent="3"/>
    </xf>
    <xf numFmtId="0" fontId="15" fillId="0" borderId="3" xfId="8" applyFont="1" applyBorder="1" applyAlignment="1">
      <alignment horizontal="left" indent="3"/>
    </xf>
    <xf numFmtId="165" fontId="3" fillId="0" borderId="6" xfId="8" applyNumberFormat="1" applyFont="1" applyBorder="1" applyAlignment="1"/>
    <xf numFmtId="0" fontId="3" fillId="0" borderId="8" xfId="8" applyFont="1" applyBorder="1" applyAlignment="1"/>
    <xf numFmtId="165" fontId="15" fillId="0" borderId="16" xfId="8" applyNumberFormat="1" applyFont="1" applyBorder="1" applyAlignment="1">
      <alignment horizontal="center" wrapText="1"/>
    </xf>
    <xf numFmtId="0" fontId="15" fillId="0" borderId="17" xfId="8" applyFont="1" applyBorder="1" applyAlignment="1">
      <alignment horizontal="center" wrapText="1"/>
    </xf>
    <xf numFmtId="0" fontId="15" fillId="0" borderId="9" xfId="8" applyFont="1" applyBorder="1" applyAlignment="1">
      <alignment horizontal="center" wrapText="1"/>
    </xf>
    <xf numFmtId="0" fontId="15" fillId="0" borderId="11" xfId="8" applyFont="1" applyBorder="1" applyAlignment="1">
      <alignment horizontal="center" wrapText="1"/>
    </xf>
    <xf numFmtId="0" fontId="15" fillId="0" borderId="0" xfId="8" applyFont="1" applyBorder="1" applyAlignment="1">
      <alignment horizontal="center" wrapText="1"/>
    </xf>
    <xf numFmtId="0" fontId="15" fillId="0" borderId="1" xfId="8" applyFont="1" applyBorder="1" applyAlignment="1">
      <alignment horizontal="center" wrapText="1"/>
    </xf>
    <xf numFmtId="165" fontId="15" fillId="0" borderId="16" xfId="8" applyNumberFormat="1" applyFont="1" applyBorder="1" applyAlignment="1">
      <alignment horizontal="center"/>
    </xf>
    <xf numFmtId="0" fontId="15" fillId="0" borderId="17" xfId="8" applyFont="1" applyBorder="1" applyAlignment="1"/>
    <xf numFmtId="0" fontId="15" fillId="0" borderId="9" xfId="8" applyFont="1" applyBorder="1" applyAlignment="1"/>
    <xf numFmtId="0" fontId="15" fillId="0" borderId="11" xfId="8" applyFont="1" applyBorder="1" applyAlignment="1"/>
    <xf numFmtId="0" fontId="15" fillId="0" borderId="0" xfId="8" applyFont="1" applyBorder="1" applyAlignment="1"/>
    <xf numFmtId="0" fontId="15" fillId="0" borderId="1" xfId="8" applyFont="1" applyBorder="1" applyAlignment="1"/>
    <xf numFmtId="3" fontId="16" fillId="0" borderId="0" xfId="8" applyNumberFormat="1" applyFont="1" applyBorder="1" applyAlignment="1"/>
    <xf numFmtId="0" fontId="16" fillId="0" borderId="0" xfId="8" applyFont="1" applyBorder="1" applyAlignment="1"/>
    <xf numFmtId="165" fontId="11" fillId="0" borderId="0" xfId="8" applyNumberFormat="1" applyFont="1" applyAlignment="1">
      <alignment horizontal="center"/>
    </xf>
    <xf numFmtId="0" fontId="11" fillId="0" borderId="0" xfId="8" applyFont="1" applyAlignment="1">
      <alignment horizontal="center"/>
    </xf>
    <xf numFmtId="165" fontId="3" fillId="0" borderId="0" xfId="8" applyNumberFormat="1" applyFont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0" xfId="8" applyFont="1" applyAlignment="1">
      <alignment horizontal="center"/>
    </xf>
    <xf numFmtId="165" fontId="10" fillId="0" borderId="0" xfId="8" applyNumberFormat="1" applyFont="1" applyAlignment="1">
      <alignment horizontal="center"/>
    </xf>
    <xf numFmtId="0" fontId="10" fillId="0" borderId="0" xfId="8" applyFont="1" applyBorder="1" applyAlignment="1">
      <alignment horizontal="center"/>
    </xf>
    <xf numFmtId="165" fontId="3" fillId="0" borderId="30" xfId="8" applyNumberFormat="1" applyFont="1" applyBorder="1" applyAlignment="1"/>
    <xf numFmtId="0" fontId="3" fillId="0" borderId="31" xfId="8" applyFont="1" applyBorder="1" applyAlignment="1"/>
    <xf numFmtId="165" fontId="3" fillId="0" borderId="23" xfId="8" applyNumberFormat="1" applyFont="1" applyBorder="1" applyAlignment="1">
      <alignment horizontal="left" indent="3"/>
    </xf>
    <xf numFmtId="0" fontId="3" fillId="0" borderId="48" xfId="8" applyFont="1" applyBorder="1" applyAlignment="1">
      <alignment horizontal="left" indent="3"/>
    </xf>
    <xf numFmtId="165" fontId="3" fillId="0" borderId="27" xfId="8" applyNumberFormat="1" applyFont="1" applyBorder="1" applyAlignment="1">
      <alignment horizontal="left" indent="3"/>
    </xf>
    <xf numFmtId="0" fontId="3" fillId="0" borderId="29" xfId="8" applyFont="1" applyBorder="1" applyAlignment="1">
      <alignment horizontal="left" indent="3"/>
    </xf>
    <xf numFmtId="165" fontId="24" fillId="2" borderId="6" xfId="0" applyNumberFormat="1" applyFont="1" applyFill="1" applyBorder="1" applyAlignment="1">
      <alignment horizontal="center" wrapText="1"/>
    </xf>
    <xf numFmtId="165" fontId="24" fillId="2" borderId="7" xfId="0" applyNumberFormat="1" applyFont="1" applyFill="1" applyBorder="1" applyAlignment="1">
      <alignment horizontal="center" wrapText="1"/>
    </xf>
    <xf numFmtId="165" fontId="24" fillId="2" borderId="8" xfId="0" applyNumberFormat="1" applyFont="1" applyFill="1" applyBorder="1" applyAlignment="1">
      <alignment horizontal="center" wrapText="1"/>
    </xf>
    <xf numFmtId="165" fontId="8" fillId="2" borderId="14" xfId="0" applyNumberFormat="1" applyFont="1" applyFill="1" applyBorder="1" applyAlignment="1">
      <alignment horizontal="center"/>
    </xf>
    <xf numFmtId="165" fontId="8" fillId="2" borderId="15" xfId="0" applyNumberFormat="1" applyFont="1" applyFill="1" applyBorder="1" applyAlignment="1">
      <alignment horizontal="center"/>
    </xf>
  </cellXfs>
  <cellStyles count="12">
    <cellStyle name="Comma" xfId="1" builtinId="3"/>
    <cellStyle name="Comma 2" xfId="5"/>
    <cellStyle name="Comma 3" xfId="6"/>
    <cellStyle name="Currency" xfId="2" builtinId="4"/>
    <cellStyle name="Currency 2" xfId="7"/>
    <cellStyle name="Normal" xfId="0" builtinId="0"/>
    <cellStyle name="Normal 2" xfId="8"/>
    <cellStyle name="Normal 3" xfId="9"/>
    <cellStyle name="Normal_Improve by DU" xfId="3"/>
    <cellStyle name="Normal_Rsrcs_X_ DOJ Goal  Obj" xfId="4"/>
    <cellStyle name="Percent 2" xfId="10"/>
    <cellStyle name="Percent 2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</xdr:row>
      <xdr:rowOff>95250</xdr:rowOff>
    </xdr:from>
    <xdr:to>
      <xdr:col>10</xdr:col>
      <xdr:colOff>685800</xdr:colOff>
      <xdr:row>27</xdr:row>
      <xdr:rowOff>123825</xdr:rowOff>
    </xdr:to>
    <xdr:pic>
      <xdr:nvPicPr>
        <xdr:cNvPr id="2" name="Picture 1" descr="OVW Org Chart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523875"/>
          <a:ext cx="7620000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debjones\Temporary%20Internet%20Files\OLKD\2006%20Perf%20Budget%20Cong%20Submission%20Exhibits%20Template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Formulation\FY%202011\Congressional%20Submission%20-%20CJ\Draft%20Submission\FY11%20OVW%20-%20CJ%20Submission%20508%20Compliant%20-%20Grants%20Exhibit%20_CT_01.07.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ormulation/FY%202011/Congressional%20Submission%20-%20CJ/FINAL%20SUBMISSION/FY11%20OVW%20-%20Grants%20Exhibits_Final.01.26.1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Formulation\FY%202011\OMB%20Submission\FY11%20OVW%20Grant%20Perf%20Budget%20OMB%20Sub%208-24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Formulation\FY%202012\Spring%20Call\2012%20Reconsideration%20%20per%20DAG\Final%20Docs%20submitted%206.22.10\FY12%20OVW%20-%20Grants%20Exhibits.6.22.10.final.xl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Org Chart"/>
      <sheetName val="Approp Lang"/>
      <sheetName val="Sum of Req"/>
      <sheetName val="Increases Offsets"/>
      <sheetName val="Strat Goal &amp; Obj"/>
      <sheetName val="ATB Justification"/>
      <sheetName val="2004 XWalk"/>
      <sheetName val="2005 XWalk"/>
      <sheetName val="Reimb Resources"/>
      <sheetName val="Perm Positions"/>
      <sheetName val="Summ Atty Agt"/>
      <sheetName val="Financial Analysis"/>
      <sheetName val="Sum by Grade"/>
      <sheetName val="Sum by OC"/>
      <sheetName val="Cong Reports"/>
      <sheetName val="P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(A) Org Chart "/>
      <sheetName val="(B) Sum of Req "/>
      <sheetName val="(C) Increases Offsets"/>
      <sheetName val="(D) Strat Goal &amp; Obj"/>
      <sheetName val="(E) ATB Justification"/>
      <sheetName val="(F) 2009 XWalk"/>
      <sheetName val="(J) Financial Analysis"/>
      <sheetName val="(L) Sum by OC"/>
    </sheetNames>
    <sheetDataSet>
      <sheetData sheetId="0" refreshError="1"/>
      <sheetData sheetId="1">
        <row r="5">
          <cell r="A5" t="str">
            <v>Office on Violence Against Women</v>
          </cell>
        </row>
        <row r="6">
          <cell r="A6" t="str">
            <v>Grant Programs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(A) Org Chart"/>
      <sheetName val="(B) Sum of Req "/>
      <sheetName val="(C) Increases Offsets"/>
      <sheetName val="(D) Strat Goal &amp; Obj"/>
      <sheetName val="(E) ATB Justification"/>
      <sheetName val="(F) 2009 Crosswalk"/>
      <sheetName val="G. 2010 Crosswalk"/>
      <sheetName val="(J) Financial Analysis"/>
      <sheetName val="(L) Sum by OC"/>
    </sheetNames>
    <sheetDataSet>
      <sheetData sheetId="0"/>
      <sheetData sheetId="1"/>
      <sheetData sheetId="2"/>
      <sheetData sheetId="3"/>
      <sheetData sheetId="4">
        <row r="4">
          <cell r="A4" t="str">
            <v>Office on Violence Against Women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(A) Org Chart"/>
      <sheetName val="(B) Sum of Req "/>
      <sheetName val="(C) Increases Offsets"/>
      <sheetName val="(D) Strat Goal &amp; Obj"/>
      <sheetName val="(E) ATB Justification"/>
      <sheetName val="(F) 2009 XWalk"/>
      <sheetName val="(G) 2010 XWalk"/>
      <sheetName val="(H) Reimb Resources"/>
      <sheetName val="(I) Perm Positions"/>
      <sheetName val="(J) Financial Analysis"/>
      <sheetName val="(K) Sum by Grade"/>
      <sheetName val="(L) Sum by OC"/>
      <sheetName val="(M) Studies"/>
    </sheetNames>
    <sheetDataSet>
      <sheetData sheetId="0"/>
      <sheetData sheetId="1">
        <row r="6">
          <cell r="A6" t="str">
            <v>Grant Programs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A) Org Chart"/>
      <sheetName val="(B) Sum of Req "/>
      <sheetName val="(C) Increases Offsets"/>
      <sheetName val="(D) Strat Goal &amp; Obj"/>
      <sheetName val="(F) 2010 Crosswalk"/>
      <sheetName val="(G) 2011 XWalk"/>
      <sheetName val="(J) Financial Analysis"/>
      <sheetName val="(L) Sum by OC"/>
    </sheetNames>
    <sheetDataSet>
      <sheetData sheetId="0"/>
      <sheetData sheetId="1">
        <row r="5">
          <cell r="A5" t="str">
            <v>Office on Violence Against Women</v>
          </cell>
        </row>
        <row r="6">
          <cell r="A6" t="str">
            <v>Grant Programs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view="pageBreakPreview" zoomScale="60" zoomScaleNormal="100" workbookViewId="0">
      <selection activeCell="U35" sqref="U35"/>
    </sheetView>
  </sheetViews>
  <sheetFormatPr defaultRowHeight="15"/>
  <cols>
    <col min="1" max="16384" width="8.88671875" style="490"/>
  </cols>
  <sheetData>
    <row r="1" spans="1:1" ht="18.75">
      <c r="A1" s="496" t="s">
        <v>133</v>
      </c>
    </row>
  </sheetData>
  <printOptions horizontalCentered="1"/>
  <pageMargins left="0.75" right="0.75" top="1" bottom="1" header="0.5" footer="0.5"/>
  <pageSetup scale="81" orientation="landscape" r:id="rId1"/>
  <headerFooter alignWithMargins="0">
    <oddFooter>&amp;C&amp;"Times New Roman,Regular"Exhibit A - Organizational Chart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19"/>
  <sheetViews>
    <sheetView showGridLines="0" showOutlineSymbols="0" view="pageBreakPreview" zoomScale="65" zoomScaleNormal="100" zoomScaleSheetLayoutView="65" workbookViewId="0">
      <selection activeCell="A5" sqref="A5:X5"/>
    </sheetView>
  </sheetViews>
  <sheetFormatPr defaultColWidth="8.88671875" defaultRowHeight="15.75"/>
  <cols>
    <col min="1" max="2" width="2.5546875" style="392" customWidth="1"/>
    <col min="3" max="3" width="30.5546875" style="392" customWidth="1"/>
    <col min="4" max="4" width="6.88671875" style="350" customWidth="1"/>
    <col min="5" max="5" width="6.21875" style="350" customWidth="1"/>
    <col min="6" max="6" width="10.21875" style="350" customWidth="1"/>
    <col min="7" max="7" width="8.44140625" style="350" bestFit="1" customWidth="1"/>
    <col min="8" max="8" width="6.21875" style="350" customWidth="1"/>
    <col min="9" max="9" width="9.77734375" style="350" customWidth="1"/>
    <col min="10" max="10" width="6.21875" style="350" bestFit="1" customWidth="1"/>
    <col min="11" max="11" width="5.6640625" style="350" customWidth="1"/>
    <col min="12" max="12" width="9.33203125" style="350" bestFit="1" customWidth="1"/>
    <col min="13" max="13" width="7" style="350" bestFit="1" customWidth="1"/>
    <col min="14" max="14" width="6.109375" style="350" customWidth="1"/>
    <col min="15" max="15" width="9.77734375" style="350" customWidth="1"/>
    <col min="16" max="17" width="5.6640625" style="350" customWidth="1"/>
    <col min="18" max="18" width="8.5546875" style="350" customWidth="1"/>
    <col min="19" max="19" width="6.109375" style="350" customWidth="1"/>
    <col min="20" max="20" width="5.6640625" style="350" customWidth="1"/>
    <col min="21" max="21" width="9.6640625" style="350" bestFit="1" customWidth="1"/>
    <col min="22" max="22" width="9.5546875" style="350" customWidth="1"/>
    <col min="23" max="23" width="9.77734375" style="350" bestFit="1" customWidth="1"/>
    <col min="24" max="24" width="13.21875" style="350" bestFit="1" customWidth="1"/>
    <col min="25" max="25" width="6.5546875" style="393" customWidth="1"/>
    <col min="26" max="26" width="7.6640625" style="392" customWidth="1"/>
    <col min="27" max="16384" width="8.88671875" style="392"/>
  </cols>
  <sheetData>
    <row r="1" spans="1:25" ht="20.25">
      <c r="A1" s="602" t="s">
        <v>240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400" t="s">
        <v>155</v>
      </c>
    </row>
    <row r="2" spans="1:25">
      <c r="A2" s="604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400" t="s">
        <v>155</v>
      </c>
    </row>
    <row r="3" spans="1:25">
      <c r="A3" s="605"/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400" t="s">
        <v>155</v>
      </c>
    </row>
    <row r="4" spans="1:25" ht="22.5">
      <c r="A4" s="596" t="s">
        <v>78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  <c r="Y4" s="400" t="s">
        <v>155</v>
      </c>
    </row>
    <row r="5" spans="1:25" ht="23.25">
      <c r="A5" s="569" t="s">
        <v>0</v>
      </c>
      <c r="B5" s="570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0"/>
      <c r="Q5" s="570"/>
      <c r="R5" s="570"/>
      <c r="S5" s="570"/>
      <c r="T5" s="570"/>
      <c r="U5" s="570"/>
      <c r="V5" s="570"/>
      <c r="W5" s="570"/>
      <c r="X5" s="570"/>
      <c r="Y5" s="400" t="s">
        <v>155</v>
      </c>
    </row>
    <row r="6" spans="1:25" ht="23.25">
      <c r="A6" s="569" t="s">
        <v>248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400" t="s">
        <v>155</v>
      </c>
    </row>
    <row r="7" spans="1:25" ht="23.25">
      <c r="A7" s="569" t="s">
        <v>70</v>
      </c>
      <c r="B7" s="570"/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400" t="s">
        <v>155</v>
      </c>
    </row>
    <row r="8" spans="1:25" ht="23.25">
      <c r="A8" s="614"/>
      <c r="B8" s="614"/>
      <c r="C8" s="614"/>
      <c r="D8" s="614"/>
      <c r="E8" s="614"/>
      <c r="F8" s="614"/>
      <c r="G8" s="614"/>
      <c r="H8" s="614"/>
      <c r="I8" s="614"/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400" t="s">
        <v>155</v>
      </c>
    </row>
    <row r="9" spans="1:25" ht="23.25">
      <c r="A9" s="614"/>
      <c r="B9" s="614"/>
      <c r="C9" s="614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614"/>
      <c r="T9" s="614"/>
      <c r="U9" s="614"/>
      <c r="V9" s="614"/>
      <c r="W9" s="614"/>
      <c r="X9" s="614"/>
      <c r="Y9" s="400" t="s">
        <v>155</v>
      </c>
    </row>
    <row r="10" spans="1:25" ht="23.25">
      <c r="A10" s="614"/>
      <c r="B10" s="614"/>
      <c r="C10" s="614"/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614"/>
      <c r="T10" s="614"/>
      <c r="U10" s="614"/>
      <c r="V10" s="614"/>
      <c r="W10" s="614"/>
      <c r="X10" s="614"/>
      <c r="Y10" s="400" t="s">
        <v>155</v>
      </c>
    </row>
    <row r="11" spans="1:25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15"/>
      <c r="V11" s="606" t="s">
        <v>190</v>
      </c>
      <c r="W11" s="607"/>
      <c r="X11" s="608"/>
      <c r="Y11" s="400" t="s">
        <v>155</v>
      </c>
    </row>
    <row r="12" spans="1:25">
      <c r="A12" s="605"/>
      <c r="B12" s="605"/>
      <c r="C12" s="605"/>
      <c r="D12" s="605"/>
      <c r="E12" s="605"/>
      <c r="F12" s="605"/>
      <c r="G12" s="605"/>
      <c r="H12" s="605"/>
      <c r="I12" s="605"/>
      <c r="J12" s="605"/>
      <c r="K12" s="605"/>
      <c r="L12" s="605"/>
      <c r="M12" s="605"/>
      <c r="N12" s="605"/>
      <c r="O12" s="605"/>
      <c r="P12" s="605"/>
      <c r="Q12" s="605"/>
      <c r="R12" s="605"/>
      <c r="S12" s="605"/>
      <c r="T12" s="605"/>
      <c r="U12" s="615"/>
      <c r="V12" s="609" t="s">
        <v>162</v>
      </c>
      <c r="W12" s="611" t="s">
        <v>31</v>
      </c>
      <c r="X12" s="613" t="s">
        <v>87</v>
      </c>
      <c r="Y12" s="400" t="s">
        <v>155</v>
      </c>
    </row>
    <row r="13" spans="1:25" ht="16.5" thickBot="1">
      <c r="A13" s="616"/>
      <c r="B13" s="616"/>
      <c r="C13" s="616"/>
      <c r="D13" s="616"/>
      <c r="E13" s="616"/>
      <c r="F13" s="616"/>
      <c r="G13" s="616"/>
      <c r="H13" s="616"/>
      <c r="I13" s="616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7"/>
      <c r="V13" s="610"/>
      <c r="W13" s="612"/>
      <c r="X13" s="612"/>
      <c r="Y13" s="400" t="s">
        <v>155</v>
      </c>
    </row>
    <row r="14" spans="1:25">
      <c r="A14" s="618" t="s">
        <v>239</v>
      </c>
      <c r="B14" s="619"/>
      <c r="C14" s="619"/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428">
        <v>0</v>
      </c>
      <c r="W14" s="428">
        <v>0</v>
      </c>
      <c r="X14" s="427">
        <v>417663</v>
      </c>
      <c r="Y14" s="400" t="s">
        <v>155</v>
      </c>
    </row>
    <row r="15" spans="1:25">
      <c r="A15" s="618" t="s">
        <v>238</v>
      </c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426"/>
      <c r="W15" s="426"/>
      <c r="X15" s="425">
        <v>412500</v>
      </c>
      <c r="Y15" s="400" t="s">
        <v>155</v>
      </c>
    </row>
    <row r="16" spans="1:25" ht="18.75" customHeight="1">
      <c r="A16" s="620" t="s">
        <v>210</v>
      </c>
      <c r="B16" s="621"/>
      <c r="C16" s="621"/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424"/>
      <c r="W16" s="424"/>
      <c r="X16" s="484">
        <v>-15000</v>
      </c>
      <c r="Y16" s="400" t="s">
        <v>155</v>
      </c>
    </row>
    <row r="17" spans="1:25">
      <c r="A17" s="622" t="s">
        <v>211</v>
      </c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3"/>
      <c r="P17" s="623"/>
      <c r="Q17" s="623"/>
      <c r="R17" s="623"/>
      <c r="S17" s="623"/>
      <c r="T17" s="623"/>
      <c r="U17" s="623"/>
      <c r="V17" s="423">
        <f>+V16+V15</f>
        <v>0</v>
      </c>
      <c r="W17" s="423">
        <f>+W16+W15</f>
        <v>0</v>
      </c>
      <c r="X17" s="422">
        <f>+X16+X15</f>
        <v>397500</v>
      </c>
      <c r="Y17" s="400" t="s">
        <v>155</v>
      </c>
    </row>
    <row r="18" spans="1:25">
      <c r="A18" s="624" t="s">
        <v>59</v>
      </c>
      <c r="B18" s="625"/>
      <c r="C18" s="625"/>
      <c r="D18" s="625"/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5"/>
      <c r="P18" s="625"/>
      <c r="Q18" s="625"/>
      <c r="R18" s="625"/>
      <c r="S18" s="625"/>
      <c r="T18" s="625"/>
      <c r="U18" s="625"/>
      <c r="V18" s="419"/>
      <c r="W18" s="419"/>
      <c r="X18" s="401"/>
      <c r="Y18" s="400" t="s">
        <v>155</v>
      </c>
    </row>
    <row r="19" spans="1:25">
      <c r="A19" s="406"/>
      <c r="B19" s="405" t="s">
        <v>251</v>
      </c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19">
        <v>0</v>
      </c>
      <c r="W19" s="419">
        <v>0</v>
      </c>
      <c r="X19" s="401">
        <v>15000</v>
      </c>
      <c r="Y19" s="400"/>
    </row>
    <row r="20" spans="1:25">
      <c r="A20" s="567" t="s">
        <v>252</v>
      </c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419">
        <f>SUM(V18:V19)</f>
        <v>0</v>
      </c>
      <c r="W20" s="419">
        <f t="shared" ref="W20:X20" si="0">SUM(W18:W19)</f>
        <v>0</v>
      </c>
      <c r="X20" s="419">
        <f t="shared" si="0"/>
        <v>15000</v>
      </c>
      <c r="Y20" s="400" t="s">
        <v>155</v>
      </c>
    </row>
    <row r="21" spans="1:25">
      <c r="A21" s="418"/>
      <c r="B21" s="478"/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8"/>
      <c r="Q21" s="478"/>
      <c r="R21" s="478"/>
      <c r="S21" s="478"/>
      <c r="T21" s="478"/>
      <c r="U21" s="478"/>
      <c r="V21" s="419"/>
      <c r="W21" s="419"/>
      <c r="X21" s="419"/>
      <c r="Y21" s="400"/>
    </row>
    <row r="22" spans="1:25">
      <c r="A22" s="591" t="s">
        <v>26</v>
      </c>
      <c r="B22" s="592"/>
      <c r="C22" s="592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419">
        <f>SUM(V20)</f>
        <v>0</v>
      </c>
      <c r="W22" s="419">
        <f t="shared" ref="W22:X22" si="1">SUM(W20)</f>
        <v>0</v>
      </c>
      <c r="X22" s="419">
        <f t="shared" si="1"/>
        <v>15000</v>
      </c>
      <c r="Y22" s="400" t="s">
        <v>155</v>
      </c>
    </row>
    <row r="23" spans="1:25">
      <c r="A23" s="474"/>
      <c r="B23" s="480"/>
      <c r="C23" s="480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0"/>
      <c r="Q23" s="480"/>
      <c r="R23" s="480"/>
      <c r="S23" s="480"/>
      <c r="T23" s="480"/>
      <c r="U23" s="480"/>
      <c r="V23" s="419"/>
      <c r="W23" s="419"/>
      <c r="X23" s="419"/>
      <c r="Y23" s="400"/>
    </row>
    <row r="24" spans="1:25">
      <c r="A24" s="626" t="s">
        <v>204</v>
      </c>
      <c r="B24" s="627"/>
      <c r="C24" s="627"/>
      <c r="D24" s="627"/>
      <c r="E24" s="627"/>
      <c r="F24" s="627"/>
      <c r="G24" s="627"/>
      <c r="H24" s="627"/>
      <c r="I24" s="627"/>
      <c r="J24" s="627"/>
      <c r="K24" s="627"/>
      <c r="L24" s="627"/>
      <c r="M24" s="627"/>
      <c r="N24" s="627"/>
      <c r="O24" s="627"/>
      <c r="P24" s="627"/>
      <c r="Q24" s="627"/>
      <c r="R24" s="627"/>
      <c r="S24" s="627"/>
      <c r="T24" s="627"/>
      <c r="U24" s="628"/>
      <c r="V24" s="421">
        <f>+V22+V17</f>
        <v>0</v>
      </c>
      <c r="W24" s="421">
        <f>+W22+W17</f>
        <v>0</v>
      </c>
      <c r="X24" s="421">
        <f>+X17+X22</f>
        <v>412500</v>
      </c>
      <c r="Y24" s="400" t="s">
        <v>155</v>
      </c>
    </row>
    <row r="25" spans="1:25">
      <c r="A25" s="629" t="s">
        <v>60</v>
      </c>
      <c r="B25" s="630"/>
      <c r="C25" s="630"/>
      <c r="D25" s="630"/>
      <c r="E25" s="630"/>
      <c r="F25" s="630"/>
      <c r="G25" s="630"/>
      <c r="H25" s="630"/>
      <c r="I25" s="630"/>
      <c r="J25" s="630"/>
      <c r="K25" s="630"/>
      <c r="L25" s="630"/>
      <c r="M25" s="630"/>
      <c r="N25" s="630"/>
      <c r="O25" s="630"/>
      <c r="P25" s="630"/>
      <c r="Q25" s="630"/>
      <c r="R25" s="630"/>
      <c r="S25" s="630"/>
      <c r="T25" s="630"/>
      <c r="U25" s="630"/>
      <c r="V25" s="419"/>
      <c r="W25" s="419"/>
      <c r="X25" s="401"/>
      <c r="Y25" s="400" t="s">
        <v>155</v>
      </c>
    </row>
    <row r="26" spans="1:25">
      <c r="A26" s="591" t="s">
        <v>250</v>
      </c>
      <c r="B26" s="592"/>
      <c r="C26" s="592"/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419" t="s">
        <v>86</v>
      </c>
      <c r="W26" s="419"/>
      <c r="X26" s="401"/>
      <c r="Y26" s="400" t="s">
        <v>155</v>
      </c>
    </row>
    <row r="27" spans="1:25">
      <c r="A27" s="567" t="s">
        <v>216</v>
      </c>
      <c r="B27" s="568"/>
      <c r="C27" s="568"/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568"/>
      <c r="S27" s="568"/>
      <c r="T27" s="568"/>
      <c r="U27" s="599"/>
      <c r="V27" s="419"/>
      <c r="W27" s="419"/>
      <c r="X27" s="401">
        <v>3500</v>
      </c>
      <c r="Y27" s="400" t="s">
        <v>155</v>
      </c>
    </row>
    <row r="28" spans="1:25" hidden="1">
      <c r="A28" s="567" t="s">
        <v>237</v>
      </c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99"/>
      <c r="V28" s="419"/>
      <c r="W28" s="419"/>
      <c r="X28" s="401"/>
      <c r="Y28" s="400" t="s">
        <v>155</v>
      </c>
    </row>
    <row r="29" spans="1:25">
      <c r="A29" s="600" t="s">
        <v>62</v>
      </c>
      <c r="B29" s="601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01"/>
      <c r="P29" s="601"/>
      <c r="Q29" s="601"/>
      <c r="R29" s="601"/>
      <c r="S29" s="601"/>
      <c r="T29" s="601"/>
      <c r="U29" s="601"/>
      <c r="V29" s="420">
        <f>SUM(V27:V28)</f>
        <v>0</v>
      </c>
      <c r="W29" s="401">
        <f>SUM(W27:W28)</f>
        <v>0</v>
      </c>
      <c r="X29" s="401">
        <f>SUM(X27:X28)</f>
        <v>3500</v>
      </c>
      <c r="Y29" s="400" t="s">
        <v>155</v>
      </c>
    </row>
    <row r="30" spans="1:25">
      <c r="A30" s="475"/>
      <c r="B30" s="479"/>
      <c r="C30" s="479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19"/>
      <c r="W30" s="401"/>
      <c r="X30" s="401"/>
      <c r="Y30" s="400"/>
    </row>
    <row r="31" spans="1:25">
      <c r="A31" s="591" t="s">
        <v>156</v>
      </c>
      <c r="B31" s="592"/>
      <c r="C31" s="592"/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419"/>
      <c r="W31" s="419"/>
      <c r="X31" s="401"/>
      <c r="Y31" s="400" t="s">
        <v>155</v>
      </c>
    </row>
    <row r="32" spans="1:25">
      <c r="A32" s="567" t="s">
        <v>177</v>
      </c>
      <c r="B32" s="568"/>
      <c r="C32" s="568"/>
      <c r="D32" s="568"/>
      <c r="E32" s="568"/>
      <c r="F32" s="568"/>
      <c r="G32" s="568"/>
      <c r="H32" s="568"/>
      <c r="I32" s="568"/>
      <c r="J32" s="568"/>
      <c r="K32" s="568"/>
      <c r="L32" s="568"/>
      <c r="M32" s="568"/>
      <c r="N32" s="568"/>
      <c r="O32" s="568"/>
      <c r="P32" s="568"/>
      <c r="Q32" s="568"/>
      <c r="R32" s="568"/>
      <c r="S32" s="568"/>
      <c r="T32" s="568"/>
      <c r="U32" s="568"/>
      <c r="V32" s="419"/>
      <c r="W32" s="419"/>
      <c r="X32" s="401">
        <v>-3000</v>
      </c>
      <c r="Y32" s="400" t="s">
        <v>155</v>
      </c>
    </row>
    <row r="33" spans="1:25">
      <c r="A33" s="567" t="s">
        <v>249</v>
      </c>
      <c r="B33" s="568"/>
      <c r="C33" s="568"/>
      <c r="D33" s="568"/>
      <c r="E33" s="568"/>
      <c r="F33" s="568"/>
      <c r="G33" s="568"/>
      <c r="H33" s="568"/>
      <c r="I33" s="568"/>
      <c r="J33" s="568"/>
      <c r="K33" s="568"/>
      <c r="L33" s="568"/>
      <c r="M33" s="568"/>
      <c r="N33" s="568"/>
      <c r="O33" s="568"/>
      <c r="P33" s="568"/>
      <c r="Q33" s="568"/>
      <c r="R33" s="568"/>
      <c r="S33" s="568"/>
      <c r="T33" s="568"/>
      <c r="U33" s="568"/>
      <c r="V33" s="419"/>
      <c r="W33" s="419"/>
      <c r="X33" s="419">
        <v>-500</v>
      </c>
      <c r="Y33" s="400" t="s">
        <v>155</v>
      </c>
    </row>
    <row r="34" spans="1:25">
      <c r="A34" s="567" t="s">
        <v>165</v>
      </c>
      <c r="B34" s="568"/>
      <c r="C34" s="568"/>
      <c r="D34" s="568"/>
      <c r="E34" s="568"/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419"/>
      <c r="W34" s="419"/>
      <c r="X34" s="419">
        <v>-144500</v>
      </c>
      <c r="Y34" s="400"/>
    </row>
    <row r="35" spans="1:25">
      <c r="A35" s="418" t="s">
        <v>157</v>
      </c>
      <c r="B35" s="478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17">
        <f>SUM(V32:V33)</f>
        <v>0</v>
      </c>
      <c r="W35" s="417">
        <f>SUM(W32:W33)</f>
        <v>0</v>
      </c>
      <c r="X35" s="417">
        <f>SUM(X32:X34)</f>
        <v>-148000</v>
      </c>
      <c r="Y35" s="400"/>
    </row>
    <row r="36" spans="1:25">
      <c r="A36" s="418"/>
      <c r="B36" s="478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17"/>
      <c r="W36" s="417"/>
      <c r="X36" s="417"/>
      <c r="Y36" s="400"/>
    </row>
    <row r="37" spans="1:25" ht="18" customHeight="1">
      <c r="A37" s="591" t="s">
        <v>61</v>
      </c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416">
        <f>SUM(V29+V35)</f>
        <v>0</v>
      </c>
      <c r="W37" s="416">
        <f>SUM(W29+W35)</f>
        <v>0</v>
      </c>
      <c r="X37" s="416">
        <f>SUM(X29+X35)</f>
        <v>-144500</v>
      </c>
      <c r="Y37" s="400" t="s">
        <v>155</v>
      </c>
    </row>
    <row r="38" spans="1:25" ht="18" customHeight="1">
      <c r="A38" s="481"/>
      <c r="B38" s="482"/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14"/>
      <c r="W38" s="414"/>
      <c r="X38" s="414"/>
      <c r="Y38" s="400"/>
    </row>
    <row r="39" spans="1:25" ht="18" customHeight="1">
      <c r="A39" s="593" t="s">
        <v>199</v>
      </c>
      <c r="B39" s="594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594"/>
      <c r="O39" s="594"/>
      <c r="P39" s="594"/>
      <c r="Q39" s="594"/>
      <c r="R39" s="594"/>
      <c r="S39" s="594"/>
      <c r="T39" s="594"/>
      <c r="U39" s="594"/>
      <c r="V39" s="415">
        <f>V24+V37</f>
        <v>0</v>
      </c>
      <c r="W39" s="415">
        <f>W24+W37</f>
        <v>0</v>
      </c>
      <c r="X39" s="415">
        <f>X24+X37</f>
        <v>268000</v>
      </c>
      <c r="Y39" s="400" t="s">
        <v>155</v>
      </c>
    </row>
    <row r="40" spans="1:25" ht="18" customHeight="1">
      <c r="A40" s="476"/>
      <c r="B40" s="477"/>
      <c r="C40" s="477" t="s">
        <v>253</v>
      </c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V40" s="415"/>
      <c r="W40" s="415"/>
      <c r="X40" s="415">
        <v>-6000</v>
      </c>
      <c r="Y40" s="400"/>
    </row>
    <row r="41" spans="1:25" ht="18" customHeight="1">
      <c r="A41" s="593" t="s">
        <v>266</v>
      </c>
      <c r="B41" s="594"/>
      <c r="C41" s="594"/>
      <c r="D41" s="594"/>
      <c r="E41" s="594"/>
      <c r="F41" s="594"/>
      <c r="G41" s="594"/>
      <c r="H41" s="594"/>
      <c r="I41" s="594"/>
      <c r="J41" s="594"/>
      <c r="K41" s="594"/>
      <c r="L41" s="594"/>
      <c r="M41" s="594"/>
      <c r="N41" s="594"/>
      <c r="O41" s="594"/>
      <c r="P41" s="594"/>
      <c r="Q41" s="594"/>
      <c r="R41" s="594"/>
      <c r="S41" s="594"/>
      <c r="T41" s="594"/>
      <c r="U41" s="594"/>
      <c r="V41" s="415"/>
      <c r="W41" s="415"/>
      <c r="X41" s="415">
        <v>262000</v>
      </c>
      <c r="Y41" s="400"/>
    </row>
    <row r="42" spans="1:25" ht="18" customHeight="1">
      <c r="A42" s="593" t="s">
        <v>267</v>
      </c>
      <c r="B42" s="594"/>
      <c r="C42" s="594"/>
      <c r="D42" s="594"/>
      <c r="E42" s="594"/>
      <c r="F42" s="594"/>
      <c r="G42" s="594"/>
      <c r="H42" s="594"/>
      <c r="I42" s="594"/>
      <c r="J42" s="594"/>
      <c r="K42" s="594"/>
      <c r="L42" s="594"/>
      <c r="M42" s="594"/>
      <c r="N42" s="594"/>
      <c r="O42" s="594"/>
      <c r="P42" s="594"/>
      <c r="Q42" s="594"/>
      <c r="R42" s="594"/>
      <c r="S42" s="594"/>
      <c r="T42" s="594"/>
      <c r="U42" s="594"/>
      <c r="V42" s="415"/>
      <c r="W42" s="415"/>
      <c r="X42" s="415">
        <v>144500</v>
      </c>
      <c r="Y42" s="400"/>
    </row>
    <row r="43" spans="1:25" ht="15.75" customHeight="1">
      <c r="A43" s="593" t="s">
        <v>268</v>
      </c>
      <c r="B43" s="594"/>
      <c r="C43" s="594"/>
      <c r="D43" s="594"/>
      <c r="E43" s="594"/>
      <c r="F43" s="594"/>
      <c r="G43" s="594"/>
      <c r="H43" s="594"/>
      <c r="I43" s="594"/>
      <c r="J43" s="594"/>
      <c r="K43" s="594"/>
      <c r="L43" s="594"/>
      <c r="M43" s="594"/>
      <c r="N43" s="594"/>
      <c r="O43" s="594"/>
      <c r="P43" s="594"/>
      <c r="Q43" s="594"/>
      <c r="R43" s="594"/>
      <c r="S43" s="594"/>
      <c r="T43" s="594"/>
      <c r="U43" s="594"/>
      <c r="V43" s="415"/>
      <c r="W43" s="415"/>
      <c r="X43" s="415">
        <f>X39+X42</f>
        <v>412500</v>
      </c>
      <c r="Y43" s="400"/>
    </row>
    <row r="44" spans="1:25" ht="15.75" customHeight="1">
      <c r="A44" s="593" t="s">
        <v>269</v>
      </c>
      <c r="B44" s="594"/>
      <c r="C44" s="594"/>
      <c r="D44" s="594"/>
      <c r="E44" s="594"/>
      <c r="F44" s="594"/>
      <c r="G44" s="594"/>
      <c r="H44" s="594"/>
      <c r="I44" s="594"/>
      <c r="J44" s="594"/>
      <c r="K44" s="594"/>
      <c r="L44" s="594"/>
      <c r="M44" s="594"/>
      <c r="N44" s="594"/>
      <c r="O44" s="594"/>
      <c r="P44" s="594"/>
      <c r="Q44" s="594"/>
      <c r="R44" s="594"/>
      <c r="S44" s="594"/>
      <c r="T44" s="594"/>
      <c r="U44" s="594"/>
      <c r="V44" s="415"/>
      <c r="W44" s="415"/>
      <c r="X44" s="415">
        <f>X43+X40</f>
        <v>406500</v>
      </c>
      <c r="Y44" s="400"/>
    </row>
    <row r="45" spans="1:25" ht="18" hidden="1" customHeight="1">
      <c r="A45" s="476" t="s">
        <v>202</v>
      </c>
      <c r="B45" s="477"/>
      <c r="C45" s="477"/>
      <c r="D45" s="477"/>
      <c r="E45" s="477"/>
      <c r="F45" s="477"/>
      <c r="G45" s="477"/>
      <c r="H45" s="477"/>
      <c r="I45" s="477"/>
      <c r="J45" s="477"/>
      <c r="K45" s="477"/>
      <c r="L45" s="477"/>
      <c r="M45" s="477"/>
      <c r="N45" s="477"/>
      <c r="O45" s="477"/>
      <c r="P45" s="477"/>
      <c r="Q45" s="477"/>
      <c r="R45" s="477"/>
      <c r="S45" s="477"/>
      <c r="T45" s="477"/>
      <c r="U45" s="477"/>
      <c r="V45" s="415"/>
      <c r="W45" s="415"/>
      <c r="X45" s="415">
        <f>SUM(X39:X40)</f>
        <v>262000</v>
      </c>
      <c r="Y45" s="400"/>
    </row>
    <row r="46" spans="1:25" ht="18" customHeight="1">
      <c r="A46" s="595" t="s">
        <v>270</v>
      </c>
      <c r="B46" s="594"/>
      <c r="C46" s="594"/>
      <c r="D46" s="594"/>
      <c r="E46" s="594"/>
      <c r="F46" s="594"/>
      <c r="G46" s="594"/>
      <c r="H46" s="594"/>
      <c r="I46" s="594"/>
      <c r="J46" s="594"/>
      <c r="K46" s="594"/>
      <c r="L46" s="594"/>
      <c r="M46" s="594"/>
      <c r="N46" s="594"/>
      <c r="O46" s="594"/>
      <c r="P46" s="594"/>
      <c r="Q46" s="594"/>
      <c r="R46" s="594"/>
      <c r="S46" s="594"/>
      <c r="T46" s="594"/>
      <c r="U46" s="594"/>
      <c r="V46" s="414">
        <f>+V39-V14</f>
        <v>0</v>
      </c>
      <c r="W46" s="414">
        <f>+W39-W14</f>
        <v>0</v>
      </c>
      <c r="X46" s="414">
        <f>X39-X43</f>
        <v>-144500</v>
      </c>
      <c r="Y46" s="400" t="s">
        <v>155</v>
      </c>
    </row>
    <row r="47" spans="1:25">
      <c r="Y47" s="400" t="s">
        <v>155</v>
      </c>
    </row>
    <row r="48" spans="1:25" ht="18" customHeight="1">
      <c r="A48" s="502" t="s">
        <v>274</v>
      </c>
      <c r="Y48" s="400" t="s">
        <v>155</v>
      </c>
    </row>
    <row r="49" spans="1:25" ht="18" customHeight="1">
      <c r="Y49" s="400" t="s">
        <v>155</v>
      </c>
    </row>
    <row r="50" spans="1:25" ht="18" customHeight="1">
      <c r="Y50" s="400" t="s">
        <v>155</v>
      </c>
    </row>
    <row r="51" spans="1:25" ht="18" customHeight="1">
      <c r="Y51" s="400" t="s">
        <v>155</v>
      </c>
    </row>
    <row r="52" spans="1:25" ht="18" customHeight="1">
      <c r="Y52" s="400" t="s">
        <v>155</v>
      </c>
    </row>
    <row r="53" spans="1:25" ht="18" customHeight="1">
      <c r="Y53" s="400" t="s">
        <v>155</v>
      </c>
    </row>
    <row r="54" spans="1:25" ht="18" customHeight="1">
      <c r="Y54" s="400" t="s">
        <v>155</v>
      </c>
    </row>
    <row r="55" spans="1:25" ht="22.5">
      <c r="A55" s="596" t="s">
        <v>78</v>
      </c>
      <c r="B55" s="597"/>
      <c r="C55" s="597"/>
      <c r="D55" s="597"/>
      <c r="E55" s="597"/>
      <c r="F55" s="597"/>
      <c r="G55" s="597"/>
      <c r="H55" s="597"/>
      <c r="I55" s="597"/>
      <c r="J55" s="597"/>
      <c r="K55" s="597"/>
      <c r="L55" s="597"/>
      <c r="M55" s="597"/>
      <c r="N55" s="597"/>
      <c r="O55" s="597"/>
      <c r="P55" s="597"/>
      <c r="Q55" s="597"/>
      <c r="R55" s="597"/>
      <c r="S55" s="597"/>
      <c r="T55" s="597"/>
      <c r="U55" s="597"/>
      <c r="V55" s="597"/>
      <c r="W55" s="597"/>
      <c r="X55" s="597"/>
      <c r="Y55" s="400" t="s">
        <v>155</v>
      </c>
    </row>
    <row r="56" spans="1:25" ht="23.25">
      <c r="A56" s="569" t="str">
        <f>A5</f>
        <v>Office on Violence Against Women</v>
      </c>
      <c r="B56" s="598"/>
      <c r="C56" s="598"/>
      <c r="D56" s="598"/>
      <c r="E56" s="598"/>
      <c r="F56" s="598"/>
      <c r="G56" s="598"/>
      <c r="H56" s="598"/>
      <c r="I56" s="598"/>
      <c r="J56" s="598"/>
      <c r="K56" s="598"/>
      <c r="L56" s="598"/>
      <c r="M56" s="598"/>
      <c r="N56" s="598"/>
      <c r="O56" s="598"/>
      <c r="P56" s="598"/>
      <c r="Q56" s="598"/>
      <c r="R56" s="598"/>
      <c r="S56" s="598"/>
      <c r="T56" s="598"/>
      <c r="U56" s="598"/>
      <c r="V56" s="598"/>
      <c r="W56" s="598"/>
      <c r="X56" s="598"/>
      <c r="Y56" s="400" t="s">
        <v>155</v>
      </c>
    </row>
    <row r="57" spans="1:25" ht="23.25">
      <c r="A57" s="569" t="s">
        <v>248</v>
      </c>
      <c r="B57" s="597"/>
      <c r="C57" s="597"/>
      <c r="D57" s="597"/>
      <c r="E57" s="597"/>
      <c r="F57" s="597"/>
      <c r="G57" s="597"/>
      <c r="H57" s="597"/>
      <c r="I57" s="597"/>
      <c r="J57" s="597"/>
      <c r="K57" s="597"/>
      <c r="L57" s="597"/>
      <c r="M57" s="597"/>
      <c r="N57" s="597"/>
      <c r="O57" s="597"/>
      <c r="P57" s="597"/>
      <c r="Q57" s="597"/>
      <c r="R57" s="597"/>
      <c r="S57" s="597"/>
      <c r="T57" s="597"/>
      <c r="U57" s="597"/>
      <c r="V57" s="597"/>
      <c r="W57" s="597"/>
      <c r="X57" s="597"/>
      <c r="Y57" s="400" t="s">
        <v>155</v>
      </c>
    </row>
    <row r="58" spans="1:25" ht="23.25">
      <c r="A58" s="569" t="s">
        <v>70</v>
      </c>
      <c r="B58" s="570"/>
      <c r="C58" s="570"/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400" t="s">
        <v>155</v>
      </c>
    </row>
    <row r="59" spans="1:25" ht="18" customHeight="1">
      <c r="Y59" s="400" t="s">
        <v>155</v>
      </c>
    </row>
    <row r="60" spans="1:25" ht="18" customHeight="1">
      <c r="Y60" s="400" t="s">
        <v>155</v>
      </c>
    </row>
    <row r="61" spans="1:25" ht="18" customHeight="1">
      <c r="Y61" s="400" t="s">
        <v>155</v>
      </c>
    </row>
    <row r="62" spans="1:25" ht="18" customHeight="1">
      <c r="Y62" s="400" t="s">
        <v>155</v>
      </c>
    </row>
    <row r="63" spans="1:25" ht="18" customHeight="1">
      <c r="A63" s="413"/>
      <c r="B63" s="413"/>
      <c r="C63" s="413"/>
      <c r="D63" s="412"/>
      <c r="E63" s="412"/>
      <c r="F63" s="412"/>
      <c r="G63" s="412"/>
      <c r="H63" s="412"/>
      <c r="I63" s="412"/>
      <c r="J63" s="412"/>
      <c r="K63" s="412"/>
      <c r="L63" s="412"/>
      <c r="M63" s="412"/>
      <c r="N63" s="412"/>
      <c r="O63" s="412"/>
      <c r="P63" s="412"/>
      <c r="Q63" s="412"/>
      <c r="R63" s="412"/>
      <c r="S63" s="412"/>
      <c r="T63" s="412"/>
      <c r="U63" s="412"/>
      <c r="V63" s="412"/>
      <c r="W63" s="412"/>
      <c r="X63" s="412"/>
      <c r="Y63" s="400" t="s">
        <v>155</v>
      </c>
    </row>
    <row r="64" spans="1:25" ht="22.5" customHeight="1">
      <c r="A64" s="571" t="s">
        <v>84</v>
      </c>
      <c r="B64" s="572"/>
      <c r="C64" s="572"/>
      <c r="D64" s="577" t="s">
        <v>236</v>
      </c>
      <c r="E64" s="578"/>
      <c r="F64" s="579"/>
      <c r="G64" s="577" t="s">
        <v>215</v>
      </c>
      <c r="H64" s="583"/>
      <c r="I64" s="584"/>
      <c r="J64" s="577" t="s">
        <v>235</v>
      </c>
      <c r="K64" s="578"/>
      <c r="L64" s="579"/>
      <c r="M64" s="577" t="s">
        <v>204</v>
      </c>
      <c r="N64" s="578"/>
      <c r="O64" s="579"/>
      <c r="P64" s="577" t="s">
        <v>234</v>
      </c>
      <c r="Q64" s="588"/>
      <c r="R64" s="588"/>
      <c r="S64" s="577" t="s">
        <v>233</v>
      </c>
      <c r="T64" s="578"/>
      <c r="U64" s="578"/>
      <c r="V64" s="577" t="s">
        <v>191</v>
      </c>
      <c r="W64" s="578"/>
      <c r="X64" s="579"/>
      <c r="Y64" s="400" t="s">
        <v>155</v>
      </c>
    </row>
    <row r="65" spans="1:25" ht="27.75" customHeight="1">
      <c r="A65" s="573"/>
      <c r="B65" s="574"/>
      <c r="C65" s="574"/>
      <c r="D65" s="580"/>
      <c r="E65" s="581"/>
      <c r="F65" s="582"/>
      <c r="G65" s="585"/>
      <c r="H65" s="586"/>
      <c r="I65" s="587"/>
      <c r="J65" s="580"/>
      <c r="K65" s="581"/>
      <c r="L65" s="582"/>
      <c r="M65" s="580"/>
      <c r="N65" s="581"/>
      <c r="O65" s="582"/>
      <c r="P65" s="589"/>
      <c r="Q65" s="590"/>
      <c r="R65" s="590"/>
      <c r="S65" s="580"/>
      <c r="T65" s="581"/>
      <c r="U65" s="581"/>
      <c r="V65" s="580"/>
      <c r="W65" s="581"/>
      <c r="X65" s="582"/>
      <c r="Y65" s="400" t="s">
        <v>155</v>
      </c>
    </row>
    <row r="66" spans="1:25" ht="16.5" thickBot="1">
      <c r="A66" s="575"/>
      <c r="B66" s="576"/>
      <c r="C66" s="576"/>
      <c r="D66" s="411" t="s">
        <v>85</v>
      </c>
      <c r="E66" s="408" t="s">
        <v>31</v>
      </c>
      <c r="F66" s="410" t="s">
        <v>87</v>
      </c>
      <c r="G66" s="411" t="s">
        <v>85</v>
      </c>
      <c r="H66" s="408" t="s">
        <v>31</v>
      </c>
      <c r="I66" s="410" t="s">
        <v>87</v>
      </c>
      <c r="J66" s="411" t="s">
        <v>85</v>
      </c>
      <c r="K66" s="408" t="s">
        <v>31</v>
      </c>
      <c r="L66" s="410" t="s">
        <v>87</v>
      </c>
      <c r="M66" s="411" t="s">
        <v>85</v>
      </c>
      <c r="N66" s="408" t="s">
        <v>31</v>
      </c>
      <c r="O66" s="410" t="s">
        <v>87</v>
      </c>
      <c r="P66" s="411" t="s">
        <v>85</v>
      </c>
      <c r="Q66" s="408" t="s">
        <v>31</v>
      </c>
      <c r="R66" s="410" t="s">
        <v>87</v>
      </c>
      <c r="S66" s="411" t="s">
        <v>85</v>
      </c>
      <c r="T66" s="408" t="s">
        <v>31</v>
      </c>
      <c r="U66" s="410" t="s">
        <v>87</v>
      </c>
      <c r="V66" s="409" t="s">
        <v>85</v>
      </c>
      <c r="W66" s="408" t="s">
        <v>31</v>
      </c>
      <c r="X66" s="407" t="s">
        <v>87</v>
      </c>
      <c r="Y66" s="400" t="s">
        <v>155</v>
      </c>
    </row>
    <row r="67" spans="1:25">
      <c r="A67" s="406"/>
      <c r="B67" s="553" t="s">
        <v>247</v>
      </c>
      <c r="C67" s="553"/>
      <c r="D67" s="448"/>
      <c r="E67" s="446"/>
      <c r="F67" s="402"/>
      <c r="G67" s="404"/>
      <c r="H67" s="403"/>
      <c r="I67" s="402"/>
      <c r="J67" s="404"/>
      <c r="K67" s="403"/>
      <c r="L67" s="402"/>
      <c r="M67" s="404"/>
      <c r="N67" s="403"/>
      <c r="O67" s="402"/>
      <c r="P67" s="404"/>
      <c r="Q67" s="403"/>
      <c r="R67" s="402"/>
      <c r="S67" s="404"/>
      <c r="T67" s="403"/>
      <c r="U67" s="402"/>
      <c r="V67" s="404"/>
      <c r="W67" s="403"/>
      <c r="X67" s="367"/>
      <c r="Y67" s="400"/>
    </row>
    <row r="68" spans="1:25">
      <c r="A68" s="406"/>
      <c r="B68" s="472"/>
      <c r="C68" s="472" t="s">
        <v>246</v>
      </c>
      <c r="D68" s="448"/>
      <c r="E68" s="446"/>
      <c r="F68" s="402"/>
      <c r="G68" s="404"/>
      <c r="H68" s="403"/>
      <c r="I68" s="402"/>
      <c r="J68" s="404"/>
      <c r="K68" s="403"/>
      <c r="L68" s="402"/>
      <c r="M68" s="404"/>
      <c r="N68" s="403"/>
      <c r="O68" s="402"/>
      <c r="P68" s="404"/>
      <c r="Q68" s="403"/>
      <c r="R68" s="402"/>
      <c r="S68" s="404"/>
      <c r="T68" s="403"/>
      <c r="U68" s="402"/>
      <c r="V68" s="404"/>
      <c r="W68" s="403"/>
      <c r="X68" s="367"/>
      <c r="Y68" s="400"/>
    </row>
    <row r="69" spans="1:25" s="431" customFormat="1" ht="12.75">
      <c r="A69" s="451"/>
      <c r="B69" s="449"/>
      <c r="C69" s="536" t="s">
        <v>276</v>
      </c>
      <c r="D69" s="448"/>
      <c r="E69" s="446"/>
      <c r="F69" s="445">
        <v>209580</v>
      </c>
      <c r="G69" s="448"/>
      <c r="H69" s="446"/>
      <c r="I69" s="445">
        <v>189000</v>
      </c>
      <c r="J69" s="448"/>
      <c r="K69" s="446"/>
      <c r="L69" s="445"/>
      <c r="M69" s="448"/>
      <c r="N69" s="446"/>
      <c r="O69" s="445">
        <v>189000</v>
      </c>
      <c r="P69" s="448"/>
      <c r="Q69" s="446"/>
      <c r="R69" s="445">
        <v>0</v>
      </c>
      <c r="S69" s="448"/>
      <c r="T69" s="446"/>
      <c r="U69" s="445">
        <v>-144500</v>
      </c>
      <c r="V69" s="448"/>
      <c r="W69" s="446"/>
      <c r="X69" s="464">
        <f>+O69+SUM(R69+U69)</f>
        <v>44500</v>
      </c>
      <c r="Y69" s="432"/>
    </row>
    <row r="70" spans="1:25" s="431" customFormat="1" ht="12.75">
      <c r="A70" s="451"/>
      <c r="B70" s="449"/>
      <c r="C70" s="471" t="s">
        <v>245</v>
      </c>
      <c r="D70" s="448"/>
      <c r="E70" s="446"/>
      <c r="F70" s="470" t="s">
        <v>195</v>
      </c>
      <c r="G70" s="448"/>
      <c r="H70" s="446"/>
      <c r="I70" s="445">
        <v>25000</v>
      </c>
      <c r="J70" s="448"/>
      <c r="K70" s="446"/>
      <c r="L70" s="445"/>
      <c r="M70" s="448"/>
      <c r="N70" s="446"/>
      <c r="O70" s="445">
        <v>25000</v>
      </c>
      <c r="P70" s="448"/>
      <c r="Q70" s="446"/>
      <c r="R70" s="445">
        <v>0</v>
      </c>
      <c r="S70" s="448"/>
      <c r="T70" s="446"/>
      <c r="U70" s="445">
        <v>-3000</v>
      </c>
      <c r="V70" s="448"/>
      <c r="W70" s="446"/>
      <c r="X70" s="464">
        <f>+O70+SUM(R70+U70)</f>
        <v>22000</v>
      </c>
      <c r="Y70" s="432"/>
    </row>
    <row r="71" spans="1:25" s="431" customFormat="1" ht="12.75">
      <c r="A71" s="451"/>
      <c r="B71" s="449"/>
      <c r="C71" s="471" t="s">
        <v>220</v>
      </c>
      <c r="D71" s="448"/>
      <c r="E71" s="546"/>
      <c r="F71" s="470" t="s">
        <v>196</v>
      </c>
      <c r="G71" s="448"/>
      <c r="H71" s="446"/>
      <c r="I71" s="445">
        <v>3000</v>
      </c>
      <c r="J71" s="448"/>
      <c r="K71" s="446"/>
      <c r="L71" s="445"/>
      <c r="M71" s="448"/>
      <c r="N71" s="446"/>
      <c r="O71" s="445">
        <v>3000</v>
      </c>
      <c r="P71" s="448"/>
      <c r="Q71" s="446"/>
      <c r="R71" s="445">
        <v>0</v>
      </c>
      <c r="S71" s="448"/>
      <c r="T71" s="446"/>
      <c r="U71" s="445">
        <v>0</v>
      </c>
      <c r="V71" s="448"/>
      <c r="W71" s="446"/>
      <c r="X71" s="464">
        <f>+O71+SUM(R71+U71)</f>
        <v>3000</v>
      </c>
      <c r="Y71" s="432"/>
    </row>
    <row r="72" spans="1:25" s="431" customFormat="1" ht="12.75">
      <c r="A72" s="451"/>
      <c r="B72" s="449"/>
      <c r="C72" s="449" t="s">
        <v>167</v>
      </c>
      <c r="D72" s="448"/>
      <c r="E72" s="446"/>
      <c r="F72" s="445">
        <v>59880</v>
      </c>
      <c r="G72" s="448"/>
      <c r="H72" s="446"/>
      <c r="I72" s="445">
        <v>50000</v>
      </c>
      <c r="J72" s="448"/>
      <c r="K72" s="446"/>
      <c r="L72" s="445"/>
      <c r="M72" s="448"/>
      <c r="N72" s="446"/>
      <c r="O72" s="445">
        <v>50000</v>
      </c>
      <c r="P72" s="448"/>
      <c r="Q72" s="446"/>
      <c r="R72" s="445">
        <v>0</v>
      </c>
      <c r="S72" s="448"/>
      <c r="T72" s="446"/>
      <c r="U72" s="445">
        <v>0</v>
      </c>
      <c r="V72" s="448"/>
      <c r="W72" s="446"/>
      <c r="X72" s="464">
        <f>+O72+SUM(R72+U72)</f>
        <v>50000</v>
      </c>
      <c r="Y72" s="432"/>
    </row>
    <row r="73" spans="1:25" s="431" customFormat="1" ht="12.75">
      <c r="A73" s="451"/>
      <c r="B73" s="449"/>
      <c r="C73" s="449" t="s">
        <v>166</v>
      </c>
      <c r="D73" s="448"/>
      <c r="E73" s="446"/>
      <c r="F73" s="445">
        <v>14970</v>
      </c>
      <c r="G73" s="448"/>
      <c r="H73" s="446"/>
      <c r="I73" s="445">
        <v>23000</v>
      </c>
      <c r="J73" s="448"/>
      <c r="K73" s="446"/>
      <c r="L73" s="445"/>
      <c r="M73" s="448"/>
      <c r="N73" s="446"/>
      <c r="O73" s="445">
        <v>23000</v>
      </c>
      <c r="P73" s="448"/>
      <c r="Q73" s="446"/>
      <c r="R73" s="445">
        <v>0</v>
      </c>
      <c r="S73" s="448"/>
      <c r="T73" s="446"/>
      <c r="U73" s="445">
        <v>0</v>
      </c>
      <c r="V73" s="448"/>
      <c r="W73" s="446"/>
      <c r="X73" s="464">
        <f>+O73+SUM(R73+U73)</f>
        <v>23000</v>
      </c>
      <c r="Y73" s="432"/>
    </row>
    <row r="74" spans="1:25" s="431" customFormat="1" ht="12.75">
      <c r="A74" s="451"/>
      <c r="B74" s="449"/>
      <c r="C74" s="449" t="s">
        <v>217</v>
      </c>
      <c r="D74" s="448"/>
      <c r="E74" s="446"/>
      <c r="F74" s="470" t="s">
        <v>222</v>
      </c>
      <c r="G74" s="448"/>
      <c r="H74" s="446"/>
      <c r="I74" s="470" t="s">
        <v>231</v>
      </c>
      <c r="J74" s="448"/>
      <c r="K74" s="446"/>
      <c r="L74" s="445"/>
      <c r="M74" s="448"/>
      <c r="N74" s="446"/>
      <c r="O74" s="470" t="s">
        <v>231</v>
      </c>
      <c r="P74" s="448"/>
      <c r="Q74" s="446"/>
      <c r="R74" s="445">
        <v>0</v>
      </c>
      <c r="S74" s="448"/>
      <c r="T74" s="446"/>
      <c r="U74" s="445">
        <v>0</v>
      </c>
      <c r="V74" s="448"/>
      <c r="W74" s="446"/>
      <c r="X74" s="470" t="s">
        <v>231</v>
      </c>
      <c r="Y74" s="432"/>
    </row>
    <row r="75" spans="1:25" s="431" customFormat="1" ht="12.75">
      <c r="A75" s="451"/>
      <c r="B75" s="449"/>
      <c r="C75" s="468" t="s">
        <v>244</v>
      </c>
      <c r="D75" s="554"/>
      <c r="E75" s="554"/>
      <c r="F75" s="445">
        <v>40918</v>
      </c>
      <c r="G75" s="448"/>
      <c r="H75" s="446"/>
      <c r="I75" s="445">
        <v>34000</v>
      </c>
      <c r="J75" s="448"/>
      <c r="K75" s="446"/>
      <c r="L75" s="445"/>
      <c r="M75" s="448"/>
      <c r="N75" s="446"/>
      <c r="O75" s="445">
        <v>34000</v>
      </c>
      <c r="P75" s="448"/>
      <c r="Q75" s="446"/>
      <c r="R75" s="445">
        <v>3500</v>
      </c>
      <c r="S75" s="448"/>
      <c r="T75" s="446"/>
      <c r="U75" s="445">
        <v>0</v>
      </c>
      <c r="V75" s="448"/>
      <c r="W75" s="446"/>
      <c r="X75" s="464">
        <f t="shared" ref="X75:X90" si="2">+O75+SUM(R75+U75)</f>
        <v>37500</v>
      </c>
      <c r="Y75" s="432"/>
    </row>
    <row r="76" spans="1:25" s="431" customFormat="1" ht="12.75">
      <c r="A76" s="451"/>
      <c r="B76" s="449"/>
      <c r="C76" s="469" t="s">
        <v>175</v>
      </c>
      <c r="D76" s="555"/>
      <c r="E76" s="555"/>
      <c r="F76" s="445">
        <v>9481</v>
      </c>
      <c r="G76" s="448"/>
      <c r="H76" s="446"/>
      <c r="I76" s="445">
        <v>9000</v>
      </c>
      <c r="J76" s="448"/>
      <c r="K76" s="446"/>
      <c r="L76" s="445"/>
      <c r="M76" s="448"/>
      <c r="N76" s="446"/>
      <c r="O76" s="445">
        <v>9000</v>
      </c>
      <c r="P76" s="448"/>
      <c r="Q76" s="446"/>
      <c r="R76" s="445">
        <v>0</v>
      </c>
      <c r="S76" s="448"/>
      <c r="T76" s="446"/>
      <c r="U76" s="445">
        <v>0</v>
      </c>
      <c r="V76" s="448"/>
      <c r="W76" s="446"/>
      <c r="X76" s="464">
        <f t="shared" si="2"/>
        <v>9000</v>
      </c>
      <c r="Y76" s="432"/>
    </row>
    <row r="77" spans="1:25" s="431" customFormat="1" ht="12.75">
      <c r="A77" s="451"/>
      <c r="B77" s="449"/>
      <c r="C77" s="469" t="s">
        <v>6</v>
      </c>
      <c r="D77" s="555"/>
      <c r="E77" s="555"/>
      <c r="F77" s="445">
        <v>40918</v>
      </c>
      <c r="G77" s="448"/>
      <c r="H77" s="446"/>
      <c r="I77" s="445">
        <v>41000</v>
      </c>
      <c r="J77" s="448"/>
      <c r="K77" s="446"/>
      <c r="L77" s="445"/>
      <c r="M77" s="448"/>
      <c r="N77" s="446"/>
      <c r="O77" s="445">
        <v>41000</v>
      </c>
      <c r="P77" s="448"/>
      <c r="Q77" s="446"/>
      <c r="R77" s="445">
        <v>0</v>
      </c>
      <c r="S77" s="448"/>
      <c r="T77" s="446"/>
      <c r="U77" s="445">
        <v>0</v>
      </c>
      <c r="V77" s="448"/>
      <c r="W77" s="446"/>
      <c r="X77" s="464">
        <f t="shared" si="2"/>
        <v>41000</v>
      </c>
      <c r="Y77" s="432"/>
    </row>
    <row r="78" spans="1:25" s="431" customFormat="1" ht="12.75">
      <c r="A78" s="451"/>
      <c r="B78" s="449"/>
      <c r="C78" s="469" t="s">
        <v>172</v>
      </c>
      <c r="D78" s="554"/>
      <c r="E78" s="554"/>
      <c r="F78" s="445">
        <v>4240.5</v>
      </c>
      <c r="G78" s="448"/>
      <c r="H78" s="446"/>
      <c r="I78" s="445">
        <v>4250</v>
      </c>
      <c r="J78" s="448"/>
      <c r="K78" s="446"/>
      <c r="L78" s="445"/>
      <c r="M78" s="448"/>
      <c r="N78" s="446"/>
      <c r="O78" s="445">
        <v>4250</v>
      </c>
      <c r="P78" s="448"/>
      <c r="Q78" s="446"/>
      <c r="R78" s="445">
        <v>0</v>
      </c>
      <c r="S78" s="448"/>
      <c r="T78" s="446"/>
      <c r="U78" s="445">
        <v>0</v>
      </c>
      <c r="V78" s="448"/>
      <c r="W78" s="446"/>
      <c r="X78" s="464">
        <f t="shared" si="2"/>
        <v>4250</v>
      </c>
      <c r="Y78" s="432"/>
    </row>
    <row r="79" spans="1:25" s="431" customFormat="1" ht="12.75">
      <c r="A79" s="451"/>
      <c r="B79" s="467"/>
      <c r="C79" s="467" t="s">
        <v>176</v>
      </c>
      <c r="D79" s="448"/>
      <c r="E79" s="446"/>
      <c r="F79" s="447">
        <v>0</v>
      </c>
      <c r="G79" s="448"/>
      <c r="H79" s="446"/>
      <c r="I79" s="447">
        <v>0</v>
      </c>
      <c r="J79" s="448"/>
      <c r="K79" s="446"/>
      <c r="L79" s="447"/>
      <c r="M79" s="448"/>
      <c r="N79" s="446"/>
      <c r="O79" s="447">
        <v>0</v>
      </c>
      <c r="P79" s="448"/>
      <c r="Q79" s="446"/>
      <c r="R79" s="445">
        <v>0</v>
      </c>
      <c r="S79" s="448"/>
      <c r="T79" s="446"/>
      <c r="U79" s="445">
        <v>0</v>
      </c>
      <c r="V79" s="448"/>
      <c r="W79" s="446"/>
      <c r="X79" s="464">
        <f t="shared" si="2"/>
        <v>0</v>
      </c>
      <c r="Y79" s="432"/>
    </row>
    <row r="80" spans="1:25" s="431" customFormat="1" ht="12.75">
      <c r="A80" s="451"/>
      <c r="B80" s="449"/>
      <c r="C80" s="468" t="s">
        <v>171</v>
      </c>
      <c r="D80" s="446"/>
      <c r="E80" s="446"/>
      <c r="F80" s="447">
        <v>13972</v>
      </c>
      <c r="G80" s="448"/>
      <c r="H80" s="446"/>
      <c r="I80" s="447">
        <v>11500</v>
      </c>
      <c r="J80" s="448"/>
      <c r="K80" s="446"/>
      <c r="L80" s="447"/>
      <c r="M80" s="448"/>
      <c r="N80" s="446"/>
      <c r="O80" s="447">
        <v>11500</v>
      </c>
      <c r="P80" s="448"/>
      <c r="Q80" s="446"/>
      <c r="R80" s="445">
        <v>0</v>
      </c>
      <c r="S80" s="448"/>
      <c r="T80" s="446"/>
      <c r="U80" s="445">
        <v>0</v>
      </c>
      <c r="V80" s="448"/>
      <c r="W80" s="446"/>
      <c r="X80" s="464">
        <f t="shared" si="2"/>
        <v>11500</v>
      </c>
      <c r="Y80" s="432"/>
    </row>
    <row r="81" spans="1:25" s="431" customFormat="1" ht="12.75">
      <c r="A81" s="451"/>
      <c r="B81" s="449"/>
      <c r="C81" s="469" t="s">
        <v>169</v>
      </c>
      <c r="D81" s="555"/>
      <c r="E81" s="555"/>
      <c r="F81" s="445">
        <v>6736.5</v>
      </c>
      <c r="G81" s="448"/>
      <c r="H81" s="446"/>
      <c r="I81" s="445">
        <v>5750</v>
      </c>
      <c r="J81" s="448"/>
      <c r="K81" s="446"/>
      <c r="L81" s="445"/>
      <c r="M81" s="448"/>
      <c r="N81" s="446"/>
      <c r="O81" s="445">
        <v>5750</v>
      </c>
      <c r="P81" s="448"/>
      <c r="Q81" s="446"/>
      <c r="R81" s="445">
        <v>0</v>
      </c>
      <c r="S81" s="448"/>
      <c r="T81" s="446"/>
      <c r="U81" s="445">
        <v>0</v>
      </c>
      <c r="V81" s="448"/>
      <c r="W81" s="446"/>
      <c r="X81" s="464">
        <f t="shared" si="2"/>
        <v>5750</v>
      </c>
      <c r="Y81" s="432"/>
    </row>
    <row r="82" spans="1:25" s="431" customFormat="1" ht="12.75">
      <c r="A82" s="451"/>
      <c r="B82" s="449"/>
      <c r="C82" s="449" t="s">
        <v>164</v>
      </c>
      <c r="D82" s="448"/>
      <c r="E82" s="446"/>
      <c r="F82" s="445">
        <v>0</v>
      </c>
      <c r="G82" s="448"/>
      <c r="H82" s="446"/>
      <c r="I82" s="445">
        <v>10000</v>
      </c>
      <c r="J82" s="448"/>
      <c r="K82" s="446"/>
      <c r="L82" s="445"/>
      <c r="M82" s="448"/>
      <c r="N82" s="446"/>
      <c r="O82" s="445">
        <v>10000</v>
      </c>
      <c r="P82" s="448"/>
      <c r="Q82" s="446"/>
      <c r="R82" s="445">
        <v>0</v>
      </c>
      <c r="S82" s="448"/>
      <c r="T82" s="446"/>
      <c r="U82" s="445">
        <v>0</v>
      </c>
      <c r="V82" s="448"/>
      <c r="W82" s="446"/>
      <c r="X82" s="464">
        <f t="shared" si="2"/>
        <v>10000</v>
      </c>
      <c r="Y82" s="432"/>
    </row>
    <row r="83" spans="1:25" s="431" customFormat="1" ht="12.75">
      <c r="A83" s="451"/>
      <c r="B83" s="449"/>
      <c r="C83" s="449" t="s">
        <v>170</v>
      </c>
      <c r="D83" s="448"/>
      <c r="E83" s="446"/>
      <c r="F83" s="445">
        <v>2994</v>
      </c>
      <c r="G83" s="448"/>
      <c r="H83" s="446"/>
      <c r="I83" s="447">
        <v>0</v>
      </c>
      <c r="J83" s="448"/>
      <c r="K83" s="446"/>
      <c r="L83" s="445"/>
      <c r="M83" s="448"/>
      <c r="N83" s="446"/>
      <c r="O83" s="447">
        <v>0</v>
      </c>
      <c r="P83" s="448"/>
      <c r="Q83" s="446"/>
      <c r="R83" s="445">
        <v>0</v>
      </c>
      <c r="S83" s="448"/>
      <c r="T83" s="446"/>
      <c r="U83" s="445">
        <v>0</v>
      </c>
      <c r="V83" s="448"/>
      <c r="W83" s="446"/>
      <c r="X83" s="464">
        <f t="shared" si="2"/>
        <v>0</v>
      </c>
      <c r="Y83" s="432"/>
    </row>
    <row r="84" spans="1:25" s="431" customFormat="1" ht="12.75">
      <c r="A84" s="451"/>
      <c r="B84" s="449"/>
      <c r="C84" s="449" t="s">
        <v>243</v>
      </c>
      <c r="D84" s="448"/>
      <c r="E84" s="446"/>
      <c r="F84" s="445">
        <v>2494.5</v>
      </c>
      <c r="G84" s="448"/>
      <c r="H84" s="446"/>
      <c r="I84" s="447">
        <v>0</v>
      </c>
      <c r="J84" s="448"/>
      <c r="K84" s="446"/>
      <c r="L84" s="445"/>
      <c r="M84" s="448"/>
      <c r="N84" s="446"/>
      <c r="O84" s="447">
        <v>0</v>
      </c>
      <c r="P84" s="448"/>
      <c r="Q84" s="446"/>
      <c r="R84" s="445">
        <v>0</v>
      </c>
      <c r="S84" s="448"/>
      <c r="T84" s="446"/>
      <c r="U84" s="445">
        <v>0</v>
      </c>
      <c r="V84" s="448"/>
      <c r="W84" s="446"/>
      <c r="X84" s="464">
        <f t="shared" si="2"/>
        <v>0</v>
      </c>
      <c r="Y84" s="432" t="s">
        <v>155</v>
      </c>
    </row>
    <row r="85" spans="1:25" s="431" customFormat="1" ht="12.75">
      <c r="A85" s="451"/>
      <c r="B85" s="467"/>
      <c r="C85" s="468" t="s">
        <v>4</v>
      </c>
      <c r="D85" s="449"/>
      <c r="E85" s="446"/>
      <c r="F85" s="447">
        <v>2995</v>
      </c>
      <c r="G85" s="448"/>
      <c r="H85" s="446"/>
      <c r="I85" s="447">
        <v>0</v>
      </c>
      <c r="J85" s="448"/>
      <c r="K85" s="446"/>
      <c r="L85" s="447"/>
      <c r="M85" s="448"/>
      <c r="N85" s="446"/>
      <c r="O85" s="447">
        <v>0</v>
      </c>
      <c r="P85" s="448"/>
      <c r="Q85" s="446"/>
      <c r="R85" s="445">
        <v>0</v>
      </c>
      <c r="S85" s="448"/>
      <c r="T85" s="446"/>
      <c r="U85" s="445">
        <v>0</v>
      </c>
      <c r="V85" s="448"/>
      <c r="W85" s="446"/>
      <c r="X85" s="464">
        <f t="shared" si="2"/>
        <v>0</v>
      </c>
      <c r="Y85" s="432"/>
    </row>
    <row r="86" spans="1:25" s="431" customFormat="1" ht="12.75">
      <c r="A86" s="451"/>
      <c r="B86" s="467"/>
      <c r="C86" s="468" t="s">
        <v>3</v>
      </c>
      <c r="D86" s="467"/>
      <c r="E86" s="446"/>
      <c r="F86" s="447">
        <v>3493</v>
      </c>
      <c r="G86" s="448"/>
      <c r="H86" s="446"/>
      <c r="I86" s="447">
        <v>0</v>
      </c>
      <c r="J86" s="448"/>
      <c r="K86" s="446"/>
      <c r="L86" s="447"/>
      <c r="M86" s="448"/>
      <c r="N86" s="446"/>
      <c r="O86" s="447">
        <v>0</v>
      </c>
      <c r="P86" s="448"/>
      <c r="Q86" s="446"/>
      <c r="R86" s="445">
        <v>0</v>
      </c>
      <c r="S86" s="448"/>
      <c r="T86" s="446"/>
      <c r="U86" s="445">
        <v>0</v>
      </c>
      <c r="V86" s="448"/>
      <c r="W86" s="446"/>
      <c r="X86" s="464">
        <f t="shared" si="2"/>
        <v>0</v>
      </c>
      <c r="Y86" s="432"/>
    </row>
    <row r="87" spans="1:25" s="431" customFormat="1" ht="12.75">
      <c r="A87" s="451"/>
      <c r="B87" s="467"/>
      <c r="C87" s="468" t="s">
        <v>242</v>
      </c>
      <c r="D87" s="467"/>
      <c r="E87" s="446"/>
      <c r="F87" s="447">
        <v>2994</v>
      </c>
      <c r="G87" s="448"/>
      <c r="H87" s="446"/>
      <c r="I87" s="447">
        <v>4500</v>
      </c>
      <c r="J87" s="448"/>
      <c r="K87" s="446"/>
      <c r="L87" s="447"/>
      <c r="M87" s="448"/>
      <c r="N87" s="446"/>
      <c r="O87" s="447">
        <v>4500</v>
      </c>
      <c r="P87" s="448"/>
      <c r="Q87" s="446"/>
      <c r="R87" s="445">
        <v>0</v>
      </c>
      <c r="S87" s="448"/>
      <c r="T87" s="446"/>
      <c r="U87" s="445">
        <v>0</v>
      </c>
      <c r="V87" s="448"/>
      <c r="W87" s="446"/>
      <c r="X87" s="464">
        <f t="shared" si="2"/>
        <v>4500</v>
      </c>
      <c r="Y87" s="432"/>
    </row>
    <row r="88" spans="1:25" s="431" customFormat="1" ht="12.75">
      <c r="A88" s="451"/>
      <c r="B88" s="467"/>
      <c r="C88" s="469" t="s">
        <v>218</v>
      </c>
      <c r="D88" s="449"/>
      <c r="E88" s="446"/>
      <c r="F88" s="447">
        <v>0</v>
      </c>
      <c r="G88" s="448"/>
      <c r="H88" s="446"/>
      <c r="I88" s="447">
        <v>500</v>
      </c>
      <c r="J88" s="448"/>
      <c r="K88" s="446"/>
      <c r="L88" s="447"/>
      <c r="M88" s="448"/>
      <c r="N88" s="446"/>
      <c r="O88" s="447">
        <v>500</v>
      </c>
      <c r="P88" s="448"/>
      <c r="Q88" s="446"/>
      <c r="R88" s="445">
        <v>0</v>
      </c>
      <c r="S88" s="448"/>
      <c r="T88" s="446"/>
      <c r="U88" s="445">
        <v>0</v>
      </c>
      <c r="V88" s="448"/>
      <c r="W88" s="446"/>
      <c r="X88" s="464">
        <f t="shared" si="2"/>
        <v>500</v>
      </c>
      <c r="Y88" s="432"/>
    </row>
    <row r="89" spans="1:25" s="431" customFormat="1" ht="12.75">
      <c r="A89" s="451"/>
      <c r="B89" s="467"/>
      <c r="C89" s="468" t="s">
        <v>11</v>
      </c>
      <c r="D89" s="467"/>
      <c r="E89" s="446"/>
      <c r="F89" s="447">
        <v>998</v>
      </c>
      <c r="G89" s="448"/>
      <c r="H89" s="446"/>
      <c r="I89" s="447">
        <v>1000</v>
      </c>
      <c r="J89" s="448"/>
      <c r="K89" s="446"/>
      <c r="L89" s="447"/>
      <c r="M89" s="448"/>
      <c r="N89" s="446"/>
      <c r="O89" s="447">
        <v>1000</v>
      </c>
      <c r="P89" s="448"/>
      <c r="Q89" s="446"/>
      <c r="R89" s="445">
        <v>0</v>
      </c>
      <c r="S89" s="448"/>
      <c r="T89" s="446"/>
      <c r="U89" s="445">
        <v>0</v>
      </c>
      <c r="V89" s="448"/>
      <c r="W89" s="446"/>
      <c r="X89" s="464">
        <f t="shared" si="2"/>
        <v>1000</v>
      </c>
      <c r="Y89" s="432"/>
    </row>
    <row r="90" spans="1:25" s="431" customFormat="1" ht="12.75">
      <c r="A90" s="451"/>
      <c r="B90" s="467"/>
      <c r="C90" s="467" t="s">
        <v>207</v>
      </c>
      <c r="D90" s="448"/>
      <c r="E90" s="446"/>
      <c r="F90" s="447">
        <v>998</v>
      </c>
      <c r="G90" s="448"/>
      <c r="H90" s="446"/>
      <c r="I90" s="447">
        <v>1000</v>
      </c>
      <c r="J90" s="448"/>
      <c r="K90" s="446"/>
      <c r="L90" s="447"/>
      <c r="M90" s="448"/>
      <c r="N90" s="446"/>
      <c r="O90" s="447">
        <v>1000</v>
      </c>
      <c r="P90" s="448"/>
      <c r="Q90" s="446"/>
      <c r="R90" s="445">
        <v>0</v>
      </c>
      <c r="S90" s="448"/>
      <c r="T90" s="446"/>
      <c r="U90" s="445">
        <v>-500</v>
      </c>
      <c r="V90" s="448"/>
      <c r="W90" s="446"/>
      <c r="X90" s="464">
        <f t="shared" si="2"/>
        <v>500</v>
      </c>
      <c r="Y90" s="432"/>
    </row>
    <row r="91" spans="1:25" s="431" customFormat="1" ht="12.75">
      <c r="A91" s="451"/>
      <c r="B91" s="467"/>
      <c r="C91" s="467" t="s">
        <v>205</v>
      </c>
      <c r="D91" s="448"/>
      <c r="E91" s="446"/>
      <c r="F91" s="466" t="s">
        <v>197</v>
      </c>
      <c r="G91" s="448"/>
      <c r="H91" s="446"/>
      <c r="I91" s="466" t="s">
        <v>229</v>
      </c>
      <c r="J91" s="448"/>
      <c r="K91" s="446"/>
      <c r="L91" s="447"/>
      <c r="M91" s="448"/>
      <c r="N91" s="446"/>
      <c r="O91" s="466" t="s">
        <v>229</v>
      </c>
      <c r="P91" s="448"/>
      <c r="Q91" s="446"/>
      <c r="R91" s="445">
        <v>0</v>
      </c>
      <c r="S91" s="448"/>
      <c r="T91" s="446"/>
      <c r="U91" s="445">
        <v>0</v>
      </c>
      <c r="V91" s="448"/>
      <c r="W91" s="446"/>
      <c r="X91" s="465" t="s">
        <v>275</v>
      </c>
      <c r="Y91" s="432"/>
    </row>
    <row r="92" spans="1:25" s="431" customFormat="1" ht="12.75">
      <c r="A92" s="451"/>
      <c r="B92" s="467"/>
      <c r="C92" s="467" t="s">
        <v>206</v>
      </c>
      <c r="D92" s="448"/>
      <c r="E92" s="446"/>
      <c r="F92" s="466" t="s">
        <v>198</v>
      </c>
      <c r="G92" s="448"/>
      <c r="H92" s="446"/>
      <c r="I92" s="466" t="s">
        <v>230</v>
      </c>
      <c r="J92" s="448"/>
      <c r="K92" s="446"/>
      <c r="L92" s="447"/>
      <c r="M92" s="448"/>
      <c r="N92" s="446"/>
      <c r="O92" s="466" t="s">
        <v>230</v>
      </c>
      <c r="P92" s="448"/>
      <c r="Q92" s="446"/>
      <c r="R92" s="445">
        <v>0</v>
      </c>
      <c r="S92" s="448"/>
      <c r="T92" s="446"/>
      <c r="U92" s="445">
        <v>0</v>
      </c>
      <c r="V92" s="448"/>
      <c r="W92" s="446"/>
      <c r="X92" s="465" t="s">
        <v>230</v>
      </c>
      <c r="Y92" s="432"/>
    </row>
    <row r="93" spans="1:25" hidden="1"/>
    <row r="94" spans="1:25" s="431" customFormat="1" ht="12.75">
      <c r="A94" s="439"/>
      <c r="B94" s="463"/>
      <c r="C94" s="463" t="s">
        <v>32</v>
      </c>
      <c r="D94" s="461">
        <f t="shared" ref="D94:E94" si="3">SUM(D69:D92)</f>
        <v>0</v>
      </c>
      <c r="E94" s="460">
        <f t="shared" si="3"/>
        <v>0</v>
      </c>
      <c r="F94" s="462">
        <f>SUM(F69:F92)</f>
        <v>417662.5</v>
      </c>
      <c r="G94" s="461">
        <f t="shared" ref="G94:H94" si="4">SUM(G69:G92)</f>
        <v>0</v>
      </c>
      <c r="H94" s="460">
        <f t="shared" si="4"/>
        <v>0</v>
      </c>
      <c r="I94" s="462">
        <f>SUM(I69:I92)</f>
        <v>412500</v>
      </c>
      <c r="J94" s="461">
        <f t="shared" ref="J94:K94" si="5">SUM(J69:J92)</f>
        <v>0</v>
      </c>
      <c r="K94" s="460">
        <f t="shared" si="5"/>
        <v>0</v>
      </c>
      <c r="L94" s="462">
        <f>SUM(L69:L92)</f>
        <v>0</v>
      </c>
      <c r="M94" s="461">
        <f t="shared" ref="M94:N94" si="6">SUM(M69:M92)</f>
        <v>0</v>
      </c>
      <c r="N94" s="460">
        <f t="shared" si="6"/>
        <v>0</v>
      </c>
      <c r="O94" s="462">
        <f>SUM(O69:O92)</f>
        <v>412500</v>
      </c>
      <c r="P94" s="461">
        <f t="shared" ref="P94:Q94" si="7">SUM(P69:P92)</f>
        <v>0</v>
      </c>
      <c r="Q94" s="460">
        <f t="shared" si="7"/>
        <v>0</v>
      </c>
      <c r="R94" s="462">
        <f>SUM(R69:R92)</f>
        <v>3500</v>
      </c>
      <c r="S94" s="461">
        <f t="shared" ref="S94:T94" si="8">SUM(S69:S92)</f>
        <v>0</v>
      </c>
      <c r="T94" s="460">
        <f t="shared" si="8"/>
        <v>0</v>
      </c>
      <c r="U94" s="462">
        <f>SUM(U69:U92)</f>
        <v>-148000</v>
      </c>
      <c r="V94" s="461">
        <f t="shared" ref="V94:W94" si="9">SUM(V69:V92)</f>
        <v>0</v>
      </c>
      <c r="W94" s="460">
        <f t="shared" si="9"/>
        <v>0</v>
      </c>
      <c r="X94" s="459">
        <f>SUM(X69:X92)</f>
        <v>268000</v>
      </c>
      <c r="Y94" s="432" t="s">
        <v>155</v>
      </c>
    </row>
    <row r="95" spans="1:25" s="431" customFormat="1" ht="17.25" customHeight="1">
      <c r="A95" s="451"/>
      <c r="B95" s="555" t="s">
        <v>241</v>
      </c>
      <c r="C95" s="555"/>
      <c r="D95" s="448"/>
      <c r="E95" s="446"/>
      <c r="F95" s="447"/>
      <c r="G95" s="448"/>
      <c r="H95" s="446"/>
      <c r="I95" s="445">
        <v>-15000</v>
      </c>
      <c r="J95" s="448"/>
      <c r="K95" s="446"/>
      <c r="L95" s="447">
        <v>15000</v>
      </c>
      <c r="M95" s="448"/>
      <c r="N95" s="446"/>
      <c r="O95" s="447"/>
      <c r="P95" s="448"/>
      <c r="Q95" s="446"/>
      <c r="R95" s="447"/>
      <c r="S95" s="448"/>
      <c r="T95" s="446"/>
      <c r="U95" s="445">
        <v>-6000</v>
      </c>
      <c r="V95" s="448"/>
      <c r="W95" s="446"/>
      <c r="X95" s="442">
        <f>+O95+SUM(R95+U95)</f>
        <v>-6000</v>
      </c>
      <c r="Y95" s="432" t="s">
        <v>155</v>
      </c>
    </row>
    <row r="96" spans="1:25" s="431" customFormat="1" ht="12.75">
      <c r="A96" s="439"/>
      <c r="B96" s="463"/>
      <c r="C96" s="463" t="s">
        <v>278</v>
      </c>
      <c r="D96" s="461">
        <f t="shared" ref="D96:E96" si="10">SUM(D94:D95)</f>
        <v>0</v>
      </c>
      <c r="E96" s="460">
        <f t="shared" si="10"/>
        <v>0</v>
      </c>
      <c r="F96" s="462">
        <f>SUM(F94:F95)</f>
        <v>417662.5</v>
      </c>
      <c r="G96" s="461">
        <f t="shared" ref="G96:X96" si="11">SUM(G94:G95)</f>
        <v>0</v>
      </c>
      <c r="H96" s="460">
        <f t="shared" si="11"/>
        <v>0</v>
      </c>
      <c r="I96" s="462">
        <f t="shared" si="11"/>
        <v>397500</v>
      </c>
      <c r="J96" s="461">
        <f t="shared" si="11"/>
        <v>0</v>
      </c>
      <c r="K96" s="460">
        <f t="shared" si="11"/>
        <v>0</v>
      </c>
      <c r="L96" s="462">
        <f t="shared" si="11"/>
        <v>15000</v>
      </c>
      <c r="M96" s="461">
        <f t="shared" si="11"/>
        <v>0</v>
      </c>
      <c r="N96" s="460">
        <f t="shared" si="11"/>
        <v>0</v>
      </c>
      <c r="O96" s="462">
        <f t="shared" si="11"/>
        <v>412500</v>
      </c>
      <c r="P96" s="461">
        <f t="shared" si="11"/>
        <v>0</v>
      </c>
      <c r="Q96" s="460">
        <f t="shared" si="11"/>
        <v>0</v>
      </c>
      <c r="R96" s="462">
        <f t="shared" si="11"/>
        <v>3500</v>
      </c>
      <c r="S96" s="461">
        <f t="shared" si="11"/>
        <v>0</v>
      </c>
      <c r="T96" s="460">
        <f t="shared" si="11"/>
        <v>0</v>
      </c>
      <c r="U96" s="462">
        <f t="shared" si="11"/>
        <v>-154000</v>
      </c>
      <c r="V96" s="461">
        <f t="shared" si="11"/>
        <v>0</v>
      </c>
      <c r="W96" s="460">
        <f t="shared" si="11"/>
        <v>0</v>
      </c>
      <c r="X96" s="459">
        <f t="shared" si="11"/>
        <v>262000</v>
      </c>
      <c r="Y96" s="432" t="s">
        <v>155</v>
      </c>
    </row>
    <row r="97" spans="1:25" s="24" customFormat="1" ht="15" customHeight="1">
      <c r="A97" s="548" t="s">
        <v>271</v>
      </c>
      <c r="B97" s="136"/>
      <c r="C97" s="136"/>
      <c r="D97" s="537"/>
      <c r="E97" s="538"/>
      <c r="F97" s="539"/>
      <c r="G97" s="537"/>
      <c r="H97" s="538"/>
      <c r="I97" s="539"/>
      <c r="J97" s="537"/>
      <c r="K97" s="538"/>
      <c r="L97" s="539"/>
      <c r="M97" s="537"/>
      <c r="N97" s="538"/>
      <c r="O97" s="539"/>
      <c r="P97" s="537"/>
      <c r="Q97" s="538"/>
      <c r="R97" s="539"/>
      <c r="S97" s="537"/>
      <c r="T97" s="538"/>
      <c r="U97" s="539"/>
      <c r="V97" s="537"/>
      <c r="W97" s="538"/>
      <c r="X97" s="540"/>
    </row>
    <row r="98" spans="1:25" s="24" customFormat="1" ht="14.25" customHeight="1">
      <c r="A98" s="549" t="s">
        <v>272</v>
      </c>
      <c r="B98" s="136"/>
      <c r="C98" s="136"/>
      <c r="D98" s="461">
        <v>0</v>
      </c>
      <c r="E98" s="541">
        <v>0</v>
      </c>
      <c r="F98" s="542">
        <v>0</v>
      </c>
      <c r="G98" s="461">
        <v>0</v>
      </c>
      <c r="H98" s="541">
        <v>0</v>
      </c>
      <c r="I98" s="543">
        <v>0</v>
      </c>
      <c r="J98" s="461">
        <v>0</v>
      </c>
      <c r="K98" s="541">
        <v>0</v>
      </c>
      <c r="L98" s="543">
        <v>0</v>
      </c>
      <c r="M98" s="461">
        <v>0</v>
      </c>
      <c r="N98" s="541">
        <v>0</v>
      </c>
      <c r="O98" s="543">
        <v>0</v>
      </c>
      <c r="P98" s="461">
        <v>0</v>
      </c>
      <c r="Q98" s="541">
        <v>0</v>
      </c>
      <c r="R98" s="543">
        <v>144500</v>
      </c>
      <c r="S98" s="461">
        <v>0</v>
      </c>
      <c r="T98" s="541">
        <v>0</v>
      </c>
      <c r="U98" s="543">
        <v>0</v>
      </c>
      <c r="V98" s="461">
        <v>0</v>
      </c>
      <c r="W98" s="541">
        <v>0</v>
      </c>
      <c r="X98" s="544">
        <f t="shared" ref="X98" si="12">+O98+SUM(R98+U98)</f>
        <v>144500</v>
      </c>
    </row>
    <row r="99" spans="1:25" s="24" customFormat="1" ht="18" customHeight="1">
      <c r="A99" s="550"/>
      <c r="B99" s="503" t="s">
        <v>273</v>
      </c>
      <c r="C99" s="136"/>
      <c r="D99" s="537">
        <f t="shared" ref="D99:E99" si="13">SUM(D96:D98)</f>
        <v>0</v>
      </c>
      <c r="E99" s="538">
        <f t="shared" si="13"/>
        <v>0</v>
      </c>
      <c r="F99" s="539">
        <f>SUM(F96:F98)</f>
        <v>417662.5</v>
      </c>
      <c r="G99" s="537">
        <f t="shared" ref="G99:H99" si="14">SUM(G96:G98)</f>
        <v>0</v>
      </c>
      <c r="H99" s="538">
        <f t="shared" si="14"/>
        <v>0</v>
      </c>
      <c r="I99" s="539">
        <v>412500</v>
      </c>
      <c r="J99" s="537">
        <f t="shared" ref="J99:K99" si="15">SUM(J96:J98)</f>
        <v>0</v>
      </c>
      <c r="K99" s="538">
        <f t="shared" si="15"/>
        <v>0</v>
      </c>
      <c r="L99" s="539">
        <v>0</v>
      </c>
      <c r="M99" s="537">
        <f t="shared" ref="M99:N99" si="16">SUM(M96:M98)</f>
        <v>0</v>
      </c>
      <c r="N99" s="538">
        <f t="shared" si="16"/>
        <v>0</v>
      </c>
      <c r="O99" s="539">
        <f>SUM(O96:O98)</f>
        <v>412500</v>
      </c>
      <c r="P99" s="537">
        <f t="shared" ref="P99:Q99" si="17">SUM(P96:P98)</f>
        <v>0</v>
      </c>
      <c r="Q99" s="538">
        <f t="shared" si="17"/>
        <v>0</v>
      </c>
      <c r="R99" s="539">
        <f>SUM(R96:R98)</f>
        <v>148000</v>
      </c>
      <c r="S99" s="537">
        <f t="shared" ref="S99:T99" si="18">SUM(S96:S98)</f>
        <v>0</v>
      </c>
      <c r="T99" s="538">
        <f t="shared" si="18"/>
        <v>0</v>
      </c>
      <c r="U99" s="539">
        <v>-148000</v>
      </c>
      <c r="V99" s="537">
        <f t="shared" ref="V99:W99" si="19">SUM(V96:V98)</f>
        <v>0</v>
      </c>
      <c r="W99" s="538">
        <f t="shared" si="19"/>
        <v>0</v>
      </c>
      <c r="X99" s="540">
        <v>412500</v>
      </c>
    </row>
    <row r="100" spans="1:25" s="24" customFormat="1" ht="18" customHeight="1">
      <c r="A100" s="550"/>
      <c r="B100" s="503" t="s">
        <v>279</v>
      </c>
      <c r="C100" s="136"/>
      <c r="D100" s="537">
        <f>SUM(D95:D99)</f>
        <v>0</v>
      </c>
      <c r="E100" s="538">
        <f t="shared" ref="E100:W100" si="20">SUM(E95:E99)</f>
        <v>0</v>
      </c>
      <c r="F100" s="539">
        <f>F96+F98</f>
        <v>417662.5</v>
      </c>
      <c r="G100" s="537">
        <f t="shared" si="20"/>
        <v>0</v>
      </c>
      <c r="H100" s="538">
        <f t="shared" si="20"/>
        <v>0</v>
      </c>
      <c r="I100" s="539">
        <f>I96+I98</f>
        <v>397500</v>
      </c>
      <c r="J100" s="537">
        <f t="shared" si="20"/>
        <v>0</v>
      </c>
      <c r="K100" s="538">
        <f t="shared" si="20"/>
        <v>0</v>
      </c>
      <c r="L100" s="539">
        <f>L96+L98</f>
        <v>15000</v>
      </c>
      <c r="M100" s="537">
        <f t="shared" si="20"/>
        <v>0</v>
      </c>
      <c r="N100" s="538">
        <f t="shared" si="20"/>
        <v>0</v>
      </c>
      <c r="O100" s="539">
        <f>O96+O98</f>
        <v>412500</v>
      </c>
      <c r="P100" s="537">
        <f t="shared" si="20"/>
        <v>0</v>
      </c>
      <c r="Q100" s="538">
        <f t="shared" si="20"/>
        <v>0</v>
      </c>
      <c r="R100" s="539">
        <f>R96+R98</f>
        <v>148000</v>
      </c>
      <c r="S100" s="537">
        <f t="shared" si="20"/>
        <v>0</v>
      </c>
      <c r="T100" s="538">
        <f t="shared" si="20"/>
        <v>0</v>
      </c>
      <c r="U100" s="539">
        <f>U96+U98</f>
        <v>-154000</v>
      </c>
      <c r="V100" s="537">
        <f t="shared" si="20"/>
        <v>0</v>
      </c>
      <c r="W100" s="538">
        <f t="shared" si="20"/>
        <v>0</v>
      </c>
      <c r="X100" s="540">
        <f>X96+X98</f>
        <v>406500</v>
      </c>
    </row>
    <row r="101" spans="1:25" s="431" customFormat="1" ht="12.75">
      <c r="A101" s="439"/>
      <c r="B101" s="565" t="s">
        <v>75</v>
      </c>
      <c r="C101" s="566"/>
      <c r="D101" s="438"/>
      <c r="E101" s="434"/>
      <c r="F101" s="437"/>
      <c r="G101" s="435"/>
      <c r="H101" s="436"/>
      <c r="I101" s="436"/>
      <c r="J101" s="435"/>
      <c r="K101" s="436"/>
      <c r="L101" s="436"/>
      <c r="M101" s="435"/>
      <c r="N101" s="436"/>
      <c r="O101" s="436"/>
      <c r="P101" s="435"/>
      <c r="Q101" s="436"/>
      <c r="R101" s="436"/>
      <c r="S101" s="435"/>
      <c r="T101" s="436"/>
      <c r="U101" s="436"/>
      <c r="V101" s="435"/>
      <c r="W101" s="434">
        <f>Q101+N101+T101</f>
        <v>0</v>
      </c>
      <c r="X101" s="433"/>
      <c r="Y101" s="432" t="s">
        <v>155</v>
      </c>
    </row>
    <row r="102" spans="1:25" s="431" customFormat="1" ht="12.75">
      <c r="A102" s="451"/>
      <c r="B102" s="557" t="s">
        <v>74</v>
      </c>
      <c r="C102" s="558"/>
      <c r="D102" s="448"/>
      <c r="E102" s="446">
        <f>+E94+E101</f>
        <v>0</v>
      </c>
      <c r="F102" s="447"/>
      <c r="G102" s="444"/>
      <c r="H102" s="446">
        <f>+H94+H101</f>
        <v>0</v>
      </c>
      <c r="I102" s="445"/>
      <c r="J102" s="444"/>
      <c r="K102" s="446">
        <f>+K94+K101</f>
        <v>0</v>
      </c>
      <c r="L102" s="445"/>
      <c r="M102" s="444"/>
      <c r="N102" s="446">
        <f>+N94+N101</f>
        <v>0</v>
      </c>
      <c r="O102" s="445"/>
      <c r="P102" s="444"/>
      <c r="Q102" s="446">
        <f>+Q94+Q101</f>
        <v>0</v>
      </c>
      <c r="R102" s="445"/>
      <c r="S102" s="444"/>
      <c r="T102" s="446">
        <f>+T94+T101</f>
        <v>0</v>
      </c>
      <c r="U102" s="445"/>
      <c r="V102" s="444"/>
      <c r="W102" s="446">
        <f>+W94+W101</f>
        <v>0</v>
      </c>
      <c r="X102" s="442"/>
      <c r="Y102" s="432" t="s">
        <v>155</v>
      </c>
    </row>
    <row r="103" spans="1:25" s="431" customFormat="1" ht="12.75">
      <c r="A103" s="458"/>
      <c r="B103" s="559"/>
      <c r="C103" s="560"/>
      <c r="D103" s="457"/>
      <c r="E103" s="456"/>
      <c r="G103" s="454"/>
      <c r="H103" s="455"/>
      <c r="I103" s="455"/>
      <c r="J103" s="454"/>
      <c r="K103" s="455"/>
      <c r="L103" s="455"/>
      <c r="M103" s="454"/>
      <c r="N103" s="455"/>
      <c r="O103" s="455"/>
      <c r="P103" s="454"/>
      <c r="Q103" s="455"/>
      <c r="R103" s="455"/>
      <c r="S103" s="454"/>
      <c r="T103" s="455"/>
      <c r="U103" s="455"/>
      <c r="V103" s="454"/>
      <c r="W103" s="453"/>
      <c r="X103" s="452"/>
      <c r="Y103" s="432" t="s">
        <v>155</v>
      </c>
    </row>
    <row r="104" spans="1:25" s="431" customFormat="1" ht="12.75">
      <c r="A104" s="451"/>
      <c r="B104" s="557" t="s">
        <v>72</v>
      </c>
      <c r="C104" s="558"/>
      <c r="D104" s="448"/>
      <c r="E104" s="446"/>
      <c r="F104" s="447"/>
      <c r="G104" s="444"/>
      <c r="H104" s="445"/>
      <c r="I104" s="445"/>
      <c r="J104" s="444"/>
      <c r="K104" s="445"/>
      <c r="L104" s="445"/>
      <c r="M104" s="444"/>
      <c r="N104" s="445"/>
      <c r="O104" s="445"/>
      <c r="P104" s="444"/>
      <c r="Q104" s="445"/>
      <c r="R104" s="445"/>
      <c r="S104" s="444"/>
      <c r="T104" s="445"/>
      <c r="U104" s="445"/>
      <c r="V104" s="444"/>
      <c r="W104" s="445"/>
      <c r="X104" s="442"/>
      <c r="Y104" s="432" t="s">
        <v>155</v>
      </c>
    </row>
    <row r="105" spans="1:25" s="431" customFormat="1" ht="12.75">
      <c r="A105" s="451"/>
      <c r="B105" s="450"/>
      <c r="C105" s="449" t="s">
        <v>33</v>
      </c>
      <c r="D105" s="448"/>
      <c r="E105" s="446"/>
      <c r="F105" s="447"/>
      <c r="G105" s="444"/>
      <c r="H105" s="445"/>
      <c r="I105" s="445"/>
      <c r="J105" s="444"/>
      <c r="K105" s="446"/>
      <c r="L105" s="445"/>
      <c r="M105" s="444"/>
      <c r="N105" s="446"/>
      <c r="O105" s="445"/>
      <c r="P105" s="444"/>
      <c r="Q105" s="446"/>
      <c r="R105" s="445"/>
      <c r="S105" s="444"/>
      <c r="T105" s="446"/>
      <c r="U105" s="445"/>
      <c r="V105" s="444"/>
      <c r="W105" s="443">
        <f>Q105+N105+T105</f>
        <v>0</v>
      </c>
      <c r="X105" s="442"/>
      <c r="Y105" s="432" t="s">
        <v>155</v>
      </c>
    </row>
    <row r="106" spans="1:25" s="431" customFormat="1" ht="12.75">
      <c r="A106" s="439"/>
      <c r="B106" s="441"/>
      <c r="C106" s="440" t="s">
        <v>58</v>
      </c>
      <c r="D106" s="438"/>
      <c r="E106" s="434"/>
      <c r="F106" s="437"/>
      <c r="G106" s="435"/>
      <c r="H106" s="436"/>
      <c r="I106" s="436"/>
      <c r="J106" s="435"/>
      <c r="K106" s="434"/>
      <c r="L106" s="436"/>
      <c r="M106" s="435"/>
      <c r="N106" s="434"/>
      <c r="O106" s="436"/>
      <c r="P106" s="435"/>
      <c r="Q106" s="434"/>
      <c r="R106" s="436"/>
      <c r="S106" s="435"/>
      <c r="T106" s="434"/>
      <c r="U106" s="436"/>
      <c r="V106" s="435"/>
      <c r="W106" s="434">
        <f>Q106+N106+T106</f>
        <v>0</v>
      </c>
      <c r="X106" s="433"/>
      <c r="Y106" s="432" t="s">
        <v>155</v>
      </c>
    </row>
    <row r="107" spans="1:25" s="431" customFormat="1" ht="12.75">
      <c r="A107" s="439"/>
      <c r="B107" s="561" t="s">
        <v>73</v>
      </c>
      <c r="C107" s="562"/>
      <c r="D107" s="438"/>
      <c r="E107" s="434">
        <f>E106+E105+E102</f>
        <v>0</v>
      </c>
      <c r="F107" s="437"/>
      <c r="G107" s="435"/>
      <c r="H107" s="434">
        <f>H106+H105+H102</f>
        <v>0</v>
      </c>
      <c r="I107" s="436"/>
      <c r="J107" s="435"/>
      <c r="K107" s="434">
        <f>K106+K105+K102</f>
        <v>0</v>
      </c>
      <c r="L107" s="436"/>
      <c r="M107" s="435"/>
      <c r="N107" s="434">
        <f>N106+N105+N102</f>
        <v>0</v>
      </c>
      <c r="O107" s="436"/>
      <c r="P107" s="435"/>
      <c r="Q107" s="434">
        <f>Q106+Q105+Q102</f>
        <v>0</v>
      </c>
      <c r="R107" s="436"/>
      <c r="S107" s="435"/>
      <c r="T107" s="434">
        <f>T106+T105+T102</f>
        <v>0</v>
      </c>
      <c r="U107" s="436"/>
      <c r="V107" s="435"/>
      <c r="W107" s="434">
        <f>W106+W105+W102</f>
        <v>0</v>
      </c>
      <c r="X107" s="433"/>
      <c r="Y107" s="432" t="s">
        <v>203</v>
      </c>
    </row>
    <row r="108" spans="1:25" s="396" customFormat="1">
      <c r="C108" s="547" t="s">
        <v>277</v>
      </c>
      <c r="D108" s="395"/>
      <c r="E108" s="395"/>
      <c r="F108" s="395"/>
      <c r="G108" s="395"/>
      <c r="H108" s="395"/>
      <c r="I108" s="395"/>
      <c r="J108" s="395"/>
      <c r="K108" s="395"/>
      <c r="L108" s="395"/>
      <c r="M108" s="395"/>
      <c r="N108" s="395"/>
      <c r="O108" s="395"/>
      <c r="P108" s="395"/>
      <c r="Q108" s="395"/>
      <c r="R108" s="395"/>
      <c r="S108" s="395"/>
      <c r="T108" s="395"/>
      <c r="U108" s="395"/>
      <c r="V108" s="395"/>
      <c r="W108" s="395"/>
      <c r="X108" s="395"/>
      <c r="Y108" s="429"/>
    </row>
    <row r="109" spans="1:25" s="396" customFormat="1" ht="119.25" customHeight="1">
      <c r="B109" s="563"/>
      <c r="C109" s="563"/>
      <c r="D109" s="564"/>
      <c r="E109" s="564"/>
      <c r="F109" s="564"/>
      <c r="G109" s="556"/>
      <c r="H109" s="556"/>
      <c r="I109" s="556"/>
      <c r="J109" s="556"/>
      <c r="K109" s="556"/>
      <c r="L109" s="556"/>
      <c r="M109" s="556"/>
      <c r="N109" s="556"/>
      <c r="O109" s="556"/>
      <c r="P109" s="556"/>
      <c r="Q109" s="556"/>
      <c r="R109" s="556"/>
      <c r="S109" s="556"/>
      <c r="T109" s="556"/>
      <c r="U109" s="556"/>
      <c r="V109" s="556"/>
      <c r="W109" s="556"/>
      <c r="X109" s="556"/>
      <c r="Y109" s="429"/>
    </row>
    <row r="110" spans="1:25" s="399" customFormat="1" ht="15"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8"/>
      <c r="U110" s="398"/>
      <c r="V110" s="398"/>
      <c r="W110" s="398"/>
      <c r="X110" s="398"/>
      <c r="Y110" s="430"/>
    </row>
    <row r="111" spans="1:25" s="399" customFormat="1" ht="15"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8"/>
      <c r="P111" s="398"/>
      <c r="Q111" s="398"/>
      <c r="R111" s="398"/>
      <c r="S111" s="398"/>
      <c r="T111" s="398"/>
      <c r="U111" s="398"/>
      <c r="V111" s="398"/>
      <c r="W111" s="398"/>
      <c r="X111" s="398"/>
      <c r="Y111" s="430"/>
    </row>
    <row r="112" spans="1:25" s="399" customFormat="1" ht="15"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  <c r="T112" s="398"/>
      <c r="U112" s="398"/>
      <c r="V112" s="398"/>
      <c r="W112" s="398"/>
      <c r="X112" s="398"/>
      <c r="Y112" s="430"/>
    </row>
    <row r="113" spans="1:25" s="399" customFormat="1" ht="15"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398"/>
      <c r="P113" s="398"/>
      <c r="Q113" s="398"/>
      <c r="R113" s="398"/>
      <c r="S113" s="398"/>
      <c r="T113" s="398"/>
      <c r="U113" s="398"/>
      <c r="V113" s="398"/>
      <c r="W113" s="398"/>
      <c r="X113" s="398"/>
      <c r="Y113" s="430"/>
    </row>
    <row r="114" spans="1:25" s="399" customFormat="1" ht="15"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8"/>
      <c r="P114" s="398"/>
      <c r="Q114" s="398"/>
      <c r="R114" s="398"/>
      <c r="S114" s="398"/>
      <c r="T114" s="398"/>
      <c r="U114" s="398"/>
      <c r="V114" s="398"/>
      <c r="W114" s="398"/>
      <c r="X114" s="398"/>
      <c r="Y114" s="430"/>
    </row>
    <row r="115" spans="1:25" s="399" customFormat="1" ht="15"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398"/>
      <c r="P115" s="398"/>
      <c r="Q115" s="398"/>
      <c r="R115" s="398"/>
      <c r="S115" s="398"/>
      <c r="T115" s="398"/>
      <c r="U115" s="398"/>
      <c r="V115" s="398"/>
      <c r="W115" s="398"/>
      <c r="X115" s="398"/>
      <c r="Y115" s="430"/>
    </row>
    <row r="116" spans="1:25" s="399" customFormat="1" ht="15"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398"/>
      <c r="P116" s="398"/>
      <c r="Q116" s="398"/>
      <c r="R116" s="398"/>
      <c r="S116" s="398"/>
      <c r="T116" s="398"/>
      <c r="U116" s="398"/>
      <c r="V116" s="398"/>
      <c r="W116" s="398"/>
      <c r="X116" s="398"/>
      <c r="Y116" s="430"/>
    </row>
    <row r="117" spans="1:25" s="399" customFormat="1" ht="30" customHeight="1">
      <c r="A117" s="552"/>
      <c r="B117" s="552"/>
      <c r="C117" s="552"/>
      <c r="D117" s="552"/>
      <c r="E117" s="552"/>
      <c r="F117" s="552"/>
      <c r="G117" s="552"/>
      <c r="H117" s="552"/>
      <c r="I117" s="552"/>
      <c r="J117" s="552"/>
      <c r="K117" s="552"/>
      <c r="L117" s="552"/>
      <c r="M117" s="552"/>
      <c r="N117" s="552"/>
      <c r="O117" s="552"/>
      <c r="P117" s="552"/>
      <c r="Q117" s="552"/>
      <c r="R117" s="552"/>
      <c r="S117" s="552"/>
      <c r="T117" s="552"/>
      <c r="U117" s="552"/>
      <c r="V117" s="552"/>
      <c r="W117" s="397"/>
      <c r="X117" s="397"/>
      <c r="Y117" s="430"/>
    </row>
    <row r="118" spans="1:25" s="396" customFormat="1">
      <c r="D118" s="395"/>
      <c r="E118" s="395"/>
      <c r="F118" s="395"/>
      <c r="G118" s="395"/>
      <c r="H118" s="395"/>
      <c r="I118" s="395"/>
      <c r="J118" s="395"/>
      <c r="K118" s="395"/>
      <c r="L118" s="395"/>
      <c r="M118" s="395"/>
      <c r="N118" s="395"/>
      <c r="O118" s="395"/>
      <c r="P118" s="395"/>
      <c r="Q118" s="395"/>
      <c r="R118" s="395"/>
      <c r="S118" s="395"/>
      <c r="T118" s="395"/>
      <c r="U118" s="395"/>
      <c r="V118" s="395"/>
      <c r="W118" s="395"/>
      <c r="X118" s="395"/>
      <c r="Y118" s="429"/>
    </row>
    <row r="119" spans="1:25">
      <c r="K119" s="394"/>
    </row>
  </sheetData>
  <mergeCells count="72">
    <mergeCell ref="A41:U41"/>
    <mergeCell ref="A42:U42"/>
    <mergeCell ref="A43:U43"/>
    <mergeCell ref="A44:U44"/>
    <mergeCell ref="A11:U13"/>
    <mergeCell ref="A14:U14"/>
    <mergeCell ref="A15:U15"/>
    <mergeCell ref="A16:U16"/>
    <mergeCell ref="A17:U17"/>
    <mergeCell ref="A18:U18"/>
    <mergeCell ref="A20:U20"/>
    <mergeCell ref="A22:U22"/>
    <mergeCell ref="A24:U24"/>
    <mergeCell ref="A25:U25"/>
    <mergeCell ref="A26:U26"/>
    <mergeCell ref="A27:U27"/>
    <mergeCell ref="V11:X11"/>
    <mergeCell ref="V12:V13"/>
    <mergeCell ref="W12:W13"/>
    <mergeCell ref="X12:X13"/>
    <mergeCell ref="A6:X6"/>
    <mergeCell ref="A7:X7"/>
    <mergeCell ref="A8:X8"/>
    <mergeCell ref="A9:X9"/>
    <mergeCell ref="A10:X10"/>
    <mergeCell ref="A1:X1"/>
    <mergeCell ref="A2:X2"/>
    <mergeCell ref="A3:X3"/>
    <mergeCell ref="A4:X4"/>
    <mergeCell ref="A5:X5"/>
    <mergeCell ref="A28:U28"/>
    <mergeCell ref="A29:U29"/>
    <mergeCell ref="A31:U31"/>
    <mergeCell ref="A32:U32"/>
    <mergeCell ref="A33:U33"/>
    <mergeCell ref="A34:U34"/>
    <mergeCell ref="A58:X58"/>
    <mergeCell ref="A64:C66"/>
    <mergeCell ref="D64:F65"/>
    <mergeCell ref="G64:I65"/>
    <mergeCell ref="J64:L65"/>
    <mergeCell ref="M64:O65"/>
    <mergeCell ref="P64:R65"/>
    <mergeCell ref="S64:U65"/>
    <mergeCell ref="V64:X65"/>
    <mergeCell ref="A37:U37"/>
    <mergeCell ref="A39:U39"/>
    <mergeCell ref="A46:U46"/>
    <mergeCell ref="A55:X55"/>
    <mergeCell ref="A56:X56"/>
    <mergeCell ref="A57:X57"/>
    <mergeCell ref="B107:C107"/>
    <mergeCell ref="B109:C109"/>
    <mergeCell ref="D109:F109"/>
    <mergeCell ref="B95:C95"/>
    <mergeCell ref="B101:C101"/>
    <mergeCell ref="A117:V117"/>
    <mergeCell ref="B67:C67"/>
    <mergeCell ref="D75:E75"/>
    <mergeCell ref="D76:E76"/>
    <mergeCell ref="D77:E77"/>
    <mergeCell ref="D78:E78"/>
    <mergeCell ref="D81:E81"/>
    <mergeCell ref="G109:I109"/>
    <mergeCell ref="J109:L109"/>
    <mergeCell ref="M109:O109"/>
    <mergeCell ref="P109:R109"/>
    <mergeCell ref="S109:U109"/>
    <mergeCell ref="V109:X109"/>
    <mergeCell ref="B102:C102"/>
    <mergeCell ref="B103:C103"/>
    <mergeCell ref="B104:C104"/>
  </mergeCells>
  <printOptions horizontalCentered="1"/>
  <pageMargins left="0.5" right="0.4" top="0.5" bottom="0.25" header="0" footer="0"/>
  <pageSetup scale="53" firstPageNumber="8" fitToHeight="0" orientation="landscape" useFirstPageNumber="1" r:id="rId1"/>
  <headerFooter alignWithMargins="0">
    <oddFooter>&amp;C&amp;"Times New Roman,Regular"Exhibit B - Summary of Requirements</oddFooter>
  </headerFooter>
  <rowBreaks count="1" manualBreakCount="1">
    <brk id="48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abSelected="1" view="pageBreakPreview" zoomScale="60" zoomScaleNormal="100" workbookViewId="0">
      <selection activeCell="A46" sqref="A46:U46"/>
    </sheetView>
  </sheetViews>
  <sheetFormatPr defaultColWidth="7.21875" defaultRowHeight="12.75"/>
  <cols>
    <col min="1" max="1" width="43.109375" style="24" customWidth="1"/>
    <col min="2" max="2" width="42.44140625" style="24" hidden="1" customWidth="1"/>
    <col min="3" max="3" width="4.6640625" style="24" customWidth="1"/>
    <col min="4" max="4" width="7.5546875" style="24" customWidth="1"/>
    <col min="5" max="5" width="4.6640625" style="24" customWidth="1"/>
    <col min="6" max="6" width="10.6640625" style="24" bestFit="1" customWidth="1"/>
    <col min="7" max="7" width="11.21875" style="24" customWidth="1"/>
    <col min="8" max="16384" width="7.21875" style="24"/>
  </cols>
  <sheetData>
    <row r="1" spans="1:8" ht="15.75">
      <c r="A1" s="30" t="s">
        <v>12</v>
      </c>
      <c r="H1" s="274" t="s">
        <v>155</v>
      </c>
    </row>
    <row r="2" spans="1:8" ht="20.25">
      <c r="A2" s="23"/>
      <c r="H2" s="274" t="s">
        <v>155</v>
      </c>
    </row>
    <row r="3" spans="1:8" ht="15.75">
      <c r="H3" s="274" t="s">
        <v>155</v>
      </c>
    </row>
    <row r="4" spans="1:8" ht="15.75">
      <c r="A4" s="31" t="s">
        <v>192</v>
      </c>
      <c r="B4" s="29"/>
      <c r="C4" s="29"/>
      <c r="D4" s="29"/>
      <c r="E4" s="29"/>
      <c r="F4" s="29"/>
      <c r="G4" s="29"/>
      <c r="H4" s="274" t="s">
        <v>155</v>
      </c>
    </row>
    <row r="5" spans="1:8" ht="15.75">
      <c r="A5" s="33" t="s">
        <v>0</v>
      </c>
      <c r="B5" s="29"/>
      <c r="C5" s="29"/>
      <c r="D5" s="29"/>
      <c r="E5" s="29"/>
      <c r="F5" s="29"/>
      <c r="G5" s="29"/>
      <c r="H5" s="274" t="s">
        <v>155</v>
      </c>
    </row>
    <row r="6" spans="1:8" ht="15.75">
      <c r="A6" s="32" t="s">
        <v>70</v>
      </c>
      <c r="B6" s="29"/>
      <c r="C6" s="29"/>
      <c r="D6" s="29"/>
      <c r="E6" s="29"/>
      <c r="F6" s="29"/>
      <c r="G6" s="29"/>
      <c r="H6" s="274" t="s">
        <v>155</v>
      </c>
    </row>
    <row r="7" spans="1:8" ht="15.75">
      <c r="A7" s="159"/>
      <c r="B7" s="29"/>
      <c r="C7" s="29"/>
      <c r="D7" s="29"/>
      <c r="E7" s="29"/>
      <c r="F7" s="29"/>
      <c r="G7" s="29"/>
      <c r="H7" s="274" t="s">
        <v>155</v>
      </c>
    </row>
    <row r="8" spans="1:8" ht="15.75">
      <c r="H8" s="274" t="s">
        <v>155</v>
      </c>
    </row>
    <row r="9" spans="1:8" s="270" customFormat="1">
      <c r="A9" s="160"/>
      <c r="B9" s="38" t="s">
        <v>101</v>
      </c>
      <c r="C9" s="39" t="s">
        <v>56</v>
      </c>
      <c r="D9" s="40"/>
      <c r="E9" s="40"/>
      <c r="F9" s="41"/>
      <c r="G9" s="42" t="s">
        <v>32</v>
      </c>
      <c r="H9" s="473" t="s">
        <v>155</v>
      </c>
    </row>
    <row r="10" spans="1:8" s="270" customFormat="1">
      <c r="A10" s="161" t="s">
        <v>66</v>
      </c>
      <c r="B10" s="43" t="s">
        <v>102</v>
      </c>
      <c r="C10" s="44" t="s">
        <v>85</v>
      </c>
      <c r="D10" s="44" t="s">
        <v>93</v>
      </c>
      <c r="E10" s="44" t="s">
        <v>31</v>
      </c>
      <c r="F10" s="45" t="s">
        <v>87</v>
      </c>
      <c r="G10" s="45" t="s">
        <v>89</v>
      </c>
      <c r="H10" s="473" t="s">
        <v>155</v>
      </c>
    </row>
    <row r="11" spans="1:8" s="270" customFormat="1" hidden="1">
      <c r="A11" s="292" t="s">
        <v>178</v>
      </c>
      <c r="B11" s="270" t="s">
        <v>151</v>
      </c>
      <c r="C11" s="275">
        <v>0</v>
      </c>
      <c r="D11" s="275">
        <v>0</v>
      </c>
      <c r="E11" s="275">
        <v>0</v>
      </c>
      <c r="F11" s="276">
        <v>0</v>
      </c>
      <c r="G11" s="277">
        <f t="shared" ref="G11:G12" si="0">+F11</f>
        <v>0</v>
      </c>
      <c r="H11" s="473" t="s">
        <v>155</v>
      </c>
    </row>
    <row r="12" spans="1:8" s="270" customFormat="1" hidden="1">
      <c r="A12" s="291" t="s">
        <v>161</v>
      </c>
      <c r="B12" s="270" t="s">
        <v>151</v>
      </c>
      <c r="C12" s="275">
        <v>0</v>
      </c>
      <c r="D12" s="275">
        <v>0</v>
      </c>
      <c r="E12" s="275">
        <v>0</v>
      </c>
      <c r="F12" s="276">
        <v>0</v>
      </c>
      <c r="G12" s="277">
        <f t="shared" si="0"/>
        <v>0</v>
      </c>
      <c r="H12" s="473" t="s">
        <v>155</v>
      </c>
    </row>
    <row r="13" spans="1:8" s="270" customFormat="1">
      <c r="A13" s="291" t="s">
        <v>228</v>
      </c>
      <c r="C13" s="275">
        <v>0</v>
      </c>
      <c r="D13" s="275">
        <v>0</v>
      </c>
      <c r="E13" s="275">
        <v>0</v>
      </c>
      <c r="F13" s="276">
        <v>3500</v>
      </c>
      <c r="G13" s="277">
        <f>+F13</f>
        <v>3500</v>
      </c>
      <c r="H13" s="473" t="s">
        <v>155</v>
      </c>
    </row>
    <row r="14" spans="1:8" s="270" customFormat="1">
      <c r="A14" s="282" t="s">
        <v>81</v>
      </c>
      <c r="B14" s="271"/>
      <c r="C14" s="275">
        <v>0</v>
      </c>
      <c r="D14" s="275">
        <v>0</v>
      </c>
      <c r="E14" s="275">
        <v>0</v>
      </c>
      <c r="F14" s="279">
        <f>SUM(F11:F13)</f>
        <v>3500</v>
      </c>
      <c r="G14" s="280">
        <f>SUM(G11:G13)</f>
        <v>3500</v>
      </c>
      <c r="H14" s="473" t="s">
        <v>155</v>
      </c>
    </row>
    <row r="15" spans="1:8" s="270" customFormat="1">
      <c r="A15" s="282"/>
      <c r="B15" s="271"/>
      <c r="C15" s="283"/>
      <c r="D15" s="284"/>
      <c r="E15" s="284"/>
      <c r="F15" s="285"/>
      <c r="G15" s="278"/>
      <c r="H15" s="473" t="s">
        <v>155</v>
      </c>
    </row>
    <row r="16" spans="1:8" s="270" customFormat="1" ht="15" customHeight="1">
      <c r="A16" s="160"/>
      <c r="B16" s="42" t="s">
        <v>101</v>
      </c>
      <c r="C16" s="39" t="s">
        <v>56</v>
      </c>
      <c r="D16" s="40"/>
      <c r="E16" s="40"/>
      <c r="F16" s="41"/>
      <c r="G16" s="286" t="s">
        <v>32</v>
      </c>
      <c r="H16" s="473" t="s">
        <v>155</v>
      </c>
    </row>
    <row r="17" spans="1:8" s="270" customFormat="1" ht="15" customHeight="1">
      <c r="A17" s="161" t="s">
        <v>95</v>
      </c>
      <c r="B17" s="43" t="s">
        <v>102</v>
      </c>
      <c r="C17" s="287" t="s">
        <v>85</v>
      </c>
      <c r="D17" s="44" t="s">
        <v>93</v>
      </c>
      <c r="E17" s="44" t="s">
        <v>31</v>
      </c>
      <c r="F17" s="45" t="s">
        <v>87</v>
      </c>
      <c r="G17" s="45" t="s">
        <v>90</v>
      </c>
      <c r="H17" s="473" t="s">
        <v>155</v>
      </c>
    </row>
    <row r="18" spans="1:8" s="270" customFormat="1">
      <c r="A18" s="293" t="s">
        <v>177</v>
      </c>
      <c r="B18" s="270" t="s">
        <v>151</v>
      </c>
      <c r="C18" s="275">
        <v>0</v>
      </c>
      <c r="D18" s="275">
        <v>0</v>
      </c>
      <c r="E18" s="275">
        <v>0</v>
      </c>
      <c r="F18" s="276">
        <v>-3000</v>
      </c>
      <c r="G18" s="281">
        <f>+F18</f>
        <v>-3000</v>
      </c>
      <c r="H18" s="473" t="s">
        <v>155</v>
      </c>
    </row>
    <row r="19" spans="1:8" s="270" customFormat="1" ht="15" customHeight="1">
      <c r="A19" s="291" t="s">
        <v>276</v>
      </c>
      <c r="B19" s="270" t="s">
        <v>151</v>
      </c>
      <c r="C19" s="275">
        <v>0</v>
      </c>
      <c r="D19" s="275">
        <v>0</v>
      </c>
      <c r="E19" s="275">
        <v>0</v>
      </c>
      <c r="F19" s="276">
        <v>-144500</v>
      </c>
      <c r="G19" s="281">
        <f t="shared" ref="G19:G20" si="1">+F19</f>
        <v>-144500</v>
      </c>
      <c r="H19" s="473" t="s">
        <v>155</v>
      </c>
    </row>
    <row r="20" spans="1:8" s="270" customFormat="1" ht="15" customHeight="1">
      <c r="A20" s="291" t="s">
        <v>9</v>
      </c>
      <c r="B20" s="270" t="s">
        <v>151</v>
      </c>
      <c r="C20" s="275">
        <v>0</v>
      </c>
      <c r="D20" s="275">
        <v>0</v>
      </c>
      <c r="E20" s="275">
        <v>0</v>
      </c>
      <c r="F20" s="276">
        <v>-500</v>
      </c>
      <c r="G20" s="281">
        <f t="shared" si="1"/>
        <v>-500</v>
      </c>
      <c r="H20" s="473" t="s">
        <v>155</v>
      </c>
    </row>
    <row r="21" spans="1:8" s="270" customFormat="1" ht="15" customHeight="1">
      <c r="A21" s="294" t="s">
        <v>96</v>
      </c>
      <c r="B21" s="272"/>
      <c r="C21" s="288">
        <f>SUM(C19:C20)</f>
        <v>0</v>
      </c>
      <c r="D21" s="288">
        <f>SUM(D19:D20)</f>
        <v>0</v>
      </c>
      <c r="E21" s="288">
        <f>SUM(E19:E20)</f>
        <v>0</v>
      </c>
      <c r="F21" s="289">
        <f>SUM(F18:F20)</f>
        <v>-148000</v>
      </c>
      <c r="G21" s="290">
        <f>SUM(G18:G20)</f>
        <v>-148000</v>
      </c>
      <c r="H21" s="473" t="s">
        <v>155</v>
      </c>
    </row>
    <row r="22" spans="1:8">
      <c r="A22" s="503"/>
      <c r="B22" s="136"/>
      <c r="C22" s="136"/>
      <c r="D22" s="136"/>
      <c r="E22" s="136"/>
      <c r="F22" s="136"/>
      <c r="G22" s="136"/>
      <c r="H22" s="473" t="s">
        <v>155</v>
      </c>
    </row>
    <row r="23" spans="1:8" ht="18" customHeight="1">
      <c r="A23" s="504" t="s">
        <v>254</v>
      </c>
      <c r="B23" s="136"/>
      <c r="C23" s="136"/>
      <c r="D23" s="136"/>
      <c r="E23" s="136"/>
      <c r="F23" s="136"/>
      <c r="G23" s="136"/>
      <c r="H23" s="473" t="s">
        <v>155</v>
      </c>
    </row>
    <row r="24" spans="1:8">
      <c r="A24" s="160"/>
      <c r="B24" s="38" t="s">
        <v>101</v>
      </c>
      <c r="C24" s="39" t="s">
        <v>56</v>
      </c>
      <c r="D24" s="40"/>
      <c r="E24" s="40"/>
      <c r="F24" s="41"/>
      <c r="G24" s="42" t="s">
        <v>32</v>
      </c>
      <c r="H24" s="473" t="s">
        <v>155</v>
      </c>
    </row>
    <row r="25" spans="1:8">
      <c r="A25" s="161" t="s">
        <v>66</v>
      </c>
      <c r="B25" s="43" t="s">
        <v>102</v>
      </c>
      <c r="C25" s="44" t="s">
        <v>85</v>
      </c>
      <c r="D25" s="44" t="s">
        <v>93</v>
      </c>
      <c r="E25" s="44" t="s">
        <v>31</v>
      </c>
      <c r="F25" s="45" t="s">
        <v>87</v>
      </c>
      <c r="G25" s="45" t="s">
        <v>89</v>
      </c>
      <c r="H25" s="473" t="s">
        <v>155</v>
      </c>
    </row>
    <row r="26" spans="1:8">
      <c r="A26" s="292" t="s">
        <v>165</v>
      </c>
      <c r="B26" s="270" t="s">
        <v>151</v>
      </c>
      <c r="C26" s="275">
        <v>0</v>
      </c>
      <c r="D26" s="275">
        <v>0</v>
      </c>
      <c r="E26" s="275">
        <v>0</v>
      </c>
      <c r="F26" s="276">
        <v>144500</v>
      </c>
      <c r="G26" s="277">
        <f t="shared" ref="G26" si="2">+F26</f>
        <v>144500</v>
      </c>
      <c r="H26" s="473" t="s">
        <v>155</v>
      </c>
    </row>
    <row r="27" spans="1:8">
      <c r="A27" s="545" t="s">
        <v>81</v>
      </c>
      <c r="B27" s="271"/>
      <c r="C27" s="275">
        <v>0</v>
      </c>
      <c r="D27" s="275">
        <v>0</v>
      </c>
      <c r="E27" s="275">
        <v>0</v>
      </c>
      <c r="F27" s="279">
        <f>SUM(F26:F26)</f>
        <v>144500</v>
      </c>
      <c r="G27" s="280">
        <f>SUM(G26:G26)</f>
        <v>144500</v>
      </c>
      <c r="H27" s="473" t="s">
        <v>203</v>
      </c>
    </row>
    <row r="28" spans="1:8" ht="15.75">
      <c r="A28" s="547" t="s">
        <v>277</v>
      </c>
    </row>
  </sheetData>
  <phoneticPr fontId="18" type="noConversion"/>
  <printOptions horizontalCentered="1"/>
  <pageMargins left="0.75" right="0.75" top="1" bottom="1" header="0.5" footer="0.5"/>
  <pageSetup orientation="landscape" r:id="rId1"/>
  <headerFooter alignWithMargins="0">
    <oddFooter>&amp;C&amp;"Times New Roman,Regular"Exhibit C - Program Increases/Offsets By Decision Unit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0"/>
  <sheetViews>
    <sheetView view="pageBreakPreview" zoomScale="60" zoomScaleNormal="100" workbookViewId="0">
      <selection activeCell="A46" sqref="A46:U46"/>
    </sheetView>
  </sheetViews>
  <sheetFormatPr defaultColWidth="7.21875" defaultRowHeight="12.75"/>
  <cols>
    <col min="1" max="1" width="49.5546875" style="26" customWidth="1"/>
    <col min="2" max="2" width="1.21875" style="26" customWidth="1"/>
    <col min="3" max="3" width="10.77734375" style="26" customWidth="1"/>
    <col min="4" max="4" width="11" style="26" customWidth="1"/>
    <col min="5" max="5" width="1.21875" style="26" customWidth="1"/>
    <col min="6" max="7" width="11.21875" style="26" customWidth="1"/>
    <col min="8" max="8" width="1.21875" style="26" customWidth="1"/>
    <col min="9" max="9" width="7.21875" style="26" customWidth="1"/>
    <col min="10" max="10" width="10.88671875" style="26" bestFit="1" customWidth="1"/>
    <col min="11" max="11" width="6.77734375" style="26" customWidth="1"/>
    <col min="12" max="12" width="10.88671875" style="26" bestFit="1" customWidth="1"/>
    <col min="13" max="13" width="6.77734375" style="26" customWidth="1"/>
    <col min="14" max="14" width="11.5546875" style="26" bestFit="1" customWidth="1"/>
    <col min="15" max="15" width="6.33203125" style="26" customWidth="1"/>
    <col min="16" max="16" width="10.6640625" style="26" bestFit="1" customWidth="1"/>
    <col min="17" max="17" width="1.88671875" style="26" customWidth="1"/>
    <col min="18" max="16384" width="7.21875" style="26"/>
  </cols>
  <sheetData>
    <row r="1" spans="1:19" ht="15.75">
      <c r="A1" s="34" t="s">
        <v>13</v>
      </c>
    </row>
    <row r="2" spans="1:19" ht="19.149999999999999" customHeight="1">
      <c r="A2" s="34"/>
    </row>
    <row r="3" spans="1:19" ht="15.75">
      <c r="A3" s="35" t="s">
        <v>94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15.75">
      <c r="A4" s="36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>
      <c r="A5" s="37" t="s">
        <v>70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7" spans="1:19" ht="13.5" thickBot="1"/>
    <row r="8" spans="1:19">
      <c r="A8" s="164"/>
      <c r="B8" s="46"/>
      <c r="C8" s="189" t="s">
        <v>282</v>
      </c>
      <c r="D8" s="162"/>
      <c r="E8" s="150"/>
      <c r="F8" s="189" t="s">
        <v>224</v>
      </c>
      <c r="G8" s="162"/>
      <c r="H8" s="150"/>
      <c r="I8" s="163">
        <v>2013</v>
      </c>
      <c r="J8" s="162"/>
      <c r="K8" s="184">
        <v>2013</v>
      </c>
      <c r="L8" s="185"/>
      <c r="M8" s="186"/>
      <c r="N8" s="187"/>
      <c r="O8" s="163">
        <v>2013</v>
      </c>
      <c r="P8" s="162"/>
      <c r="Q8" s="473" t="s">
        <v>155</v>
      </c>
      <c r="R8" s="191"/>
      <c r="S8" s="192"/>
    </row>
    <row r="9" spans="1:19" ht="14.25" customHeight="1">
      <c r="A9" s="46"/>
      <c r="B9" s="46"/>
      <c r="C9" s="190" t="s">
        <v>223</v>
      </c>
      <c r="D9" s="153"/>
      <c r="E9" s="150"/>
      <c r="F9" s="190"/>
      <c r="G9" s="154"/>
      <c r="H9" s="150"/>
      <c r="I9" s="152" t="s">
        <v>283</v>
      </c>
      <c r="J9" s="154"/>
      <c r="K9" s="631" t="s">
        <v>89</v>
      </c>
      <c r="L9" s="632"/>
      <c r="M9" s="173" t="s">
        <v>90</v>
      </c>
      <c r="N9" s="154"/>
      <c r="O9" s="152" t="s">
        <v>284</v>
      </c>
      <c r="P9" s="154"/>
      <c r="Q9" s="473" t="s">
        <v>155</v>
      </c>
      <c r="R9" s="192"/>
      <c r="S9" s="192"/>
    </row>
    <row r="10" spans="1:19" hidden="1">
      <c r="A10" s="633" t="s">
        <v>65</v>
      </c>
      <c r="B10" s="46"/>
      <c r="C10" s="155"/>
      <c r="D10" s="156"/>
      <c r="E10" s="150"/>
      <c r="F10" s="155"/>
      <c r="G10" s="156"/>
      <c r="H10" s="150"/>
      <c r="I10" s="155"/>
      <c r="J10" s="156"/>
      <c r="K10" s="155"/>
      <c r="L10" s="156"/>
      <c r="M10" s="174"/>
      <c r="N10" s="156"/>
      <c r="O10" s="155"/>
      <c r="P10" s="156"/>
      <c r="Q10" s="473" t="s">
        <v>155</v>
      </c>
      <c r="R10" s="174"/>
      <c r="S10" s="174"/>
    </row>
    <row r="11" spans="1:19" ht="51">
      <c r="A11" s="634"/>
      <c r="B11" s="46"/>
      <c r="C11" s="204" t="s">
        <v>126</v>
      </c>
      <c r="D11" s="205" t="s">
        <v>127</v>
      </c>
      <c r="E11" s="150"/>
      <c r="F11" s="204" t="s">
        <v>126</v>
      </c>
      <c r="G11" s="205" t="s">
        <v>127</v>
      </c>
      <c r="H11" s="150"/>
      <c r="I11" s="204" t="s">
        <v>126</v>
      </c>
      <c r="J11" s="205" t="s">
        <v>127</v>
      </c>
      <c r="K11" s="204" t="s">
        <v>126</v>
      </c>
      <c r="L11" s="205" t="s">
        <v>127</v>
      </c>
      <c r="M11" s="204" t="s">
        <v>126</v>
      </c>
      <c r="N11" s="205" t="s">
        <v>127</v>
      </c>
      <c r="O11" s="204" t="s">
        <v>126</v>
      </c>
      <c r="P11" s="205" t="s">
        <v>127</v>
      </c>
      <c r="Q11" s="473" t="s">
        <v>155</v>
      </c>
      <c r="R11" s="193"/>
      <c r="S11" s="193"/>
    </row>
    <row r="12" spans="1:19">
      <c r="A12" s="208"/>
      <c r="B12" s="46"/>
      <c r="C12" s="48"/>
      <c r="D12" s="49"/>
      <c r="E12" s="46"/>
      <c r="F12" s="48"/>
      <c r="G12" s="49"/>
      <c r="H12" s="46"/>
      <c r="I12" s="48"/>
      <c r="J12" s="49"/>
      <c r="K12" s="48"/>
      <c r="L12" s="176"/>
      <c r="M12" s="188"/>
      <c r="N12" s="49"/>
      <c r="O12" s="48"/>
      <c r="P12" s="49"/>
      <c r="Q12" s="473" t="s">
        <v>155</v>
      </c>
      <c r="R12" s="176"/>
      <c r="S12" s="176"/>
    </row>
    <row r="13" spans="1:19">
      <c r="A13" s="50" t="s">
        <v>105</v>
      </c>
      <c r="B13" s="46"/>
      <c r="C13" s="200"/>
      <c r="D13" s="201"/>
      <c r="E13" s="46"/>
      <c r="F13" s="200"/>
      <c r="G13" s="201"/>
      <c r="H13" s="46"/>
      <c r="I13" s="200"/>
      <c r="J13" s="201"/>
      <c r="K13" s="200"/>
      <c r="L13" s="202"/>
      <c r="M13" s="200"/>
      <c r="N13" s="201"/>
      <c r="O13" s="200"/>
      <c r="P13" s="201"/>
      <c r="Q13" s="473" t="s">
        <v>155</v>
      </c>
      <c r="R13" s="177"/>
      <c r="S13" s="194"/>
    </row>
    <row r="14" spans="1:19">
      <c r="A14" s="209" t="s">
        <v>135</v>
      </c>
      <c r="B14" s="46"/>
      <c r="C14" s="200"/>
      <c r="D14" s="201"/>
      <c r="E14" s="46"/>
      <c r="F14" s="200"/>
      <c r="G14" s="201"/>
      <c r="H14" s="46"/>
      <c r="I14" s="200"/>
      <c r="J14" s="201"/>
      <c r="K14" s="200"/>
      <c r="L14" s="202"/>
      <c r="M14" s="200"/>
      <c r="N14" s="201"/>
      <c r="O14" s="200">
        <f t="shared" ref="O14:P17" si="0">+I14+K14+M14</f>
        <v>0</v>
      </c>
      <c r="P14" s="212">
        <f t="shared" si="0"/>
        <v>0</v>
      </c>
      <c r="Q14" s="473" t="s">
        <v>155</v>
      </c>
      <c r="R14" s="177"/>
      <c r="S14" s="194"/>
    </row>
    <row r="15" spans="1:19" ht="25.5">
      <c r="A15" s="210" t="s">
        <v>136</v>
      </c>
      <c r="B15" s="46"/>
      <c r="C15" s="200"/>
      <c r="D15" s="201"/>
      <c r="E15" s="46"/>
      <c r="F15" s="200"/>
      <c r="G15" s="201"/>
      <c r="H15" s="46"/>
      <c r="I15" s="200"/>
      <c r="J15" s="201"/>
      <c r="K15" s="200"/>
      <c r="L15" s="202"/>
      <c r="M15" s="200"/>
      <c r="N15" s="201"/>
      <c r="O15" s="200">
        <f t="shared" si="0"/>
        <v>0</v>
      </c>
      <c r="P15" s="212">
        <f t="shared" si="0"/>
        <v>0</v>
      </c>
      <c r="Q15" s="473" t="s">
        <v>155</v>
      </c>
      <c r="R15" s="177"/>
      <c r="S15" s="194"/>
    </row>
    <row r="16" spans="1:19" ht="25.5">
      <c r="A16" s="210" t="s">
        <v>130</v>
      </c>
      <c r="B16" s="46"/>
      <c r="C16" s="200"/>
      <c r="D16" s="201"/>
      <c r="E16" s="46"/>
      <c r="F16" s="200"/>
      <c r="G16" s="201"/>
      <c r="H16" s="46"/>
      <c r="I16" s="200"/>
      <c r="J16" s="201"/>
      <c r="K16" s="200"/>
      <c r="L16" s="202"/>
      <c r="M16" s="200"/>
      <c r="N16" s="201"/>
      <c r="O16" s="200">
        <f t="shared" si="0"/>
        <v>0</v>
      </c>
      <c r="P16" s="212">
        <f t="shared" si="0"/>
        <v>0</v>
      </c>
      <c r="Q16" s="473" t="s">
        <v>155</v>
      </c>
      <c r="R16" s="177"/>
      <c r="S16" s="194"/>
    </row>
    <row r="17" spans="1:19" ht="13.5" customHeight="1">
      <c r="A17" s="209" t="s">
        <v>137</v>
      </c>
      <c r="B17" s="47"/>
      <c r="C17" s="129"/>
      <c r="D17" s="130"/>
      <c r="E17" s="54"/>
      <c r="F17" s="129"/>
      <c r="G17" s="130"/>
      <c r="H17" s="132"/>
      <c r="I17" s="129"/>
      <c r="J17" s="130"/>
      <c r="K17" s="129"/>
      <c r="L17" s="178"/>
      <c r="M17" s="129"/>
      <c r="N17" s="130"/>
      <c r="O17" s="129">
        <f t="shared" si="0"/>
        <v>0</v>
      </c>
      <c r="P17" s="130">
        <f t="shared" si="0"/>
        <v>0</v>
      </c>
      <c r="Q17" s="473" t="s">
        <v>155</v>
      </c>
      <c r="R17" s="181"/>
      <c r="S17" s="181"/>
    </row>
    <row r="18" spans="1:19" hidden="1">
      <c r="A18" s="53" t="s">
        <v>97</v>
      </c>
      <c r="B18" s="46"/>
      <c r="C18" s="57"/>
      <c r="D18" s="58"/>
      <c r="E18" s="56"/>
      <c r="F18" s="57"/>
      <c r="G18" s="58"/>
      <c r="H18" s="56"/>
      <c r="I18" s="57"/>
      <c r="J18" s="58"/>
      <c r="K18" s="57"/>
      <c r="L18" s="179"/>
      <c r="M18" s="57"/>
      <c r="N18" s="58"/>
      <c r="O18" s="57"/>
      <c r="P18" s="58"/>
      <c r="Q18" s="473" t="s">
        <v>155</v>
      </c>
      <c r="R18" s="179"/>
      <c r="S18" s="179"/>
    </row>
    <row r="19" spans="1:19" s="27" customFormat="1">
      <c r="A19" s="61" t="s">
        <v>106</v>
      </c>
      <c r="B19" s="50"/>
      <c r="C19" s="62">
        <f>SUM(C14:C18)</f>
        <v>0</v>
      </c>
      <c r="D19" s="63">
        <f>SUM(D14:D18)</f>
        <v>0</v>
      </c>
      <c r="E19" s="199"/>
      <c r="F19" s="62">
        <f>SUM(F14:F18)</f>
        <v>0</v>
      </c>
      <c r="G19" s="63">
        <f>SUM(G14:G18)</f>
        <v>0</v>
      </c>
      <c r="H19" s="131"/>
      <c r="I19" s="62">
        <f t="shared" ref="I19:P19" si="1">SUM(I14:I18)</f>
        <v>0</v>
      </c>
      <c r="J19" s="63">
        <f t="shared" si="1"/>
        <v>0</v>
      </c>
      <c r="K19" s="62">
        <f t="shared" si="1"/>
        <v>0</v>
      </c>
      <c r="L19" s="63">
        <f t="shared" si="1"/>
        <v>0</v>
      </c>
      <c r="M19" s="62">
        <f t="shared" si="1"/>
        <v>0</v>
      </c>
      <c r="N19" s="63">
        <f t="shared" si="1"/>
        <v>0</v>
      </c>
      <c r="O19" s="62">
        <f t="shared" si="1"/>
        <v>0</v>
      </c>
      <c r="P19" s="63">
        <f t="shared" si="1"/>
        <v>0</v>
      </c>
      <c r="Q19" s="473" t="s">
        <v>155</v>
      </c>
      <c r="R19" s="195"/>
      <c r="S19" s="195"/>
    </row>
    <row r="20" spans="1:19">
      <c r="A20" s="47"/>
      <c r="B20" s="46"/>
      <c r="C20" s="48"/>
      <c r="D20" s="49"/>
      <c r="E20" s="46"/>
      <c r="F20" s="48"/>
      <c r="G20" s="49"/>
      <c r="H20" s="46"/>
      <c r="I20" s="48"/>
      <c r="J20" s="49"/>
      <c r="K20" s="48"/>
      <c r="L20" s="176"/>
      <c r="M20" s="48"/>
      <c r="N20" s="49"/>
      <c r="O20" s="48"/>
      <c r="P20" s="49"/>
      <c r="Q20" s="473" t="s">
        <v>155</v>
      </c>
      <c r="R20" s="176"/>
      <c r="S20" s="176"/>
    </row>
    <row r="21" spans="1:19" ht="25.5">
      <c r="A21" s="60" t="s">
        <v>131</v>
      </c>
      <c r="B21" s="46"/>
      <c r="C21" s="48"/>
      <c r="D21" s="49"/>
      <c r="E21" s="46"/>
      <c r="F21" s="48"/>
      <c r="G21" s="49"/>
      <c r="H21" s="46"/>
      <c r="I21" s="48"/>
      <c r="J21" s="49"/>
      <c r="K21" s="48"/>
      <c r="L21" s="176"/>
      <c r="M21" s="48"/>
      <c r="N21" s="49"/>
      <c r="O21" s="206"/>
      <c r="P21" s="207"/>
      <c r="Q21" s="473" t="s">
        <v>155</v>
      </c>
      <c r="R21" s="176"/>
      <c r="S21" s="176"/>
    </row>
    <row r="22" spans="1:19" ht="25.5">
      <c r="A22" s="210" t="s">
        <v>138</v>
      </c>
      <c r="B22" s="46"/>
      <c r="C22" s="48"/>
      <c r="D22" s="228">
        <f>+'B. Summary of Requirements '!F94</f>
        <v>417662.5</v>
      </c>
      <c r="E22" s="46"/>
      <c r="F22" s="48"/>
      <c r="G22" s="228">
        <f>+'B. Summary of Requirements '!I94</f>
        <v>412500</v>
      </c>
      <c r="H22" s="46"/>
      <c r="I22" s="48"/>
      <c r="J22" s="228">
        <f>+'B. Summary of Requirements '!O94</f>
        <v>412500</v>
      </c>
      <c r="K22" s="48"/>
      <c r="L22" s="229">
        <f>+'B. Summary of Requirements '!R94</f>
        <v>3500</v>
      </c>
      <c r="M22" s="48"/>
      <c r="N22" s="253">
        <v>-148000</v>
      </c>
      <c r="O22" s="200">
        <f t="shared" ref="O22:P29" si="2">+I22+K22+M22</f>
        <v>0</v>
      </c>
      <c r="P22" s="230">
        <f>J22+L22+N22</f>
        <v>268000</v>
      </c>
      <c r="Q22" s="473" t="s">
        <v>155</v>
      </c>
      <c r="R22" s="176"/>
      <c r="S22" s="176"/>
    </row>
    <row r="23" spans="1:19">
      <c r="A23" s="209" t="s">
        <v>139</v>
      </c>
      <c r="B23" s="46"/>
      <c r="C23" s="48"/>
      <c r="D23" s="49"/>
      <c r="E23" s="46"/>
      <c r="F23" s="48"/>
      <c r="G23" s="49"/>
      <c r="H23" s="46"/>
      <c r="I23" s="48"/>
      <c r="J23" s="49"/>
      <c r="K23" s="48"/>
      <c r="L23" s="176"/>
      <c r="M23" s="48"/>
      <c r="N23" s="49"/>
      <c r="O23" s="200">
        <f t="shared" si="2"/>
        <v>0</v>
      </c>
      <c r="P23" s="212">
        <f t="shared" si="2"/>
        <v>0</v>
      </c>
      <c r="Q23" s="473" t="s">
        <v>155</v>
      </c>
      <c r="R23" s="176"/>
      <c r="S23" s="176"/>
    </row>
    <row r="24" spans="1:19">
      <c r="A24" s="209" t="s">
        <v>140</v>
      </c>
      <c r="B24" s="46"/>
      <c r="C24" s="48"/>
      <c r="D24" s="49"/>
      <c r="E24" s="46"/>
      <c r="F24" s="48"/>
      <c r="G24" s="49"/>
      <c r="H24" s="46"/>
      <c r="I24" s="48"/>
      <c r="J24" s="49"/>
      <c r="K24" s="48"/>
      <c r="L24" s="176"/>
      <c r="M24" s="48"/>
      <c r="N24" s="49"/>
      <c r="O24" s="200">
        <f t="shared" si="2"/>
        <v>0</v>
      </c>
      <c r="P24" s="212">
        <f t="shared" si="2"/>
        <v>0</v>
      </c>
      <c r="Q24" s="473" t="s">
        <v>155</v>
      </c>
      <c r="R24" s="176"/>
      <c r="S24" s="176"/>
    </row>
    <row r="25" spans="1:19">
      <c r="A25" s="209" t="s">
        <v>141</v>
      </c>
      <c r="B25" s="46"/>
      <c r="C25" s="48"/>
      <c r="D25" s="49"/>
      <c r="E25" s="46"/>
      <c r="F25" s="48"/>
      <c r="G25" s="49"/>
      <c r="H25" s="46"/>
      <c r="I25" s="48"/>
      <c r="J25" s="49"/>
      <c r="K25" s="48"/>
      <c r="L25" s="176"/>
      <c r="M25" s="48"/>
      <c r="N25" s="49"/>
      <c r="O25" s="200">
        <f t="shared" si="2"/>
        <v>0</v>
      </c>
      <c r="P25" s="212">
        <f t="shared" si="2"/>
        <v>0</v>
      </c>
      <c r="Q25" s="473" t="s">
        <v>155</v>
      </c>
      <c r="R25" s="176"/>
      <c r="S25" s="176"/>
    </row>
    <row r="26" spans="1:19" ht="25.5">
      <c r="A26" s="210" t="s">
        <v>142</v>
      </c>
      <c r="B26" s="46"/>
      <c r="C26" s="48"/>
      <c r="D26" s="49"/>
      <c r="E26" s="46"/>
      <c r="F26" s="48"/>
      <c r="G26" s="49"/>
      <c r="H26" s="46"/>
      <c r="I26" s="48"/>
      <c r="J26" s="49"/>
      <c r="K26" s="48"/>
      <c r="L26" s="176"/>
      <c r="M26" s="48"/>
      <c r="N26" s="49"/>
      <c r="O26" s="200">
        <f t="shared" si="2"/>
        <v>0</v>
      </c>
      <c r="P26" s="212">
        <f t="shared" si="2"/>
        <v>0</v>
      </c>
      <c r="Q26" s="473" t="s">
        <v>155</v>
      </c>
      <c r="R26" s="176"/>
      <c r="S26" s="176"/>
    </row>
    <row r="27" spans="1:19">
      <c r="A27" s="209" t="s">
        <v>143</v>
      </c>
      <c r="B27" s="46"/>
      <c r="C27" s="48"/>
      <c r="D27" s="49"/>
      <c r="E27" s="46"/>
      <c r="F27" s="48"/>
      <c r="G27" s="49"/>
      <c r="H27" s="46"/>
      <c r="I27" s="48"/>
      <c r="J27" s="49"/>
      <c r="K27" s="48"/>
      <c r="L27" s="176"/>
      <c r="M27" s="48"/>
      <c r="N27" s="49"/>
      <c r="O27" s="200">
        <f t="shared" si="2"/>
        <v>0</v>
      </c>
      <c r="P27" s="212">
        <f t="shared" si="2"/>
        <v>0</v>
      </c>
      <c r="Q27" s="473" t="s">
        <v>155</v>
      </c>
      <c r="R27" s="176"/>
      <c r="S27" s="176"/>
    </row>
    <row r="28" spans="1:19" ht="25.5">
      <c r="A28" s="210" t="s">
        <v>144</v>
      </c>
      <c r="B28" s="46"/>
      <c r="C28" s="48"/>
      <c r="D28" s="49"/>
      <c r="E28" s="46"/>
      <c r="F28" s="48"/>
      <c r="G28" s="49"/>
      <c r="H28" s="46"/>
      <c r="I28" s="48"/>
      <c r="J28" s="49"/>
      <c r="K28" s="48"/>
      <c r="L28" s="176"/>
      <c r="M28" s="48"/>
      <c r="N28" s="49"/>
      <c r="O28" s="200">
        <f t="shared" si="2"/>
        <v>0</v>
      </c>
      <c r="P28" s="212">
        <f t="shared" si="2"/>
        <v>0</v>
      </c>
      <c r="Q28" s="473" t="s">
        <v>155</v>
      </c>
      <c r="R28" s="176"/>
      <c r="S28" s="176"/>
    </row>
    <row r="29" spans="1:19" ht="27.75" customHeight="1">
      <c r="A29" s="210" t="s">
        <v>145</v>
      </c>
      <c r="B29" s="47"/>
      <c r="C29" s="129"/>
      <c r="D29" s="130"/>
      <c r="E29" s="54"/>
      <c r="F29" s="129"/>
      <c r="G29" s="130"/>
      <c r="H29" s="132"/>
      <c r="I29" s="129"/>
      <c r="J29" s="130"/>
      <c r="K29" s="129"/>
      <c r="L29" s="178"/>
      <c r="M29" s="129"/>
      <c r="N29" s="130"/>
      <c r="O29" s="200">
        <f t="shared" si="2"/>
        <v>0</v>
      </c>
      <c r="P29" s="213">
        <f t="shared" si="2"/>
        <v>0</v>
      </c>
      <c r="Q29" s="473" t="s">
        <v>155</v>
      </c>
      <c r="R29" s="181"/>
      <c r="S29" s="181"/>
    </row>
    <row r="30" spans="1:19">
      <c r="A30" s="61" t="s">
        <v>113</v>
      </c>
      <c r="B30" s="50"/>
      <c r="C30" s="62">
        <f>SUM(C22:C29)</f>
        <v>0</v>
      </c>
      <c r="D30" s="63">
        <f>SUM(D22:D29)</f>
        <v>417662.5</v>
      </c>
      <c r="E30" s="199"/>
      <c r="F30" s="62">
        <f>SUM(F22:F29)</f>
        <v>0</v>
      </c>
      <c r="G30" s="63">
        <f>SUM(G22:G29)</f>
        <v>412500</v>
      </c>
      <c r="H30" s="131"/>
      <c r="I30" s="62">
        <f t="shared" ref="I30:P30" si="3">SUM(I22:I29)</f>
        <v>0</v>
      </c>
      <c r="J30" s="63">
        <f t="shared" si="3"/>
        <v>412500</v>
      </c>
      <c r="K30" s="211">
        <f t="shared" si="3"/>
        <v>0</v>
      </c>
      <c r="L30" s="180">
        <f t="shared" si="3"/>
        <v>3500</v>
      </c>
      <c r="M30" s="62">
        <f t="shared" si="3"/>
        <v>0</v>
      </c>
      <c r="N30" s="63">
        <f t="shared" si="3"/>
        <v>-148000</v>
      </c>
      <c r="O30" s="211">
        <f t="shared" si="3"/>
        <v>0</v>
      </c>
      <c r="P30" s="63">
        <f t="shared" si="3"/>
        <v>268000</v>
      </c>
      <c r="Q30" s="473" t="s">
        <v>155</v>
      </c>
      <c r="R30" s="195"/>
      <c r="S30" s="195"/>
    </row>
    <row r="31" spans="1:19">
      <c r="A31" s="47"/>
      <c r="B31" s="46"/>
      <c r="C31" s="48"/>
      <c r="D31" s="49"/>
      <c r="E31" s="46"/>
      <c r="F31" s="48"/>
      <c r="G31" s="49"/>
      <c r="H31" s="46"/>
      <c r="I31" s="48"/>
      <c r="J31" s="49"/>
      <c r="K31" s="48"/>
      <c r="L31" s="176"/>
      <c r="M31" s="48"/>
      <c r="N31" s="49"/>
      <c r="O31" s="48"/>
      <c r="P31" s="49"/>
      <c r="Q31" s="473" t="s">
        <v>155</v>
      </c>
      <c r="R31" s="176"/>
      <c r="S31" s="176"/>
    </row>
    <row r="32" spans="1:19" ht="25.5">
      <c r="A32" s="60" t="s">
        <v>134</v>
      </c>
      <c r="B32" s="46"/>
      <c r="C32" s="48"/>
      <c r="D32" s="49"/>
      <c r="E32" s="46"/>
      <c r="F32" s="48"/>
      <c r="G32" s="49"/>
      <c r="H32" s="46"/>
      <c r="I32" s="48"/>
      <c r="J32" s="49"/>
      <c r="K32" s="48"/>
      <c r="L32" s="176"/>
      <c r="M32" s="48"/>
      <c r="N32" s="49"/>
      <c r="O32" s="48"/>
      <c r="P32" s="49"/>
      <c r="Q32" s="473" t="s">
        <v>155</v>
      </c>
      <c r="R32" s="176"/>
      <c r="S32" s="176"/>
    </row>
    <row r="33" spans="1:19" ht="38.25">
      <c r="A33" s="210" t="s">
        <v>146</v>
      </c>
      <c r="B33" s="46"/>
      <c r="C33" s="48"/>
      <c r="D33" s="49"/>
      <c r="E33" s="46"/>
      <c r="F33" s="48"/>
      <c r="G33" s="49"/>
      <c r="H33" s="46"/>
      <c r="I33" s="48"/>
      <c r="J33" s="49"/>
      <c r="K33" s="48"/>
      <c r="L33" s="176"/>
      <c r="M33" s="48"/>
      <c r="N33" s="49"/>
      <c r="O33" s="200">
        <f t="shared" ref="O33:P39" si="4">+I33+K33+M33</f>
        <v>0</v>
      </c>
      <c r="P33" s="212">
        <f t="shared" si="4"/>
        <v>0</v>
      </c>
      <c r="Q33" s="473" t="s">
        <v>155</v>
      </c>
      <c r="R33" s="176"/>
      <c r="S33" s="176"/>
    </row>
    <row r="34" spans="1:19">
      <c r="A34" s="209" t="s">
        <v>147</v>
      </c>
      <c r="B34" s="46"/>
      <c r="C34" s="48"/>
      <c r="D34" s="49"/>
      <c r="E34" s="46"/>
      <c r="F34" s="48"/>
      <c r="G34" s="49"/>
      <c r="H34" s="46"/>
      <c r="I34" s="48"/>
      <c r="J34" s="49"/>
      <c r="K34" s="48"/>
      <c r="L34" s="176"/>
      <c r="M34" s="48"/>
      <c r="N34" s="49"/>
      <c r="O34" s="200">
        <f t="shared" si="4"/>
        <v>0</v>
      </c>
      <c r="P34" s="212">
        <f t="shared" si="4"/>
        <v>0</v>
      </c>
      <c r="Q34" s="473" t="s">
        <v>155</v>
      </c>
      <c r="R34" s="176"/>
      <c r="S34" s="176"/>
    </row>
    <row r="35" spans="1:19" ht="38.25">
      <c r="A35" s="210" t="s">
        <v>148</v>
      </c>
      <c r="B35" s="46"/>
      <c r="C35" s="48"/>
      <c r="D35" s="49"/>
      <c r="E35" s="46"/>
      <c r="F35" s="48"/>
      <c r="G35" s="49"/>
      <c r="H35" s="46"/>
      <c r="I35" s="48"/>
      <c r="J35" s="49"/>
      <c r="K35" s="48"/>
      <c r="L35" s="176"/>
      <c r="M35" s="48"/>
      <c r="N35" s="49"/>
      <c r="O35" s="200">
        <f t="shared" si="4"/>
        <v>0</v>
      </c>
      <c r="P35" s="212">
        <f t="shared" si="4"/>
        <v>0</v>
      </c>
      <c r="Q35" s="473" t="s">
        <v>155</v>
      </c>
      <c r="R35" s="176"/>
      <c r="S35" s="176"/>
    </row>
    <row r="36" spans="1:19" ht="38.25">
      <c r="A36" s="210" t="s">
        <v>22</v>
      </c>
      <c r="B36" s="46"/>
      <c r="C36" s="48"/>
      <c r="D36" s="49"/>
      <c r="E36" s="46"/>
      <c r="F36" s="48"/>
      <c r="G36" s="49"/>
      <c r="H36" s="46"/>
      <c r="I36" s="48"/>
      <c r="J36" s="49"/>
      <c r="K36" s="48"/>
      <c r="L36" s="176"/>
      <c r="M36" s="48"/>
      <c r="N36" s="49"/>
      <c r="O36" s="200">
        <f t="shared" si="4"/>
        <v>0</v>
      </c>
      <c r="P36" s="212">
        <f t="shared" si="4"/>
        <v>0</v>
      </c>
      <c r="Q36" s="473" t="s">
        <v>155</v>
      </c>
      <c r="R36" s="176"/>
      <c r="S36" s="176"/>
    </row>
    <row r="37" spans="1:19" ht="25.5">
      <c r="A37" s="210" t="s">
        <v>23</v>
      </c>
      <c r="B37" s="46"/>
      <c r="C37" s="48"/>
      <c r="D37" s="49"/>
      <c r="E37" s="46"/>
      <c r="F37" s="48"/>
      <c r="G37" s="49"/>
      <c r="H37" s="46"/>
      <c r="I37" s="48"/>
      <c r="J37" s="49"/>
      <c r="K37" s="48"/>
      <c r="L37" s="176"/>
      <c r="M37" s="48"/>
      <c r="N37" s="49"/>
      <c r="O37" s="200">
        <f t="shared" si="4"/>
        <v>0</v>
      </c>
      <c r="P37" s="212">
        <f t="shared" si="4"/>
        <v>0</v>
      </c>
      <c r="Q37" s="473" t="s">
        <v>155</v>
      </c>
      <c r="R37" s="176"/>
      <c r="S37" s="176"/>
    </row>
    <row r="38" spans="1:19" ht="25.5">
      <c r="A38" s="210" t="s">
        <v>24</v>
      </c>
      <c r="B38" s="46"/>
      <c r="C38" s="48"/>
      <c r="D38" s="49"/>
      <c r="E38" s="46"/>
      <c r="F38" s="48"/>
      <c r="G38" s="49"/>
      <c r="H38" s="46"/>
      <c r="I38" s="48"/>
      <c r="J38" s="49"/>
      <c r="K38" s="48"/>
      <c r="L38" s="176"/>
      <c r="M38" s="48"/>
      <c r="N38" s="49"/>
      <c r="O38" s="200">
        <f t="shared" si="4"/>
        <v>0</v>
      </c>
      <c r="P38" s="212">
        <f t="shared" si="4"/>
        <v>0</v>
      </c>
      <c r="Q38" s="473" t="s">
        <v>155</v>
      </c>
      <c r="R38" s="176"/>
      <c r="S38" s="176"/>
    </row>
    <row r="39" spans="1:19">
      <c r="A39" s="209" t="s">
        <v>25</v>
      </c>
      <c r="B39" s="46"/>
      <c r="C39" s="48"/>
      <c r="D39" s="49"/>
      <c r="E39" s="46"/>
      <c r="F39" s="48"/>
      <c r="G39" s="49"/>
      <c r="H39" s="46"/>
      <c r="I39" s="48"/>
      <c r="J39" s="49"/>
      <c r="K39" s="48"/>
      <c r="L39" s="176"/>
      <c r="M39" s="48"/>
      <c r="N39" s="49"/>
      <c r="O39" s="200">
        <f t="shared" si="4"/>
        <v>0</v>
      </c>
      <c r="P39" s="212">
        <f t="shared" si="4"/>
        <v>0</v>
      </c>
      <c r="Q39" s="473" t="s">
        <v>155</v>
      </c>
      <c r="R39" s="176"/>
      <c r="S39" s="176"/>
    </row>
    <row r="40" spans="1:19" hidden="1">
      <c r="A40" s="53" t="s">
        <v>115</v>
      </c>
      <c r="B40" s="46"/>
      <c r="C40" s="54"/>
      <c r="D40" s="55"/>
      <c r="E40" s="56"/>
      <c r="F40" s="54"/>
      <c r="G40" s="55"/>
      <c r="H40" s="56"/>
      <c r="I40" s="54"/>
      <c r="J40" s="55"/>
      <c r="K40" s="54"/>
      <c r="L40" s="181"/>
      <c r="M40" s="54"/>
      <c r="N40" s="55"/>
      <c r="O40" s="54">
        <f>K40+I40+M40</f>
        <v>0</v>
      </c>
      <c r="P40" s="55">
        <f>N40+J40+L40</f>
        <v>0</v>
      </c>
      <c r="Q40" s="473" t="s">
        <v>155</v>
      </c>
      <c r="R40" s="181"/>
      <c r="S40" s="181"/>
    </row>
    <row r="41" spans="1:19" hidden="1">
      <c r="A41" s="53" t="s">
        <v>116</v>
      </c>
      <c r="B41" s="46"/>
      <c r="C41" s="57"/>
      <c r="D41" s="58"/>
      <c r="E41" s="56"/>
      <c r="F41" s="57"/>
      <c r="G41" s="58"/>
      <c r="H41" s="56"/>
      <c r="I41" s="57"/>
      <c r="J41" s="58"/>
      <c r="K41" s="57"/>
      <c r="L41" s="179"/>
      <c r="M41" s="57"/>
      <c r="N41" s="58"/>
      <c r="O41" s="57">
        <f>K41+I41+M41</f>
        <v>0</v>
      </c>
      <c r="P41" s="58">
        <f>N41+J41+L41</f>
        <v>0</v>
      </c>
      <c r="Q41" s="473" t="s">
        <v>155</v>
      </c>
      <c r="R41" s="179"/>
      <c r="S41" s="179"/>
    </row>
    <row r="42" spans="1:19">
      <c r="A42" s="61" t="s">
        <v>117</v>
      </c>
      <c r="B42" s="50"/>
      <c r="C42" s="62">
        <f>SUM(C33:C39)</f>
        <v>0</v>
      </c>
      <c r="D42" s="63">
        <f>SUM(D33:D39)</f>
        <v>0</v>
      </c>
      <c r="E42" s="199"/>
      <c r="F42" s="62">
        <f>SUM(F33:F39)</f>
        <v>0</v>
      </c>
      <c r="G42" s="63">
        <f>SUM(G33:G39)</f>
        <v>0</v>
      </c>
      <c r="H42" s="131"/>
      <c r="I42" s="62">
        <f t="shared" ref="I42:P42" si="5">SUM(I33:I39)</f>
        <v>0</v>
      </c>
      <c r="J42" s="63">
        <f t="shared" si="5"/>
        <v>0</v>
      </c>
      <c r="K42" s="62">
        <f t="shared" si="5"/>
        <v>0</v>
      </c>
      <c r="L42" s="180">
        <f t="shared" si="5"/>
        <v>0</v>
      </c>
      <c r="M42" s="62">
        <f t="shared" si="5"/>
        <v>0</v>
      </c>
      <c r="N42" s="63">
        <f t="shared" si="5"/>
        <v>0</v>
      </c>
      <c r="O42" s="62">
        <f t="shared" si="5"/>
        <v>0</v>
      </c>
      <c r="P42" s="63">
        <f t="shared" si="5"/>
        <v>0</v>
      </c>
      <c r="Q42" s="473" t="s">
        <v>155</v>
      </c>
      <c r="R42" s="195"/>
      <c r="S42" s="195"/>
    </row>
    <row r="43" spans="1:19" ht="13.5" thickBot="1">
      <c r="A43" s="46"/>
      <c r="B43" s="46"/>
      <c r="C43" s="46"/>
      <c r="D43" s="46"/>
      <c r="E43" s="46"/>
      <c r="F43" s="46"/>
      <c r="G43" s="56"/>
      <c r="H43" s="46"/>
      <c r="I43" s="46"/>
      <c r="J43" s="46"/>
      <c r="K43" s="46"/>
      <c r="L43" s="46"/>
      <c r="M43" s="203"/>
      <c r="N43" s="483"/>
      <c r="O43" s="46"/>
      <c r="P43" s="63"/>
      <c r="Q43" s="473" t="s">
        <v>155</v>
      </c>
      <c r="R43" s="176"/>
      <c r="S43" s="176"/>
    </row>
    <row r="44" spans="1:19" s="28" customFormat="1" ht="13.5" thickBot="1">
      <c r="A44" s="134" t="s">
        <v>255</v>
      </c>
      <c r="B44" s="135"/>
      <c r="C44" s="133">
        <f>C19+C30+C42</f>
        <v>0</v>
      </c>
      <c r="D44" s="64">
        <f>D19+D30+D42</f>
        <v>417662.5</v>
      </c>
      <c r="E44" s="135"/>
      <c r="F44" s="133">
        <f>F19+F30+F42</f>
        <v>0</v>
      </c>
      <c r="G44" s="64">
        <f>G19+G30+G42+G43</f>
        <v>412500</v>
      </c>
      <c r="H44" s="135"/>
      <c r="I44" s="133">
        <f t="shared" ref="I44:O44" si="6">I19+I30+I42</f>
        <v>0</v>
      </c>
      <c r="J44" s="64">
        <f t="shared" si="6"/>
        <v>412500</v>
      </c>
      <c r="K44" s="133">
        <f t="shared" si="6"/>
        <v>0</v>
      </c>
      <c r="L44" s="64">
        <f t="shared" si="6"/>
        <v>3500</v>
      </c>
      <c r="M44" s="133">
        <f t="shared" si="6"/>
        <v>0</v>
      </c>
      <c r="N44" s="64">
        <f t="shared" si="6"/>
        <v>-148000</v>
      </c>
      <c r="O44" s="133">
        <f t="shared" si="6"/>
        <v>0</v>
      </c>
      <c r="P44" s="64">
        <f>P19+P30+P42+P43</f>
        <v>268000</v>
      </c>
      <c r="Q44" s="473" t="s">
        <v>155</v>
      </c>
      <c r="R44" s="66"/>
      <c r="S44" s="67"/>
    </row>
    <row r="45" spans="1:19" s="28" customFormat="1" ht="14.25" customHeight="1" thickBot="1">
      <c r="A45" s="65" t="s">
        <v>262</v>
      </c>
      <c r="B45" s="65"/>
      <c r="C45" s="66"/>
      <c r="D45" s="67"/>
      <c r="E45" s="65"/>
      <c r="F45" s="66"/>
      <c r="G45" s="67">
        <v>-15000</v>
      </c>
      <c r="H45" s="65"/>
      <c r="I45" s="66"/>
      <c r="J45" s="67"/>
      <c r="N45" s="28">
        <v>-6000</v>
      </c>
      <c r="P45" s="28">
        <v>-6000</v>
      </c>
      <c r="Q45" s="473" t="s">
        <v>155</v>
      </c>
      <c r="R45" s="196"/>
      <c r="S45" s="196"/>
    </row>
    <row r="46" spans="1:19" s="28" customFormat="1" ht="15.75" hidden="1">
      <c r="A46" s="35" t="s">
        <v>94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473" t="s">
        <v>155</v>
      </c>
      <c r="R46" s="197"/>
      <c r="S46" s="197"/>
    </row>
    <row r="47" spans="1:19" s="28" customFormat="1" ht="15.75" hidden="1">
      <c r="A47" s="36" t="e">
        <f>+#REF!</f>
        <v>#REF!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473" t="s">
        <v>155</v>
      </c>
      <c r="R47" s="197"/>
      <c r="S47" s="197"/>
    </row>
    <row r="48" spans="1:19" s="28" customFormat="1" hidden="1">
      <c r="A48" s="37" t="s">
        <v>70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473" t="s">
        <v>155</v>
      </c>
      <c r="R48" s="197"/>
      <c r="S48" s="197"/>
    </row>
    <row r="49" spans="1:19" s="28" customFormat="1" hidden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473" t="s">
        <v>155</v>
      </c>
      <c r="R49" s="198"/>
      <c r="S49" s="198"/>
    </row>
    <row r="50" spans="1:19" hidden="1">
      <c r="Q50" s="473" t="s">
        <v>155</v>
      </c>
      <c r="R50" s="198"/>
      <c r="S50" s="198"/>
    </row>
    <row r="51" spans="1:19" hidden="1">
      <c r="A51" s="164" t="s">
        <v>79</v>
      </c>
      <c r="B51" s="46"/>
      <c r="C51" s="148" t="e">
        <f>+#REF!</f>
        <v>#REF!</v>
      </c>
      <c r="D51" s="149"/>
      <c r="E51" s="150"/>
      <c r="F51" s="148" t="e">
        <f>+#REF!</f>
        <v>#REF!</v>
      </c>
      <c r="G51" s="149"/>
      <c r="H51" s="150"/>
      <c r="I51" s="151" t="e">
        <f>+#REF!</f>
        <v>#REF!</v>
      </c>
      <c r="J51" s="149"/>
      <c r="K51" s="151" t="e">
        <f>+#REF!</f>
        <v>#REF!</v>
      </c>
      <c r="L51" s="183"/>
      <c r="M51" s="183"/>
      <c r="N51" s="149"/>
      <c r="O51" s="151" t="e">
        <f>+#REF!</f>
        <v>#REF!</v>
      </c>
      <c r="P51" s="149"/>
      <c r="Q51" s="473" t="s">
        <v>155</v>
      </c>
      <c r="R51" s="191"/>
      <c r="S51" s="192"/>
    </row>
    <row r="52" spans="1:19" hidden="1">
      <c r="B52" s="46"/>
      <c r="C52" s="152" t="e">
        <f>+#REF!</f>
        <v>#REF!</v>
      </c>
      <c r="D52" s="153"/>
      <c r="E52" s="150"/>
      <c r="F52" s="152" t="e">
        <f>+#REF!</f>
        <v>#REF!</v>
      </c>
      <c r="G52" s="154"/>
      <c r="H52" s="150"/>
      <c r="I52" s="152" t="e">
        <f>+#REF!</f>
        <v>#REF!</v>
      </c>
      <c r="J52" s="154"/>
      <c r="K52" s="152" t="s">
        <v>71</v>
      </c>
      <c r="L52" s="173"/>
      <c r="M52" s="173"/>
      <c r="N52" s="154"/>
      <c r="O52" s="152" t="e">
        <f>+#REF!</f>
        <v>#REF!</v>
      </c>
      <c r="P52" s="154"/>
      <c r="Q52" s="473" t="s">
        <v>155</v>
      </c>
      <c r="R52" s="192"/>
      <c r="S52" s="192"/>
    </row>
    <row r="53" spans="1:19" hidden="1">
      <c r="A53" s="635" t="s">
        <v>103</v>
      </c>
      <c r="B53" s="46"/>
      <c r="C53" s="155"/>
      <c r="D53" s="156" t="s">
        <v>87</v>
      </c>
      <c r="E53" s="150"/>
      <c r="F53" s="155"/>
      <c r="G53" s="156" t="s">
        <v>87</v>
      </c>
      <c r="H53" s="150"/>
      <c r="I53" s="155"/>
      <c r="J53" s="156" t="s">
        <v>87</v>
      </c>
      <c r="K53" s="155"/>
      <c r="L53" s="174"/>
      <c r="M53" s="174"/>
      <c r="N53" s="156" t="s">
        <v>87</v>
      </c>
      <c r="O53" s="155"/>
      <c r="P53" s="156" t="s">
        <v>87</v>
      </c>
      <c r="Q53" s="473" t="s">
        <v>155</v>
      </c>
      <c r="R53" s="174"/>
      <c r="S53" s="174"/>
    </row>
    <row r="54" spans="1:19" hidden="1">
      <c r="A54" s="636"/>
      <c r="B54" s="46"/>
      <c r="C54" s="157" t="s">
        <v>31</v>
      </c>
      <c r="D54" s="158" t="s">
        <v>104</v>
      </c>
      <c r="E54" s="150"/>
      <c r="F54" s="157" t="s">
        <v>31</v>
      </c>
      <c r="G54" s="158" t="s">
        <v>104</v>
      </c>
      <c r="H54" s="150"/>
      <c r="I54" s="157" t="s">
        <v>31</v>
      </c>
      <c r="J54" s="158" t="s">
        <v>104</v>
      </c>
      <c r="K54" s="157" t="s">
        <v>31</v>
      </c>
      <c r="L54" s="175"/>
      <c r="M54" s="175"/>
      <c r="N54" s="158" t="s">
        <v>104</v>
      </c>
      <c r="O54" s="157" t="s">
        <v>31</v>
      </c>
      <c r="P54" s="158" t="s">
        <v>104</v>
      </c>
      <c r="Q54" s="473" t="s">
        <v>155</v>
      </c>
      <c r="R54" s="193"/>
      <c r="S54" s="193"/>
    </row>
    <row r="55" spans="1:19" hidden="1">
      <c r="A55" s="47"/>
      <c r="B55" s="46"/>
      <c r="C55" s="48"/>
      <c r="D55" s="49"/>
      <c r="E55" s="46"/>
      <c r="F55" s="48"/>
      <c r="G55" s="49"/>
      <c r="H55" s="46"/>
      <c r="I55" s="48"/>
      <c r="J55" s="49"/>
      <c r="K55" s="48"/>
      <c r="L55" s="176"/>
      <c r="M55" s="176"/>
      <c r="N55" s="49"/>
      <c r="O55" s="48"/>
      <c r="P55" s="49"/>
      <c r="Q55" s="473" t="s">
        <v>155</v>
      </c>
      <c r="R55" s="176"/>
      <c r="S55" s="176"/>
    </row>
    <row r="56" spans="1:19" hidden="1">
      <c r="A56" s="50" t="s">
        <v>105</v>
      </c>
      <c r="B56" s="46"/>
      <c r="C56" s="51"/>
      <c r="D56" s="52"/>
      <c r="E56" s="46"/>
      <c r="F56" s="51"/>
      <c r="G56" s="52"/>
      <c r="H56" s="46"/>
      <c r="I56" s="51"/>
      <c r="J56" s="52"/>
      <c r="K56" s="51"/>
      <c r="L56" s="177"/>
      <c r="M56" s="177"/>
      <c r="N56" s="52"/>
      <c r="O56" s="51"/>
      <c r="P56" s="52"/>
      <c r="Q56" s="473" t="s">
        <v>155</v>
      </c>
      <c r="R56" s="177"/>
      <c r="S56" s="194"/>
    </row>
    <row r="57" spans="1:19" hidden="1">
      <c r="A57" s="128" t="s">
        <v>98</v>
      </c>
      <c r="B57" s="47"/>
      <c r="C57" s="129"/>
      <c r="D57" s="130"/>
      <c r="E57" s="132"/>
      <c r="F57" s="129"/>
      <c r="G57" s="130"/>
      <c r="H57" s="132"/>
      <c r="I57" s="129"/>
      <c r="J57" s="130"/>
      <c r="K57" s="129"/>
      <c r="L57" s="178"/>
      <c r="M57" s="178"/>
      <c r="N57" s="130"/>
      <c r="O57" s="129">
        <f>K57+I57</f>
        <v>0</v>
      </c>
      <c r="P57" s="130">
        <f>N57+J57</f>
        <v>0</v>
      </c>
      <c r="Q57" s="473" t="s">
        <v>155</v>
      </c>
      <c r="R57" s="181"/>
      <c r="S57" s="181"/>
    </row>
    <row r="58" spans="1:19" ht="10.9" hidden="1" customHeight="1">
      <c r="A58" s="53" t="s">
        <v>97</v>
      </c>
      <c r="B58" s="46"/>
      <c r="C58" s="57"/>
      <c r="D58" s="58"/>
      <c r="E58" s="56"/>
      <c r="F58" s="57"/>
      <c r="G58" s="58"/>
      <c r="H58" s="56"/>
      <c r="I58" s="57"/>
      <c r="J58" s="58"/>
      <c r="K58" s="57"/>
      <c r="L58" s="179"/>
      <c r="M58" s="179"/>
      <c r="N58" s="58"/>
      <c r="O58" s="57"/>
      <c r="P58" s="58"/>
      <c r="Q58" s="473" t="s">
        <v>155</v>
      </c>
      <c r="R58" s="179"/>
      <c r="S58" s="179"/>
    </row>
    <row r="59" spans="1:19" hidden="1">
      <c r="A59" s="61" t="s">
        <v>106</v>
      </c>
      <c r="B59" s="50"/>
      <c r="C59" s="62">
        <f>SUM(C57:C58)</f>
        <v>0</v>
      </c>
      <c r="D59" s="63">
        <f>SUM(D57:D58)</f>
        <v>0</v>
      </c>
      <c r="E59" s="131"/>
      <c r="F59" s="62">
        <f>SUM(F57:F58)</f>
        <v>0</v>
      </c>
      <c r="G59" s="63">
        <f>SUM(G57:G58)</f>
        <v>0</v>
      </c>
      <c r="H59" s="131"/>
      <c r="I59" s="62">
        <f t="shared" ref="I59:P59" si="7">SUM(I57:I58)</f>
        <v>0</v>
      </c>
      <c r="J59" s="63">
        <f t="shared" si="7"/>
        <v>0</v>
      </c>
      <c r="K59" s="62">
        <f t="shared" si="7"/>
        <v>0</v>
      </c>
      <c r="L59" s="180"/>
      <c r="M59" s="180"/>
      <c r="N59" s="63">
        <f t="shared" si="7"/>
        <v>0</v>
      </c>
      <c r="O59" s="62">
        <f t="shared" si="7"/>
        <v>0</v>
      </c>
      <c r="P59" s="63">
        <f t="shared" si="7"/>
        <v>0</v>
      </c>
      <c r="Q59" s="473" t="s">
        <v>155</v>
      </c>
      <c r="R59" s="195"/>
      <c r="S59" s="195"/>
    </row>
    <row r="60" spans="1:19" hidden="1">
      <c r="A60" s="47"/>
      <c r="B60" s="46"/>
      <c r="C60" s="48"/>
      <c r="D60" s="49"/>
      <c r="E60" s="46"/>
      <c r="F60" s="48"/>
      <c r="G60" s="49"/>
      <c r="H60" s="46"/>
      <c r="I60" s="48"/>
      <c r="J60" s="49"/>
      <c r="K60" s="48"/>
      <c r="L60" s="176"/>
      <c r="M60" s="176"/>
      <c r="N60" s="49"/>
      <c r="O60" s="48"/>
      <c r="P60" s="49"/>
      <c r="Q60" s="473" t="s">
        <v>155</v>
      </c>
      <c r="R60" s="176"/>
      <c r="S60" s="176"/>
    </row>
    <row r="61" spans="1:19" ht="25.5" hidden="1">
      <c r="A61" s="60" t="s">
        <v>107</v>
      </c>
      <c r="B61" s="46"/>
      <c r="C61" s="48"/>
      <c r="D61" s="49"/>
      <c r="E61" s="46"/>
      <c r="F61" s="48"/>
      <c r="G61" s="49"/>
      <c r="H61" s="46"/>
      <c r="I61" s="48"/>
      <c r="J61" s="49"/>
      <c r="K61" s="48"/>
      <c r="L61" s="176"/>
      <c r="M61" s="176"/>
      <c r="N61" s="49"/>
      <c r="O61" s="48"/>
      <c r="P61" s="49"/>
      <c r="Q61" s="473" t="s">
        <v>155</v>
      </c>
      <c r="R61" s="176"/>
      <c r="S61" s="176"/>
    </row>
    <row r="62" spans="1:19" hidden="1">
      <c r="A62" s="128">
        <v>2.1</v>
      </c>
      <c r="B62" s="47"/>
      <c r="C62" s="129"/>
      <c r="D62" s="130"/>
      <c r="E62" s="132"/>
      <c r="F62" s="129"/>
      <c r="G62" s="130"/>
      <c r="H62" s="132"/>
      <c r="I62" s="129"/>
      <c r="J62" s="130"/>
      <c r="K62" s="129"/>
      <c r="L62" s="178"/>
      <c r="M62" s="178"/>
      <c r="N62" s="130"/>
      <c r="O62" s="129">
        <f>K62+I62</f>
        <v>0</v>
      </c>
      <c r="P62" s="130">
        <f>N62+J62</f>
        <v>0</v>
      </c>
      <c r="Q62" s="473" t="s">
        <v>155</v>
      </c>
      <c r="R62" s="181"/>
      <c r="S62" s="181"/>
    </row>
    <row r="63" spans="1:19" hidden="1">
      <c r="A63" s="53" t="s">
        <v>108</v>
      </c>
      <c r="B63" s="46"/>
      <c r="C63" s="54"/>
      <c r="D63" s="55"/>
      <c r="E63" s="56"/>
      <c r="F63" s="54"/>
      <c r="G63" s="55"/>
      <c r="H63" s="56"/>
      <c r="I63" s="54"/>
      <c r="J63" s="55"/>
      <c r="K63" s="54"/>
      <c r="L63" s="181"/>
      <c r="M63" s="181"/>
      <c r="N63" s="55"/>
      <c r="O63" s="54"/>
      <c r="P63" s="55"/>
      <c r="Q63" s="473" t="s">
        <v>155</v>
      </c>
      <c r="R63" s="181"/>
      <c r="S63" s="181"/>
    </row>
    <row r="64" spans="1:19" hidden="1">
      <c r="A64" s="53" t="s">
        <v>109</v>
      </c>
      <c r="B64" s="46"/>
      <c r="C64" s="54"/>
      <c r="D64" s="55"/>
      <c r="E64" s="56"/>
      <c r="F64" s="54"/>
      <c r="G64" s="55"/>
      <c r="H64" s="56"/>
      <c r="I64" s="54"/>
      <c r="J64" s="55"/>
      <c r="K64" s="54"/>
      <c r="L64" s="181"/>
      <c r="M64" s="181"/>
      <c r="N64" s="55"/>
      <c r="O64" s="54"/>
      <c r="P64" s="55"/>
      <c r="Q64" s="473" t="s">
        <v>155</v>
      </c>
      <c r="R64" s="181"/>
      <c r="S64" s="181"/>
    </row>
    <row r="65" spans="1:19" hidden="1">
      <c r="A65" s="53" t="s">
        <v>110</v>
      </c>
      <c r="B65" s="46"/>
      <c r="C65" s="54"/>
      <c r="D65" s="55"/>
      <c r="E65" s="56"/>
      <c r="F65" s="54"/>
      <c r="G65" s="55"/>
      <c r="H65" s="56"/>
      <c r="I65" s="54"/>
      <c r="J65" s="55"/>
      <c r="K65" s="54"/>
      <c r="L65" s="181"/>
      <c r="M65" s="181"/>
      <c r="N65" s="55"/>
      <c r="O65" s="54"/>
      <c r="P65" s="55"/>
      <c r="Q65" s="473" t="s">
        <v>155</v>
      </c>
      <c r="R65" s="181"/>
      <c r="S65" s="181"/>
    </row>
    <row r="66" spans="1:19" hidden="1">
      <c r="A66" s="53" t="s">
        <v>111</v>
      </c>
      <c r="B66" s="46"/>
      <c r="C66" s="54"/>
      <c r="D66" s="55"/>
      <c r="E66" s="56"/>
      <c r="F66" s="54"/>
      <c r="G66" s="55"/>
      <c r="H66" s="56"/>
      <c r="I66" s="54"/>
      <c r="J66" s="55"/>
      <c r="K66" s="54"/>
      <c r="L66" s="181"/>
      <c r="M66" s="181"/>
      <c r="N66" s="55"/>
      <c r="O66" s="54"/>
      <c r="P66" s="55"/>
      <c r="Q66" s="473" t="s">
        <v>155</v>
      </c>
      <c r="R66" s="181"/>
      <c r="S66" s="181"/>
    </row>
    <row r="67" spans="1:19" hidden="1">
      <c r="A67" s="53" t="s">
        <v>112</v>
      </c>
      <c r="B67" s="46"/>
      <c r="C67" s="57"/>
      <c r="D67" s="58"/>
      <c r="E67" s="56"/>
      <c r="F67" s="57"/>
      <c r="G67" s="58"/>
      <c r="H67" s="56"/>
      <c r="I67" s="57"/>
      <c r="J67" s="58"/>
      <c r="K67" s="57"/>
      <c r="L67" s="179"/>
      <c r="M67" s="179"/>
      <c r="N67" s="58"/>
      <c r="O67" s="57"/>
      <c r="P67" s="58"/>
      <c r="Q67" s="473" t="s">
        <v>155</v>
      </c>
      <c r="R67" s="179"/>
      <c r="S67" s="179"/>
    </row>
    <row r="68" spans="1:19" hidden="1">
      <c r="A68" s="61" t="s">
        <v>113</v>
      </c>
      <c r="B68" s="50"/>
      <c r="C68" s="62">
        <f>SUM(C62:C67)</f>
        <v>0</v>
      </c>
      <c r="D68" s="63">
        <f>SUM(D62:D67)</f>
        <v>0</v>
      </c>
      <c r="E68" s="131"/>
      <c r="F68" s="62">
        <f>SUM(F62:F67)</f>
        <v>0</v>
      </c>
      <c r="G68" s="63">
        <f>SUM(G62:G67)</f>
        <v>0</v>
      </c>
      <c r="H68" s="131"/>
      <c r="I68" s="62">
        <f t="shared" ref="I68:P68" si="8">SUM(I62:I67)</f>
        <v>0</v>
      </c>
      <c r="J68" s="63">
        <f t="shared" si="8"/>
        <v>0</v>
      </c>
      <c r="K68" s="62">
        <f t="shared" si="8"/>
        <v>0</v>
      </c>
      <c r="L68" s="180"/>
      <c r="M68" s="180"/>
      <c r="N68" s="63">
        <f t="shared" si="8"/>
        <v>0</v>
      </c>
      <c r="O68" s="62">
        <f t="shared" si="8"/>
        <v>0</v>
      </c>
      <c r="P68" s="63">
        <f t="shared" si="8"/>
        <v>0</v>
      </c>
      <c r="Q68" s="473" t="s">
        <v>155</v>
      </c>
      <c r="R68" s="195"/>
      <c r="S68" s="195"/>
    </row>
    <row r="69" spans="1:19" hidden="1">
      <c r="A69" s="47"/>
      <c r="B69" s="46"/>
      <c r="C69" s="48"/>
      <c r="D69" s="49"/>
      <c r="E69" s="46"/>
      <c r="F69" s="48"/>
      <c r="G69" s="49"/>
      <c r="H69" s="46"/>
      <c r="I69" s="48"/>
      <c r="J69" s="49"/>
      <c r="K69" s="48"/>
      <c r="L69" s="176"/>
      <c r="M69" s="176"/>
      <c r="N69" s="49"/>
      <c r="O69" s="48"/>
      <c r="P69" s="49"/>
      <c r="Q69" s="473" t="s">
        <v>155</v>
      </c>
      <c r="R69" s="176"/>
      <c r="S69" s="176"/>
    </row>
    <row r="70" spans="1:19" ht="25.5" hidden="1">
      <c r="A70" s="60" t="s">
        <v>114</v>
      </c>
      <c r="B70" s="46"/>
      <c r="C70" s="48"/>
      <c r="D70" s="49"/>
      <c r="E70" s="46"/>
      <c r="F70" s="48"/>
      <c r="G70" s="49"/>
      <c r="H70" s="46"/>
      <c r="I70" s="48"/>
      <c r="J70" s="49"/>
      <c r="K70" s="48"/>
      <c r="L70" s="176"/>
      <c r="M70" s="176"/>
      <c r="N70" s="49"/>
      <c r="O70" s="48"/>
      <c r="P70" s="49"/>
      <c r="Q70" s="473" t="s">
        <v>155</v>
      </c>
      <c r="R70" s="176"/>
      <c r="S70" s="176"/>
    </row>
    <row r="71" spans="1:19" hidden="1">
      <c r="A71" s="128" t="s">
        <v>99</v>
      </c>
      <c r="B71" s="47"/>
      <c r="C71" s="129"/>
      <c r="D71" s="130"/>
      <c r="E71" s="132"/>
      <c r="F71" s="129"/>
      <c r="G71" s="130"/>
      <c r="H71" s="132"/>
      <c r="I71" s="129"/>
      <c r="J71" s="130"/>
      <c r="K71" s="129"/>
      <c r="L71" s="178"/>
      <c r="M71" s="178"/>
      <c r="N71" s="130"/>
      <c r="O71" s="129">
        <f>K71+I71</f>
        <v>0</v>
      </c>
      <c r="P71" s="130">
        <f>N71+J71</f>
        <v>0</v>
      </c>
      <c r="Q71" s="473" t="s">
        <v>155</v>
      </c>
      <c r="R71" s="181"/>
      <c r="S71" s="181"/>
    </row>
    <row r="72" spans="1:19" hidden="1">
      <c r="A72" s="53" t="s">
        <v>115</v>
      </c>
      <c r="B72" s="46"/>
      <c r="C72" s="54"/>
      <c r="D72" s="55"/>
      <c r="E72" s="56"/>
      <c r="F72" s="54"/>
      <c r="G72" s="55"/>
      <c r="H72" s="56"/>
      <c r="I72" s="54"/>
      <c r="J72" s="55"/>
      <c r="K72" s="54"/>
      <c r="L72" s="181"/>
      <c r="M72" s="181"/>
      <c r="N72" s="55"/>
      <c r="O72" s="54"/>
      <c r="P72" s="55"/>
      <c r="Q72" s="473" t="s">
        <v>155</v>
      </c>
      <c r="R72" s="181"/>
      <c r="S72" s="181"/>
    </row>
    <row r="73" spans="1:19" hidden="1">
      <c r="A73" s="53" t="s">
        <v>116</v>
      </c>
      <c r="B73" s="46"/>
      <c r="C73" s="57"/>
      <c r="D73" s="58"/>
      <c r="E73" s="56"/>
      <c r="F73" s="57"/>
      <c r="G73" s="58"/>
      <c r="H73" s="56"/>
      <c r="I73" s="57"/>
      <c r="J73" s="58"/>
      <c r="K73" s="57"/>
      <c r="L73" s="179"/>
      <c r="M73" s="179"/>
      <c r="N73" s="58"/>
      <c r="O73" s="57"/>
      <c r="P73" s="58"/>
      <c r="Q73" s="473" t="s">
        <v>155</v>
      </c>
      <c r="R73" s="179"/>
      <c r="S73" s="179"/>
    </row>
    <row r="74" spans="1:19" hidden="1">
      <c r="A74" s="61" t="s">
        <v>117</v>
      </c>
      <c r="B74" s="50"/>
      <c r="C74" s="62">
        <f>SUM(C71:C73)</f>
        <v>0</v>
      </c>
      <c r="D74" s="63">
        <f>SUM(D71:D73)</f>
        <v>0</v>
      </c>
      <c r="E74" s="131"/>
      <c r="F74" s="62">
        <f>SUM(F71:F73)</f>
        <v>0</v>
      </c>
      <c r="G74" s="63">
        <f>SUM(G71:G73)</f>
        <v>0</v>
      </c>
      <c r="H74" s="131"/>
      <c r="I74" s="62">
        <f t="shared" ref="I74:P74" si="9">SUM(I71:I73)</f>
        <v>0</v>
      </c>
      <c r="J74" s="63">
        <f t="shared" si="9"/>
        <v>0</v>
      </c>
      <c r="K74" s="62">
        <f t="shared" si="9"/>
        <v>0</v>
      </c>
      <c r="L74" s="180"/>
      <c r="M74" s="180"/>
      <c r="N74" s="63">
        <f t="shared" si="9"/>
        <v>0</v>
      </c>
      <c r="O74" s="62">
        <f t="shared" si="9"/>
        <v>0</v>
      </c>
      <c r="P74" s="63">
        <f t="shared" si="9"/>
        <v>0</v>
      </c>
      <c r="Q74" s="473" t="s">
        <v>155</v>
      </c>
      <c r="R74" s="195"/>
      <c r="S74" s="195"/>
    </row>
    <row r="75" spans="1:19" hidden="1">
      <c r="A75" s="47"/>
      <c r="B75" s="46"/>
      <c r="C75" s="48"/>
      <c r="D75" s="49"/>
      <c r="E75" s="46"/>
      <c r="F75" s="48"/>
      <c r="G75" s="49"/>
      <c r="H75" s="46"/>
      <c r="I75" s="48"/>
      <c r="J75" s="49"/>
      <c r="K75" s="48"/>
      <c r="L75" s="176"/>
      <c r="M75" s="176"/>
      <c r="N75" s="49"/>
      <c r="O75" s="48"/>
      <c r="P75" s="49"/>
      <c r="Q75" s="473" t="s">
        <v>155</v>
      </c>
      <c r="R75" s="176"/>
      <c r="S75" s="176"/>
    </row>
    <row r="76" spans="1:19" ht="25.5" hidden="1">
      <c r="A76" s="60" t="s">
        <v>118</v>
      </c>
      <c r="B76" s="46"/>
      <c r="C76" s="48"/>
      <c r="D76" s="49"/>
      <c r="E76" s="46"/>
      <c r="F76" s="48"/>
      <c r="G76" s="49"/>
      <c r="H76" s="46"/>
      <c r="I76" s="48"/>
      <c r="J76" s="49"/>
      <c r="K76" s="48"/>
      <c r="L76" s="176"/>
      <c r="M76" s="176"/>
      <c r="N76" s="49"/>
      <c r="O76" s="48"/>
      <c r="P76" s="49"/>
      <c r="Q76" s="473" t="s">
        <v>155</v>
      </c>
      <c r="R76" s="176"/>
      <c r="S76" s="176"/>
    </row>
    <row r="77" spans="1:19" hidden="1">
      <c r="A77" s="128" t="s">
        <v>100</v>
      </c>
      <c r="B77" s="47"/>
      <c r="C77" s="129">
        <v>0</v>
      </c>
      <c r="D77" s="130">
        <v>0</v>
      </c>
      <c r="E77" s="132"/>
      <c r="F77" s="129">
        <v>0</v>
      </c>
      <c r="G77" s="130">
        <v>0</v>
      </c>
      <c r="H77" s="132"/>
      <c r="I77" s="129">
        <v>0</v>
      </c>
      <c r="J77" s="130">
        <v>0</v>
      </c>
      <c r="K77" s="129">
        <v>0</v>
      </c>
      <c r="L77" s="178"/>
      <c r="M77" s="178"/>
      <c r="N77" s="130">
        <v>0</v>
      </c>
      <c r="O77" s="129">
        <f>K77+I77</f>
        <v>0</v>
      </c>
      <c r="P77" s="130">
        <f>N77+J77</f>
        <v>0</v>
      </c>
      <c r="Q77" s="473" t="s">
        <v>155</v>
      </c>
      <c r="R77" s="181"/>
      <c r="S77" s="181"/>
    </row>
    <row r="78" spans="1:19" hidden="1">
      <c r="A78" s="53" t="s">
        <v>119</v>
      </c>
      <c r="B78" s="46"/>
      <c r="C78" s="54">
        <v>0</v>
      </c>
      <c r="D78" s="55">
        <v>0</v>
      </c>
      <c r="E78" s="56"/>
      <c r="F78" s="54">
        <v>0</v>
      </c>
      <c r="G78" s="55">
        <v>0</v>
      </c>
      <c r="H78" s="56"/>
      <c r="I78" s="54">
        <v>0</v>
      </c>
      <c r="J78" s="55">
        <v>0</v>
      </c>
      <c r="K78" s="54">
        <v>0</v>
      </c>
      <c r="L78" s="181"/>
      <c r="M78" s="181"/>
      <c r="N78" s="55">
        <v>0</v>
      </c>
      <c r="O78" s="54">
        <v>0</v>
      </c>
      <c r="P78" s="55">
        <v>0</v>
      </c>
      <c r="Q78" s="473" t="s">
        <v>155</v>
      </c>
      <c r="R78" s="181"/>
      <c r="S78" s="181"/>
    </row>
    <row r="79" spans="1:19" hidden="1">
      <c r="A79" s="53" t="s">
        <v>120</v>
      </c>
      <c r="B79" s="46"/>
      <c r="C79" s="54">
        <v>0</v>
      </c>
      <c r="D79" s="55">
        <v>0</v>
      </c>
      <c r="E79" s="56"/>
      <c r="F79" s="54">
        <v>0</v>
      </c>
      <c r="G79" s="55">
        <v>0</v>
      </c>
      <c r="H79" s="56"/>
      <c r="I79" s="54">
        <v>0</v>
      </c>
      <c r="J79" s="55">
        <v>0</v>
      </c>
      <c r="K79" s="54">
        <v>0</v>
      </c>
      <c r="L79" s="181"/>
      <c r="M79" s="181"/>
      <c r="N79" s="55">
        <v>0</v>
      </c>
      <c r="O79" s="54">
        <v>0</v>
      </c>
      <c r="P79" s="55">
        <v>0</v>
      </c>
      <c r="Q79" s="473" t="s">
        <v>155</v>
      </c>
      <c r="R79" s="181"/>
      <c r="S79" s="181"/>
    </row>
    <row r="80" spans="1:19" hidden="1">
      <c r="A80" s="53" t="s">
        <v>121</v>
      </c>
      <c r="B80" s="46"/>
      <c r="C80" s="54">
        <v>0</v>
      </c>
      <c r="D80" s="55">
        <v>0</v>
      </c>
      <c r="E80" s="56"/>
      <c r="F80" s="54">
        <v>0</v>
      </c>
      <c r="G80" s="55">
        <v>0</v>
      </c>
      <c r="H80" s="56"/>
      <c r="I80" s="54">
        <v>0</v>
      </c>
      <c r="J80" s="55">
        <v>0</v>
      </c>
      <c r="K80" s="54">
        <v>0</v>
      </c>
      <c r="L80" s="181"/>
      <c r="M80" s="181"/>
      <c r="N80" s="55">
        <v>0</v>
      </c>
      <c r="O80" s="54">
        <v>0</v>
      </c>
      <c r="P80" s="55">
        <v>0</v>
      </c>
      <c r="Q80" s="473" t="s">
        <v>155</v>
      </c>
      <c r="R80" s="181"/>
      <c r="S80" s="181"/>
    </row>
    <row r="81" spans="1:19" hidden="1">
      <c r="A81" s="53" t="s">
        <v>122</v>
      </c>
      <c r="B81" s="46"/>
      <c r="C81" s="54">
        <v>0</v>
      </c>
      <c r="D81" s="55">
        <v>0</v>
      </c>
      <c r="E81" s="56"/>
      <c r="F81" s="54">
        <v>0</v>
      </c>
      <c r="G81" s="55">
        <v>0</v>
      </c>
      <c r="H81" s="56"/>
      <c r="I81" s="54">
        <v>0</v>
      </c>
      <c r="J81" s="55">
        <v>0</v>
      </c>
      <c r="K81" s="54">
        <v>0</v>
      </c>
      <c r="L81" s="181"/>
      <c r="M81" s="181"/>
      <c r="N81" s="55">
        <v>0</v>
      </c>
      <c r="O81" s="54">
        <v>0</v>
      </c>
      <c r="P81" s="55">
        <v>0</v>
      </c>
      <c r="Q81" s="473" t="s">
        <v>155</v>
      </c>
      <c r="R81" s="181"/>
      <c r="S81" s="181"/>
    </row>
    <row r="82" spans="1:19" hidden="1">
      <c r="A82" s="53" t="s">
        <v>123</v>
      </c>
      <c r="B82" s="46"/>
      <c r="C82" s="57">
        <v>0</v>
      </c>
      <c r="D82" s="58">
        <v>0</v>
      </c>
      <c r="E82" s="56"/>
      <c r="F82" s="57">
        <v>0</v>
      </c>
      <c r="G82" s="58">
        <v>0</v>
      </c>
      <c r="H82" s="56"/>
      <c r="I82" s="57">
        <v>0</v>
      </c>
      <c r="J82" s="58">
        <v>0</v>
      </c>
      <c r="K82" s="57">
        <v>0</v>
      </c>
      <c r="L82" s="179"/>
      <c r="M82" s="179"/>
      <c r="N82" s="58">
        <v>0</v>
      </c>
      <c r="O82" s="57">
        <v>0</v>
      </c>
      <c r="P82" s="58">
        <v>0</v>
      </c>
      <c r="Q82" s="473" t="s">
        <v>155</v>
      </c>
      <c r="R82" s="179"/>
      <c r="S82" s="179"/>
    </row>
    <row r="83" spans="1:19" hidden="1">
      <c r="A83" s="61" t="s">
        <v>124</v>
      </c>
      <c r="B83" s="50"/>
      <c r="C83" s="62">
        <f>SUM(C77:C82)</f>
        <v>0</v>
      </c>
      <c r="D83" s="63">
        <f>SUM(D77:D82)</f>
        <v>0</v>
      </c>
      <c r="E83" s="59"/>
      <c r="F83" s="62">
        <f>SUM(F77:F82)</f>
        <v>0</v>
      </c>
      <c r="G83" s="63">
        <f>SUM(G77:G82)</f>
        <v>0</v>
      </c>
      <c r="H83" s="131"/>
      <c r="I83" s="62">
        <f t="shared" ref="I83:P83" si="10">SUM(I77:I82)</f>
        <v>0</v>
      </c>
      <c r="J83" s="63">
        <f t="shared" si="10"/>
        <v>0</v>
      </c>
      <c r="K83" s="62">
        <f t="shared" si="10"/>
        <v>0</v>
      </c>
      <c r="L83" s="180"/>
      <c r="M83" s="180"/>
      <c r="N83" s="63">
        <f t="shared" si="10"/>
        <v>0</v>
      </c>
      <c r="O83" s="62">
        <f t="shared" si="10"/>
        <v>0</v>
      </c>
      <c r="P83" s="63">
        <f t="shared" si="10"/>
        <v>0</v>
      </c>
      <c r="Q83" s="473" t="s">
        <v>155</v>
      </c>
      <c r="R83" s="195"/>
      <c r="S83" s="195"/>
    </row>
    <row r="84" spans="1:19" hidden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73" t="s">
        <v>155</v>
      </c>
      <c r="R84" s="176"/>
      <c r="S84" s="176"/>
    </row>
    <row r="85" spans="1:19" ht="13.5" hidden="1" thickBot="1">
      <c r="A85" s="134" t="s">
        <v>125</v>
      </c>
      <c r="B85" s="135"/>
      <c r="C85" s="133">
        <f>C59+C68+C74+C83</f>
        <v>0</v>
      </c>
      <c r="D85" s="64">
        <f>D59+D68+D74+D83</f>
        <v>0</v>
      </c>
      <c r="E85" s="135"/>
      <c r="F85" s="133">
        <f>F59+F68+F74+F83</f>
        <v>0</v>
      </c>
      <c r="G85" s="64">
        <f>G59+G68+G74+G83</f>
        <v>0</v>
      </c>
      <c r="H85" s="135"/>
      <c r="I85" s="133">
        <f t="shared" ref="I85:P85" si="11">I59+I68+I74+I83</f>
        <v>0</v>
      </c>
      <c r="J85" s="64">
        <f t="shared" si="11"/>
        <v>0</v>
      </c>
      <c r="K85" s="133">
        <f t="shared" si="11"/>
        <v>0</v>
      </c>
      <c r="L85" s="182"/>
      <c r="M85" s="182"/>
      <c r="N85" s="64">
        <f t="shared" si="11"/>
        <v>0</v>
      </c>
      <c r="O85" s="133">
        <f t="shared" si="11"/>
        <v>0</v>
      </c>
      <c r="P85" s="64">
        <f t="shared" si="11"/>
        <v>0</v>
      </c>
      <c r="Q85" s="473" t="s">
        <v>155</v>
      </c>
      <c r="R85" s="66"/>
      <c r="S85" s="67"/>
    </row>
    <row r="86" spans="1:19" s="28" customFormat="1" ht="13.5" thickBot="1">
      <c r="A86" s="134" t="s">
        <v>280</v>
      </c>
      <c r="B86" s="135"/>
      <c r="C86" s="133">
        <f>C61+C72+C84</f>
        <v>0</v>
      </c>
      <c r="D86" s="64">
        <f>D44+D45</f>
        <v>417662.5</v>
      </c>
      <c r="E86" s="135"/>
      <c r="F86" s="133">
        <f>F61+F72+F84</f>
        <v>0</v>
      </c>
      <c r="G86" s="64">
        <f>G44+G45</f>
        <v>397500</v>
      </c>
      <c r="H86" s="135"/>
      <c r="I86" s="133">
        <f t="shared" ref="I86:O86" si="12">I61+I72+I84</f>
        <v>0</v>
      </c>
      <c r="J86" s="64">
        <f>J44+J45</f>
        <v>412500</v>
      </c>
      <c r="K86" s="133">
        <f t="shared" si="12"/>
        <v>0</v>
      </c>
      <c r="L86" s="64">
        <f>L44+L45</f>
        <v>3500</v>
      </c>
      <c r="M86" s="133">
        <f t="shared" si="12"/>
        <v>0</v>
      </c>
      <c r="N86" s="64">
        <f>N44+N45</f>
        <v>-154000</v>
      </c>
      <c r="O86" s="133">
        <f t="shared" si="12"/>
        <v>0</v>
      </c>
      <c r="P86" s="64">
        <f>P44+P45</f>
        <v>262000</v>
      </c>
      <c r="Q86" s="473" t="s">
        <v>155</v>
      </c>
      <c r="R86" s="66"/>
      <c r="S86" s="67"/>
    </row>
    <row r="87" spans="1:19" ht="25.5" customHeight="1">
      <c r="A87" s="504" t="s">
        <v>254</v>
      </c>
      <c r="B87" s="65"/>
      <c r="C87" s="66"/>
      <c r="D87" s="67"/>
      <c r="E87" s="65"/>
      <c r="F87" s="66"/>
      <c r="G87" s="67"/>
      <c r="H87" s="65"/>
      <c r="I87" s="66"/>
      <c r="J87" s="67"/>
      <c r="K87" s="28"/>
      <c r="L87" s="28"/>
      <c r="M87" s="28"/>
      <c r="N87" s="28"/>
      <c r="O87" s="28"/>
      <c r="P87" s="28"/>
      <c r="Q87" s="473" t="s">
        <v>155</v>
      </c>
      <c r="R87" s="196"/>
      <c r="S87" s="196"/>
    </row>
    <row r="88" spans="1:19" ht="25.5">
      <c r="A88" s="505" t="s">
        <v>131</v>
      </c>
      <c r="B88" s="46"/>
      <c r="C88" s="188"/>
      <c r="D88" s="506"/>
      <c r="E88" s="46"/>
      <c r="F88" s="188"/>
      <c r="G88" s="506"/>
      <c r="H88" s="46"/>
      <c r="I88" s="188"/>
      <c r="J88" s="506"/>
      <c r="K88" s="188"/>
      <c r="L88" s="507"/>
      <c r="M88" s="188"/>
      <c r="N88" s="506"/>
      <c r="O88" s="508"/>
      <c r="P88" s="509"/>
      <c r="Q88" s="473" t="s">
        <v>155</v>
      </c>
      <c r="R88" s="176"/>
      <c r="S88" s="176"/>
    </row>
    <row r="89" spans="1:19" ht="26.25" thickBot="1">
      <c r="A89" s="512" t="s">
        <v>138</v>
      </c>
      <c r="B89" s="46"/>
      <c r="C89" s="510"/>
      <c r="D89" s="63">
        <f>+'B. Summary of Requirements '!F165</f>
        <v>0</v>
      </c>
      <c r="E89" s="46"/>
      <c r="F89" s="510"/>
      <c r="G89" s="63">
        <f>+'B. Summary of Requirements '!I165</f>
        <v>0</v>
      </c>
      <c r="H89" s="46"/>
      <c r="I89" s="510"/>
      <c r="J89" s="63">
        <f>+'B. Summary of Requirements '!O165</f>
        <v>0</v>
      </c>
      <c r="K89" s="510"/>
      <c r="L89" s="513">
        <v>144500</v>
      </c>
      <c r="M89" s="510"/>
      <c r="N89" s="63">
        <v>0</v>
      </c>
      <c r="O89" s="511">
        <f t="shared" ref="O89" si="13">+I89+K89+M89</f>
        <v>0</v>
      </c>
      <c r="P89" s="514">
        <f>J89+L89+N89</f>
        <v>144500</v>
      </c>
      <c r="Q89" s="473" t="s">
        <v>155</v>
      </c>
      <c r="R89" s="176"/>
      <c r="S89" s="176"/>
    </row>
    <row r="90" spans="1:19" s="28" customFormat="1" ht="13.5" thickBot="1">
      <c r="A90" s="134" t="s">
        <v>256</v>
      </c>
      <c r="B90" s="135"/>
      <c r="C90" s="133">
        <f>C64+C75+C88</f>
        <v>0</v>
      </c>
      <c r="D90" s="64">
        <f>D44+D89</f>
        <v>417662.5</v>
      </c>
      <c r="E90" s="135"/>
      <c r="F90" s="133">
        <f>F64+F75+F88</f>
        <v>0</v>
      </c>
      <c r="G90" s="64">
        <f>G44+G89</f>
        <v>412500</v>
      </c>
      <c r="H90" s="135"/>
      <c r="I90" s="133">
        <f t="shared" ref="I90:O90" si="14">I64+I75+I88</f>
        <v>0</v>
      </c>
      <c r="J90" s="64">
        <f>J44+J89</f>
        <v>412500</v>
      </c>
      <c r="K90" s="133">
        <f t="shared" si="14"/>
        <v>0</v>
      </c>
      <c r="L90" s="64">
        <f>L44+L89</f>
        <v>148000</v>
      </c>
      <c r="M90" s="133">
        <f t="shared" si="14"/>
        <v>0</v>
      </c>
      <c r="N90" s="64">
        <f>N44+N89</f>
        <v>-148000</v>
      </c>
      <c r="O90" s="133">
        <f t="shared" si="14"/>
        <v>0</v>
      </c>
      <c r="P90" s="64">
        <f>P44+P89</f>
        <v>412500</v>
      </c>
      <c r="Q90" s="473" t="s">
        <v>203</v>
      </c>
      <c r="R90" s="66"/>
      <c r="S90" s="67"/>
    </row>
  </sheetData>
  <mergeCells count="3">
    <mergeCell ref="K9:L9"/>
    <mergeCell ref="A10:A11"/>
    <mergeCell ref="A53:A54"/>
  </mergeCells>
  <phoneticPr fontId="18" type="noConversion"/>
  <printOptions horizontalCentered="1"/>
  <pageMargins left="0.75" right="0.75" top="1" bottom="1" header="0.5" footer="0.5"/>
  <pageSetup scale="53" orientation="landscape" r:id="rId1"/>
  <headerFooter alignWithMargins="0">
    <oddFooter>&amp;C&amp;"Times New Roman,Regular"Exhibit D - Resources by DOJ Strategic Goals &amp; Strategic Objectives</oddFooter>
  </headerFooter>
  <rowBreaks count="1" manualBreakCount="1">
    <brk id="4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6"/>
  <sheetViews>
    <sheetView showGridLines="0" showOutlineSymbols="0" view="pageBreakPreview" zoomScale="60" zoomScaleNormal="80" workbookViewId="0">
      <selection activeCell="T56" sqref="T56"/>
    </sheetView>
  </sheetViews>
  <sheetFormatPr defaultColWidth="9.6640625" defaultRowHeight="15.75"/>
  <cols>
    <col min="1" max="1" width="3.77734375" style="11" customWidth="1"/>
    <col min="2" max="2" width="37" style="11" customWidth="1"/>
    <col min="3" max="3" width="6.5546875" style="11" customWidth="1"/>
    <col min="4" max="4" width="6.77734375" style="11" customWidth="1"/>
    <col min="5" max="5" width="12.77734375" style="11" customWidth="1"/>
    <col min="6" max="6" width="1" style="11" customWidth="1"/>
    <col min="7" max="7" width="5.77734375" style="11" customWidth="1"/>
    <col min="8" max="8" width="5.6640625" style="11" customWidth="1"/>
    <col min="9" max="9" width="7.77734375" style="11" customWidth="1"/>
    <col min="10" max="10" width="0.77734375" style="17" customWidth="1"/>
    <col min="11" max="12" width="5.6640625" style="11" hidden="1" customWidth="1"/>
    <col min="13" max="13" width="9.21875" style="11" hidden="1" customWidth="1"/>
    <col min="14" max="14" width="0.77734375" style="11" customWidth="1"/>
    <col min="15" max="15" width="5.5546875" style="11" customWidth="1"/>
    <col min="16" max="16" width="5.6640625" style="11" customWidth="1"/>
    <col min="17" max="18" width="8.33203125" style="11" customWidth="1"/>
    <col min="19" max="20" width="5.6640625" style="11" customWidth="1"/>
    <col min="21" max="21" width="16.109375" style="11" customWidth="1"/>
    <col min="22" max="23" width="5.6640625" style="11" customWidth="1"/>
    <col min="24" max="24" width="10.88671875" style="11" bestFit="1" customWidth="1"/>
    <col min="25" max="25" width="3.6640625" style="11" bestFit="1" customWidth="1"/>
    <col min="26" max="26" width="5.6640625" style="11" customWidth="1"/>
    <col min="27" max="27" width="6.77734375" style="11" customWidth="1"/>
    <col min="28" max="28" width="12.109375" style="11" bestFit="1" customWidth="1"/>
    <col min="29" max="16384" width="9.6640625" style="11"/>
  </cols>
  <sheetData>
    <row r="1" spans="1:29" ht="20.25">
      <c r="A1" s="23" t="s">
        <v>193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74" t="s">
        <v>155</v>
      </c>
    </row>
    <row r="2" spans="1:29">
      <c r="A2" s="1"/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74" t="s">
        <v>155</v>
      </c>
    </row>
    <row r="3" spans="1:29" ht="18.75">
      <c r="A3" s="12" t="s">
        <v>188</v>
      </c>
      <c r="B3" s="13"/>
      <c r="C3" s="13"/>
      <c r="D3" s="13"/>
      <c r="E3" s="13"/>
      <c r="F3" s="13"/>
      <c r="G3" s="13"/>
      <c r="H3" s="13"/>
      <c r="I3" s="13"/>
      <c r="J3" s="14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274" t="s">
        <v>155</v>
      </c>
    </row>
    <row r="4" spans="1:29" ht="16.5">
      <c r="A4" s="15" t="str">
        <f>+'[2](B) Sum of Req '!A5</f>
        <v>Office on Violence Against Women</v>
      </c>
      <c r="B4" s="13"/>
      <c r="C4" s="13"/>
      <c r="D4" s="13"/>
      <c r="E4" s="13"/>
      <c r="F4" s="13"/>
      <c r="G4" s="13"/>
      <c r="H4" s="13"/>
      <c r="I4" s="13"/>
      <c r="J4" s="14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274" t="s">
        <v>155</v>
      </c>
    </row>
    <row r="5" spans="1:29" ht="16.5">
      <c r="A5" s="15" t="str">
        <f>+'[2](B) Sum of Req '!A6</f>
        <v>Grant Programs</v>
      </c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74" t="s">
        <v>155</v>
      </c>
    </row>
    <row r="6" spans="1:29">
      <c r="A6" s="68" t="s">
        <v>70</v>
      </c>
      <c r="B6" s="13"/>
      <c r="C6" s="13"/>
      <c r="D6" s="13"/>
      <c r="E6" s="13"/>
      <c r="F6" s="13"/>
      <c r="G6" s="13"/>
      <c r="H6" s="13"/>
      <c r="I6" s="13"/>
      <c r="J6" s="1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274" t="s">
        <v>155</v>
      </c>
    </row>
    <row r="7" spans="1:29">
      <c r="A7" s="1"/>
      <c r="B7" s="1"/>
      <c r="C7" s="1"/>
      <c r="D7" s="1"/>
      <c r="E7" s="1"/>
      <c r="F7" s="1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"/>
      <c r="T7" s="1"/>
      <c r="U7" s="1"/>
      <c r="V7" s="1"/>
      <c r="W7" s="1"/>
      <c r="X7" s="1"/>
      <c r="Y7" s="1"/>
      <c r="Z7" s="1"/>
      <c r="AA7" s="1"/>
      <c r="AB7" s="1"/>
      <c r="AC7" s="274" t="s">
        <v>155</v>
      </c>
    </row>
    <row r="8" spans="1:29">
      <c r="A8" s="1"/>
      <c r="B8" s="1"/>
      <c r="C8" s="13"/>
      <c r="D8" s="13"/>
      <c r="E8" s="13"/>
      <c r="F8" s="13"/>
      <c r="G8" s="13"/>
      <c r="H8" s="13"/>
      <c r="I8" s="13"/>
      <c r="J8" s="14"/>
      <c r="K8" s="13"/>
      <c r="L8" s="13"/>
      <c r="M8" s="13"/>
      <c r="N8" s="13"/>
      <c r="O8" s="13"/>
      <c r="P8" s="13"/>
      <c r="Q8" s="13"/>
      <c r="R8" s="13"/>
      <c r="S8" s="1"/>
      <c r="T8" s="1"/>
      <c r="U8" s="1"/>
      <c r="V8" s="1"/>
      <c r="W8" s="1"/>
      <c r="X8" s="1"/>
      <c r="Y8" s="1"/>
      <c r="Z8" s="16"/>
      <c r="AA8" s="13"/>
      <c r="AB8" s="13"/>
      <c r="AC8" s="274" t="s">
        <v>155</v>
      </c>
    </row>
    <row r="9" spans="1:29">
      <c r="A9" s="78"/>
      <c r="B9" s="79"/>
      <c r="C9" s="95" t="s">
        <v>194</v>
      </c>
      <c r="D9" s="80"/>
      <c r="E9" s="80"/>
      <c r="F9" s="80" t="s">
        <v>86</v>
      </c>
      <c r="G9" s="95" t="s">
        <v>86</v>
      </c>
      <c r="H9" s="80"/>
      <c r="I9" s="80"/>
      <c r="J9" s="96"/>
      <c r="K9" s="97"/>
      <c r="L9" s="80"/>
      <c r="M9" s="80"/>
      <c r="N9" s="80" t="s">
        <v>86</v>
      </c>
      <c r="O9" s="95" t="s">
        <v>258</v>
      </c>
      <c r="P9" s="80"/>
      <c r="Q9" s="80"/>
      <c r="R9" s="80"/>
      <c r="S9" s="95" t="s">
        <v>257</v>
      </c>
      <c r="T9" s="80"/>
      <c r="U9" s="80"/>
      <c r="V9" s="95" t="s">
        <v>88</v>
      </c>
      <c r="W9" s="80"/>
      <c r="X9" s="80"/>
      <c r="Y9" s="143"/>
      <c r="Z9" s="95"/>
      <c r="AA9" s="80"/>
      <c r="AB9" s="81"/>
      <c r="AC9" s="274" t="s">
        <v>155</v>
      </c>
    </row>
    <row r="10" spans="1:29">
      <c r="A10" s="77"/>
      <c r="B10" s="2"/>
      <c r="C10" s="139" t="s">
        <v>219</v>
      </c>
      <c r="D10" s="140"/>
      <c r="E10" s="140"/>
      <c r="F10" s="140" t="s">
        <v>86</v>
      </c>
      <c r="G10" s="139" t="s">
        <v>82</v>
      </c>
      <c r="H10" s="140"/>
      <c r="I10" s="140"/>
      <c r="J10" s="140" t="s">
        <v>86</v>
      </c>
      <c r="K10" s="139" t="s">
        <v>83</v>
      </c>
      <c r="L10" s="140"/>
      <c r="M10" s="140"/>
      <c r="N10" s="515" t="s">
        <v>86</v>
      </c>
      <c r="O10" s="140"/>
      <c r="P10" s="140"/>
      <c r="Q10" s="140"/>
      <c r="R10" s="140"/>
      <c r="S10" s="139"/>
      <c r="T10" s="140"/>
      <c r="U10" s="140"/>
      <c r="V10" s="139"/>
      <c r="W10" s="140"/>
      <c r="X10" s="140"/>
      <c r="Y10" s="141" t="s">
        <v>86</v>
      </c>
      <c r="Z10" s="139" t="s">
        <v>189</v>
      </c>
      <c r="AA10" s="140"/>
      <c r="AB10" s="142"/>
      <c r="AC10" s="274" t="s">
        <v>155</v>
      </c>
    </row>
    <row r="11" spans="1:29" ht="3.6" customHeight="1">
      <c r="A11" s="77"/>
      <c r="B11" s="2"/>
      <c r="C11" s="77"/>
      <c r="D11" s="1"/>
      <c r="E11" s="1"/>
      <c r="F11" s="1"/>
      <c r="G11" s="77"/>
      <c r="H11" s="1"/>
      <c r="I11" s="1"/>
      <c r="J11" s="2"/>
      <c r="K11" s="77"/>
      <c r="L11" s="1"/>
      <c r="M11" s="1"/>
      <c r="N11" s="1"/>
      <c r="O11" s="77"/>
      <c r="P11" s="1"/>
      <c r="Q11" s="1"/>
      <c r="R11" s="1"/>
      <c r="S11" s="77"/>
      <c r="T11" s="1"/>
      <c r="U11" s="1"/>
      <c r="V11" s="77"/>
      <c r="W11" s="1"/>
      <c r="X11" s="1"/>
      <c r="Y11" s="1"/>
      <c r="Z11" s="77"/>
      <c r="AA11" s="1"/>
      <c r="AB11" s="72"/>
      <c r="AC11" s="274" t="s">
        <v>155</v>
      </c>
    </row>
    <row r="12" spans="1:29" ht="16.5" thickBot="1">
      <c r="A12" s="83" t="s">
        <v>28</v>
      </c>
      <c r="B12" s="137"/>
      <c r="C12" s="125" t="s">
        <v>85</v>
      </c>
      <c r="D12" s="82" t="s">
        <v>31</v>
      </c>
      <c r="E12" s="82" t="s">
        <v>87</v>
      </c>
      <c r="F12" s="138"/>
      <c r="G12" s="125" t="s">
        <v>85</v>
      </c>
      <c r="H12" s="82" t="s">
        <v>31</v>
      </c>
      <c r="I12" s="82" t="s">
        <v>87</v>
      </c>
      <c r="J12" s="82"/>
      <c r="K12" s="125" t="s">
        <v>85</v>
      </c>
      <c r="L12" s="82" t="s">
        <v>31</v>
      </c>
      <c r="M12" s="82" t="s">
        <v>87</v>
      </c>
      <c r="N12" s="82"/>
      <c r="O12" s="125" t="s">
        <v>85</v>
      </c>
      <c r="P12" s="82" t="s">
        <v>31</v>
      </c>
      <c r="Q12" s="82" t="s">
        <v>87</v>
      </c>
      <c r="R12" s="82"/>
      <c r="S12" s="125" t="s">
        <v>85</v>
      </c>
      <c r="T12" s="82" t="s">
        <v>31</v>
      </c>
      <c r="U12" s="82" t="s">
        <v>87</v>
      </c>
      <c r="V12" s="125" t="s">
        <v>85</v>
      </c>
      <c r="W12" s="82" t="s">
        <v>31</v>
      </c>
      <c r="X12" s="82" t="s">
        <v>87</v>
      </c>
      <c r="Y12" s="82"/>
      <c r="Z12" s="125" t="s">
        <v>85</v>
      </c>
      <c r="AA12" s="82" t="s">
        <v>31</v>
      </c>
      <c r="AB12" s="126" t="s">
        <v>87</v>
      </c>
      <c r="AC12" s="274" t="s">
        <v>155</v>
      </c>
    </row>
    <row r="13" spans="1:29">
      <c r="A13" s="219" t="s">
        <v>19</v>
      </c>
      <c r="B13" s="217"/>
      <c r="C13" s="88"/>
      <c r="D13" s="89"/>
      <c r="E13" s="89"/>
      <c r="F13" s="89"/>
      <c r="G13" s="88"/>
      <c r="H13" s="89"/>
      <c r="I13" s="89"/>
      <c r="J13" s="89"/>
      <c r="K13" s="88"/>
      <c r="L13" s="89"/>
      <c r="M13" s="89"/>
      <c r="N13" s="89"/>
      <c r="O13" s="88"/>
      <c r="P13" s="89"/>
      <c r="Q13" s="89"/>
      <c r="R13" s="89"/>
      <c r="S13" s="88"/>
      <c r="T13" s="89"/>
      <c r="U13" s="89"/>
      <c r="V13" s="88"/>
      <c r="W13" s="89"/>
      <c r="X13" s="89"/>
      <c r="Y13" s="89"/>
      <c r="Z13" s="88"/>
      <c r="AA13" s="89"/>
      <c r="AB13" s="90"/>
      <c r="AC13" s="274" t="s">
        <v>155</v>
      </c>
    </row>
    <row r="14" spans="1:29">
      <c r="A14" s="220" t="s">
        <v>18</v>
      </c>
      <c r="B14" s="218"/>
      <c r="C14" s="88"/>
      <c r="D14" s="89"/>
      <c r="E14" s="89"/>
      <c r="F14" s="89"/>
      <c r="G14" s="88"/>
      <c r="H14" s="89"/>
      <c r="I14" s="89"/>
      <c r="J14" s="89"/>
      <c r="K14" s="88"/>
      <c r="L14" s="89"/>
      <c r="M14" s="89"/>
      <c r="N14" s="89"/>
      <c r="O14" s="88"/>
      <c r="P14" s="89"/>
      <c r="Q14" s="89"/>
      <c r="R14" s="89"/>
      <c r="S14" s="88"/>
      <c r="T14" s="89"/>
      <c r="U14" s="89"/>
      <c r="V14" s="88"/>
      <c r="W14" s="89"/>
      <c r="X14" s="89"/>
      <c r="Y14" s="89"/>
      <c r="Z14" s="88">
        <v>0</v>
      </c>
      <c r="AA14" s="89">
        <v>0</v>
      </c>
      <c r="AB14" s="90">
        <f>+E14+I14+M14+Q14+X14</f>
        <v>0</v>
      </c>
      <c r="AC14" s="274" t="s">
        <v>155</v>
      </c>
    </row>
    <row r="15" spans="1:29">
      <c r="A15" s="637" t="s">
        <v>1</v>
      </c>
      <c r="B15" s="638"/>
      <c r="C15" s="88"/>
      <c r="D15" s="89"/>
      <c r="E15" s="221">
        <v>209580</v>
      </c>
      <c r="F15" s="89"/>
      <c r="G15" s="88">
        <v>0</v>
      </c>
      <c r="H15" s="89">
        <v>0</v>
      </c>
      <c r="I15" s="89">
        <v>0</v>
      </c>
      <c r="J15" s="89"/>
      <c r="K15" s="88">
        <v>0</v>
      </c>
      <c r="L15" s="89">
        <v>0</v>
      </c>
      <c r="M15" s="89">
        <v>0</v>
      </c>
      <c r="N15" s="89"/>
      <c r="O15" s="88">
        <v>0</v>
      </c>
      <c r="P15" s="89">
        <v>0</v>
      </c>
      <c r="Q15" s="89">
        <f>-2659.225-662.757</f>
        <v>-3321.982</v>
      </c>
      <c r="R15" s="89"/>
      <c r="S15" s="88"/>
      <c r="T15" s="89"/>
      <c r="U15" s="263">
        <f>17985+210.44+0.008+40+14.6</f>
        <v>18250.047999999999</v>
      </c>
      <c r="V15" s="88"/>
      <c r="W15" s="89"/>
      <c r="X15" s="263">
        <f>5785.4+135.2+386.1+19.04</f>
        <v>6325.74</v>
      </c>
      <c r="Y15" s="89"/>
      <c r="Z15" s="88">
        <v>0</v>
      </c>
      <c r="AA15" s="89">
        <v>0</v>
      </c>
      <c r="AB15" s="90">
        <f>E15+Q15+U15+X15</f>
        <v>230833.80600000001</v>
      </c>
      <c r="AC15" s="274" t="s">
        <v>155</v>
      </c>
    </row>
    <row r="16" spans="1:29">
      <c r="A16" s="214" t="s">
        <v>2</v>
      </c>
      <c r="B16" s="215"/>
      <c r="C16" s="88"/>
      <c r="D16" s="89"/>
      <c r="E16" s="264" t="s">
        <v>195</v>
      </c>
      <c r="F16" s="89"/>
      <c r="G16" s="88">
        <v>0</v>
      </c>
      <c r="H16" s="89">
        <v>0</v>
      </c>
      <c r="I16" s="89">
        <v>0</v>
      </c>
      <c r="J16" s="89"/>
      <c r="K16" s="88">
        <v>0</v>
      </c>
      <c r="L16" s="89">
        <v>0</v>
      </c>
      <c r="M16" s="89">
        <v>0</v>
      </c>
      <c r="N16" s="89"/>
      <c r="O16" s="88">
        <v>0</v>
      </c>
      <c r="P16" s="89">
        <v>0</v>
      </c>
      <c r="Q16" s="89">
        <f>-253.262-63.12</f>
        <v>-316.38200000000001</v>
      </c>
      <c r="R16" s="89"/>
      <c r="S16" s="88"/>
      <c r="T16" s="89"/>
      <c r="U16" s="263">
        <f>2384.62</f>
        <v>2384.62</v>
      </c>
      <c r="V16" s="88"/>
      <c r="W16" s="89"/>
      <c r="X16" s="263">
        <v>1618.9</v>
      </c>
      <c r="Y16" s="89"/>
      <c r="Z16" s="88">
        <v>0</v>
      </c>
      <c r="AA16" s="89">
        <v>0</v>
      </c>
      <c r="AB16" s="90">
        <f>+Q16+U16+X16</f>
        <v>3687.1379999999999</v>
      </c>
      <c r="AC16" s="274" t="s">
        <v>155</v>
      </c>
    </row>
    <row r="17" spans="1:29">
      <c r="A17" s="214" t="s">
        <v>14</v>
      </c>
      <c r="B17" s="215"/>
      <c r="C17" s="88"/>
      <c r="D17" s="89"/>
      <c r="E17" s="264" t="s">
        <v>196</v>
      </c>
      <c r="F17" s="89"/>
      <c r="G17" s="88">
        <v>0</v>
      </c>
      <c r="H17" s="89">
        <v>0</v>
      </c>
      <c r="I17" s="89">
        <v>0</v>
      </c>
      <c r="J17" s="89"/>
      <c r="K17" s="88">
        <v>0</v>
      </c>
      <c r="L17" s="89">
        <v>0</v>
      </c>
      <c r="M17" s="89">
        <v>0</v>
      </c>
      <c r="N17" s="89"/>
      <c r="O17" s="88">
        <v>0</v>
      </c>
      <c r="P17" s="89">
        <v>0</v>
      </c>
      <c r="Q17" s="89">
        <v>-2994</v>
      </c>
      <c r="R17" s="89"/>
      <c r="S17" s="88"/>
      <c r="T17" s="89"/>
      <c r="U17" s="263">
        <v>0</v>
      </c>
      <c r="V17" s="88"/>
      <c r="W17" s="89"/>
      <c r="X17" s="263"/>
      <c r="Y17" s="89"/>
      <c r="Z17" s="88">
        <v>0</v>
      </c>
      <c r="AA17" s="89">
        <v>0</v>
      </c>
      <c r="AB17" s="90">
        <v>0</v>
      </c>
      <c r="AC17" s="274" t="s">
        <v>155</v>
      </c>
    </row>
    <row r="18" spans="1:29">
      <c r="A18" s="214" t="s">
        <v>167</v>
      </c>
      <c r="B18" s="215"/>
      <c r="C18" s="88"/>
      <c r="D18" s="89"/>
      <c r="E18" s="222">
        <v>59880</v>
      </c>
      <c r="F18" s="89"/>
      <c r="G18" s="88">
        <v>0</v>
      </c>
      <c r="H18" s="89">
        <v>0</v>
      </c>
      <c r="I18" s="89">
        <v>0</v>
      </c>
      <c r="J18" s="89"/>
      <c r="K18" s="88">
        <v>0</v>
      </c>
      <c r="L18" s="89">
        <v>0</v>
      </c>
      <c r="M18" s="89">
        <v>0</v>
      </c>
      <c r="N18" s="89"/>
      <c r="O18" s="88">
        <v>0</v>
      </c>
      <c r="P18" s="89">
        <v>0</v>
      </c>
      <c r="Q18" s="89">
        <f>-844.208-210.399</f>
        <v>-1054.607</v>
      </c>
      <c r="R18" s="89"/>
      <c r="S18" s="88"/>
      <c r="T18" s="89"/>
      <c r="U18" s="263">
        <f>7104+(986.87*0.2)</f>
        <v>7301.3739999999998</v>
      </c>
      <c r="V18" s="88"/>
      <c r="W18" s="89"/>
      <c r="X18" s="263">
        <v>2614.6</v>
      </c>
      <c r="Y18" s="89"/>
      <c r="Z18" s="88">
        <v>0</v>
      </c>
      <c r="AA18" s="89">
        <v>0</v>
      </c>
      <c r="AB18" s="90">
        <f>E18+Q18+U18+X18</f>
        <v>68741.366999999998</v>
      </c>
      <c r="AC18" s="274" t="s">
        <v>155</v>
      </c>
    </row>
    <row r="19" spans="1:29">
      <c r="A19" s="214" t="s">
        <v>200</v>
      </c>
      <c r="B19" s="215"/>
      <c r="C19" s="88"/>
      <c r="D19" s="89"/>
      <c r="E19" s="222">
        <v>0</v>
      </c>
      <c r="F19" s="89"/>
      <c r="G19" s="88">
        <v>0</v>
      </c>
      <c r="H19" s="89">
        <v>0</v>
      </c>
      <c r="I19" s="89">
        <v>0</v>
      </c>
      <c r="J19" s="89"/>
      <c r="K19" s="88">
        <v>0</v>
      </c>
      <c r="L19" s="89">
        <v>0</v>
      </c>
      <c r="M19" s="89">
        <v>0</v>
      </c>
      <c r="N19" s="89"/>
      <c r="O19" s="88">
        <v>0</v>
      </c>
      <c r="P19" s="89">
        <v>0</v>
      </c>
      <c r="Q19" s="89">
        <v>0</v>
      </c>
      <c r="R19" s="89"/>
      <c r="S19" s="88"/>
      <c r="T19" s="89"/>
      <c r="U19" s="263"/>
      <c r="V19" s="88"/>
      <c r="W19" s="89"/>
      <c r="X19" s="263"/>
      <c r="Y19" s="89"/>
      <c r="Z19" s="88"/>
      <c r="AA19" s="89"/>
      <c r="AB19" s="90"/>
      <c r="AC19" s="274" t="s">
        <v>155</v>
      </c>
    </row>
    <row r="20" spans="1:29">
      <c r="A20" s="214" t="s">
        <v>161</v>
      </c>
      <c r="B20" s="215"/>
      <c r="C20" s="88"/>
      <c r="D20" s="89"/>
      <c r="E20" s="222">
        <v>14970</v>
      </c>
      <c r="F20" s="89"/>
      <c r="G20" s="88">
        <v>0</v>
      </c>
      <c r="H20" s="89">
        <v>0</v>
      </c>
      <c r="I20" s="263">
        <v>0</v>
      </c>
      <c r="J20" s="89"/>
      <c r="K20" s="88">
        <v>0</v>
      </c>
      <c r="L20" s="89">
        <v>0</v>
      </c>
      <c r="M20" s="89">
        <v>0</v>
      </c>
      <c r="N20" s="89"/>
      <c r="O20" s="88">
        <v>0</v>
      </c>
      <c r="P20" s="89">
        <v>0</v>
      </c>
      <c r="Q20" s="89">
        <f>-211.052-52.6</f>
        <v>-263.65199999999999</v>
      </c>
      <c r="R20" s="89"/>
      <c r="S20" s="88"/>
      <c r="T20" s="89"/>
      <c r="U20" s="263">
        <f>590.003</f>
        <v>590.00300000000004</v>
      </c>
      <c r="V20" s="88"/>
      <c r="W20" s="89"/>
      <c r="X20" s="263"/>
      <c r="Y20" s="89"/>
      <c r="Z20" s="88">
        <v>0</v>
      </c>
      <c r="AA20" s="89">
        <v>0</v>
      </c>
      <c r="AB20" s="90">
        <f t="shared" ref="AB20:AB31" si="0">E20+Q20+U20+X20</f>
        <v>15296.351000000001</v>
      </c>
      <c r="AC20" s="274" t="s">
        <v>155</v>
      </c>
    </row>
    <row r="21" spans="1:29">
      <c r="A21" s="214" t="s">
        <v>168</v>
      </c>
      <c r="B21" s="215"/>
      <c r="C21" s="88"/>
      <c r="D21" s="89"/>
      <c r="E21" s="222">
        <v>40918</v>
      </c>
      <c r="F21" s="89"/>
      <c r="G21" s="88">
        <v>0</v>
      </c>
      <c r="H21" s="89">
        <v>0</v>
      </c>
      <c r="I21" s="89">
        <v>0</v>
      </c>
      <c r="J21" s="89"/>
      <c r="K21" s="88">
        <v>0</v>
      </c>
      <c r="L21" s="89">
        <v>0</v>
      </c>
      <c r="M21" s="89">
        <v>0</v>
      </c>
      <c r="N21" s="89"/>
      <c r="O21" s="88">
        <v>0</v>
      </c>
      <c r="P21" s="89">
        <v>0</v>
      </c>
      <c r="Q21" s="89">
        <f>-576.875-143.773</f>
        <v>-720.64800000000002</v>
      </c>
      <c r="R21" s="89"/>
      <c r="S21" s="88"/>
      <c r="T21" s="89"/>
      <c r="U21" s="263">
        <f>11692.42+(986.9*0.2)</f>
        <v>11889.8</v>
      </c>
      <c r="V21" s="88"/>
      <c r="W21" s="89"/>
      <c r="X21" s="263">
        <v>410</v>
      </c>
      <c r="Y21" s="89"/>
      <c r="Z21" s="88">
        <v>0</v>
      </c>
      <c r="AA21" s="89">
        <v>0</v>
      </c>
      <c r="AB21" s="90">
        <f t="shared" si="0"/>
        <v>52497.152000000002</v>
      </c>
      <c r="AC21" s="274" t="s">
        <v>155</v>
      </c>
    </row>
    <row r="22" spans="1:29">
      <c r="A22" s="214" t="s">
        <v>3</v>
      </c>
      <c r="B22" s="215"/>
      <c r="C22" s="88"/>
      <c r="D22" s="89"/>
      <c r="E22" s="222">
        <v>3493</v>
      </c>
      <c r="F22" s="89"/>
      <c r="G22" s="88">
        <v>0</v>
      </c>
      <c r="H22" s="89">
        <v>0</v>
      </c>
      <c r="I22" s="89">
        <v>0</v>
      </c>
      <c r="J22" s="89"/>
      <c r="K22" s="88">
        <v>0</v>
      </c>
      <c r="L22" s="89">
        <v>0</v>
      </c>
      <c r="M22" s="89">
        <v>0</v>
      </c>
      <c r="N22" s="89"/>
      <c r="O22" s="88">
        <v>0</v>
      </c>
      <c r="P22" s="89">
        <v>0</v>
      </c>
      <c r="Q22" s="89">
        <f>-49.245-12.273</f>
        <v>-61.518000000000001</v>
      </c>
      <c r="R22" s="89"/>
      <c r="S22" s="88"/>
      <c r="T22" s="89"/>
      <c r="U22" s="263">
        <v>628.20000000000005</v>
      </c>
      <c r="V22" s="88"/>
      <c r="W22" s="89"/>
      <c r="X22" s="263"/>
      <c r="Y22" s="89"/>
      <c r="Z22" s="88">
        <v>0</v>
      </c>
      <c r="AA22" s="89">
        <v>0</v>
      </c>
      <c r="AB22" s="90">
        <f t="shared" si="0"/>
        <v>4059.6819999999998</v>
      </c>
      <c r="AC22" s="274" t="s">
        <v>155</v>
      </c>
    </row>
    <row r="23" spans="1:29">
      <c r="A23" s="214" t="s">
        <v>16</v>
      </c>
      <c r="B23" s="215"/>
      <c r="C23" s="88"/>
      <c r="D23" s="89"/>
      <c r="E23" s="222">
        <v>2994</v>
      </c>
      <c r="F23" s="89"/>
      <c r="G23" s="88">
        <v>0</v>
      </c>
      <c r="H23" s="89">
        <v>0</v>
      </c>
      <c r="I23" s="89">
        <v>0</v>
      </c>
      <c r="J23" s="89"/>
      <c r="K23" s="88">
        <v>0</v>
      </c>
      <c r="L23" s="89">
        <v>0</v>
      </c>
      <c r="M23" s="89">
        <v>0</v>
      </c>
      <c r="N23" s="89"/>
      <c r="O23" s="88">
        <v>0</v>
      </c>
      <c r="P23" s="89">
        <v>0</v>
      </c>
      <c r="Q23" s="89">
        <f>-42.21-10.52</f>
        <v>-52.730000000000004</v>
      </c>
      <c r="R23" s="89"/>
      <c r="S23" s="88"/>
      <c r="T23" s="89"/>
      <c r="U23" s="263">
        <v>7793.87</v>
      </c>
      <c r="V23" s="88"/>
      <c r="W23" s="89"/>
      <c r="X23" s="263"/>
      <c r="Y23" s="89"/>
      <c r="Z23" s="88">
        <v>0</v>
      </c>
      <c r="AA23" s="89">
        <v>0</v>
      </c>
      <c r="AB23" s="90">
        <f t="shared" si="0"/>
        <v>10735.14</v>
      </c>
      <c r="AC23" s="274" t="s">
        <v>155</v>
      </c>
    </row>
    <row r="24" spans="1:29">
      <c r="A24" s="214" t="s">
        <v>5</v>
      </c>
      <c r="B24" s="215"/>
      <c r="C24" s="88"/>
      <c r="D24" s="89"/>
      <c r="E24" s="222">
        <v>2994</v>
      </c>
      <c r="F24" s="89"/>
      <c r="G24" s="88">
        <v>0</v>
      </c>
      <c r="H24" s="89">
        <v>0</v>
      </c>
      <c r="I24" s="89">
        <v>0</v>
      </c>
      <c r="J24" s="89"/>
      <c r="K24" s="88">
        <v>0</v>
      </c>
      <c r="L24" s="89">
        <v>0</v>
      </c>
      <c r="M24" s="89">
        <v>0</v>
      </c>
      <c r="N24" s="89"/>
      <c r="O24" s="88">
        <v>0</v>
      </c>
      <c r="P24" s="89">
        <v>0</v>
      </c>
      <c r="Q24" s="89">
        <f>-42.21-10.52</f>
        <v>-52.730000000000004</v>
      </c>
      <c r="R24" s="89"/>
      <c r="S24" s="88"/>
      <c r="T24" s="89"/>
      <c r="U24" s="263">
        <v>800.65</v>
      </c>
      <c r="V24" s="88"/>
      <c r="W24" s="89"/>
      <c r="X24" s="263"/>
      <c r="Y24" s="89"/>
      <c r="Z24" s="88">
        <v>0</v>
      </c>
      <c r="AA24" s="89">
        <v>0</v>
      </c>
      <c r="AB24" s="90">
        <f t="shared" si="0"/>
        <v>3741.92</v>
      </c>
      <c r="AC24" s="274" t="s">
        <v>155</v>
      </c>
    </row>
    <row r="25" spans="1:29">
      <c r="A25" s="214" t="s">
        <v>175</v>
      </c>
      <c r="B25" s="215"/>
      <c r="C25" s="88"/>
      <c r="D25" s="89"/>
      <c r="E25" s="222">
        <v>9481</v>
      </c>
      <c r="F25" s="89"/>
      <c r="G25" s="88">
        <v>0</v>
      </c>
      <c r="H25" s="89">
        <v>0</v>
      </c>
      <c r="I25" s="89">
        <v>0</v>
      </c>
      <c r="J25" s="89"/>
      <c r="K25" s="88">
        <v>0</v>
      </c>
      <c r="L25" s="89">
        <v>0</v>
      </c>
      <c r="M25" s="89">
        <v>0</v>
      </c>
      <c r="N25" s="89"/>
      <c r="O25" s="88">
        <v>0</v>
      </c>
      <c r="P25" s="89">
        <v>0</v>
      </c>
      <c r="Q25" s="89">
        <f>-133.666-33.313</f>
        <v>-166.97899999999998</v>
      </c>
      <c r="R25" s="89"/>
      <c r="S25" s="88"/>
      <c r="T25" s="89"/>
      <c r="U25" s="263">
        <v>420.46</v>
      </c>
      <c r="V25" s="88"/>
      <c r="W25" s="89"/>
      <c r="X25" s="263">
        <v>131.30000000000001</v>
      </c>
      <c r="Y25" s="89"/>
      <c r="Z25" s="88">
        <v>0</v>
      </c>
      <c r="AA25" s="89">
        <v>0</v>
      </c>
      <c r="AB25" s="90">
        <f t="shared" si="0"/>
        <v>9865.780999999999</v>
      </c>
      <c r="AC25" s="274" t="s">
        <v>155</v>
      </c>
    </row>
    <row r="26" spans="1:29">
      <c r="A26" s="214" t="s">
        <v>6</v>
      </c>
      <c r="B26" s="215"/>
      <c r="C26" s="88"/>
      <c r="D26" s="89"/>
      <c r="E26" s="222">
        <v>40918</v>
      </c>
      <c r="F26" s="89"/>
      <c r="G26" s="88">
        <v>0</v>
      </c>
      <c r="H26" s="89">
        <v>0</v>
      </c>
      <c r="I26" s="89">
        <v>0</v>
      </c>
      <c r="J26" s="89"/>
      <c r="K26" s="88">
        <v>0</v>
      </c>
      <c r="L26" s="89">
        <v>0</v>
      </c>
      <c r="M26" s="89">
        <v>0</v>
      </c>
      <c r="N26" s="89"/>
      <c r="O26" s="88">
        <v>0</v>
      </c>
      <c r="P26" s="89">
        <v>0</v>
      </c>
      <c r="Q26" s="89">
        <f>-576.875-143.773</f>
        <v>-720.64800000000002</v>
      </c>
      <c r="R26" s="89"/>
      <c r="S26" s="88"/>
      <c r="T26" s="89"/>
      <c r="U26" s="263">
        <f>3223+(986.9*0.2)</f>
        <v>3420.38</v>
      </c>
      <c r="V26" s="88"/>
      <c r="W26" s="89"/>
      <c r="X26" s="263">
        <v>764.1</v>
      </c>
      <c r="Y26" s="89"/>
      <c r="Z26" s="88">
        <v>0</v>
      </c>
      <c r="AA26" s="89">
        <v>0</v>
      </c>
      <c r="AB26" s="90">
        <f t="shared" si="0"/>
        <v>44381.831999999995</v>
      </c>
      <c r="AC26" s="274" t="s">
        <v>155</v>
      </c>
    </row>
    <row r="27" spans="1:29">
      <c r="A27" s="214" t="s">
        <v>173</v>
      </c>
      <c r="B27" s="215"/>
      <c r="C27" s="88"/>
      <c r="D27" s="89"/>
      <c r="E27" s="222">
        <v>4242</v>
      </c>
      <c r="F27" s="89"/>
      <c r="G27" s="88">
        <v>0</v>
      </c>
      <c r="H27" s="89">
        <v>0</v>
      </c>
      <c r="I27" s="89">
        <v>0</v>
      </c>
      <c r="J27" s="89"/>
      <c r="K27" s="88">
        <v>0</v>
      </c>
      <c r="L27" s="89">
        <v>0</v>
      </c>
      <c r="M27" s="89">
        <v>0</v>
      </c>
      <c r="N27" s="89"/>
      <c r="O27" s="88">
        <v>0</v>
      </c>
      <c r="P27" s="89">
        <v>0</v>
      </c>
      <c r="Q27" s="89">
        <f>-59.798-14.903</f>
        <v>-74.701000000000008</v>
      </c>
      <c r="R27" s="89"/>
      <c r="S27" s="88"/>
      <c r="T27" s="89"/>
      <c r="U27" s="263">
        <f>1682.5+(986.9*0.2)</f>
        <v>1879.88</v>
      </c>
      <c r="V27" s="88"/>
      <c r="W27" s="89"/>
      <c r="X27" s="263">
        <v>463.5</v>
      </c>
      <c r="Y27" s="89"/>
      <c r="Z27" s="88">
        <v>0</v>
      </c>
      <c r="AA27" s="89">
        <v>0</v>
      </c>
      <c r="AB27" s="90">
        <f t="shared" si="0"/>
        <v>6510.6790000000001</v>
      </c>
      <c r="AC27" s="274" t="s">
        <v>155</v>
      </c>
    </row>
    <row r="28" spans="1:29">
      <c r="A28" s="214" t="s">
        <v>174</v>
      </c>
      <c r="B28" s="215"/>
      <c r="C28" s="88"/>
      <c r="D28" s="89"/>
      <c r="E28" s="222">
        <v>13972</v>
      </c>
      <c r="F28" s="89"/>
      <c r="G28" s="88">
        <v>0</v>
      </c>
      <c r="H28" s="89">
        <v>0</v>
      </c>
      <c r="I28" s="89">
        <v>0</v>
      </c>
      <c r="J28" s="89"/>
      <c r="K28" s="88">
        <v>0</v>
      </c>
      <c r="L28" s="89">
        <v>0</v>
      </c>
      <c r="M28" s="89">
        <v>0</v>
      </c>
      <c r="N28" s="89"/>
      <c r="O28" s="88">
        <v>0</v>
      </c>
      <c r="P28" s="89">
        <v>0</v>
      </c>
      <c r="Q28" s="89">
        <f>-196.982-49.093</f>
        <v>-246.07499999999999</v>
      </c>
      <c r="R28" s="89"/>
      <c r="S28" s="88"/>
      <c r="T28" s="89"/>
      <c r="U28" s="263">
        <f>4187.7</f>
        <v>4187.7</v>
      </c>
      <c r="V28" s="88"/>
      <c r="W28" s="89"/>
      <c r="X28" s="263">
        <v>1373.9</v>
      </c>
      <c r="Y28" s="89"/>
      <c r="Z28" s="88">
        <v>0</v>
      </c>
      <c r="AA28" s="89">
        <v>0</v>
      </c>
      <c r="AB28" s="90">
        <f t="shared" si="0"/>
        <v>19287.525000000001</v>
      </c>
      <c r="AC28" s="274" t="s">
        <v>155</v>
      </c>
    </row>
    <row r="29" spans="1:29">
      <c r="A29" s="214" t="s">
        <v>169</v>
      </c>
      <c r="B29" s="215"/>
      <c r="C29" s="88"/>
      <c r="D29" s="89"/>
      <c r="E29" s="222">
        <v>6736.5</v>
      </c>
      <c r="F29" s="89"/>
      <c r="G29" s="88">
        <v>0</v>
      </c>
      <c r="H29" s="89">
        <v>0</v>
      </c>
      <c r="I29" s="89">
        <v>0</v>
      </c>
      <c r="J29" s="89"/>
      <c r="K29" s="88">
        <v>0</v>
      </c>
      <c r="L29" s="89">
        <v>0</v>
      </c>
      <c r="M29" s="89">
        <v>0</v>
      </c>
      <c r="N29" s="89"/>
      <c r="O29" s="88">
        <v>0</v>
      </c>
      <c r="P29" s="89">
        <v>0</v>
      </c>
      <c r="Q29" s="89">
        <f>-94.973-23.67</f>
        <v>-118.643</v>
      </c>
      <c r="R29" s="89"/>
      <c r="S29" s="88"/>
      <c r="T29" s="89"/>
      <c r="U29" s="263">
        <f>2140+(986.9*0.2)</f>
        <v>2337.38</v>
      </c>
      <c r="V29" s="88"/>
      <c r="W29" s="89"/>
      <c r="X29" s="263">
        <v>371.8</v>
      </c>
      <c r="Y29" s="89"/>
      <c r="Z29" s="88">
        <v>0</v>
      </c>
      <c r="AA29" s="89">
        <v>0</v>
      </c>
      <c r="AB29" s="90">
        <f t="shared" si="0"/>
        <v>9327.0370000000003</v>
      </c>
      <c r="AC29" s="274" t="s">
        <v>155</v>
      </c>
    </row>
    <row r="30" spans="1:29">
      <c r="A30" s="214" t="s">
        <v>163</v>
      </c>
      <c r="B30" s="215"/>
      <c r="C30" s="88"/>
      <c r="D30" s="89"/>
      <c r="E30" s="222">
        <v>2494.5</v>
      </c>
      <c r="F30" s="89"/>
      <c r="G30" s="88">
        <v>0</v>
      </c>
      <c r="H30" s="89">
        <v>0</v>
      </c>
      <c r="I30" s="89">
        <v>0</v>
      </c>
      <c r="J30" s="89"/>
      <c r="K30" s="88">
        <v>0</v>
      </c>
      <c r="L30" s="89">
        <v>0</v>
      </c>
      <c r="M30" s="89">
        <v>0</v>
      </c>
      <c r="N30" s="89"/>
      <c r="O30" s="88">
        <v>0</v>
      </c>
      <c r="P30" s="89">
        <v>0</v>
      </c>
      <c r="Q30" s="89">
        <f>-35.175-8.767</f>
        <v>-43.941999999999993</v>
      </c>
      <c r="R30" s="89"/>
      <c r="S30" s="88"/>
      <c r="T30" s="89"/>
      <c r="U30" s="263">
        <v>2453.9699999999998</v>
      </c>
      <c r="V30" s="88"/>
      <c r="W30" s="89"/>
      <c r="X30" s="263"/>
      <c r="Y30" s="89"/>
      <c r="Z30" s="88"/>
      <c r="AA30" s="89"/>
      <c r="AB30" s="90">
        <f t="shared" si="0"/>
        <v>4904.5280000000002</v>
      </c>
      <c r="AC30" s="274" t="s">
        <v>155</v>
      </c>
    </row>
    <row r="31" spans="1:29">
      <c r="A31" s="214" t="s">
        <v>7</v>
      </c>
      <c r="B31" s="215"/>
      <c r="C31" s="88"/>
      <c r="D31" s="89"/>
      <c r="E31" s="222">
        <v>2994</v>
      </c>
      <c r="F31" s="89"/>
      <c r="G31" s="88">
        <v>0</v>
      </c>
      <c r="H31" s="89">
        <v>0</v>
      </c>
      <c r="I31" s="89">
        <v>0</v>
      </c>
      <c r="J31" s="89"/>
      <c r="K31" s="88">
        <v>0</v>
      </c>
      <c r="L31" s="89">
        <v>0</v>
      </c>
      <c r="M31" s="89">
        <v>0</v>
      </c>
      <c r="N31" s="89"/>
      <c r="O31" s="88">
        <v>0</v>
      </c>
      <c r="P31" s="89">
        <v>0</v>
      </c>
      <c r="Q31" s="89">
        <f>-42.21-10.52</f>
        <v>-52.730000000000004</v>
      </c>
      <c r="R31" s="89"/>
      <c r="S31" s="88"/>
      <c r="T31" s="89"/>
      <c r="U31" s="263">
        <v>8158.87</v>
      </c>
      <c r="V31" s="88"/>
      <c r="W31" s="89"/>
      <c r="X31" s="263"/>
      <c r="Y31" s="89"/>
      <c r="Z31" s="88">
        <v>0</v>
      </c>
      <c r="AA31" s="89">
        <v>0</v>
      </c>
      <c r="AB31" s="90">
        <f t="shared" si="0"/>
        <v>11100.14</v>
      </c>
      <c r="AC31" s="274" t="s">
        <v>155</v>
      </c>
    </row>
    <row r="32" spans="1:29">
      <c r="A32" s="214" t="s">
        <v>201</v>
      </c>
      <c r="B32" s="215"/>
      <c r="C32" s="88"/>
      <c r="D32" s="89"/>
      <c r="E32" s="222">
        <v>0</v>
      </c>
      <c r="F32" s="89"/>
      <c r="G32" s="88">
        <v>0</v>
      </c>
      <c r="H32" s="89">
        <v>0</v>
      </c>
      <c r="I32" s="89">
        <v>0</v>
      </c>
      <c r="J32" s="89"/>
      <c r="K32" s="88">
        <v>0</v>
      </c>
      <c r="L32" s="89">
        <v>0</v>
      </c>
      <c r="M32" s="89">
        <v>0</v>
      </c>
      <c r="N32" s="89"/>
      <c r="O32" s="88">
        <v>0</v>
      </c>
      <c r="P32" s="89">
        <v>0</v>
      </c>
      <c r="Q32" s="89">
        <v>0</v>
      </c>
      <c r="R32" s="89"/>
      <c r="S32" s="88"/>
      <c r="T32" s="89"/>
      <c r="U32" s="263">
        <v>0</v>
      </c>
      <c r="V32" s="88"/>
      <c r="W32" s="89"/>
      <c r="X32" s="263"/>
      <c r="Y32" s="89"/>
      <c r="Z32" s="88"/>
      <c r="AA32" s="89"/>
      <c r="AB32" s="90">
        <v>0</v>
      </c>
      <c r="AC32" s="274" t="s">
        <v>155</v>
      </c>
    </row>
    <row r="33" spans="1:42">
      <c r="A33" s="214" t="s">
        <v>8</v>
      </c>
      <c r="B33" s="215"/>
      <c r="C33" s="88"/>
      <c r="D33" s="89"/>
      <c r="E33" s="222">
        <v>998</v>
      </c>
      <c r="F33" s="89"/>
      <c r="G33" s="88">
        <v>0</v>
      </c>
      <c r="H33" s="89">
        <v>0</v>
      </c>
      <c r="I33" s="89">
        <v>0</v>
      </c>
      <c r="J33" s="89"/>
      <c r="K33" s="88">
        <v>0</v>
      </c>
      <c r="L33" s="89">
        <v>0</v>
      </c>
      <c r="M33" s="89">
        <v>0</v>
      </c>
      <c r="N33" s="89"/>
      <c r="O33" s="88">
        <v>0</v>
      </c>
      <c r="P33" s="89">
        <v>0</v>
      </c>
      <c r="Q33" s="89">
        <v>0</v>
      </c>
      <c r="R33" s="89"/>
      <c r="S33" s="88"/>
      <c r="T33" s="89"/>
      <c r="U33" s="263">
        <v>2912</v>
      </c>
      <c r="V33" s="88"/>
      <c r="W33" s="89"/>
      <c r="X33" s="263"/>
      <c r="Y33" s="89"/>
      <c r="Z33" s="88">
        <v>0</v>
      </c>
      <c r="AA33" s="89">
        <v>0</v>
      </c>
      <c r="AB33" s="90">
        <f>E33+Q33+U33+X33</f>
        <v>3910</v>
      </c>
      <c r="AC33" s="274" t="s">
        <v>155</v>
      </c>
    </row>
    <row r="34" spans="1:42">
      <c r="A34" s="637" t="s">
        <v>9</v>
      </c>
      <c r="B34" s="638"/>
      <c r="C34" s="88"/>
      <c r="D34" s="89"/>
      <c r="E34" s="222">
        <v>998</v>
      </c>
      <c r="F34" s="89"/>
      <c r="G34" s="88">
        <v>0</v>
      </c>
      <c r="H34" s="89">
        <v>0</v>
      </c>
      <c r="I34" s="89">
        <v>0</v>
      </c>
      <c r="J34" s="89"/>
      <c r="K34" s="88">
        <v>0</v>
      </c>
      <c r="L34" s="89">
        <v>0</v>
      </c>
      <c r="M34" s="89">
        <v>0</v>
      </c>
      <c r="N34" s="89"/>
      <c r="O34" s="88">
        <v>0</v>
      </c>
      <c r="P34" s="89">
        <v>0</v>
      </c>
      <c r="Q34" s="89">
        <v>0</v>
      </c>
      <c r="R34" s="89"/>
      <c r="S34" s="88"/>
      <c r="T34" s="89"/>
      <c r="U34" s="263">
        <f>183.1</f>
        <v>183.1</v>
      </c>
      <c r="V34" s="88"/>
      <c r="W34" s="89"/>
      <c r="X34" s="263"/>
      <c r="Y34" s="89"/>
      <c r="Z34" s="88">
        <v>0</v>
      </c>
      <c r="AA34" s="89">
        <v>0</v>
      </c>
      <c r="AB34" s="90">
        <f>E34+Q34+U34+X34</f>
        <v>1181.0999999999999</v>
      </c>
      <c r="AC34" s="274" t="s">
        <v>155</v>
      </c>
    </row>
    <row r="35" spans="1:42">
      <c r="A35" s="214" t="s">
        <v>17</v>
      </c>
      <c r="B35" s="215"/>
      <c r="C35" s="88"/>
      <c r="D35" s="89"/>
      <c r="E35" s="222">
        <v>0</v>
      </c>
      <c r="F35" s="89"/>
      <c r="G35" s="88">
        <v>0</v>
      </c>
      <c r="H35" s="89">
        <v>0</v>
      </c>
      <c r="I35" s="89">
        <v>0</v>
      </c>
      <c r="J35" s="89"/>
      <c r="K35" s="88">
        <v>0</v>
      </c>
      <c r="L35" s="89">
        <v>0</v>
      </c>
      <c r="M35" s="89">
        <v>0</v>
      </c>
      <c r="N35" s="89"/>
      <c r="O35" s="88">
        <v>0</v>
      </c>
      <c r="P35" s="89">
        <v>0</v>
      </c>
      <c r="Q35" s="89">
        <v>0</v>
      </c>
      <c r="R35" s="89"/>
      <c r="S35" s="88"/>
      <c r="T35" s="89"/>
      <c r="U35" s="263">
        <v>78.7</v>
      </c>
      <c r="V35" s="88"/>
      <c r="W35" s="89"/>
      <c r="X35" s="263"/>
      <c r="Y35" s="89"/>
      <c r="Z35" s="88">
        <v>0</v>
      </c>
      <c r="AA35" s="89">
        <v>0</v>
      </c>
      <c r="AB35" s="90">
        <f>+Q35+U35+X35</f>
        <v>78.7</v>
      </c>
      <c r="AC35" s="274" t="s">
        <v>155</v>
      </c>
    </row>
    <row r="36" spans="1:42">
      <c r="A36" s="214" t="s">
        <v>159</v>
      </c>
      <c r="B36" s="215"/>
      <c r="C36" s="88"/>
      <c r="D36" s="89"/>
      <c r="E36" s="264" t="s">
        <v>197</v>
      </c>
      <c r="F36" s="89"/>
      <c r="G36" s="88">
        <v>0</v>
      </c>
      <c r="H36" s="89">
        <v>0</v>
      </c>
      <c r="I36" s="89">
        <v>0</v>
      </c>
      <c r="J36" s="89"/>
      <c r="K36" s="88">
        <v>0</v>
      </c>
      <c r="L36" s="89">
        <v>0</v>
      </c>
      <c r="M36" s="89">
        <v>0</v>
      </c>
      <c r="N36" s="89"/>
      <c r="O36" s="88">
        <v>0</v>
      </c>
      <c r="P36" s="89">
        <v>0</v>
      </c>
      <c r="Q36" s="89">
        <v>0</v>
      </c>
      <c r="R36" s="89"/>
      <c r="S36" s="88">
        <v>0</v>
      </c>
      <c r="T36" s="89">
        <v>0</v>
      </c>
      <c r="U36" s="263">
        <f>5778</f>
        <v>5778</v>
      </c>
      <c r="V36" s="88">
        <v>0</v>
      </c>
      <c r="W36" s="89">
        <v>0</v>
      </c>
      <c r="X36" s="263">
        <v>646.79999999999995</v>
      </c>
      <c r="Y36" s="89"/>
      <c r="Z36" s="88">
        <v>0</v>
      </c>
      <c r="AA36" s="89">
        <v>0</v>
      </c>
      <c r="AB36" s="258">
        <f>+Q36+U36+X36</f>
        <v>6424.8</v>
      </c>
      <c r="AC36" s="274" t="s">
        <v>155</v>
      </c>
    </row>
    <row r="37" spans="1:42">
      <c r="A37" s="214" t="s">
        <v>158</v>
      </c>
      <c r="B37" s="215"/>
      <c r="C37" s="88"/>
      <c r="D37" s="89"/>
      <c r="E37" s="264" t="s">
        <v>198</v>
      </c>
      <c r="F37" s="89"/>
      <c r="G37" s="88">
        <v>0</v>
      </c>
      <c r="H37" s="89">
        <v>0</v>
      </c>
      <c r="I37" s="89">
        <v>0</v>
      </c>
      <c r="J37" s="89"/>
      <c r="K37" s="88">
        <v>0</v>
      </c>
      <c r="L37" s="89">
        <v>0</v>
      </c>
      <c r="M37" s="89">
        <v>0</v>
      </c>
      <c r="N37" s="89"/>
      <c r="O37" s="88">
        <v>0</v>
      </c>
      <c r="P37" s="89">
        <v>0</v>
      </c>
      <c r="Q37" s="89">
        <v>0</v>
      </c>
      <c r="R37" s="89"/>
      <c r="S37" s="88">
        <v>0</v>
      </c>
      <c r="T37" s="89">
        <v>0</v>
      </c>
      <c r="U37" s="263">
        <v>692.4</v>
      </c>
      <c r="V37" s="88">
        <v>0</v>
      </c>
      <c r="W37" s="89">
        <v>0</v>
      </c>
      <c r="X37" s="263">
        <v>14.9</v>
      </c>
      <c r="Y37" s="89"/>
      <c r="Z37" s="88">
        <v>0</v>
      </c>
      <c r="AA37" s="89">
        <v>0</v>
      </c>
      <c r="AB37" s="90">
        <f>+Q37+U37+X37</f>
        <v>707.3</v>
      </c>
      <c r="AC37" s="274" t="s">
        <v>155</v>
      </c>
    </row>
    <row r="38" spans="1:42">
      <c r="A38" s="214"/>
      <c r="B38" s="516" t="s">
        <v>259</v>
      </c>
      <c r="C38" s="88"/>
      <c r="D38" s="89"/>
      <c r="E38" s="89"/>
      <c r="F38" s="89"/>
      <c r="G38" s="88"/>
      <c r="H38" s="89"/>
      <c r="I38" s="89"/>
      <c r="J38" s="89"/>
      <c r="K38" s="88"/>
      <c r="L38" s="89"/>
      <c r="M38" s="89"/>
      <c r="N38" s="89"/>
      <c r="O38" s="88"/>
      <c r="P38" s="89"/>
      <c r="Q38" s="89">
        <v>-1000</v>
      </c>
      <c r="R38" s="89"/>
      <c r="S38" s="88"/>
      <c r="T38" s="89"/>
      <c r="U38" s="263"/>
      <c r="V38" s="88"/>
      <c r="W38" s="89"/>
      <c r="X38" s="263"/>
      <c r="Y38" s="89"/>
      <c r="Z38" s="88"/>
      <c r="AA38" s="89"/>
      <c r="AB38" s="90"/>
      <c r="AC38" s="274" t="s">
        <v>155</v>
      </c>
    </row>
    <row r="39" spans="1:42">
      <c r="A39" s="216" t="s">
        <v>10</v>
      </c>
      <c r="B39" s="215"/>
      <c r="C39" s="88"/>
      <c r="D39" s="89"/>
      <c r="E39" s="89"/>
      <c r="F39" s="89"/>
      <c r="G39" s="88"/>
      <c r="H39" s="89"/>
      <c r="I39" s="268"/>
      <c r="J39" s="89"/>
      <c r="K39" s="88"/>
      <c r="L39" s="89"/>
      <c r="M39" s="89"/>
      <c r="N39" s="89"/>
      <c r="O39" s="88"/>
      <c r="P39" s="89"/>
      <c r="Q39" s="89"/>
      <c r="R39" s="89"/>
      <c r="S39" s="88"/>
      <c r="T39" s="89"/>
      <c r="U39" s="263"/>
      <c r="V39" s="88"/>
      <c r="W39" s="89"/>
      <c r="X39" s="263"/>
      <c r="Y39" s="89"/>
      <c r="Z39" s="88"/>
      <c r="AA39" s="89"/>
      <c r="AB39" s="90"/>
      <c r="AC39" s="274" t="s">
        <v>155</v>
      </c>
    </row>
    <row r="40" spans="1:42" ht="9" hidden="1" customHeight="1">
      <c r="A40" s="77"/>
      <c r="B40" s="2" t="s">
        <v>86</v>
      </c>
      <c r="C40" s="77"/>
      <c r="D40" s="2"/>
      <c r="E40" s="2"/>
      <c r="F40" s="1"/>
      <c r="G40" s="77"/>
      <c r="H40" s="2"/>
      <c r="I40" s="2"/>
      <c r="J40" s="2"/>
      <c r="K40" s="77"/>
      <c r="L40" s="2"/>
      <c r="M40" s="2"/>
      <c r="N40" s="2"/>
      <c r="O40" s="77"/>
      <c r="P40" s="2"/>
      <c r="Q40" s="2"/>
      <c r="R40" s="2"/>
      <c r="S40" s="77"/>
      <c r="T40" s="2"/>
      <c r="U40" s="267"/>
      <c r="V40" s="77"/>
      <c r="W40" s="2"/>
      <c r="X40" s="267"/>
      <c r="Y40" s="1"/>
      <c r="Z40" s="77"/>
      <c r="AA40" s="2"/>
      <c r="AB40" s="72"/>
      <c r="AC40" s="274" t="s">
        <v>155</v>
      </c>
    </row>
    <row r="41" spans="1:42">
      <c r="A41" s="91" t="s">
        <v>92</v>
      </c>
      <c r="B41" s="74" t="s">
        <v>91</v>
      </c>
      <c r="C41" s="98">
        <f>SUM(C13:C39)</f>
        <v>0</v>
      </c>
      <c r="D41" s="74">
        <f>SUM(D13:D39)</f>
        <v>0</v>
      </c>
      <c r="E41" s="75">
        <f>SUM(E13:E39)</f>
        <v>417663</v>
      </c>
      <c r="F41" s="74"/>
      <c r="G41" s="98">
        <f>SUM(G13:G39)</f>
        <v>0</v>
      </c>
      <c r="H41" s="74">
        <f>SUM(H13:H39)</f>
        <v>0</v>
      </c>
      <c r="I41" s="269">
        <f>SUM(I13:I39)</f>
        <v>0</v>
      </c>
      <c r="J41" s="74"/>
      <c r="K41" s="98">
        <f>SUM(K13:K39)</f>
        <v>0</v>
      </c>
      <c r="L41" s="74">
        <f>SUM(L13:L39)</f>
        <v>0</v>
      </c>
      <c r="M41" s="75">
        <f>SUM(M13:M39)</f>
        <v>0</v>
      </c>
      <c r="N41" s="74"/>
      <c r="O41" s="98">
        <f>SUM(O13:O39)</f>
        <v>0</v>
      </c>
      <c r="P41" s="74">
        <f>SUM(P13:P39)</f>
        <v>0</v>
      </c>
      <c r="Q41" s="75">
        <f>SUM(Q13:Q39)</f>
        <v>-11261.966999999995</v>
      </c>
      <c r="R41" s="75"/>
      <c r="S41" s="98">
        <f>SUM(S13:S39)</f>
        <v>0</v>
      </c>
      <c r="T41" s="74">
        <f>SUM(T13:T39)</f>
        <v>0</v>
      </c>
      <c r="U41" s="273">
        <f>SUM(U13:U39)+1</f>
        <v>82142.404999999984</v>
      </c>
      <c r="V41" s="98">
        <f>SUM(V13:V39)</f>
        <v>0</v>
      </c>
      <c r="W41" s="74">
        <f>SUM(W13:W39)</f>
        <v>0</v>
      </c>
      <c r="X41" s="273">
        <f>SUM(X13:X39)+1</f>
        <v>14736.539999999997</v>
      </c>
      <c r="Y41" s="74"/>
      <c r="Z41" s="98">
        <f>SUM(Z13:Z39)</f>
        <v>0</v>
      </c>
      <c r="AA41" s="74">
        <f>SUM(AA13:AA39)</f>
        <v>0</v>
      </c>
      <c r="AB41" s="76">
        <f>E41+I41+Q41+U41+X41</f>
        <v>503279.97799999994</v>
      </c>
      <c r="AC41" s="274" t="s">
        <v>155</v>
      </c>
    </row>
    <row r="42" spans="1:42" ht="9.6" customHeight="1">
      <c r="A42" s="92"/>
      <c r="B42" s="2"/>
      <c r="C42" s="77"/>
      <c r="D42" s="1"/>
      <c r="E42" s="1"/>
      <c r="F42" s="1"/>
      <c r="G42" s="77"/>
      <c r="H42" s="1"/>
      <c r="I42" s="1"/>
      <c r="J42" s="2"/>
      <c r="K42" s="77"/>
      <c r="L42" s="1"/>
      <c r="M42" s="1"/>
      <c r="N42" s="1"/>
      <c r="O42" s="77"/>
      <c r="P42" s="1"/>
      <c r="Q42" s="1"/>
      <c r="R42" s="1"/>
      <c r="S42" s="77"/>
      <c r="T42" s="1"/>
      <c r="U42" s="1"/>
      <c r="V42" s="77"/>
      <c r="W42" s="1"/>
      <c r="X42" s="1"/>
      <c r="Y42" s="1"/>
      <c r="Z42" s="77"/>
      <c r="AA42" s="1"/>
      <c r="AB42" s="84"/>
      <c r="AC42" s="274" t="s">
        <v>155</v>
      </c>
    </row>
    <row r="43" spans="1:42">
      <c r="A43" s="94" t="s">
        <v>75</v>
      </c>
      <c r="B43" s="104"/>
      <c r="C43" s="94"/>
      <c r="D43" s="22"/>
      <c r="E43" s="22"/>
      <c r="F43" s="22"/>
      <c r="G43" s="94"/>
      <c r="H43" s="22"/>
      <c r="I43" s="22"/>
      <c r="J43" s="22"/>
      <c r="K43" s="94"/>
      <c r="L43" s="22"/>
      <c r="M43" s="22"/>
      <c r="N43" s="22"/>
      <c r="O43" s="94"/>
      <c r="P43" s="22"/>
      <c r="Q43" s="22"/>
      <c r="R43" s="22"/>
      <c r="S43" s="94"/>
      <c r="T43" s="22"/>
      <c r="U43" s="22"/>
      <c r="V43" s="94"/>
      <c r="W43" s="22"/>
      <c r="X43" s="22"/>
      <c r="Y43" s="22"/>
      <c r="Z43" s="94"/>
      <c r="AA43" s="22">
        <f>D43+H43+L43+P43+W43</f>
        <v>0</v>
      </c>
      <c r="AB43" s="73"/>
      <c r="AC43" s="274" t="s">
        <v>155</v>
      </c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>
      <c r="A44" s="127"/>
      <c r="B44" s="86" t="s">
        <v>74</v>
      </c>
      <c r="C44" s="85"/>
      <c r="D44" s="86">
        <f>SUM(D41:D43)</f>
        <v>0</v>
      </c>
      <c r="E44" s="86">
        <v>0</v>
      </c>
      <c r="F44" s="86"/>
      <c r="G44" s="85"/>
      <c r="H44" s="86">
        <f>+H41+H43</f>
        <v>0</v>
      </c>
      <c r="I44" s="86"/>
      <c r="J44" s="86"/>
      <c r="K44" s="85"/>
      <c r="L44" s="86">
        <f>+L41+L43</f>
        <v>0</v>
      </c>
      <c r="M44" s="86"/>
      <c r="N44" s="86"/>
      <c r="O44" s="85"/>
      <c r="P44" s="86">
        <f>+P41+P43</f>
        <v>0</v>
      </c>
      <c r="Q44" s="86"/>
      <c r="R44" s="86"/>
      <c r="S44" s="85"/>
      <c r="T44" s="86">
        <f>+T41+T43</f>
        <v>0</v>
      </c>
      <c r="U44" s="86"/>
      <c r="V44" s="85"/>
      <c r="W44" s="86">
        <f>+W41+W43</f>
        <v>0</v>
      </c>
      <c r="X44" s="86"/>
      <c r="Y44" s="86"/>
      <c r="Z44" s="85"/>
      <c r="AA44" s="86">
        <f>SUM(AA41:AA43)</f>
        <v>0</v>
      </c>
      <c r="AB44" s="87"/>
      <c r="AC44" s="274" t="s">
        <v>155</v>
      </c>
    </row>
    <row r="45" spans="1:42">
      <c r="A45" s="99" t="s">
        <v>76</v>
      </c>
      <c r="B45" s="89"/>
      <c r="C45" s="88"/>
      <c r="D45" s="89"/>
      <c r="E45" s="89"/>
      <c r="F45" s="89"/>
      <c r="G45" s="88"/>
      <c r="H45" s="89"/>
      <c r="I45" s="89"/>
      <c r="J45" s="89"/>
      <c r="K45" s="88"/>
      <c r="L45" s="89"/>
      <c r="M45" s="89"/>
      <c r="N45" s="89"/>
      <c r="O45" s="88"/>
      <c r="P45" s="89"/>
      <c r="Q45" s="89"/>
      <c r="R45" s="89"/>
      <c r="S45" s="88"/>
      <c r="T45" s="89"/>
      <c r="U45" s="89"/>
      <c r="V45" s="88"/>
      <c r="W45" s="89"/>
      <c r="X45" s="89"/>
      <c r="Y45" s="89"/>
      <c r="Z45" s="88"/>
      <c r="AA45" s="89"/>
      <c r="AB45" s="90"/>
      <c r="AC45" s="274" t="s">
        <v>155</v>
      </c>
    </row>
    <row r="46" spans="1:42">
      <c r="A46" s="99"/>
      <c r="B46" s="89" t="s">
        <v>33</v>
      </c>
      <c r="C46" s="88"/>
      <c r="D46" s="89"/>
      <c r="E46" s="89"/>
      <c r="F46" s="89"/>
      <c r="G46" s="88"/>
      <c r="H46" s="89"/>
      <c r="I46" s="89"/>
      <c r="J46" s="89"/>
      <c r="K46" s="88"/>
      <c r="L46" s="89"/>
      <c r="M46" s="89"/>
      <c r="N46" s="89"/>
      <c r="O46" s="88"/>
      <c r="P46" s="89"/>
      <c r="Q46" s="89"/>
      <c r="R46" s="89"/>
      <c r="S46" s="88"/>
      <c r="T46" s="89"/>
      <c r="U46" s="89"/>
      <c r="V46" s="88"/>
      <c r="W46" s="89"/>
      <c r="X46" s="89"/>
      <c r="Y46" s="89"/>
      <c r="Z46" s="88"/>
      <c r="AA46" s="89">
        <f>D46+H46+L46+P46+W46</f>
        <v>0</v>
      </c>
      <c r="AB46" s="90"/>
      <c r="AC46" s="274" t="s">
        <v>155</v>
      </c>
    </row>
    <row r="47" spans="1:42">
      <c r="A47" s="93"/>
      <c r="B47" s="22" t="s">
        <v>58</v>
      </c>
      <c r="C47" s="94"/>
      <c r="D47" s="22"/>
      <c r="E47" s="22"/>
      <c r="F47" s="22"/>
      <c r="G47" s="94"/>
      <c r="H47" s="22"/>
      <c r="I47" s="22"/>
      <c r="J47" s="22"/>
      <c r="K47" s="94"/>
      <c r="L47" s="22"/>
      <c r="M47" s="22"/>
      <c r="N47" s="22"/>
      <c r="O47" s="94"/>
      <c r="P47" s="22"/>
      <c r="Q47" s="22"/>
      <c r="R47" s="22"/>
      <c r="S47" s="94"/>
      <c r="T47" s="22"/>
      <c r="U47" s="22"/>
      <c r="V47" s="94"/>
      <c r="W47" s="22"/>
      <c r="X47" s="22"/>
      <c r="Y47" s="22"/>
      <c r="Z47" s="94"/>
      <c r="AA47" s="22">
        <f>D47+H47+L47+P47+W47</f>
        <v>0</v>
      </c>
      <c r="AB47" s="73"/>
      <c r="AC47" s="274" t="s">
        <v>155</v>
      </c>
    </row>
    <row r="48" spans="1:42">
      <c r="A48" s="93" t="s">
        <v>77</v>
      </c>
      <c r="B48" s="22"/>
      <c r="C48" s="94"/>
      <c r="D48" s="22">
        <f>D47+D46+D44</f>
        <v>0</v>
      </c>
      <c r="E48" s="22"/>
      <c r="F48" s="22"/>
      <c r="G48" s="94"/>
      <c r="H48" s="22">
        <f>H47+H46+H44</f>
        <v>0</v>
      </c>
      <c r="I48" s="22"/>
      <c r="J48" s="22"/>
      <c r="K48" s="94"/>
      <c r="L48" s="22">
        <f>L47+L46+L44</f>
        <v>0</v>
      </c>
      <c r="M48" s="22"/>
      <c r="N48" s="22"/>
      <c r="O48" s="94"/>
      <c r="P48" s="22">
        <f>P47+P46+P44</f>
        <v>0</v>
      </c>
      <c r="Q48" s="22"/>
      <c r="R48" s="22"/>
      <c r="S48" s="94"/>
      <c r="T48" s="22">
        <f>T47+T46+T44</f>
        <v>0</v>
      </c>
      <c r="U48" s="22"/>
      <c r="V48" s="94"/>
      <c r="W48" s="22">
        <f>W47+W46+W44</f>
        <v>0</v>
      </c>
      <c r="X48" s="22"/>
      <c r="Y48" s="22"/>
      <c r="Z48" s="94"/>
      <c r="AA48" s="22">
        <f>AA47+AA46+AA44</f>
        <v>0</v>
      </c>
      <c r="AB48" s="73"/>
      <c r="AC48" s="274" t="s">
        <v>155</v>
      </c>
    </row>
    <row r="49" spans="1:29">
      <c r="A49" s="93" t="s">
        <v>160</v>
      </c>
      <c r="B49" s="22"/>
      <c r="C49" s="94"/>
      <c r="D49" s="22">
        <f>D48+D47+D45</f>
        <v>0</v>
      </c>
      <c r="E49" s="22"/>
      <c r="F49" s="22"/>
      <c r="G49" s="94"/>
      <c r="H49" s="22">
        <f>H48+H47+H45</f>
        <v>0</v>
      </c>
      <c r="I49" s="22"/>
      <c r="J49" s="22"/>
      <c r="K49" s="94"/>
      <c r="L49" s="22">
        <f>L48+L47+L45</f>
        <v>0</v>
      </c>
      <c r="M49" s="22"/>
      <c r="N49" s="22"/>
      <c r="O49" s="94"/>
      <c r="P49" s="22">
        <f>P48+P47+P45</f>
        <v>0</v>
      </c>
      <c r="Q49" s="22"/>
      <c r="R49" s="22"/>
      <c r="S49" s="94"/>
      <c r="T49" s="22">
        <f>T48+T47+T45</f>
        <v>0</v>
      </c>
      <c r="U49" s="22"/>
      <c r="V49" s="94"/>
      <c r="W49" s="22">
        <f>W48+W47+W45</f>
        <v>0</v>
      </c>
      <c r="X49" s="22"/>
      <c r="Y49" s="22"/>
      <c r="Z49" s="94"/>
      <c r="AA49" s="22">
        <f>AA48+AA47+AA45</f>
        <v>0</v>
      </c>
      <c r="AB49" s="73"/>
      <c r="AC49" s="274" t="s">
        <v>203</v>
      </c>
    </row>
    <row r="50" spans="1:29">
      <c r="A50" s="1"/>
      <c r="B50" s="1"/>
      <c r="C50" s="1"/>
      <c r="D50" s="1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B50" s="1"/>
    </row>
    <row r="51" spans="1:29" ht="63.75" customHeight="1">
      <c r="A51" s="639" t="s">
        <v>265</v>
      </c>
      <c r="B51" s="640"/>
      <c r="C51" s="640"/>
      <c r="D51" s="640"/>
      <c r="E51" s="640"/>
      <c r="F51" s="640"/>
      <c r="G51" s="640"/>
      <c r="H51" s="640"/>
      <c r="I51" s="640"/>
      <c r="J51" s="640"/>
      <c r="K51" s="640"/>
      <c r="L51" s="640"/>
      <c r="M51" s="640"/>
      <c r="N51" s="640"/>
      <c r="O51" s="640"/>
      <c r="P51" s="640"/>
      <c r="Q51" s="640"/>
      <c r="R51" s="640"/>
      <c r="S51" s="640"/>
      <c r="T51" s="640"/>
      <c r="U51" s="640"/>
      <c r="V51" s="640"/>
      <c r="W51" s="640"/>
      <c r="X51" s="640"/>
      <c r="Y51" s="1"/>
      <c r="Z51" s="1"/>
      <c r="AA51" s="1"/>
      <c r="AB51" s="1"/>
    </row>
    <row r="52" spans="1:29" ht="14.45" customHeight="1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497"/>
      <c r="S52" s="497"/>
      <c r="T52" s="497"/>
      <c r="U52" s="497"/>
      <c r="V52" s="266"/>
      <c r="W52" s="266"/>
      <c r="X52" s="266"/>
      <c r="Y52" s="1"/>
      <c r="Z52" s="1"/>
      <c r="AA52" s="1"/>
      <c r="AB52" s="1"/>
    </row>
    <row r="53" spans="1:29">
      <c r="A53" s="1" t="s">
        <v>20</v>
      </c>
      <c r="B53" s="1"/>
      <c r="C53" s="1"/>
      <c r="D53" s="1"/>
      <c r="E53" s="1"/>
      <c r="F53" s="1"/>
      <c r="G53" s="1"/>
      <c r="H53" s="1"/>
      <c r="I53" s="1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9">
      <c r="A54" s="1"/>
      <c r="B54" s="1"/>
      <c r="C54" s="1"/>
      <c r="D54" s="1"/>
      <c r="E54" s="1"/>
      <c r="F54" s="1"/>
      <c r="G54" s="1"/>
      <c r="H54" s="1"/>
      <c r="I54" s="1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9">
      <c r="A55" s="1"/>
      <c r="B55" s="1"/>
      <c r="C55" s="1"/>
      <c r="D55" s="1"/>
      <c r="E55" s="1"/>
      <c r="F55" s="1"/>
      <c r="G55" s="1"/>
      <c r="H55" s="1"/>
      <c r="I55" s="1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9">
      <c r="A56" s="1"/>
      <c r="B56" s="1"/>
      <c r="C56" s="1"/>
      <c r="D56" s="1"/>
      <c r="E56" s="1"/>
      <c r="F56" s="1"/>
      <c r="G56" s="1"/>
      <c r="H56" s="1"/>
      <c r="I56" s="1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</sheetData>
  <mergeCells count="3">
    <mergeCell ref="A15:B15"/>
    <mergeCell ref="A34:B34"/>
    <mergeCell ref="A51:X51"/>
  </mergeCells>
  <phoneticPr fontId="0" type="noConversion"/>
  <printOptions horizontalCentered="1"/>
  <pageMargins left="0.5" right="0.5" top="0.5" bottom="0.55000000000000004" header="0" footer="0"/>
  <pageSetup scale="52" firstPageNumber="2" orientation="landscape" useFirstPageNumber="1" horizontalDpi="300" verticalDpi="300" r:id="rId1"/>
  <headerFooter alignWithMargins="0">
    <oddFooter>&amp;C&amp;"Times New Roman,Regular"Exhibit F - Crosswalk of 2011 Availability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52"/>
  <sheetViews>
    <sheetView view="pageBreakPreview" zoomScale="60" zoomScaleNormal="100" workbookViewId="0">
      <selection activeCell="A46" sqref="A46:U46"/>
    </sheetView>
  </sheetViews>
  <sheetFormatPr defaultRowHeight="15"/>
  <cols>
    <col min="1" max="1" width="8.88671875" style="348"/>
    <col min="2" max="2" width="20.109375" style="348" customWidth="1"/>
    <col min="3" max="3" width="9" style="348" bestFit="1" customWidth="1"/>
    <col min="4" max="4" width="8.77734375" style="348" customWidth="1"/>
    <col min="5" max="5" width="10.33203125" style="390" customWidth="1"/>
    <col min="6" max="7" width="9" style="348" bestFit="1" customWidth="1"/>
    <col min="8" max="8" width="9.5546875" style="348" bestFit="1" customWidth="1"/>
    <col min="9" max="10" width="9" style="498" bestFit="1" customWidth="1"/>
    <col min="11" max="11" width="11.88671875" style="498" customWidth="1"/>
    <col min="12" max="13" width="9" style="348" bestFit="1" customWidth="1"/>
    <col min="14" max="14" width="11.88671875" style="348" customWidth="1"/>
    <col min="15" max="15" width="9.44140625" style="348" bestFit="1" customWidth="1"/>
    <col min="16" max="16" width="9" style="348" bestFit="1" customWidth="1"/>
    <col min="17" max="17" width="12.6640625" style="348" customWidth="1"/>
    <col min="18" max="18" width="8.88671875" style="348"/>
    <col min="19" max="20" width="9.33203125" style="348" bestFit="1" customWidth="1"/>
    <col min="21" max="254" width="8.88671875" style="348"/>
    <col min="255" max="255" width="20.109375" style="348" customWidth="1"/>
    <col min="256" max="256" width="8.88671875" style="348"/>
    <col min="257" max="257" width="8.77734375" style="348" customWidth="1"/>
    <col min="258" max="258" width="10.33203125" style="348" customWidth="1"/>
    <col min="259" max="510" width="8.88671875" style="348"/>
    <col min="511" max="511" width="20.109375" style="348" customWidth="1"/>
    <col min="512" max="512" width="8.88671875" style="348"/>
    <col min="513" max="513" width="8.77734375" style="348" customWidth="1"/>
    <col min="514" max="514" width="10.33203125" style="348" customWidth="1"/>
    <col min="515" max="766" width="8.88671875" style="348"/>
    <col min="767" max="767" width="20.109375" style="348" customWidth="1"/>
    <col min="768" max="768" width="8.88671875" style="348"/>
    <col min="769" max="769" width="8.77734375" style="348" customWidth="1"/>
    <col min="770" max="770" width="10.33203125" style="348" customWidth="1"/>
    <col min="771" max="1022" width="8.88671875" style="348"/>
    <col min="1023" max="1023" width="20.109375" style="348" customWidth="1"/>
    <col min="1024" max="1024" width="8.88671875" style="348"/>
    <col min="1025" max="1025" width="8.77734375" style="348" customWidth="1"/>
    <col min="1026" max="1026" width="10.33203125" style="348" customWidth="1"/>
    <col min="1027" max="1278" width="8.88671875" style="348"/>
    <col min="1279" max="1279" width="20.109375" style="348" customWidth="1"/>
    <col min="1280" max="1280" width="8.88671875" style="348"/>
    <col min="1281" max="1281" width="8.77734375" style="348" customWidth="1"/>
    <col min="1282" max="1282" width="10.33203125" style="348" customWidth="1"/>
    <col min="1283" max="1534" width="8.88671875" style="348"/>
    <col min="1535" max="1535" width="20.109375" style="348" customWidth="1"/>
    <col min="1536" max="1536" width="8.88671875" style="348"/>
    <col min="1537" max="1537" width="8.77734375" style="348" customWidth="1"/>
    <col min="1538" max="1538" width="10.33203125" style="348" customWidth="1"/>
    <col min="1539" max="1790" width="8.88671875" style="348"/>
    <col min="1791" max="1791" width="20.109375" style="348" customWidth="1"/>
    <col min="1792" max="1792" width="8.88671875" style="348"/>
    <col min="1793" max="1793" width="8.77734375" style="348" customWidth="1"/>
    <col min="1794" max="1794" width="10.33203125" style="348" customWidth="1"/>
    <col min="1795" max="2046" width="8.88671875" style="348"/>
    <col min="2047" max="2047" width="20.109375" style="348" customWidth="1"/>
    <col min="2048" max="2048" width="8.88671875" style="348"/>
    <col min="2049" max="2049" width="8.77734375" style="348" customWidth="1"/>
    <col min="2050" max="2050" width="10.33203125" style="348" customWidth="1"/>
    <col min="2051" max="2302" width="8.88671875" style="348"/>
    <col min="2303" max="2303" width="20.109375" style="348" customWidth="1"/>
    <col min="2304" max="2304" width="8.88671875" style="348"/>
    <col min="2305" max="2305" width="8.77734375" style="348" customWidth="1"/>
    <col min="2306" max="2306" width="10.33203125" style="348" customWidth="1"/>
    <col min="2307" max="2558" width="8.88671875" style="348"/>
    <col min="2559" max="2559" width="20.109375" style="348" customWidth="1"/>
    <col min="2560" max="2560" width="8.88671875" style="348"/>
    <col min="2561" max="2561" width="8.77734375" style="348" customWidth="1"/>
    <col min="2562" max="2562" width="10.33203125" style="348" customWidth="1"/>
    <col min="2563" max="2814" width="8.88671875" style="348"/>
    <col min="2815" max="2815" width="20.109375" style="348" customWidth="1"/>
    <col min="2816" max="2816" width="8.88671875" style="348"/>
    <col min="2817" max="2817" width="8.77734375" style="348" customWidth="1"/>
    <col min="2818" max="2818" width="10.33203125" style="348" customWidth="1"/>
    <col min="2819" max="3070" width="8.88671875" style="348"/>
    <col min="3071" max="3071" width="20.109375" style="348" customWidth="1"/>
    <col min="3072" max="3072" width="8.88671875" style="348"/>
    <col min="3073" max="3073" width="8.77734375" style="348" customWidth="1"/>
    <col min="3074" max="3074" width="10.33203125" style="348" customWidth="1"/>
    <col min="3075" max="3326" width="8.88671875" style="348"/>
    <col min="3327" max="3327" width="20.109375" style="348" customWidth="1"/>
    <col min="3328" max="3328" width="8.88671875" style="348"/>
    <col min="3329" max="3329" width="8.77734375" style="348" customWidth="1"/>
    <col min="3330" max="3330" width="10.33203125" style="348" customWidth="1"/>
    <col min="3331" max="3582" width="8.88671875" style="348"/>
    <col min="3583" max="3583" width="20.109375" style="348" customWidth="1"/>
    <col min="3584" max="3584" width="8.88671875" style="348"/>
    <col min="3585" max="3585" width="8.77734375" style="348" customWidth="1"/>
    <col min="3586" max="3586" width="10.33203125" style="348" customWidth="1"/>
    <col min="3587" max="3838" width="8.88671875" style="348"/>
    <col min="3839" max="3839" width="20.109375" style="348" customWidth="1"/>
    <col min="3840" max="3840" width="8.88671875" style="348"/>
    <col min="3841" max="3841" width="8.77734375" style="348" customWidth="1"/>
    <col min="3842" max="3842" width="10.33203125" style="348" customWidth="1"/>
    <col min="3843" max="4094" width="8.88671875" style="348"/>
    <col min="4095" max="4095" width="20.109375" style="348" customWidth="1"/>
    <col min="4096" max="4096" width="8.88671875" style="348"/>
    <col min="4097" max="4097" width="8.77734375" style="348" customWidth="1"/>
    <col min="4098" max="4098" width="10.33203125" style="348" customWidth="1"/>
    <col min="4099" max="4350" width="8.88671875" style="348"/>
    <col min="4351" max="4351" width="20.109375" style="348" customWidth="1"/>
    <col min="4352" max="4352" width="8.88671875" style="348"/>
    <col min="4353" max="4353" width="8.77734375" style="348" customWidth="1"/>
    <col min="4354" max="4354" width="10.33203125" style="348" customWidth="1"/>
    <col min="4355" max="4606" width="8.88671875" style="348"/>
    <col min="4607" max="4607" width="20.109375" style="348" customWidth="1"/>
    <col min="4608" max="4608" width="8.88671875" style="348"/>
    <col min="4609" max="4609" width="8.77734375" style="348" customWidth="1"/>
    <col min="4610" max="4610" width="10.33203125" style="348" customWidth="1"/>
    <col min="4611" max="4862" width="8.88671875" style="348"/>
    <col min="4863" max="4863" width="20.109375" style="348" customWidth="1"/>
    <col min="4864" max="4864" width="8.88671875" style="348"/>
    <col min="4865" max="4865" width="8.77734375" style="348" customWidth="1"/>
    <col min="4866" max="4866" width="10.33203125" style="348" customWidth="1"/>
    <col min="4867" max="5118" width="8.88671875" style="348"/>
    <col min="5119" max="5119" width="20.109375" style="348" customWidth="1"/>
    <col min="5120" max="5120" width="8.88671875" style="348"/>
    <col min="5121" max="5121" width="8.77734375" style="348" customWidth="1"/>
    <col min="5122" max="5122" width="10.33203125" style="348" customWidth="1"/>
    <col min="5123" max="5374" width="8.88671875" style="348"/>
    <col min="5375" max="5375" width="20.109375" style="348" customWidth="1"/>
    <col min="5376" max="5376" width="8.88671875" style="348"/>
    <col min="5377" max="5377" width="8.77734375" style="348" customWidth="1"/>
    <col min="5378" max="5378" width="10.33203125" style="348" customWidth="1"/>
    <col min="5379" max="5630" width="8.88671875" style="348"/>
    <col min="5631" max="5631" width="20.109375" style="348" customWidth="1"/>
    <col min="5632" max="5632" width="8.88671875" style="348"/>
    <col min="5633" max="5633" width="8.77734375" style="348" customWidth="1"/>
    <col min="5634" max="5634" width="10.33203125" style="348" customWidth="1"/>
    <col min="5635" max="5886" width="8.88671875" style="348"/>
    <col min="5887" max="5887" width="20.109375" style="348" customWidth="1"/>
    <col min="5888" max="5888" width="8.88671875" style="348"/>
    <col min="5889" max="5889" width="8.77734375" style="348" customWidth="1"/>
    <col min="5890" max="5890" width="10.33203125" style="348" customWidth="1"/>
    <col min="5891" max="6142" width="8.88671875" style="348"/>
    <col min="6143" max="6143" width="20.109375" style="348" customWidth="1"/>
    <col min="6144" max="6144" width="8.88671875" style="348"/>
    <col min="6145" max="6145" width="8.77734375" style="348" customWidth="1"/>
    <col min="6146" max="6146" width="10.33203125" style="348" customWidth="1"/>
    <col min="6147" max="6398" width="8.88671875" style="348"/>
    <col min="6399" max="6399" width="20.109375" style="348" customWidth="1"/>
    <col min="6400" max="6400" width="8.88671875" style="348"/>
    <col min="6401" max="6401" width="8.77734375" style="348" customWidth="1"/>
    <col min="6402" max="6402" width="10.33203125" style="348" customWidth="1"/>
    <col min="6403" max="6654" width="8.88671875" style="348"/>
    <col min="6655" max="6655" width="20.109375" style="348" customWidth="1"/>
    <col min="6656" max="6656" width="8.88671875" style="348"/>
    <col min="6657" max="6657" width="8.77734375" style="348" customWidth="1"/>
    <col min="6658" max="6658" width="10.33203125" style="348" customWidth="1"/>
    <col min="6659" max="6910" width="8.88671875" style="348"/>
    <col min="6911" max="6911" width="20.109375" style="348" customWidth="1"/>
    <col min="6912" max="6912" width="8.88671875" style="348"/>
    <col min="6913" max="6913" width="8.77734375" style="348" customWidth="1"/>
    <col min="6914" max="6914" width="10.33203125" style="348" customWidth="1"/>
    <col min="6915" max="7166" width="8.88671875" style="348"/>
    <col min="7167" max="7167" width="20.109375" style="348" customWidth="1"/>
    <col min="7168" max="7168" width="8.88671875" style="348"/>
    <col min="7169" max="7169" width="8.77734375" style="348" customWidth="1"/>
    <col min="7170" max="7170" width="10.33203125" style="348" customWidth="1"/>
    <col min="7171" max="7422" width="8.88671875" style="348"/>
    <col min="7423" max="7423" width="20.109375" style="348" customWidth="1"/>
    <col min="7424" max="7424" width="8.88671875" style="348"/>
    <col min="7425" max="7425" width="8.77734375" style="348" customWidth="1"/>
    <col min="7426" max="7426" width="10.33203125" style="348" customWidth="1"/>
    <col min="7427" max="7678" width="8.88671875" style="348"/>
    <col min="7679" max="7679" width="20.109375" style="348" customWidth="1"/>
    <col min="7680" max="7680" width="8.88671875" style="348"/>
    <col min="7681" max="7681" width="8.77734375" style="348" customWidth="1"/>
    <col min="7682" max="7682" width="10.33203125" style="348" customWidth="1"/>
    <col min="7683" max="7934" width="8.88671875" style="348"/>
    <col min="7935" max="7935" width="20.109375" style="348" customWidth="1"/>
    <col min="7936" max="7936" width="8.88671875" style="348"/>
    <col min="7937" max="7937" width="8.77734375" style="348" customWidth="1"/>
    <col min="7938" max="7938" width="10.33203125" style="348" customWidth="1"/>
    <col min="7939" max="8190" width="8.88671875" style="348"/>
    <col min="8191" max="8191" width="20.109375" style="348" customWidth="1"/>
    <col min="8192" max="8192" width="8.88671875" style="348"/>
    <col min="8193" max="8193" width="8.77734375" style="348" customWidth="1"/>
    <col min="8194" max="8194" width="10.33203125" style="348" customWidth="1"/>
    <col min="8195" max="8446" width="8.88671875" style="348"/>
    <col min="8447" max="8447" width="20.109375" style="348" customWidth="1"/>
    <col min="8448" max="8448" width="8.88671875" style="348"/>
    <col min="8449" max="8449" width="8.77734375" style="348" customWidth="1"/>
    <col min="8450" max="8450" width="10.33203125" style="348" customWidth="1"/>
    <col min="8451" max="8702" width="8.88671875" style="348"/>
    <col min="8703" max="8703" width="20.109375" style="348" customWidth="1"/>
    <col min="8704" max="8704" width="8.88671875" style="348"/>
    <col min="8705" max="8705" width="8.77734375" style="348" customWidth="1"/>
    <col min="8706" max="8706" width="10.33203125" style="348" customWidth="1"/>
    <col min="8707" max="8958" width="8.88671875" style="348"/>
    <col min="8959" max="8959" width="20.109375" style="348" customWidth="1"/>
    <col min="8960" max="8960" width="8.88671875" style="348"/>
    <col min="8961" max="8961" width="8.77734375" style="348" customWidth="1"/>
    <col min="8962" max="8962" width="10.33203125" style="348" customWidth="1"/>
    <col min="8963" max="9214" width="8.88671875" style="348"/>
    <col min="9215" max="9215" width="20.109375" style="348" customWidth="1"/>
    <col min="9216" max="9216" width="8.88671875" style="348"/>
    <col min="9217" max="9217" width="8.77734375" style="348" customWidth="1"/>
    <col min="9218" max="9218" width="10.33203125" style="348" customWidth="1"/>
    <col min="9219" max="9470" width="8.88671875" style="348"/>
    <col min="9471" max="9471" width="20.109375" style="348" customWidth="1"/>
    <col min="9472" max="9472" width="8.88671875" style="348"/>
    <col min="9473" max="9473" width="8.77734375" style="348" customWidth="1"/>
    <col min="9474" max="9474" width="10.33203125" style="348" customWidth="1"/>
    <col min="9475" max="9726" width="8.88671875" style="348"/>
    <col min="9727" max="9727" width="20.109375" style="348" customWidth="1"/>
    <col min="9728" max="9728" width="8.88671875" style="348"/>
    <col min="9729" max="9729" width="8.77734375" style="348" customWidth="1"/>
    <col min="9730" max="9730" width="10.33203125" style="348" customWidth="1"/>
    <col min="9731" max="9982" width="8.88671875" style="348"/>
    <col min="9983" max="9983" width="20.109375" style="348" customWidth="1"/>
    <col min="9984" max="9984" width="8.88671875" style="348"/>
    <col min="9985" max="9985" width="8.77734375" style="348" customWidth="1"/>
    <col min="9986" max="9986" width="10.33203125" style="348" customWidth="1"/>
    <col min="9987" max="10238" width="8.88671875" style="348"/>
    <col min="10239" max="10239" width="20.109375" style="348" customWidth="1"/>
    <col min="10240" max="10240" width="8.88671875" style="348"/>
    <col min="10241" max="10241" width="8.77734375" style="348" customWidth="1"/>
    <col min="10242" max="10242" width="10.33203125" style="348" customWidth="1"/>
    <col min="10243" max="10494" width="8.88671875" style="348"/>
    <col min="10495" max="10495" width="20.109375" style="348" customWidth="1"/>
    <col min="10496" max="10496" width="8.88671875" style="348"/>
    <col min="10497" max="10497" width="8.77734375" style="348" customWidth="1"/>
    <col min="10498" max="10498" width="10.33203125" style="348" customWidth="1"/>
    <col min="10499" max="10750" width="8.88671875" style="348"/>
    <col min="10751" max="10751" width="20.109375" style="348" customWidth="1"/>
    <col min="10752" max="10752" width="8.88671875" style="348"/>
    <col min="10753" max="10753" width="8.77734375" style="348" customWidth="1"/>
    <col min="10754" max="10754" width="10.33203125" style="348" customWidth="1"/>
    <col min="10755" max="11006" width="8.88671875" style="348"/>
    <col min="11007" max="11007" width="20.109375" style="348" customWidth="1"/>
    <col min="11008" max="11008" width="8.88671875" style="348"/>
    <col min="11009" max="11009" width="8.77734375" style="348" customWidth="1"/>
    <col min="11010" max="11010" width="10.33203125" style="348" customWidth="1"/>
    <col min="11011" max="11262" width="8.88671875" style="348"/>
    <col min="11263" max="11263" width="20.109375" style="348" customWidth="1"/>
    <col min="11264" max="11264" width="8.88671875" style="348"/>
    <col min="11265" max="11265" width="8.77734375" style="348" customWidth="1"/>
    <col min="11266" max="11266" width="10.33203125" style="348" customWidth="1"/>
    <col min="11267" max="11518" width="8.88671875" style="348"/>
    <col min="11519" max="11519" width="20.109375" style="348" customWidth="1"/>
    <col min="11520" max="11520" width="8.88671875" style="348"/>
    <col min="11521" max="11521" width="8.77734375" style="348" customWidth="1"/>
    <col min="11522" max="11522" width="10.33203125" style="348" customWidth="1"/>
    <col min="11523" max="11774" width="8.88671875" style="348"/>
    <col min="11775" max="11775" width="20.109375" style="348" customWidth="1"/>
    <col min="11776" max="11776" width="8.88671875" style="348"/>
    <col min="11777" max="11777" width="8.77734375" style="348" customWidth="1"/>
    <col min="11778" max="11778" width="10.33203125" style="348" customWidth="1"/>
    <col min="11779" max="12030" width="8.88671875" style="348"/>
    <col min="12031" max="12031" width="20.109375" style="348" customWidth="1"/>
    <col min="12032" max="12032" width="8.88671875" style="348"/>
    <col min="12033" max="12033" width="8.77734375" style="348" customWidth="1"/>
    <col min="12034" max="12034" width="10.33203125" style="348" customWidth="1"/>
    <col min="12035" max="12286" width="8.88671875" style="348"/>
    <col min="12287" max="12287" width="20.109375" style="348" customWidth="1"/>
    <col min="12288" max="12288" width="8.88671875" style="348"/>
    <col min="12289" max="12289" width="8.77734375" style="348" customWidth="1"/>
    <col min="12290" max="12290" width="10.33203125" style="348" customWidth="1"/>
    <col min="12291" max="12542" width="8.88671875" style="348"/>
    <col min="12543" max="12543" width="20.109375" style="348" customWidth="1"/>
    <col min="12544" max="12544" width="8.88671875" style="348"/>
    <col min="12545" max="12545" width="8.77734375" style="348" customWidth="1"/>
    <col min="12546" max="12546" width="10.33203125" style="348" customWidth="1"/>
    <col min="12547" max="12798" width="8.88671875" style="348"/>
    <col min="12799" max="12799" width="20.109375" style="348" customWidth="1"/>
    <col min="12800" max="12800" width="8.88671875" style="348"/>
    <col min="12801" max="12801" width="8.77734375" style="348" customWidth="1"/>
    <col min="12802" max="12802" width="10.33203125" style="348" customWidth="1"/>
    <col min="12803" max="13054" width="8.88671875" style="348"/>
    <col min="13055" max="13055" width="20.109375" style="348" customWidth="1"/>
    <col min="13056" max="13056" width="8.88671875" style="348"/>
    <col min="13057" max="13057" width="8.77734375" style="348" customWidth="1"/>
    <col min="13058" max="13058" width="10.33203125" style="348" customWidth="1"/>
    <col min="13059" max="13310" width="8.88671875" style="348"/>
    <col min="13311" max="13311" width="20.109375" style="348" customWidth="1"/>
    <col min="13312" max="13312" width="8.88671875" style="348"/>
    <col min="13313" max="13313" width="8.77734375" style="348" customWidth="1"/>
    <col min="13314" max="13314" width="10.33203125" style="348" customWidth="1"/>
    <col min="13315" max="13566" width="8.88671875" style="348"/>
    <col min="13567" max="13567" width="20.109375" style="348" customWidth="1"/>
    <col min="13568" max="13568" width="8.88671875" style="348"/>
    <col min="13569" max="13569" width="8.77734375" style="348" customWidth="1"/>
    <col min="13570" max="13570" width="10.33203125" style="348" customWidth="1"/>
    <col min="13571" max="13822" width="8.88671875" style="348"/>
    <col min="13823" max="13823" width="20.109375" style="348" customWidth="1"/>
    <col min="13824" max="13824" width="8.88671875" style="348"/>
    <col min="13825" max="13825" width="8.77734375" style="348" customWidth="1"/>
    <col min="13826" max="13826" width="10.33203125" style="348" customWidth="1"/>
    <col min="13827" max="14078" width="8.88671875" style="348"/>
    <col min="14079" max="14079" width="20.109375" style="348" customWidth="1"/>
    <col min="14080" max="14080" width="8.88671875" style="348"/>
    <col min="14081" max="14081" width="8.77734375" style="348" customWidth="1"/>
    <col min="14082" max="14082" width="10.33203125" style="348" customWidth="1"/>
    <col min="14083" max="14334" width="8.88671875" style="348"/>
    <col min="14335" max="14335" width="20.109375" style="348" customWidth="1"/>
    <col min="14336" max="14336" width="8.88671875" style="348"/>
    <col min="14337" max="14337" width="8.77734375" style="348" customWidth="1"/>
    <col min="14338" max="14338" width="10.33203125" style="348" customWidth="1"/>
    <col min="14339" max="14590" width="8.88671875" style="348"/>
    <col min="14591" max="14591" width="20.109375" style="348" customWidth="1"/>
    <col min="14592" max="14592" width="8.88671875" style="348"/>
    <col min="14593" max="14593" width="8.77734375" style="348" customWidth="1"/>
    <col min="14594" max="14594" width="10.33203125" style="348" customWidth="1"/>
    <col min="14595" max="14846" width="8.88671875" style="348"/>
    <col min="14847" max="14847" width="20.109375" style="348" customWidth="1"/>
    <col min="14848" max="14848" width="8.88671875" style="348"/>
    <col min="14849" max="14849" width="8.77734375" style="348" customWidth="1"/>
    <col min="14850" max="14850" width="10.33203125" style="348" customWidth="1"/>
    <col min="14851" max="15102" width="8.88671875" style="348"/>
    <col min="15103" max="15103" width="20.109375" style="348" customWidth="1"/>
    <col min="15104" max="15104" width="8.88671875" style="348"/>
    <col min="15105" max="15105" width="8.77734375" style="348" customWidth="1"/>
    <col min="15106" max="15106" width="10.33203125" style="348" customWidth="1"/>
    <col min="15107" max="15358" width="8.88671875" style="348"/>
    <col min="15359" max="15359" width="20.109375" style="348" customWidth="1"/>
    <col min="15360" max="15360" width="8.88671875" style="348"/>
    <col min="15361" max="15361" width="8.77734375" style="348" customWidth="1"/>
    <col min="15362" max="15362" width="10.33203125" style="348" customWidth="1"/>
    <col min="15363" max="15614" width="8.88671875" style="348"/>
    <col min="15615" max="15615" width="20.109375" style="348" customWidth="1"/>
    <col min="15616" max="15616" width="8.88671875" style="348"/>
    <col min="15617" max="15617" width="8.77734375" style="348" customWidth="1"/>
    <col min="15618" max="15618" width="10.33203125" style="348" customWidth="1"/>
    <col min="15619" max="15870" width="8.88671875" style="348"/>
    <col min="15871" max="15871" width="20.109375" style="348" customWidth="1"/>
    <col min="15872" max="15872" width="8.88671875" style="348"/>
    <col min="15873" max="15873" width="8.77734375" style="348" customWidth="1"/>
    <col min="15874" max="15874" width="10.33203125" style="348" customWidth="1"/>
    <col min="15875" max="16126" width="8.88671875" style="348"/>
    <col min="16127" max="16127" width="20.109375" style="348" customWidth="1"/>
    <col min="16128" max="16128" width="8.88671875" style="348"/>
    <col min="16129" max="16129" width="8.77734375" style="348" customWidth="1"/>
    <col min="16130" max="16130" width="10.33203125" style="348" customWidth="1"/>
    <col min="16131" max="16384" width="8.88671875" style="348"/>
  </cols>
  <sheetData>
    <row r="1" spans="1:20" ht="20.25">
      <c r="A1" s="659" t="s">
        <v>225</v>
      </c>
      <c r="B1" s="660"/>
      <c r="C1" s="660"/>
      <c r="D1" s="660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  <c r="R1" s="347" t="s">
        <v>155</v>
      </c>
    </row>
    <row r="2" spans="1:20" ht="15.75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  <c r="R2" s="347" t="s">
        <v>155</v>
      </c>
    </row>
    <row r="3" spans="1:20" s="350" customFormat="1" ht="18.75">
      <c r="A3" s="661" t="s">
        <v>212</v>
      </c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347" t="s">
        <v>155</v>
      </c>
    </row>
    <row r="4" spans="1:20" s="350" customFormat="1" ht="15.75">
      <c r="A4" s="663" t="str">
        <f>'[3](E) ATB Justification'!A4:M4</f>
        <v>Office on Violence Against Women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347" t="s">
        <v>155</v>
      </c>
    </row>
    <row r="5" spans="1:20" s="350" customFormat="1" ht="15.75">
      <c r="A5" s="663" t="str">
        <f>+'B. Summary of Requirements '!A6:X6</f>
        <v>Grants Program</v>
      </c>
      <c r="B5" s="665"/>
      <c r="C5" s="665"/>
      <c r="D5" s="665"/>
      <c r="E5" s="665"/>
      <c r="F5" s="665"/>
      <c r="G5" s="665"/>
      <c r="H5" s="665"/>
      <c r="I5" s="665"/>
      <c r="J5" s="665"/>
      <c r="K5" s="665"/>
      <c r="L5" s="665"/>
      <c r="M5" s="665"/>
      <c r="N5" s="665"/>
      <c r="O5" s="665"/>
      <c r="P5" s="665"/>
      <c r="Q5" s="665"/>
      <c r="R5" s="347" t="s">
        <v>155</v>
      </c>
    </row>
    <row r="6" spans="1:20" s="350" customFormat="1" ht="15.75">
      <c r="A6" s="666" t="s">
        <v>70</v>
      </c>
      <c r="B6" s="667"/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347" t="s">
        <v>155</v>
      </c>
    </row>
    <row r="7" spans="1:20" s="350" customFormat="1" ht="15.75">
      <c r="F7" s="351"/>
      <c r="G7" s="351"/>
      <c r="H7" s="351"/>
      <c r="R7" s="347" t="s">
        <v>155</v>
      </c>
    </row>
    <row r="8" spans="1:20" s="350" customFormat="1" ht="15.75">
      <c r="C8" s="351"/>
      <c r="D8" s="351"/>
      <c r="E8" s="351"/>
      <c r="F8" s="351"/>
      <c r="G8" s="351"/>
      <c r="H8" s="351"/>
      <c r="P8" s="351"/>
      <c r="Q8" s="351"/>
      <c r="R8" s="347" t="s">
        <v>155</v>
      </c>
    </row>
    <row r="9" spans="1:20" s="354" customFormat="1" ht="16.5" customHeight="1">
      <c r="A9" s="352"/>
      <c r="B9" s="353"/>
      <c r="C9" s="647" t="s">
        <v>213</v>
      </c>
      <c r="D9" s="648"/>
      <c r="E9" s="649"/>
      <c r="F9" s="653" t="s">
        <v>82</v>
      </c>
      <c r="G9" s="654"/>
      <c r="H9" s="655"/>
      <c r="I9" s="647" t="s">
        <v>257</v>
      </c>
      <c r="J9" s="648"/>
      <c r="K9" s="649"/>
      <c r="L9" s="647" t="s">
        <v>260</v>
      </c>
      <c r="M9" s="648"/>
      <c r="N9" s="649"/>
      <c r="O9" s="647" t="s">
        <v>214</v>
      </c>
      <c r="P9" s="648"/>
      <c r="Q9" s="649"/>
      <c r="R9" s="347" t="s">
        <v>155</v>
      </c>
    </row>
    <row r="10" spans="1:20" s="354" customFormat="1" ht="15.75">
      <c r="A10" s="355"/>
      <c r="B10" s="356"/>
      <c r="C10" s="650"/>
      <c r="D10" s="651"/>
      <c r="E10" s="652"/>
      <c r="F10" s="656"/>
      <c r="G10" s="657"/>
      <c r="H10" s="658"/>
      <c r="I10" s="650"/>
      <c r="J10" s="651"/>
      <c r="K10" s="652"/>
      <c r="L10" s="650"/>
      <c r="M10" s="651"/>
      <c r="N10" s="652"/>
      <c r="O10" s="650"/>
      <c r="P10" s="651"/>
      <c r="Q10" s="652"/>
      <c r="R10" s="347" t="s">
        <v>155</v>
      </c>
    </row>
    <row r="11" spans="1:20" s="354" customFormat="1" ht="15" customHeight="1">
      <c r="A11" s="355"/>
      <c r="C11" s="355"/>
      <c r="F11" s="355"/>
      <c r="I11" s="355"/>
      <c r="L11" s="355"/>
      <c r="O11" s="355"/>
      <c r="Q11" s="357"/>
      <c r="R11" s="347" t="s">
        <v>155</v>
      </c>
    </row>
    <row r="12" spans="1:20" s="354" customFormat="1" ht="16.5" thickBot="1">
      <c r="A12" s="358" t="s">
        <v>28</v>
      </c>
      <c r="B12" s="359"/>
      <c r="C12" s="360" t="s">
        <v>85</v>
      </c>
      <c r="D12" s="361" t="s">
        <v>31</v>
      </c>
      <c r="E12" s="361" t="s">
        <v>87</v>
      </c>
      <c r="F12" s="360" t="s">
        <v>85</v>
      </c>
      <c r="G12" s="361" t="s">
        <v>31</v>
      </c>
      <c r="H12" s="361" t="s">
        <v>87</v>
      </c>
      <c r="I12" s="360" t="s">
        <v>85</v>
      </c>
      <c r="J12" s="361" t="s">
        <v>31</v>
      </c>
      <c r="K12" s="361" t="s">
        <v>87</v>
      </c>
      <c r="L12" s="360" t="s">
        <v>85</v>
      </c>
      <c r="M12" s="361" t="s">
        <v>31</v>
      </c>
      <c r="N12" s="361" t="s">
        <v>87</v>
      </c>
      <c r="O12" s="360" t="s">
        <v>85</v>
      </c>
      <c r="P12" s="361" t="s">
        <v>31</v>
      </c>
      <c r="Q12" s="362" t="s">
        <v>87</v>
      </c>
      <c r="R12" s="347" t="s">
        <v>155</v>
      </c>
    </row>
    <row r="13" spans="1:20" s="350" customFormat="1" ht="15.75">
      <c r="A13" s="363" t="s">
        <v>19</v>
      </c>
      <c r="B13" s="364"/>
      <c r="C13" s="365"/>
      <c r="D13" s="366"/>
      <c r="E13" s="366"/>
      <c r="F13" s="365"/>
      <c r="G13" s="366"/>
      <c r="H13" s="366"/>
      <c r="I13" s="365"/>
      <c r="J13" s="366"/>
      <c r="K13" s="366"/>
      <c r="L13" s="365"/>
      <c r="M13" s="366"/>
      <c r="N13" s="366"/>
      <c r="O13" s="365"/>
      <c r="P13" s="366"/>
      <c r="Q13" s="367"/>
      <c r="R13" s="347" t="s">
        <v>155</v>
      </c>
    </row>
    <row r="14" spans="1:20" s="350" customFormat="1" ht="15.75">
      <c r="A14" s="368" t="s">
        <v>18</v>
      </c>
      <c r="B14" s="369"/>
      <c r="C14" s="365"/>
      <c r="D14" s="366"/>
      <c r="E14" s="366"/>
      <c r="F14" s="365"/>
      <c r="G14" s="366"/>
      <c r="H14" s="366"/>
      <c r="I14" s="365"/>
      <c r="J14" s="366"/>
      <c r="K14" s="366"/>
      <c r="L14" s="365"/>
      <c r="M14" s="366"/>
      <c r="N14" s="366"/>
      <c r="O14" s="365"/>
      <c r="P14" s="366"/>
      <c r="Q14" s="367"/>
      <c r="R14" s="347" t="s">
        <v>155</v>
      </c>
    </row>
    <row r="15" spans="1:20" s="350" customFormat="1" ht="15.75">
      <c r="A15" s="641" t="s">
        <v>1</v>
      </c>
      <c r="B15" s="642"/>
      <c r="C15" s="365"/>
      <c r="D15" s="366"/>
      <c r="E15" s="336">
        <v>189000</v>
      </c>
      <c r="F15" s="365"/>
      <c r="G15" s="366"/>
      <c r="H15" s="366"/>
      <c r="I15" s="365"/>
      <c r="J15" s="366"/>
      <c r="K15" s="336">
        <f>7717.45+228.845+386.177</f>
        <v>8332.4719999999998</v>
      </c>
      <c r="L15" s="365"/>
      <c r="M15" s="366"/>
      <c r="N15" s="491"/>
      <c r="O15" s="365">
        <f t="shared" ref="O15:O38" si="0">C15+F15+I15+L15</f>
        <v>0</v>
      </c>
      <c r="P15" s="366">
        <f t="shared" ref="P15:P38" si="1">D15+G15+J15+M15</f>
        <v>0</v>
      </c>
      <c r="Q15" s="533">
        <f>E15+H15+K15+N15</f>
        <v>197332.47200000001</v>
      </c>
      <c r="R15" s="347" t="s">
        <v>155</v>
      </c>
      <c r="T15" s="486"/>
    </row>
    <row r="16" spans="1:20" s="350" customFormat="1" ht="15.75">
      <c r="A16" s="487" t="s">
        <v>177</v>
      </c>
      <c r="B16" s="371"/>
      <c r="C16" s="372"/>
      <c r="D16" s="373"/>
      <c r="E16" s="520">
        <v>25000</v>
      </c>
      <c r="F16" s="372"/>
      <c r="G16" s="373"/>
      <c r="H16" s="373"/>
      <c r="I16" s="372"/>
      <c r="J16" s="373"/>
      <c r="K16" s="520">
        <v>1777.92</v>
      </c>
      <c r="L16" s="372"/>
      <c r="M16" s="373"/>
      <c r="N16" s="492"/>
      <c r="O16" s="372">
        <f t="shared" si="0"/>
        <v>0</v>
      </c>
      <c r="P16" s="373">
        <f t="shared" si="1"/>
        <v>0</v>
      </c>
      <c r="Q16" s="337">
        <f t="shared" ref="Q16:Q38" si="2">E16+H16+K16+N16</f>
        <v>26777.919999999998</v>
      </c>
      <c r="R16" s="347" t="s">
        <v>155</v>
      </c>
      <c r="T16" s="486"/>
    </row>
    <row r="17" spans="1:20" s="350" customFormat="1" ht="15.75">
      <c r="A17" s="487" t="s">
        <v>178</v>
      </c>
      <c r="B17" s="371"/>
      <c r="C17" s="365"/>
      <c r="D17" s="366"/>
      <c r="E17" s="336">
        <v>3000</v>
      </c>
      <c r="F17" s="365"/>
      <c r="G17" s="366"/>
      <c r="H17" s="366"/>
      <c r="I17" s="365"/>
      <c r="J17" s="366"/>
      <c r="K17" s="336"/>
      <c r="L17" s="365"/>
      <c r="M17" s="366"/>
      <c r="N17" s="491"/>
      <c r="O17" s="365">
        <f t="shared" si="0"/>
        <v>0</v>
      </c>
      <c r="P17" s="366">
        <f t="shared" si="1"/>
        <v>0</v>
      </c>
      <c r="Q17" s="337">
        <f t="shared" si="2"/>
        <v>3000</v>
      </c>
      <c r="R17" s="347" t="s">
        <v>155</v>
      </c>
      <c r="T17" s="486"/>
    </row>
    <row r="18" spans="1:20" s="350" customFormat="1" ht="15.75">
      <c r="A18" s="370" t="s">
        <v>179</v>
      </c>
      <c r="B18" s="371"/>
      <c r="C18" s="365"/>
      <c r="D18" s="366"/>
      <c r="E18" s="336">
        <v>50000</v>
      </c>
      <c r="F18" s="365"/>
      <c r="G18" s="366"/>
      <c r="H18" s="366"/>
      <c r="I18" s="365"/>
      <c r="J18" s="366"/>
      <c r="K18" s="336">
        <f>3892.175+(245.49*0.2)</f>
        <v>3941.2730000000001</v>
      </c>
      <c r="L18" s="365"/>
      <c r="M18" s="366"/>
      <c r="N18" s="491"/>
      <c r="O18" s="365">
        <f t="shared" si="0"/>
        <v>0</v>
      </c>
      <c r="P18" s="366">
        <f t="shared" si="1"/>
        <v>0</v>
      </c>
      <c r="Q18" s="337">
        <f t="shared" si="2"/>
        <v>53941.273000000001</v>
      </c>
      <c r="R18" s="347" t="s">
        <v>155</v>
      </c>
      <c r="S18" s="488"/>
      <c r="T18" s="489"/>
    </row>
    <row r="19" spans="1:20" s="350" customFormat="1" ht="15.75">
      <c r="A19" s="370" t="s">
        <v>15</v>
      </c>
      <c r="B19" s="371"/>
      <c r="C19" s="372"/>
      <c r="D19" s="373"/>
      <c r="E19" s="520">
        <v>23000</v>
      </c>
      <c r="F19" s="372"/>
      <c r="G19" s="373"/>
      <c r="H19" s="373"/>
      <c r="I19" s="372"/>
      <c r="J19" s="373"/>
      <c r="K19" s="520">
        <f>57.553+191.932+19.052+1537+149.7+11.6</f>
        <v>1966.837</v>
      </c>
      <c r="L19" s="372"/>
      <c r="M19" s="373"/>
      <c r="N19" s="492"/>
      <c r="O19" s="372">
        <f t="shared" si="0"/>
        <v>0</v>
      </c>
      <c r="P19" s="373">
        <f t="shared" si="1"/>
        <v>0</v>
      </c>
      <c r="Q19" s="337">
        <f t="shared" si="2"/>
        <v>24966.837</v>
      </c>
      <c r="R19" s="347" t="s">
        <v>155</v>
      </c>
      <c r="S19" s="488"/>
      <c r="T19" s="488"/>
    </row>
    <row r="20" spans="1:20" s="350" customFormat="1" ht="15.75">
      <c r="A20" s="370" t="s">
        <v>180</v>
      </c>
      <c r="B20" s="371"/>
      <c r="C20" s="365"/>
      <c r="D20" s="366"/>
      <c r="E20" s="336">
        <v>34000</v>
      </c>
      <c r="F20" s="365"/>
      <c r="G20" s="366"/>
      <c r="H20" s="366"/>
      <c r="I20" s="365"/>
      <c r="J20" s="366"/>
      <c r="K20" s="336">
        <f>6879.52+(245.4*0.2)</f>
        <v>6928.6</v>
      </c>
      <c r="L20" s="365"/>
      <c r="M20" s="366"/>
      <c r="N20" s="493"/>
      <c r="O20" s="365">
        <f t="shared" si="0"/>
        <v>0</v>
      </c>
      <c r="P20" s="366">
        <f t="shared" si="1"/>
        <v>0</v>
      </c>
      <c r="Q20" s="337">
        <f t="shared" si="2"/>
        <v>40928.6</v>
      </c>
      <c r="R20" s="347" t="s">
        <v>155</v>
      </c>
      <c r="S20" s="488"/>
      <c r="T20" s="489"/>
    </row>
    <row r="21" spans="1:20" s="350" customFormat="1" ht="15.75">
      <c r="A21" s="517" t="s">
        <v>226</v>
      </c>
      <c r="B21" s="371"/>
      <c r="C21" s="365"/>
      <c r="D21" s="366"/>
      <c r="E21" s="336">
        <v>10000</v>
      </c>
      <c r="F21" s="365"/>
      <c r="G21" s="366"/>
      <c r="H21" s="366"/>
      <c r="I21" s="365"/>
      <c r="J21" s="366"/>
      <c r="K21" s="336"/>
      <c r="L21" s="365"/>
      <c r="M21" s="366"/>
      <c r="N21" s="493"/>
      <c r="O21" s="365">
        <f t="shared" si="0"/>
        <v>0</v>
      </c>
      <c r="P21" s="366">
        <f t="shared" si="1"/>
        <v>0</v>
      </c>
      <c r="Q21" s="337">
        <f t="shared" si="2"/>
        <v>10000</v>
      </c>
      <c r="R21" s="347" t="s">
        <v>155</v>
      </c>
      <c r="S21" s="488"/>
      <c r="T21" s="489"/>
    </row>
    <row r="22" spans="1:20" s="350" customFormat="1" ht="15.75">
      <c r="A22" s="517" t="s">
        <v>243</v>
      </c>
      <c r="B22" s="371"/>
      <c r="C22" s="365"/>
      <c r="D22" s="366"/>
      <c r="E22" s="336">
        <v>0</v>
      </c>
      <c r="F22" s="365"/>
      <c r="G22" s="366"/>
      <c r="H22" s="366"/>
      <c r="I22" s="365"/>
      <c r="J22" s="366"/>
      <c r="K22" s="336">
        <v>91.65</v>
      </c>
      <c r="L22" s="365"/>
      <c r="M22" s="366"/>
      <c r="N22" s="493"/>
      <c r="O22" s="365">
        <f t="shared" si="0"/>
        <v>0</v>
      </c>
      <c r="P22" s="366">
        <f t="shared" si="1"/>
        <v>0</v>
      </c>
      <c r="Q22" s="337">
        <f t="shared" si="2"/>
        <v>91.65</v>
      </c>
      <c r="R22" s="347" t="s">
        <v>155</v>
      </c>
      <c r="S22" s="488"/>
      <c r="T22" s="489"/>
    </row>
    <row r="23" spans="1:20" s="350" customFormat="1" ht="15.75">
      <c r="A23" s="499" t="s">
        <v>261</v>
      </c>
      <c r="B23" s="500"/>
      <c r="C23" s="365"/>
      <c r="D23" s="366"/>
      <c r="E23" s="336">
        <v>0</v>
      </c>
      <c r="F23" s="365"/>
      <c r="G23" s="366"/>
      <c r="H23" s="366"/>
      <c r="I23" s="365"/>
      <c r="J23" s="366"/>
      <c r="K23" s="336">
        <f>15.66</f>
        <v>15.66</v>
      </c>
      <c r="L23" s="365"/>
      <c r="M23" s="366"/>
      <c r="N23" s="493"/>
      <c r="O23" s="365"/>
      <c r="P23" s="366"/>
      <c r="Q23" s="337">
        <f t="shared" si="2"/>
        <v>15.66</v>
      </c>
      <c r="R23" s="347" t="s">
        <v>155</v>
      </c>
      <c r="S23" s="488"/>
      <c r="T23" s="489"/>
    </row>
    <row r="24" spans="1:20" s="350" customFormat="1" ht="15.75">
      <c r="A24" s="370" t="s">
        <v>16</v>
      </c>
      <c r="B24" s="371"/>
      <c r="C24" s="365"/>
      <c r="D24" s="366"/>
      <c r="E24" s="336">
        <v>0</v>
      </c>
      <c r="F24" s="365"/>
      <c r="G24" s="366"/>
      <c r="H24" s="366"/>
      <c r="I24" s="365"/>
      <c r="J24" s="366"/>
      <c r="K24" s="336">
        <v>302.72000000000003</v>
      </c>
      <c r="L24" s="365"/>
      <c r="M24" s="366"/>
      <c r="N24" s="493"/>
      <c r="O24" s="365">
        <f t="shared" si="0"/>
        <v>0</v>
      </c>
      <c r="P24" s="366">
        <f t="shared" si="1"/>
        <v>0</v>
      </c>
      <c r="Q24" s="337">
        <f t="shared" si="2"/>
        <v>302.72000000000003</v>
      </c>
      <c r="R24" s="347" t="s">
        <v>155</v>
      </c>
      <c r="S24" s="488"/>
      <c r="T24" s="489"/>
    </row>
    <row r="25" spans="1:20" s="350" customFormat="1" ht="15.75">
      <c r="A25" s="370" t="s">
        <v>7</v>
      </c>
      <c r="B25" s="371"/>
      <c r="C25" s="365"/>
      <c r="D25" s="366"/>
      <c r="E25" s="336">
        <v>0</v>
      </c>
      <c r="F25" s="365"/>
      <c r="G25" s="366"/>
      <c r="H25" s="366"/>
      <c r="I25" s="365"/>
      <c r="J25" s="366"/>
      <c r="K25" s="336">
        <v>3690.12</v>
      </c>
      <c r="L25" s="365"/>
      <c r="M25" s="366"/>
      <c r="N25" s="493"/>
      <c r="O25" s="365">
        <f t="shared" si="0"/>
        <v>0</v>
      </c>
      <c r="P25" s="366">
        <f t="shared" si="1"/>
        <v>0</v>
      </c>
      <c r="Q25" s="337">
        <f t="shared" si="2"/>
        <v>3690.12</v>
      </c>
      <c r="R25" s="347" t="s">
        <v>155</v>
      </c>
      <c r="S25" s="488"/>
      <c r="T25" s="489"/>
    </row>
    <row r="26" spans="1:20" s="350" customFormat="1" ht="15.75">
      <c r="A26" s="370" t="s">
        <v>5</v>
      </c>
      <c r="B26" s="371"/>
      <c r="C26" s="372"/>
      <c r="D26" s="373"/>
      <c r="E26" s="520">
        <v>4500</v>
      </c>
      <c r="F26" s="372"/>
      <c r="G26" s="373"/>
      <c r="H26" s="373"/>
      <c r="I26" s="372"/>
      <c r="J26" s="373"/>
      <c r="K26" s="520">
        <v>47.761000000000003</v>
      </c>
      <c r="L26" s="372"/>
      <c r="M26" s="373"/>
      <c r="N26" s="494"/>
      <c r="O26" s="372">
        <f t="shared" si="0"/>
        <v>0</v>
      </c>
      <c r="P26" s="373">
        <f t="shared" si="1"/>
        <v>0</v>
      </c>
      <c r="Q26" s="337">
        <f t="shared" si="2"/>
        <v>4547.7610000000004</v>
      </c>
      <c r="R26" s="347" t="s">
        <v>155</v>
      </c>
      <c r="S26" s="488"/>
      <c r="T26" s="489"/>
    </row>
    <row r="27" spans="1:20" s="350" customFormat="1" ht="15.75">
      <c r="A27" s="370" t="s">
        <v>181</v>
      </c>
      <c r="B27" s="371"/>
      <c r="C27" s="365"/>
      <c r="D27" s="366"/>
      <c r="E27" s="336">
        <v>9000</v>
      </c>
      <c r="F27" s="365"/>
      <c r="G27" s="366"/>
      <c r="H27" s="366"/>
      <c r="I27" s="365"/>
      <c r="J27" s="366"/>
      <c r="K27" s="336">
        <v>1307.25</v>
      </c>
      <c r="L27" s="365"/>
      <c r="M27" s="366"/>
      <c r="N27" s="493"/>
      <c r="O27" s="365">
        <f t="shared" si="0"/>
        <v>0</v>
      </c>
      <c r="P27" s="366">
        <f t="shared" si="1"/>
        <v>0</v>
      </c>
      <c r="Q27" s="337">
        <f t="shared" si="2"/>
        <v>10307.25</v>
      </c>
      <c r="R27" s="347" t="s">
        <v>155</v>
      </c>
      <c r="S27" s="488"/>
      <c r="T27" s="489"/>
    </row>
    <row r="28" spans="1:20" s="350" customFormat="1" ht="15.75">
      <c r="A28" s="370" t="s">
        <v>6</v>
      </c>
      <c r="B28" s="371"/>
      <c r="C28" s="365"/>
      <c r="D28" s="366"/>
      <c r="E28" s="336">
        <v>41000</v>
      </c>
      <c r="F28" s="365"/>
      <c r="G28" s="366"/>
      <c r="H28" s="366"/>
      <c r="I28" s="365"/>
      <c r="J28" s="366"/>
      <c r="K28" s="336">
        <f>1092.41+(245.4*0.2)</f>
        <v>1141.49</v>
      </c>
      <c r="L28" s="365"/>
      <c r="M28" s="366"/>
      <c r="N28" s="493"/>
      <c r="O28" s="365">
        <f t="shared" si="0"/>
        <v>0</v>
      </c>
      <c r="P28" s="366">
        <f t="shared" si="1"/>
        <v>0</v>
      </c>
      <c r="Q28" s="337">
        <f t="shared" si="2"/>
        <v>42141.49</v>
      </c>
      <c r="R28" s="347" t="s">
        <v>155</v>
      </c>
      <c r="S28" s="488"/>
      <c r="T28" s="489"/>
    </row>
    <row r="29" spans="1:20" s="350" customFormat="1" ht="15.75">
      <c r="A29" s="370" t="s">
        <v>182</v>
      </c>
      <c r="B29" s="371"/>
      <c r="C29" s="365"/>
      <c r="D29" s="366"/>
      <c r="E29" s="336">
        <v>4250</v>
      </c>
      <c r="F29" s="365"/>
      <c r="G29" s="366"/>
      <c r="H29" s="366"/>
      <c r="I29" s="365"/>
      <c r="J29" s="366"/>
      <c r="K29" s="336">
        <f>782.32+(245.4*0.2)</f>
        <v>831.40000000000009</v>
      </c>
      <c r="L29" s="365"/>
      <c r="M29" s="366"/>
      <c r="N29" s="493"/>
      <c r="O29" s="365">
        <f t="shared" si="0"/>
        <v>0</v>
      </c>
      <c r="P29" s="366">
        <f t="shared" si="1"/>
        <v>0</v>
      </c>
      <c r="Q29" s="337">
        <f t="shared" si="2"/>
        <v>5081.3999999999996</v>
      </c>
      <c r="R29" s="347" t="s">
        <v>155</v>
      </c>
      <c r="S29" s="488"/>
      <c r="T29" s="489"/>
    </row>
    <row r="30" spans="1:20" s="350" customFormat="1" ht="15.75">
      <c r="A30" s="370" t="s">
        <v>183</v>
      </c>
      <c r="B30" s="371"/>
      <c r="C30" s="372"/>
      <c r="D30" s="373"/>
      <c r="E30" s="520">
        <v>11500</v>
      </c>
      <c r="F30" s="372"/>
      <c r="G30" s="373"/>
      <c r="H30" s="373"/>
      <c r="I30" s="372"/>
      <c r="J30" s="373"/>
      <c r="K30" s="520">
        <v>5377.59</v>
      </c>
      <c r="L30" s="372"/>
      <c r="M30" s="373"/>
      <c r="N30" s="494"/>
      <c r="O30" s="372">
        <f t="shared" si="0"/>
        <v>0</v>
      </c>
      <c r="P30" s="373">
        <f t="shared" si="1"/>
        <v>0</v>
      </c>
      <c r="Q30" s="337">
        <f t="shared" si="2"/>
        <v>16877.59</v>
      </c>
      <c r="R30" s="347" t="s">
        <v>155</v>
      </c>
      <c r="S30" s="488"/>
      <c r="T30" s="489"/>
    </row>
    <row r="31" spans="1:20" s="350" customFormat="1" ht="15.75">
      <c r="A31" s="370" t="s">
        <v>184</v>
      </c>
      <c r="B31" s="371"/>
      <c r="C31" s="365"/>
      <c r="D31" s="366"/>
      <c r="E31" s="336">
        <v>5750</v>
      </c>
      <c r="F31" s="365"/>
      <c r="G31" s="366"/>
      <c r="H31" s="366"/>
      <c r="I31" s="365"/>
      <c r="J31" s="366"/>
      <c r="K31" s="336">
        <f>482.2+(245.4*0.2)</f>
        <v>531.28</v>
      </c>
      <c r="L31" s="365"/>
      <c r="M31" s="366"/>
      <c r="N31" s="493"/>
      <c r="O31" s="365">
        <f t="shared" si="0"/>
        <v>0</v>
      </c>
      <c r="P31" s="366">
        <f t="shared" si="1"/>
        <v>0</v>
      </c>
      <c r="Q31" s="337">
        <f t="shared" si="2"/>
        <v>6281.28</v>
      </c>
      <c r="R31" s="347" t="s">
        <v>155</v>
      </c>
      <c r="S31" s="488"/>
      <c r="T31" s="489"/>
    </row>
    <row r="32" spans="1:20" s="350" customFormat="1" ht="15.75">
      <c r="A32" s="370" t="s">
        <v>227</v>
      </c>
      <c r="B32" s="371"/>
      <c r="C32" s="365"/>
      <c r="D32" s="366"/>
      <c r="E32" s="336">
        <v>1000</v>
      </c>
      <c r="F32" s="365"/>
      <c r="G32" s="366"/>
      <c r="H32" s="366"/>
      <c r="I32" s="365"/>
      <c r="J32" s="366"/>
      <c r="K32" s="336">
        <v>78.75</v>
      </c>
      <c r="L32" s="365"/>
      <c r="M32" s="366"/>
      <c r="N32" s="493"/>
      <c r="O32" s="365">
        <f t="shared" si="0"/>
        <v>0</v>
      </c>
      <c r="P32" s="366">
        <f t="shared" si="1"/>
        <v>0</v>
      </c>
      <c r="Q32" s="337">
        <f t="shared" si="2"/>
        <v>1078.75</v>
      </c>
      <c r="R32" s="347" t="s">
        <v>155</v>
      </c>
      <c r="S32" s="488"/>
      <c r="T32" s="489"/>
    </row>
    <row r="33" spans="1:31" s="350" customFormat="1" ht="15.75">
      <c r="A33" s="641" t="s">
        <v>9</v>
      </c>
      <c r="B33" s="642"/>
      <c r="C33" s="372"/>
      <c r="D33" s="373"/>
      <c r="E33" s="520">
        <v>1000</v>
      </c>
      <c r="F33" s="372"/>
      <c r="G33" s="373"/>
      <c r="H33" s="373"/>
      <c r="I33" s="372"/>
      <c r="J33" s="373"/>
      <c r="K33" s="520">
        <v>1181.1300000000001</v>
      </c>
      <c r="L33" s="372"/>
      <c r="M33" s="373"/>
      <c r="N33" s="494"/>
      <c r="O33" s="372">
        <f t="shared" si="0"/>
        <v>0</v>
      </c>
      <c r="P33" s="373">
        <f t="shared" si="1"/>
        <v>0</v>
      </c>
      <c r="Q33" s="337">
        <f t="shared" si="2"/>
        <v>2181.13</v>
      </c>
      <c r="R33" s="347" t="s">
        <v>155</v>
      </c>
      <c r="S33" s="488"/>
      <c r="T33" s="489"/>
    </row>
    <row r="34" spans="1:31" s="350" customFormat="1" ht="15.75">
      <c r="A34" s="370" t="s">
        <v>150</v>
      </c>
      <c r="B34" s="371"/>
      <c r="C34" s="365"/>
      <c r="D34" s="366"/>
      <c r="E34" s="336">
        <v>500</v>
      </c>
      <c r="F34" s="365"/>
      <c r="G34" s="366"/>
      <c r="H34" s="366"/>
      <c r="I34" s="365"/>
      <c r="J34" s="366"/>
      <c r="K34" s="336"/>
      <c r="L34" s="365"/>
      <c r="M34" s="366"/>
      <c r="N34" s="493"/>
      <c r="O34" s="365">
        <f t="shared" si="0"/>
        <v>0</v>
      </c>
      <c r="P34" s="366">
        <f t="shared" si="1"/>
        <v>0</v>
      </c>
      <c r="Q34" s="337">
        <f t="shared" si="2"/>
        <v>500</v>
      </c>
      <c r="R34" s="347" t="s">
        <v>155</v>
      </c>
      <c r="S34" s="488"/>
      <c r="T34" s="489"/>
    </row>
    <row r="35" spans="1:31" s="350" customFormat="1" ht="15.75">
      <c r="A35" s="391" t="s">
        <v>232</v>
      </c>
      <c r="B35" s="371"/>
      <c r="C35" s="365"/>
      <c r="D35" s="366"/>
      <c r="E35" s="336">
        <v>0</v>
      </c>
      <c r="F35" s="365"/>
      <c r="G35" s="366"/>
      <c r="H35" s="366"/>
      <c r="I35" s="365"/>
      <c r="J35" s="366"/>
      <c r="K35" s="336">
        <v>3910</v>
      </c>
      <c r="L35" s="365"/>
      <c r="M35" s="366"/>
      <c r="N35" s="493"/>
      <c r="O35" s="365">
        <f t="shared" si="0"/>
        <v>0</v>
      </c>
      <c r="P35" s="366">
        <f t="shared" si="1"/>
        <v>0</v>
      </c>
      <c r="Q35" s="337">
        <f t="shared" si="2"/>
        <v>3910</v>
      </c>
      <c r="R35" s="347" t="s">
        <v>155</v>
      </c>
      <c r="S35" s="488"/>
      <c r="T35" s="489"/>
    </row>
    <row r="36" spans="1:31" s="350" customFormat="1" ht="15.75">
      <c r="A36" s="370" t="s">
        <v>159</v>
      </c>
      <c r="B36" s="371"/>
      <c r="C36" s="365"/>
      <c r="D36" s="366"/>
      <c r="E36" s="374" t="s">
        <v>185</v>
      </c>
      <c r="F36" s="365"/>
      <c r="G36" s="366"/>
      <c r="H36" s="366"/>
      <c r="I36" s="365"/>
      <c r="J36" s="366"/>
      <c r="K36" s="336">
        <v>2693.53</v>
      </c>
      <c r="L36" s="365"/>
      <c r="M36" s="366"/>
      <c r="N36" s="493"/>
      <c r="O36" s="365">
        <f t="shared" si="0"/>
        <v>0</v>
      </c>
      <c r="P36" s="366">
        <f t="shared" si="1"/>
        <v>0</v>
      </c>
      <c r="Q36" s="337">
        <f>H36+K36+N36</f>
        <v>2693.53</v>
      </c>
      <c r="R36" s="347" t="s">
        <v>155</v>
      </c>
      <c r="S36" s="488"/>
      <c r="T36" s="489"/>
    </row>
    <row r="37" spans="1:31" s="350" customFormat="1" ht="15.75">
      <c r="A37" s="370" t="s">
        <v>158</v>
      </c>
      <c r="B37" s="371"/>
      <c r="C37" s="365"/>
      <c r="D37" s="366"/>
      <c r="E37" s="374" t="s">
        <v>186</v>
      </c>
      <c r="F37" s="365"/>
      <c r="G37" s="366"/>
      <c r="H37" s="366"/>
      <c r="I37" s="365"/>
      <c r="J37" s="366"/>
      <c r="K37" s="336">
        <v>1232.08</v>
      </c>
      <c r="L37" s="365"/>
      <c r="M37" s="366"/>
      <c r="N37" s="493"/>
      <c r="O37" s="365">
        <f t="shared" si="0"/>
        <v>0</v>
      </c>
      <c r="P37" s="366">
        <f t="shared" si="1"/>
        <v>0</v>
      </c>
      <c r="Q37" s="337">
        <f>H37+K37+N37</f>
        <v>1232.08</v>
      </c>
      <c r="R37" s="347" t="s">
        <v>155</v>
      </c>
      <c r="S37" s="488"/>
      <c r="T37" s="489"/>
    </row>
    <row r="38" spans="1:31" s="350" customFormat="1" ht="15.75">
      <c r="A38" s="370" t="s">
        <v>17</v>
      </c>
      <c r="B38" s="371"/>
      <c r="C38" s="521"/>
      <c r="D38" s="522"/>
      <c r="E38" s="522">
        <v>0</v>
      </c>
      <c r="F38" s="521"/>
      <c r="G38" s="522"/>
      <c r="H38" s="522"/>
      <c r="I38" s="521"/>
      <c r="J38" s="522"/>
      <c r="K38" s="522">
        <v>0</v>
      </c>
      <c r="L38" s="521"/>
      <c r="M38" s="522"/>
      <c r="N38" s="522"/>
      <c r="O38" s="521">
        <f t="shared" si="0"/>
        <v>0</v>
      </c>
      <c r="P38" s="522">
        <f t="shared" si="1"/>
        <v>0</v>
      </c>
      <c r="Q38" s="534">
        <f t="shared" si="2"/>
        <v>0</v>
      </c>
      <c r="R38" s="347" t="s">
        <v>155</v>
      </c>
    </row>
    <row r="39" spans="1:31" s="350" customFormat="1" ht="15.75">
      <c r="A39" s="499" t="s">
        <v>262</v>
      </c>
      <c r="B39" s="500"/>
      <c r="C39" s="518"/>
      <c r="D39" s="488"/>
      <c r="E39" s="488">
        <v>0</v>
      </c>
      <c r="F39" s="518"/>
      <c r="G39" s="488"/>
      <c r="H39" s="336">
        <v>-15000</v>
      </c>
      <c r="I39" s="518"/>
      <c r="J39" s="488"/>
      <c r="K39" s="488">
        <v>0</v>
      </c>
      <c r="L39" s="518"/>
      <c r="M39" s="488"/>
      <c r="N39" s="488">
        <v>15000</v>
      </c>
      <c r="O39" s="518"/>
      <c r="P39" s="488"/>
      <c r="Q39" s="519">
        <v>0</v>
      </c>
      <c r="R39" s="347" t="s">
        <v>155</v>
      </c>
    </row>
    <row r="40" spans="1:31" s="350" customFormat="1" ht="18" customHeight="1">
      <c r="A40" s="370" t="s">
        <v>187</v>
      </c>
      <c r="B40" s="371"/>
      <c r="C40" s="375"/>
      <c r="D40" s="376"/>
      <c r="E40" s="376"/>
      <c r="F40" s="375"/>
      <c r="G40" s="376"/>
      <c r="H40" s="376"/>
      <c r="I40" s="375"/>
      <c r="J40" s="376"/>
      <c r="K40" s="376"/>
      <c r="L40" s="375"/>
      <c r="M40" s="376"/>
      <c r="N40" s="376"/>
      <c r="O40" s="375"/>
      <c r="P40" s="376"/>
      <c r="Q40" s="495"/>
      <c r="R40" s="347" t="s">
        <v>155</v>
      </c>
    </row>
    <row r="41" spans="1:31" s="354" customFormat="1" ht="15.75">
      <c r="A41" s="643" t="s">
        <v>91</v>
      </c>
      <c r="B41" s="644"/>
      <c r="C41" s="377">
        <f>SUM(C13:C39)</f>
        <v>0</v>
      </c>
      <c r="D41" s="378">
        <f>SUM(D13:D39)</f>
        <v>0</v>
      </c>
      <c r="E41" s="338">
        <f t="shared" ref="E41:N41" si="3">SUM(E15:E39)</f>
        <v>412500</v>
      </c>
      <c r="F41" s="377">
        <f t="shared" si="3"/>
        <v>0</v>
      </c>
      <c r="G41" s="378">
        <f t="shared" si="3"/>
        <v>0</v>
      </c>
      <c r="H41" s="379">
        <f t="shared" si="3"/>
        <v>-15000</v>
      </c>
      <c r="I41" s="377">
        <f t="shared" si="3"/>
        <v>0</v>
      </c>
      <c r="J41" s="378">
        <f t="shared" si="3"/>
        <v>0</v>
      </c>
      <c r="K41" s="338">
        <f t="shared" si="3"/>
        <v>45379.512999999999</v>
      </c>
      <c r="L41" s="377">
        <f t="shared" si="3"/>
        <v>0</v>
      </c>
      <c r="M41" s="378">
        <f t="shared" si="3"/>
        <v>0</v>
      </c>
      <c r="N41" s="338">
        <f t="shared" si="3"/>
        <v>15000</v>
      </c>
      <c r="O41" s="377">
        <f>SUM(O13:O39)</f>
        <v>0</v>
      </c>
      <c r="P41" s="378">
        <f>SUM(P13:P39)</f>
        <v>0</v>
      </c>
      <c r="Q41" s="535">
        <f>SUM(Q13:Q39)</f>
        <v>457879.51300000004</v>
      </c>
      <c r="R41" s="347" t="s">
        <v>155</v>
      </c>
      <c r="T41" s="485"/>
    </row>
    <row r="42" spans="1:31" s="350" customFormat="1" ht="15.75">
      <c r="A42" s="645" t="s">
        <v>75</v>
      </c>
      <c r="B42" s="646"/>
      <c r="C42" s="380"/>
      <c r="D42" s="381"/>
      <c r="E42" s="381"/>
      <c r="F42" s="380"/>
      <c r="G42" s="381"/>
      <c r="H42" s="381"/>
      <c r="I42" s="380"/>
      <c r="J42" s="381"/>
      <c r="K42" s="381"/>
      <c r="L42" s="380"/>
      <c r="M42" s="381"/>
      <c r="N42" s="381"/>
      <c r="O42" s="380"/>
      <c r="P42" s="381"/>
      <c r="Q42" s="382"/>
      <c r="R42" s="347" t="s">
        <v>155</v>
      </c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</row>
    <row r="43" spans="1:31" s="350" customFormat="1" ht="15.75">
      <c r="A43" s="645" t="s">
        <v>74</v>
      </c>
      <c r="B43" s="646"/>
      <c r="C43" s="384"/>
      <c r="D43" s="385">
        <f>SUM(D41:D42)</f>
        <v>0</v>
      </c>
      <c r="E43" s="385"/>
      <c r="F43" s="384"/>
      <c r="G43" s="385">
        <f>+G41+G42</f>
        <v>0</v>
      </c>
      <c r="H43" s="385"/>
      <c r="I43" s="384"/>
      <c r="J43" s="385">
        <f>+J41+J42</f>
        <v>0</v>
      </c>
      <c r="K43" s="385"/>
      <c r="L43" s="384"/>
      <c r="M43" s="385">
        <f>+M41+M42</f>
        <v>0</v>
      </c>
      <c r="N43" s="385"/>
      <c r="O43" s="384"/>
      <c r="P43" s="385"/>
      <c r="Q43" s="386"/>
      <c r="R43" s="347" t="s">
        <v>155</v>
      </c>
    </row>
    <row r="44" spans="1:31" s="350" customFormat="1" ht="15.75">
      <c r="A44" s="668" t="s">
        <v>76</v>
      </c>
      <c r="B44" s="669"/>
      <c r="C44" s="365"/>
      <c r="D44" s="366"/>
      <c r="E44" s="366"/>
      <c r="F44" s="365"/>
      <c r="G44" s="366"/>
      <c r="H44" s="366"/>
      <c r="I44" s="365"/>
      <c r="J44" s="366"/>
      <c r="K44" s="366"/>
      <c r="L44" s="365"/>
      <c r="M44" s="366"/>
      <c r="N44" s="366"/>
      <c r="O44" s="365"/>
      <c r="P44" s="366"/>
      <c r="Q44" s="367"/>
      <c r="R44" s="347" t="s">
        <v>155</v>
      </c>
    </row>
    <row r="45" spans="1:31" s="350" customFormat="1" ht="15.75">
      <c r="A45" s="670" t="s">
        <v>33</v>
      </c>
      <c r="B45" s="671"/>
      <c r="C45" s="365"/>
      <c r="D45" s="366"/>
      <c r="E45" s="366"/>
      <c r="F45" s="365"/>
      <c r="G45" s="366"/>
      <c r="H45" s="366"/>
      <c r="I45" s="365"/>
      <c r="J45" s="366"/>
      <c r="K45" s="366"/>
      <c r="L45" s="365"/>
      <c r="M45" s="366"/>
      <c r="N45" s="366"/>
      <c r="O45" s="365"/>
      <c r="P45" s="366"/>
      <c r="Q45" s="367"/>
      <c r="R45" s="347" t="s">
        <v>155</v>
      </c>
    </row>
    <row r="46" spans="1:31" s="350" customFormat="1" ht="15.75">
      <c r="A46" s="672" t="s">
        <v>58</v>
      </c>
      <c r="B46" s="673"/>
      <c r="C46" s="380"/>
      <c r="D46" s="381"/>
      <c r="E46" s="381"/>
      <c r="F46" s="380"/>
      <c r="G46" s="381"/>
      <c r="H46" s="381"/>
      <c r="I46" s="380"/>
      <c r="J46" s="381"/>
      <c r="K46" s="381"/>
      <c r="L46" s="380"/>
      <c r="M46" s="381"/>
      <c r="N46" s="381"/>
      <c r="O46" s="380"/>
      <c r="P46" s="381"/>
      <c r="Q46" s="382"/>
      <c r="R46" s="347" t="s">
        <v>155</v>
      </c>
    </row>
    <row r="47" spans="1:31" s="350" customFormat="1" ht="15.75">
      <c r="A47" s="645" t="s">
        <v>77</v>
      </c>
      <c r="B47" s="646"/>
      <c r="C47" s="380"/>
      <c r="D47" s="381">
        <f>D46+D45+D43</f>
        <v>0</v>
      </c>
      <c r="E47" s="381"/>
      <c r="F47" s="380"/>
      <c r="G47" s="381">
        <f>G46+G45+G43</f>
        <v>0</v>
      </c>
      <c r="H47" s="381"/>
      <c r="I47" s="380"/>
      <c r="J47" s="381">
        <f>J46+J45+J43</f>
        <v>0</v>
      </c>
      <c r="K47" s="381"/>
      <c r="L47" s="380"/>
      <c r="M47" s="381">
        <f>M46+M45+M43</f>
        <v>0</v>
      </c>
      <c r="N47" s="381"/>
      <c r="O47" s="380"/>
      <c r="P47" s="381"/>
      <c r="Q47" s="382"/>
      <c r="R47" s="347" t="s">
        <v>203</v>
      </c>
    </row>
    <row r="48" spans="1:31" s="350" customFormat="1" ht="15.75">
      <c r="R48" s="349"/>
    </row>
    <row r="49" spans="1:18" s="350" customFormat="1" ht="15.75">
      <c r="A49" s="350" t="s">
        <v>281</v>
      </c>
      <c r="R49" s="387"/>
    </row>
    <row r="50" spans="1:18" s="350" customFormat="1" ht="15.75">
      <c r="B50" s="388"/>
      <c r="C50" s="388"/>
      <c r="D50" s="388"/>
      <c r="E50" s="388"/>
      <c r="F50" s="388"/>
      <c r="G50" s="388"/>
      <c r="H50" s="388"/>
      <c r="I50" s="389"/>
      <c r="J50" s="389"/>
      <c r="K50" s="389"/>
      <c r="L50" s="389"/>
      <c r="M50" s="389"/>
      <c r="N50" s="389"/>
      <c r="O50" s="389"/>
      <c r="P50" s="389"/>
      <c r="Q50" s="389"/>
      <c r="R50" s="387"/>
    </row>
    <row r="51" spans="1:18" s="350" customFormat="1" ht="15.75">
      <c r="A51" s="388"/>
      <c r="B51" s="388"/>
      <c r="C51" s="388"/>
      <c r="D51" s="388"/>
      <c r="E51" s="388"/>
      <c r="F51" s="388"/>
      <c r="G51" s="388"/>
      <c r="H51" s="388"/>
      <c r="I51" s="389"/>
      <c r="J51" s="389"/>
      <c r="K51" s="389"/>
      <c r="L51" s="389"/>
      <c r="M51" s="389"/>
      <c r="N51" s="389"/>
      <c r="O51" s="389"/>
      <c r="P51" s="389"/>
      <c r="Q51" s="389"/>
      <c r="R51" s="387"/>
    </row>
    <row r="52" spans="1:18" s="350" customFormat="1" ht="15.75">
      <c r="R52" s="387"/>
    </row>
  </sheetData>
  <mergeCells count="19">
    <mergeCell ref="A44:B44"/>
    <mergeCell ref="A45:B45"/>
    <mergeCell ref="A46:B46"/>
    <mergeCell ref="A47:B47"/>
    <mergeCell ref="A43:B43"/>
    <mergeCell ref="L9:N10"/>
    <mergeCell ref="O9:Q10"/>
    <mergeCell ref="A15:B15"/>
    <mergeCell ref="A1:D1"/>
    <mergeCell ref="A3:Q3"/>
    <mergeCell ref="A4:Q4"/>
    <mergeCell ref="A5:Q5"/>
    <mergeCell ref="A6:Q6"/>
    <mergeCell ref="A33:B33"/>
    <mergeCell ref="A41:B41"/>
    <mergeCell ref="A42:B42"/>
    <mergeCell ref="I9:K10"/>
    <mergeCell ref="C9:E10"/>
    <mergeCell ref="F9:H10"/>
  </mergeCells>
  <printOptions horizontalCentered="1"/>
  <pageMargins left="0.75" right="0.75" top="1" bottom="1" header="0.5" footer="0.5"/>
  <pageSetup scale="57" orientation="landscape" r:id="rId1"/>
  <headerFooter alignWithMargins="0">
    <oddFooter>&amp;C&amp;10Exhibit G - Crosswalk of 2012 Availability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1"/>
  <sheetViews>
    <sheetView view="pageBreakPreview" zoomScale="60" zoomScaleNormal="55" workbookViewId="0">
      <pane xSplit="2" ySplit="11" topLeftCell="C12" activePane="bottomRight" state="frozen"/>
      <selection activeCell="A46" sqref="A46:U46"/>
      <selection pane="topRight" activeCell="A46" sqref="A46:U46"/>
      <selection pane="bottomLeft" activeCell="A46" sqref="A46:U46"/>
      <selection pane="bottomRight" activeCell="A46" sqref="A46:U46"/>
    </sheetView>
  </sheetViews>
  <sheetFormatPr defaultRowHeight="15"/>
  <cols>
    <col min="1" max="1" width="1.44140625" customWidth="1"/>
    <col min="2" max="2" width="104.88671875" customWidth="1"/>
    <col min="3" max="5" width="27.6640625" customWidth="1"/>
  </cols>
  <sheetData>
    <row r="1" spans="1:6" ht="30">
      <c r="A1" s="231" t="s">
        <v>153</v>
      </c>
      <c r="B1" s="232"/>
      <c r="C1" s="233"/>
      <c r="D1" s="233"/>
      <c r="E1" s="233"/>
      <c r="F1" s="274" t="s">
        <v>155</v>
      </c>
    </row>
    <row r="2" spans="1:6" ht="13.15" customHeight="1">
      <c r="A2" s="23"/>
      <c r="B2" s="233"/>
      <c r="C2" s="233"/>
      <c r="D2" s="233"/>
      <c r="E2" s="233"/>
      <c r="F2" s="274" t="s">
        <v>155</v>
      </c>
    </row>
    <row r="3" spans="1:6" ht="18.75">
      <c r="A3" s="235"/>
      <c r="B3" s="12" t="s">
        <v>152</v>
      </c>
      <c r="C3" s="236"/>
      <c r="D3" s="236"/>
      <c r="E3" s="236"/>
      <c r="F3" s="274" t="s">
        <v>155</v>
      </c>
    </row>
    <row r="4" spans="1:6" ht="16.5">
      <c r="A4" s="238"/>
      <c r="B4" s="15" t="s">
        <v>0</v>
      </c>
      <c r="C4" s="236"/>
      <c r="D4" s="236"/>
      <c r="E4" s="236"/>
      <c r="F4" s="274" t="s">
        <v>155</v>
      </c>
    </row>
    <row r="5" spans="1:6" ht="16.5">
      <c r="A5" s="235"/>
      <c r="B5" s="15" t="str">
        <f>+'[4](B) Sum of Req '!A6</f>
        <v>Grant Programs</v>
      </c>
      <c r="C5" s="236"/>
      <c r="D5" s="236"/>
      <c r="E5" s="236"/>
      <c r="F5" s="274" t="s">
        <v>155</v>
      </c>
    </row>
    <row r="6" spans="1:6" ht="15.75">
      <c r="A6" s="235"/>
      <c r="B6" s="68" t="s">
        <v>70</v>
      </c>
      <c r="C6" s="236"/>
      <c r="D6" s="236"/>
      <c r="E6" s="236"/>
      <c r="F6" s="274" t="s">
        <v>155</v>
      </c>
    </row>
    <row r="7" spans="1:6" ht="15.75">
      <c r="A7" s="235"/>
      <c r="B7" s="236"/>
      <c r="C7" s="237"/>
      <c r="D7" s="237"/>
      <c r="E7" s="237"/>
      <c r="F7" s="274" t="s">
        <v>155</v>
      </c>
    </row>
    <row r="8" spans="1:6" ht="15.75">
      <c r="A8" s="235"/>
      <c r="B8" s="239"/>
      <c r="C8" s="297"/>
      <c r="D8" s="255"/>
      <c r="E8" s="255"/>
      <c r="F8" s="274" t="s">
        <v>155</v>
      </c>
    </row>
    <row r="9" spans="1:6" ht="15.75">
      <c r="A9" s="235"/>
      <c r="B9" s="240"/>
      <c r="C9" s="298" t="s">
        <v>89</v>
      </c>
      <c r="D9" s="256" t="s">
        <v>90</v>
      </c>
      <c r="E9" s="256" t="s">
        <v>28</v>
      </c>
      <c r="F9" s="274" t="s">
        <v>155</v>
      </c>
    </row>
    <row r="10" spans="1:6" ht="15.75">
      <c r="A10" s="235"/>
      <c r="B10" s="240"/>
      <c r="C10" s="299"/>
      <c r="D10" s="257"/>
      <c r="E10" s="257"/>
      <c r="F10" s="274" t="s">
        <v>155</v>
      </c>
    </row>
    <row r="11" spans="1:6" ht="32.25" thickBot="1">
      <c r="A11" s="235"/>
      <c r="B11" s="241" t="s">
        <v>154</v>
      </c>
      <c r="C11" s="300" t="s">
        <v>151</v>
      </c>
      <c r="D11" s="254" t="s">
        <v>151</v>
      </c>
      <c r="E11" s="254" t="s">
        <v>151</v>
      </c>
      <c r="F11" s="274" t="s">
        <v>155</v>
      </c>
    </row>
    <row r="12" spans="1:6" ht="15.75">
      <c r="A12" s="235"/>
      <c r="B12" s="242"/>
      <c r="C12" s="301"/>
      <c r="D12" s="251"/>
      <c r="E12" s="251"/>
      <c r="F12" s="274" t="s">
        <v>155</v>
      </c>
    </row>
    <row r="13" spans="1:6" ht="15.75">
      <c r="A13" s="235"/>
      <c r="B13" s="295" t="s">
        <v>154</v>
      </c>
      <c r="C13" s="302">
        <f>+'(D) Strat Goal &amp; Obj'!L44</f>
        <v>3500</v>
      </c>
      <c r="D13" s="250">
        <v>-148000</v>
      </c>
      <c r="E13" s="250">
        <f>SUM(C13:D13)</f>
        <v>-144500</v>
      </c>
      <c r="F13" s="274" t="s">
        <v>155</v>
      </c>
    </row>
    <row r="14" spans="1:6" ht="15.75">
      <c r="A14" s="235"/>
      <c r="B14" s="296"/>
      <c r="C14" s="303"/>
      <c r="D14" s="245"/>
      <c r="E14" s="245"/>
      <c r="F14" s="274" t="s">
        <v>155</v>
      </c>
    </row>
    <row r="15" spans="1:6" ht="15.75">
      <c r="A15" s="235"/>
      <c r="B15" s="243"/>
      <c r="C15" s="304"/>
      <c r="D15" s="244"/>
      <c r="E15" s="244"/>
      <c r="F15" s="274" t="s">
        <v>155</v>
      </c>
    </row>
    <row r="16" spans="1:6" ht="15.75">
      <c r="A16" s="235"/>
      <c r="B16" s="246"/>
      <c r="C16" s="305"/>
      <c r="D16" s="247"/>
      <c r="E16" s="247"/>
      <c r="F16" s="274" t="s">
        <v>155</v>
      </c>
    </row>
    <row r="17" spans="1:20" ht="16.5" thickBot="1">
      <c r="A17" s="235"/>
      <c r="B17" s="248" t="s">
        <v>208</v>
      </c>
      <c r="C17" s="306">
        <f>SUM(C13:C13)</f>
        <v>3500</v>
      </c>
      <c r="D17" s="252">
        <f>SUM(D13:D13)</f>
        <v>-148000</v>
      </c>
      <c r="E17" s="252">
        <f>SUM(E13:E13)</f>
        <v>-144500</v>
      </c>
      <c r="F17" s="274" t="s">
        <v>155</v>
      </c>
    </row>
    <row r="18" spans="1:20" ht="15.75">
      <c r="A18" s="235"/>
      <c r="B18" s="234"/>
      <c r="C18" s="234"/>
      <c r="D18" s="234"/>
      <c r="E18" s="234"/>
      <c r="F18" s="274" t="s">
        <v>155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</row>
    <row r="19" spans="1:20" ht="15.75">
      <c r="A19" s="501"/>
      <c r="B19" s="234"/>
      <c r="C19" s="234"/>
      <c r="D19" s="234"/>
      <c r="E19" s="234"/>
      <c r="F19" s="274" t="s">
        <v>155</v>
      </c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</row>
    <row r="20" spans="1:20" ht="15.75">
      <c r="A20" s="501"/>
      <c r="B20" s="234"/>
      <c r="C20" s="234"/>
      <c r="D20" s="234"/>
      <c r="E20" s="234"/>
      <c r="F20" s="274" t="s">
        <v>155</v>
      </c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</row>
    <row r="21" spans="1:20" ht="15.75">
      <c r="A21" s="235"/>
      <c r="B21" s="523" t="s">
        <v>263</v>
      </c>
      <c r="C21" s="234"/>
      <c r="D21" s="234"/>
      <c r="E21" s="234"/>
      <c r="F21" s="274" t="s">
        <v>155</v>
      </c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</row>
    <row r="22" spans="1:20" ht="15.75">
      <c r="B22" s="239"/>
      <c r="C22" s="297"/>
      <c r="D22" s="255"/>
      <c r="E22" s="255"/>
      <c r="F22" s="274" t="s">
        <v>155</v>
      </c>
    </row>
    <row r="23" spans="1:20" ht="15.75">
      <c r="B23" s="240"/>
      <c r="C23" s="298" t="s">
        <v>89</v>
      </c>
      <c r="D23" s="256" t="s">
        <v>90</v>
      </c>
      <c r="E23" s="256" t="s">
        <v>28</v>
      </c>
      <c r="F23" s="274" t="s">
        <v>155</v>
      </c>
    </row>
    <row r="24" spans="1:20" ht="15.75">
      <c r="B24" s="240"/>
      <c r="C24" s="299"/>
      <c r="D24" s="257"/>
      <c r="E24" s="257"/>
      <c r="F24" s="274" t="s">
        <v>155</v>
      </c>
    </row>
    <row r="25" spans="1:20" ht="32.25" thickBot="1">
      <c r="B25" s="241" t="s">
        <v>154</v>
      </c>
      <c r="C25" s="300" t="s">
        <v>151</v>
      </c>
      <c r="D25" s="254" t="s">
        <v>151</v>
      </c>
      <c r="E25" s="254" t="s">
        <v>151</v>
      </c>
      <c r="F25" s="274" t="s">
        <v>155</v>
      </c>
    </row>
    <row r="26" spans="1:20" ht="15.75">
      <c r="B26" s="242"/>
      <c r="C26" s="301"/>
      <c r="D26" s="251"/>
      <c r="E26" s="251"/>
      <c r="F26" s="274" t="s">
        <v>155</v>
      </c>
    </row>
    <row r="27" spans="1:20" ht="15.75">
      <c r="B27" s="295" t="s">
        <v>154</v>
      </c>
      <c r="C27" s="302">
        <v>144500</v>
      </c>
      <c r="D27" s="250">
        <f>+'(D) Strat Goal &amp; Obj'!N56</f>
        <v>0</v>
      </c>
      <c r="E27" s="250">
        <f>SUM(C27:D27)</f>
        <v>144500</v>
      </c>
      <c r="F27" s="274" t="s">
        <v>155</v>
      </c>
    </row>
    <row r="28" spans="1:20" ht="15.75">
      <c r="B28" s="296"/>
      <c r="C28" s="303"/>
      <c r="D28" s="245"/>
      <c r="E28" s="245"/>
      <c r="F28" s="274" t="s">
        <v>155</v>
      </c>
    </row>
    <row r="29" spans="1:20" ht="15.75">
      <c r="B29" s="243"/>
      <c r="C29" s="304"/>
      <c r="D29" s="244"/>
      <c r="E29" s="244"/>
      <c r="F29" s="274" t="s">
        <v>155</v>
      </c>
    </row>
    <row r="30" spans="1:20" ht="15.75">
      <c r="B30" s="246"/>
      <c r="C30" s="305"/>
      <c r="D30" s="247"/>
      <c r="E30" s="247"/>
      <c r="F30" s="274" t="s">
        <v>155</v>
      </c>
    </row>
    <row r="31" spans="1:20" ht="16.5" thickBot="1">
      <c r="B31" s="248" t="s">
        <v>208</v>
      </c>
      <c r="C31" s="306">
        <f>SUM(C27:C27)</f>
        <v>144500</v>
      </c>
      <c r="D31" s="252">
        <f>SUM(D27:D27)</f>
        <v>0</v>
      </c>
      <c r="E31" s="252">
        <f>SUM(E27:E27)</f>
        <v>144500</v>
      </c>
      <c r="F31" s="274" t="s">
        <v>203</v>
      </c>
    </row>
  </sheetData>
  <phoneticPr fontId="0" type="noConversion"/>
  <printOptions horizontalCentered="1"/>
  <pageMargins left="0.75" right="0.75" top="0.5" bottom="0.5" header="0.5" footer="0.5"/>
  <pageSetup scale="54" fitToHeight="0" orientation="landscape" r:id="rId1"/>
  <headerFooter alignWithMargins="0">
    <oddFooter xml:space="preserve">&amp;C&amp;"Times New Roman,Regular"&amp;14Exhibit J - Financial Analysis of Program Changes&amp;12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S73"/>
  <sheetViews>
    <sheetView view="pageBreakPreview" zoomScale="75" zoomScaleNormal="100" zoomScaleSheetLayoutView="75" workbookViewId="0">
      <pane xSplit="4" ySplit="9" topLeftCell="E29" activePane="bottomRight" state="frozen"/>
      <selection activeCell="A46" sqref="A46:U46"/>
      <selection pane="topRight" activeCell="A46" sqref="A46:U46"/>
      <selection pane="bottomLeft" activeCell="A46" sqref="A46:U46"/>
      <selection pane="bottomRight" activeCell="A46" sqref="A46:U46"/>
    </sheetView>
  </sheetViews>
  <sheetFormatPr defaultRowHeight="15.75"/>
  <cols>
    <col min="1" max="1" width="1.88671875" style="3" customWidth="1"/>
    <col min="2" max="2" width="27.109375" style="3" customWidth="1"/>
    <col min="3" max="3" width="12.5546875" style="3" customWidth="1"/>
    <col min="4" max="4" width="16.6640625" style="3" customWidth="1"/>
    <col min="5" max="5" width="8.88671875" style="3"/>
    <col min="6" max="6" width="10.109375" style="3" customWidth="1"/>
    <col min="7" max="7" width="2.33203125" style="3" customWidth="1"/>
    <col min="8" max="8" width="8.88671875" style="3"/>
    <col min="9" max="9" width="10.6640625" style="3" customWidth="1"/>
    <col min="10" max="10" width="1.88671875" style="3" customWidth="1"/>
    <col min="11" max="12" width="8.88671875" style="3"/>
    <col min="13" max="13" width="2.33203125" style="3" customWidth="1"/>
    <col min="14" max="14" width="8.88671875" style="3"/>
    <col min="15" max="15" width="10.33203125" style="3" customWidth="1"/>
    <col min="16" max="18" width="0" style="3" hidden="1" customWidth="1"/>
    <col min="19" max="16384" width="8.88671875" style="3"/>
  </cols>
  <sheetData>
    <row r="1" spans="1:19" ht="19.149999999999999" customHeight="1">
      <c r="A1" s="23" t="s">
        <v>21</v>
      </c>
      <c r="S1" s="274" t="s">
        <v>155</v>
      </c>
    </row>
    <row r="2" spans="1:19" ht="19.149999999999999" customHeight="1">
      <c r="A2" s="23"/>
      <c r="S2" s="274" t="s">
        <v>155</v>
      </c>
    </row>
    <row r="3" spans="1:19" ht="18.75">
      <c r="B3" s="9" t="s">
        <v>57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S3" s="274" t="s">
        <v>155</v>
      </c>
    </row>
    <row r="4" spans="1:19" ht="16.5">
      <c r="B4" s="10" t="str">
        <f>+'[5](B) Sum of Req '!A5</f>
        <v>Office on Violence Against Women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S4" s="274" t="s">
        <v>155</v>
      </c>
    </row>
    <row r="5" spans="1:19" ht="16.5">
      <c r="B5" s="10" t="str">
        <f>+'[5](B) Sum of Req '!A6</f>
        <v>Grant Programs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  <c r="O5" s="6"/>
      <c r="S5" s="274" t="s">
        <v>155</v>
      </c>
    </row>
    <row r="6" spans="1:19">
      <c r="B6" s="69" t="s">
        <v>70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  <c r="O6" s="6"/>
      <c r="S6" s="274" t="s">
        <v>155</v>
      </c>
    </row>
    <row r="7" spans="1:19" ht="11.25" customHeight="1">
      <c r="A7" s="5"/>
      <c r="B7" s="1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5"/>
      <c r="O7" s="5"/>
      <c r="S7" s="274" t="s">
        <v>155</v>
      </c>
    </row>
    <row r="8" spans="1:19" ht="20.25" customHeight="1">
      <c r="A8" s="108"/>
      <c r="B8" s="109"/>
      <c r="C8" s="109"/>
      <c r="D8" s="111"/>
      <c r="E8" s="674" t="s">
        <v>221</v>
      </c>
      <c r="F8" s="675"/>
      <c r="G8" s="674" t="s">
        <v>214</v>
      </c>
      <c r="H8" s="675"/>
      <c r="I8" s="675"/>
      <c r="J8" s="676"/>
      <c r="K8" s="113" t="s">
        <v>191</v>
      </c>
      <c r="L8" s="114"/>
      <c r="M8" s="115"/>
      <c r="N8" s="113" t="s">
        <v>27</v>
      </c>
      <c r="O8" s="116"/>
      <c r="P8" s="8"/>
      <c r="S8" s="274" t="s">
        <v>155</v>
      </c>
    </row>
    <row r="9" spans="1:19" ht="25.5" customHeight="1" thickBot="1">
      <c r="A9" s="102"/>
      <c r="B9" s="110" t="s">
        <v>54</v>
      </c>
      <c r="C9" s="110"/>
      <c r="D9" s="112"/>
      <c r="E9" s="117" t="s">
        <v>31</v>
      </c>
      <c r="F9" s="118" t="s">
        <v>87</v>
      </c>
      <c r="G9" s="119"/>
      <c r="H9" s="118" t="s">
        <v>31</v>
      </c>
      <c r="I9" s="118" t="s">
        <v>87</v>
      </c>
      <c r="J9" s="120"/>
      <c r="K9" s="117" t="s">
        <v>31</v>
      </c>
      <c r="L9" s="118" t="s">
        <v>87</v>
      </c>
      <c r="M9" s="120"/>
      <c r="N9" s="117" t="s">
        <v>31</v>
      </c>
      <c r="O9" s="121" t="s">
        <v>87</v>
      </c>
      <c r="P9" s="8"/>
      <c r="S9" s="274" t="s">
        <v>155</v>
      </c>
    </row>
    <row r="10" spans="1:19">
      <c r="A10" s="101"/>
      <c r="B10" s="122" t="s">
        <v>128</v>
      </c>
      <c r="C10" s="70"/>
      <c r="D10" s="71" t="s">
        <v>86</v>
      </c>
      <c r="E10" s="307">
        <v>0</v>
      </c>
      <c r="F10" s="308">
        <v>0</v>
      </c>
      <c r="G10" s="307"/>
      <c r="H10" s="308">
        <v>0</v>
      </c>
      <c r="I10" s="308">
        <v>0</v>
      </c>
      <c r="J10" s="308"/>
      <c r="K10" s="307">
        <v>0</v>
      </c>
      <c r="L10" s="308">
        <v>0</v>
      </c>
      <c r="M10" s="308"/>
      <c r="N10" s="307">
        <f>K10-H10</f>
        <v>0</v>
      </c>
      <c r="O10" s="309">
        <f>L10-I10</f>
        <v>0</v>
      </c>
      <c r="P10" s="8"/>
      <c r="S10" s="274" t="s">
        <v>155</v>
      </c>
    </row>
    <row r="11" spans="1:19">
      <c r="A11" s="101"/>
      <c r="B11" s="122" t="s">
        <v>53</v>
      </c>
      <c r="C11" s="70"/>
      <c r="D11" s="71" t="s">
        <v>86</v>
      </c>
      <c r="E11" s="307">
        <v>0</v>
      </c>
      <c r="F11" s="308">
        <v>0</v>
      </c>
      <c r="G11" s="307"/>
      <c r="H11" s="308">
        <v>0</v>
      </c>
      <c r="I11" s="308">
        <v>0</v>
      </c>
      <c r="J11" s="308"/>
      <c r="K11" s="307">
        <v>0</v>
      </c>
      <c r="L11" s="308">
        <f>+I11*1.034</f>
        <v>0</v>
      </c>
      <c r="M11" s="308"/>
      <c r="N11" s="307">
        <f>K11-H11</f>
        <v>0</v>
      </c>
      <c r="O11" s="309">
        <f>L11-I11</f>
        <v>0</v>
      </c>
      <c r="P11" s="21" t="s">
        <v>29</v>
      </c>
      <c r="Q11" s="3" t="s">
        <v>30</v>
      </c>
      <c r="S11" s="274" t="s">
        <v>155</v>
      </c>
    </row>
    <row r="12" spans="1:19">
      <c r="A12" s="101"/>
      <c r="B12" s="122" t="s">
        <v>34</v>
      </c>
      <c r="C12" s="70"/>
      <c r="D12" s="71" t="s">
        <v>86</v>
      </c>
      <c r="E12" s="307">
        <f>+E13+E14</f>
        <v>0</v>
      </c>
      <c r="F12" s="308">
        <f>+F13+F14</f>
        <v>0</v>
      </c>
      <c r="G12" s="307"/>
      <c r="H12" s="308">
        <f>+H13+H14</f>
        <v>0</v>
      </c>
      <c r="I12" s="308">
        <f>+I13+I14</f>
        <v>0</v>
      </c>
      <c r="J12" s="308"/>
      <c r="K12" s="307">
        <f>+K13+K14</f>
        <v>0</v>
      </c>
      <c r="L12" s="308">
        <f>+L13+L14</f>
        <v>0</v>
      </c>
      <c r="M12" s="308"/>
      <c r="N12" s="307">
        <f>+N13+N14</f>
        <v>0</v>
      </c>
      <c r="O12" s="309">
        <f>L12-I12</f>
        <v>0</v>
      </c>
      <c r="P12" s="8">
        <v>93</v>
      </c>
      <c r="S12" s="274" t="s">
        <v>155</v>
      </c>
    </row>
    <row r="13" spans="1:19">
      <c r="A13" s="101"/>
      <c r="B13" s="123" t="s">
        <v>36</v>
      </c>
      <c r="C13" s="70"/>
      <c r="D13" s="71" t="s">
        <v>86</v>
      </c>
      <c r="E13" s="307">
        <v>0</v>
      </c>
      <c r="F13" s="308">
        <v>0</v>
      </c>
      <c r="G13" s="307"/>
      <c r="H13" s="308">
        <v>0</v>
      </c>
      <c r="I13" s="308">
        <v>0</v>
      </c>
      <c r="J13" s="308"/>
      <c r="K13" s="307">
        <v>0</v>
      </c>
      <c r="L13" s="308">
        <v>0</v>
      </c>
      <c r="M13" s="308"/>
      <c r="N13" s="307">
        <f>K13-H13</f>
        <v>0</v>
      </c>
      <c r="O13" s="309">
        <f>L13-I13</f>
        <v>0</v>
      </c>
      <c r="P13" s="8"/>
      <c r="S13" s="274" t="s">
        <v>155</v>
      </c>
    </row>
    <row r="14" spans="1:19">
      <c r="A14" s="101"/>
      <c r="B14" s="123" t="s">
        <v>35</v>
      </c>
      <c r="C14" s="70"/>
      <c r="D14" s="71" t="s">
        <v>86</v>
      </c>
      <c r="E14" s="307">
        <v>0</v>
      </c>
      <c r="F14" s="308">
        <v>0</v>
      </c>
      <c r="G14" s="307"/>
      <c r="H14" s="308">
        <v>0</v>
      </c>
      <c r="I14" s="308">
        <v>0</v>
      </c>
      <c r="J14" s="308"/>
      <c r="K14" s="307">
        <v>0</v>
      </c>
      <c r="L14" s="308">
        <v>0</v>
      </c>
      <c r="M14" s="308"/>
      <c r="N14" s="307">
        <f>K14-H14</f>
        <v>0</v>
      </c>
      <c r="O14" s="309">
        <f>L14-I14</f>
        <v>0</v>
      </c>
      <c r="P14" s="8"/>
      <c r="S14" s="274" t="s">
        <v>155</v>
      </c>
    </row>
    <row r="15" spans="1:19">
      <c r="A15" s="100"/>
      <c r="B15" s="105" t="s">
        <v>37</v>
      </c>
      <c r="C15" s="106"/>
      <c r="D15" s="107" t="s">
        <v>86</v>
      </c>
      <c r="E15" s="310">
        <v>0</v>
      </c>
      <c r="F15" s="311">
        <v>0</v>
      </c>
      <c r="G15" s="310"/>
      <c r="H15" s="311">
        <v>0</v>
      </c>
      <c r="I15" s="311">
        <v>0</v>
      </c>
      <c r="J15" s="311"/>
      <c r="K15" s="310">
        <v>0</v>
      </c>
      <c r="L15" s="311">
        <v>0</v>
      </c>
      <c r="M15" s="311"/>
      <c r="N15" s="310">
        <f>K15-H15</f>
        <v>0</v>
      </c>
      <c r="O15" s="312">
        <f>L15-I15</f>
        <v>0</v>
      </c>
      <c r="P15" s="8"/>
      <c r="S15" s="274" t="s">
        <v>155</v>
      </c>
    </row>
    <row r="16" spans="1:19">
      <c r="A16" s="101"/>
      <c r="B16" s="122" t="s">
        <v>129</v>
      </c>
      <c r="C16" s="70"/>
      <c r="D16" s="70" t="s">
        <v>86</v>
      </c>
      <c r="E16" s="313">
        <f>+E10+E11+E12+E15</f>
        <v>0</v>
      </c>
      <c r="F16" s="314">
        <f>+F10+F11+F12+F15</f>
        <v>0</v>
      </c>
      <c r="G16" s="313"/>
      <c r="H16" s="315">
        <f>+H10+H11+H12+H15</f>
        <v>0</v>
      </c>
      <c r="I16" s="315">
        <f>+I10+I11+I12+I15</f>
        <v>0</v>
      </c>
      <c r="J16" s="315"/>
      <c r="K16" s="313">
        <f>+K10+K11+K12+K15</f>
        <v>0</v>
      </c>
      <c r="L16" s="315">
        <f>+L10+L11+L12+L15</f>
        <v>0</v>
      </c>
      <c r="M16" s="315"/>
      <c r="N16" s="313">
        <f>SUM(N10:N15)</f>
        <v>0</v>
      </c>
      <c r="O16" s="314">
        <f>SUM(O10:O15)</f>
        <v>0</v>
      </c>
      <c r="P16" s="5">
        <f>697+630+957+2333</f>
        <v>4617</v>
      </c>
      <c r="Q16" s="3">
        <f>2451-93</f>
        <v>2358</v>
      </c>
      <c r="R16" s="3">
        <f>+I16-L16</f>
        <v>0</v>
      </c>
      <c r="S16" s="274" t="s">
        <v>155</v>
      </c>
    </row>
    <row r="17" spans="1:19">
      <c r="A17" s="101"/>
      <c r="B17" s="122" t="s">
        <v>80</v>
      </c>
      <c r="C17" s="70"/>
      <c r="D17" s="103"/>
      <c r="E17" s="307"/>
      <c r="F17" s="308"/>
      <c r="G17" s="307"/>
      <c r="H17" s="308"/>
      <c r="I17" s="308"/>
      <c r="J17" s="308"/>
      <c r="K17" s="307"/>
      <c r="L17" s="308"/>
      <c r="M17" s="308"/>
      <c r="N17" s="307"/>
      <c r="O17" s="309"/>
      <c r="P17" s="8"/>
      <c r="S17" s="274" t="s">
        <v>155</v>
      </c>
    </row>
    <row r="18" spans="1:19">
      <c r="A18" s="101"/>
      <c r="B18" s="122" t="s">
        <v>38</v>
      </c>
      <c r="C18" s="70"/>
      <c r="D18" s="103"/>
      <c r="E18" s="316"/>
      <c r="F18" s="308"/>
      <c r="G18" s="307"/>
      <c r="H18" s="317"/>
      <c r="I18" s="308"/>
      <c r="J18" s="308"/>
      <c r="K18" s="316"/>
      <c r="L18" s="308"/>
      <c r="M18" s="308"/>
      <c r="N18" s="316"/>
      <c r="O18" s="309"/>
      <c r="P18" s="8"/>
      <c r="S18" s="274" t="s">
        <v>155</v>
      </c>
    </row>
    <row r="19" spans="1:19">
      <c r="A19" s="101"/>
      <c r="B19" s="122" t="s">
        <v>55</v>
      </c>
      <c r="C19" s="677"/>
      <c r="D19" s="678"/>
      <c r="E19" s="307"/>
      <c r="F19" s="308"/>
      <c r="G19" s="307"/>
      <c r="H19" s="308"/>
      <c r="I19" s="308"/>
      <c r="J19" s="308"/>
      <c r="K19" s="307"/>
      <c r="L19" s="308"/>
      <c r="M19" s="308"/>
      <c r="N19" s="307"/>
      <c r="O19" s="309"/>
      <c r="P19" s="8"/>
      <c r="S19" s="274" t="s">
        <v>155</v>
      </c>
    </row>
    <row r="20" spans="1:19">
      <c r="A20" s="101"/>
      <c r="B20" s="122" t="s">
        <v>39</v>
      </c>
      <c r="C20" s="70"/>
      <c r="D20" s="103"/>
      <c r="E20" s="307"/>
      <c r="F20" s="308">
        <v>0</v>
      </c>
      <c r="G20" s="307"/>
      <c r="H20" s="308"/>
      <c r="I20" s="308">
        <v>0</v>
      </c>
      <c r="J20" s="308"/>
      <c r="K20" s="307"/>
      <c r="L20" s="308">
        <v>0</v>
      </c>
      <c r="M20" s="308"/>
      <c r="N20" s="307"/>
      <c r="O20" s="309">
        <f>L20-I20</f>
        <v>0</v>
      </c>
      <c r="P20" s="8">
        <v>359</v>
      </c>
      <c r="Q20" s="3">
        <f>1171+93</f>
        <v>1264</v>
      </c>
      <c r="R20" s="3">
        <f t="shared" ref="R20:R29" si="0">+I20-L20</f>
        <v>0</v>
      </c>
      <c r="S20" s="274" t="s">
        <v>155</v>
      </c>
    </row>
    <row r="21" spans="1:19">
      <c r="A21" s="101"/>
      <c r="B21" s="122" t="s">
        <v>40</v>
      </c>
      <c r="C21" s="70"/>
      <c r="D21" s="103"/>
      <c r="E21" s="307"/>
      <c r="F21" s="308">
        <v>0</v>
      </c>
      <c r="G21" s="307"/>
      <c r="H21" s="308"/>
      <c r="I21" s="308">
        <v>0</v>
      </c>
      <c r="J21" s="308"/>
      <c r="K21" s="307"/>
      <c r="L21" s="308">
        <v>0</v>
      </c>
      <c r="M21" s="308"/>
      <c r="N21" s="307"/>
      <c r="O21" s="309">
        <f>L21-I21</f>
        <v>0</v>
      </c>
      <c r="P21" s="8"/>
      <c r="Q21" s="3">
        <v>110</v>
      </c>
      <c r="R21" s="3">
        <f t="shared" si="0"/>
        <v>0</v>
      </c>
      <c r="S21" s="274" t="s">
        <v>155</v>
      </c>
    </row>
    <row r="22" spans="1:19">
      <c r="A22" s="101"/>
      <c r="B22" s="122" t="s">
        <v>41</v>
      </c>
      <c r="C22" s="70"/>
      <c r="D22" s="103"/>
      <c r="E22" s="307"/>
      <c r="F22" s="308">
        <v>0</v>
      </c>
      <c r="G22" s="307"/>
      <c r="H22" s="308"/>
      <c r="I22" s="308">
        <v>0</v>
      </c>
      <c r="J22" s="308"/>
      <c r="K22" s="307"/>
      <c r="L22" s="308">
        <v>0</v>
      </c>
      <c r="M22" s="308"/>
      <c r="N22" s="307"/>
      <c r="O22" s="309">
        <f>L22-I22</f>
        <v>0</v>
      </c>
      <c r="P22" s="8"/>
      <c r="Q22" s="3">
        <v>0</v>
      </c>
      <c r="R22" s="3">
        <f t="shared" si="0"/>
        <v>0</v>
      </c>
      <c r="S22" s="274" t="s">
        <v>155</v>
      </c>
    </row>
    <row r="23" spans="1:19">
      <c r="A23" s="101"/>
      <c r="B23" s="122" t="s">
        <v>63</v>
      </c>
      <c r="C23" s="70"/>
      <c r="D23" s="103"/>
      <c r="E23" s="307"/>
      <c r="F23" s="308">
        <v>0</v>
      </c>
      <c r="G23" s="307"/>
      <c r="H23" s="308"/>
      <c r="I23" s="308">
        <v>0</v>
      </c>
      <c r="J23" s="308"/>
      <c r="K23" s="307"/>
      <c r="L23" s="308">
        <v>0</v>
      </c>
      <c r="M23" s="308"/>
      <c r="N23" s="307"/>
      <c r="O23" s="309">
        <f>L23-I23</f>
        <v>0</v>
      </c>
      <c r="P23" s="8">
        <f>4220-576</f>
        <v>3644</v>
      </c>
      <c r="R23" s="3">
        <f t="shared" si="0"/>
        <v>0</v>
      </c>
      <c r="S23" s="274" t="s">
        <v>155</v>
      </c>
    </row>
    <row r="24" spans="1:19">
      <c r="A24" s="101"/>
      <c r="B24" s="122" t="s">
        <v>149</v>
      </c>
      <c r="C24" s="70"/>
      <c r="D24" s="103"/>
      <c r="E24" s="307"/>
      <c r="F24" s="308">
        <v>0</v>
      </c>
      <c r="G24" s="307"/>
      <c r="H24" s="308"/>
      <c r="I24" s="308">
        <v>0</v>
      </c>
      <c r="J24" s="308"/>
      <c r="K24" s="307"/>
      <c r="L24" s="308">
        <v>0</v>
      </c>
      <c r="M24" s="308"/>
      <c r="N24" s="307"/>
      <c r="O24" s="309">
        <f>L24-I24</f>
        <v>0</v>
      </c>
      <c r="P24" s="8"/>
      <c r="R24" s="3">
        <f t="shared" si="0"/>
        <v>0</v>
      </c>
      <c r="S24" s="274" t="s">
        <v>155</v>
      </c>
    </row>
    <row r="25" spans="1:19">
      <c r="A25" s="101"/>
      <c r="B25" s="122" t="s">
        <v>42</v>
      </c>
      <c r="C25" s="70"/>
      <c r="D25" s="103"/>
      <c r="E25" s="307"/>
      <c r="F25" s="308">
        <v>0</v>
      </c>
      <c r="G25" s="307"/>
      <c r="H25" s="308"/>
      <c r="I25" s="308">
        <v>0</v>
      </c>
      <c r="J25" s="308"/>
      <c r="K25" s="307"/>
      <c r="L25" s="308">
        <v>0</v>
      </c>
      <c r="M25" s="308"/>
      <c r="N25" s="307"/>
      <c r="O25" s="309">
        <f t="shared" ref="O25:O34" si="1">L25-I25</f>
        <v>0</v>
      </c>
      <c r="P25" s="8">
        <v>332</v>
      </c>
      <c r="Q25" s="3">
        <v>175</v>
      </c>
      <c r="R25" s="3">
        <f t="shared" si="0"/>
        <v>0</v>
      </c>
      <c r="S25" s="274" t="s">
        <v>155</v>
      </c>
    </row>
    <row r="26" spans="1:19">
      <c r="A26" s="101"/>
      <c r="B26" s="122" t="s">
        <v>43</v>
      </c>
      <c r="C26" s="70"/>
      <c r="D26" s="103"/>
      <c r="E26" s="307"/>
      <c r="F26" s="308">
        <v>0</v>
      </c>
      <c r="G26" s="307"/>
      <c r="H26" s="308"/>
      <c r="I26" s="308">
        <v>0</v>
      </c>
      <c r="J26" s="308"/>
      <c r="K26" s="307"/>
      <c r="L26" s="308">
        <v>0</v>
      </c>
      <c r="M26" s="308"/>
      <c r="N26" s="307"/>
      <c r="O26" s="309">
        <f t="shared" si="1"/>
        <v>0</v>
      </c>
      <c r="P26" s="8"/>
      <c r="R26" s="3">
        <f t="shared" si="0"/>
        <v>0</v>
      </c>
      <c r="S26" s="274" t="s">
        <v>155</v>
      </c>
    </row>
    <row r="27" spans="1:19">
      <c r="A27" s="101"/>
      <c r="B27" s="122" t="s">
        <v>44</v>
      </c>
      <c r="C27" s="70"/>
      <c r="D27" s="103"/>
      <c r="E27" s="307"/>
      <c r="F27" s="308">
        <v>0</v>
      </c>
      <c r="G27" s="307"/>
      <c r="H27" s="308"/>
      <c r="I27" s="308">
        <v>0</v>
      </c>
      <c r="J27" s="308"/>
      <c r="K27" s="307"/>
      <c r="L27" s="308">
        <v>0</v>
      </c>
      <c r="M27" s="308"/>
      <c r="N27" s="307"/>
      <c r="O27" s="309">
        <f t="shared" si="1"/>
        <v>0</v>
      </c>
      <c r="P27" s="8"/>
      <c r="Q27" s="3">
        <v>14918</v>
      </c>
      <c r="R27" s="3">
        <f t="shared" si="0"/>
        <v>0</v>
      </c>
      <c r="S27" s="274" t="s">
        <v>155</v>
      </c>
    </row>
    <row r="28" spans="1:19">
      <c r="A28" s="101"/>
      <c r="B28" s="122" t="s">
        <v>45</v>
      </c>
      <c r="C28" s="70"/>
      <c r="D28" s="103"/>
      <c r="E28" s="307"/>
      <c r="F28" s="308">
        <v>0</v>
      </c>
      <c r="G28" s="307"/>
      <c r="H28" s="308"/>
      <c r="I28" s="308">
        <v>0</v>
      </c>
      <c r="J28" s="308"/>
      <c r="K28" s="307"/>
      <c r="L28" s="308">
        <v>0</v>
      </c>
      <c r="M28" s="308"/>
      <c r="N28" s="307"/>
      <c r="O28" s="309">
        <f t="shared" si="1"/>
        <v>0</v>
      </c>
      <c r="P28" s="8">
        <v>276</v>
      </c>
      <c r="Q28" s="3">
        <v>14853</v>
      </c>
      <c r="R28" s="3">
        <f t="shared" si="0"/>
        <v>0</v>
      </c>
      <c r="S28" s="274" t="s">
        <v>155</v>
      </c>
    </row>
    <row r="29" spans="1:19" s="344" customFormat="1">
      <c r="A29" s="340"/>
      <c r="B29" s="165" t="s">
        <v>67</v>
      </c>
      <c r="C29" s="166"/>
      <c r="D29" s="167"/>
      <c r="E29" s="320"/>
      <c r="F29" s="524">
        <v>4900</v>
      </c>
      <c r="G29" s="320"/>
      <c r="H29" s="341"/>
      <c r="I29" s="341">
        <v>400</v>
      </c>
      <c r="J29" s="341"/>
      <c r="K29" s="320"/>
      <c r="L29" s="341">
        <v>400</v>
      </c>
      <c r="M29" s="341"/>
      <c r="N29" s="320"/>
      <c r="O29" s="342">
        <f t="shared" si="1"/>
        <v>0</v>
      </c>
      <c r="P29" s="343"/>
      <c r="Q29" s="344">
        <v>135</v>
      </c>
      <c r="R29" s="344">
        <f t="shared" si="0"/>
        <v>0</v>
      </c>
      <c r="S29" s="339" t="s">
        <v>155</v>
      </c>
    </row>
    <row r="30" spans="1:19">
      <c r="A30" s="101"/>
      <c r="B30" s="122" t="s">
        <v>64</v>
      </c>
      <c r="C30" s="70"/>
      <c r="D30" s="103"/>
      <c r="E30" s="307"/>
      <c r="F30" s="308"/>
      <c r="G30" s="307"/>
      <c r="H30" s="308"/>
      <c r="I30" s="308">
        <v>0</v>
      </c>
      <c r="J30" s="308"/>
      <c r="K30" s="307"/>
      <c r="L30" s="308">
        <v>0</v>
      </c>
      <c r="M30" s="308"/>
      <c r="N30" s="307"/>
      <c r="O30" s="309">
        <f t="shared" si="1"/>
        <v>0</v>
      </c>
      <c r="P30" s="8"/>
      <c r="S30" s="274" t="s">
        <v>155</v>
      </c>
    </row>
    <row r="31" spans="1:19">
      <c r="A31" s="101"/>
      <c r="B31" s="122" t="s">
        <v>68</v>
      </c>
      <c r="C31" s="70"/>
      <c r="D31" s="103"/>
      <c r="E31" s="307"/>
      <c r="F31" s="308">
        <v>0</v>
      </c>
      <c r="G31" s="307"/>
      <c r="H31" s="308"/>
      <c r="I31" s="308">
        <v>0</v>
      </c>
      <c r="J31" s="308"/>
      <c r="K31" s="307"/>
      <c r="L31" s="308">
        <v>0</v>
      </c>
      <c r="M31" s="308"/>
      <c r="N31" s="307"/>
      <c r="O31" s="309">
        <f t="shared" si="1"/>
        <v>0</v>
      </c>
      <c r="P31" s="8"/>
      <c r="R31" s="3">
        <f>+I31-L31</f>
        <v>0</v>
      </c>
      <c r="S31" s="274" t="s">
        <v>155</v>
      </c>
    </row>
    <row r="32" spans="1:19">
      <c r="A32" s="101"/>
      <c r="B32" s="122" t="s">
        <v>69</v>
      </c>
      <c r="C32" s="70"/>
      <c r="D32" s="103"/>
      <c r="E32" s="307"/>
      <c r="F32" s="308">
        <v>0</v>
      </c>
      <c r="G32" s="307"/>
      <c r="H32" s="308"/>
      <c r="I32" s="308">
        <v>0</v>
      </c>
      <c r="J32" s="308"/>
      <c r="K32" s="307"/>
      <c r="L32" s="308">
        <v>0</v>
      </c>
      <c r="M32" s="308"/>
      <c r="N32" s="307"/>
      <c r="O32" s="309">
        <f t="shared" si="1"/>
        <v>0</v>
      </c>
      <c r="P32" s="8"/>
      <c r="Q32" s="3">
        <v>10</v>
      </c>
      <c r="R32" s="3">
        <f>+I32-L32</f>
        <v>0</v>
      </c>
      <c r="S32" s="274" t="s">
        <v>155</v>
      </c>
    </row>
    <row r="33" spans="1:19">
      <c r="A33" s="101"/>
      <c r="B33" s="122" t="s">
        <v>46</v>
      </c>
      <c r="C33" s="70"/>
      <c r="D33" s="103"/>
      <c r="E33" s="307"/>
      <c r="F33" s="308">
        <v>0</v>
      </c>
      <c r="G33" s="307"/>
      <c r="H33" s="308"/>
      <c r="I33" s="308">
        <f>+F33*1.016</f>
        <v>0</v>
      </c>
      <c r="J33" s="308"/>
      <c r="K33" s="307"/>
      <c r="L33" s="308">
        <v>0</v>
      </c>
      <c r="M33" s="308"/>
      <c r="N33" s="307"/>
      <c r="O33" s="309">
        <f t="shared" si="1"/>
        <v>0</v>
      </c>
      <c r="P33" s="8"/>
      <c r="Q33" s="3">
        <v>85</v>
      </c>
      <c r="R33" s="3">
        <f>+I33-L33</f>
        <v>0</v>
      </c>
      <c r="S33" s="274" t="s">
        <v>155</v>
      </c>
    </row>
    <row r="34" spans="1:19">
      <c r="A34" s="101"/>
      <c r="B34" s="122" t="s">
        <v>47</v>
      </c>
      <c r="C34" s="70"/>
      <c r="D34" s="103"/>
      <c r="E34" s="307"/>
      <c r="F34" s="308">
        <v>0</v>
      </c>
      <c r="G34" s="307"/>
      <c r="H34" s="308"/>
      <c r="I34" s="308">
        <f>+F34*1.016</f>
        <v>0</v>
      </c>
      <c r="J34" s="308"/>
      <c r="K34" s="307"/>
      <c r="L34" s="308">
        <v>0</v>
      </c>
      <c r="M34" s="308"/>
      <c r="N34" s="307"/>
      <c r="O34" s="309">
        <f t="shared" si="1"/>
        <v>0</v>
      </c>
      <c r="P34" s="8"/>
      <c r="Q34" s="3">
        <v>37758</v>
      </c>
      <c r="R34" s="3">
        <f>+I34-L34</f>
        <v>0</v>
      </c>
      <c r="S34" s="274" t="s">
        <v>155</v>
      </c>
    </row>
    <row r="35" spans="1:19">
      <c r="A35" s="101"/>
      <c r="B35" s="122" t="s">
        <v>132</v>
      </c>
      <c r="C35" s="70"/>
      <c r="D35" s="103"/>
      <c r="E35" s="307"/>
      <c r="F35" s="262">
        <v>453000</v>
      </c>
      <c r="G35" s="323"/>
      <c r="H35" s="262"/>
      <c r="I35" s="262">
        <v>457480</v>
      </c>
      <c r="J35" s="262"/>
      <c r="K35" s="323"/>
      <c r="L35" s="262">
        <v>267600</v>
      </c>
      <c r="M35" s="262"/>
      <c r="N35" s="323"/>
      <c r="O35" s="324">
        <f>+L35-I35</f>
        <v>-189880</v>
      </c>
      <c r="P35" s="8"/>
      <c r="S35" s="274" t="s">
        <v>155</v>
      </c>
    </row>
    <row r="36" spans="1:19">
      <c r="A36" s="101"/>
      <c r="B36" s="147" t="s">
        <v>48</v>
      </c>
      <c r="C36" s="70"/>
      <c r="D36" s="103"/>
      <c r="E36" s="318"/>
      <c r="F36" s="325">
        <f>SUM(F16:F35)</f>
        <v>457900</v>
      </c>
      <c r="G36" s="326"/>
      <c r="H36" s="325"/>
      <c r="I36" s="325">
        <v>457880</v>
      </c>
      <c r="J36" s="325"/>
      <c r="K36" s="326"/>
      <c r="L36" s="325">
        <f>SUM(L16:L35)</f>
        <v>268000</v>
      </c>
      <c r="M36" s="325"/>
      <c r="N36" s="326"/>
      <c r="O36" s="327">
        <f>SUM(O16:O35)</f>
        <v>-189880</v>
      </c>
      <c r="P36" s="8">
        <f>SUM(P12:P34)</f>
        <v>9321</v>
      </c>
      <c r="Q36" s="3">
        <f>SUM(Q16:Q34)</f>
        <v>71666</v>
      </c>
      <c r="R36" s="3">
        <f>+I36-L36</f>
        <v>189880</v>
      </c>
      <c r="S36" s="274" t="s">
        <v>155</v>
      </c>
    </row>
    <row r="37" spans="1:19">
      <c r="A37" s="526" t="s">
        <v>254</v>
      </c>
      <c r="B37" s="526"/>
      <c r="C37" s="19"/>
      <c r="D37" s="249"/>
      <c r="E37" s="527"/>
      <c r="F37" s="528"/>
      <c r="G37" s="529"/>
      <c r="H37" s="528"/>
      <c r="I37" s="528"/>
      <c r="J37" s="528"/>
      <c r="K37" s="529"/>
      <c r="L37" s="528"/>
      <c r="M37" s="528"/>
      <c r="N37" s="529"/>
      <c r="O37" s="530"/>
      <c r="P37" s="8"/>
      <c r="S37" s="274"/>
    </row>
    <row r="38" spans="1:19">
      <c r="A38" s="525"/>
      <c r="B38" s="531" t="s">
        <v>132</v>
      </c>
      <c r="C38" s="19"/>
      <c r="D38" s="249"/>
      <c r="E38" s="527"/>
      <c r="F38" s="528"/>
      <c r="G38" s="529"/>
      <c r="H38" s="528"/>
      <c r="I38" s="528"/>
      <c r="J38" s="528"/>
      <c r="K38" s="529"/>
      <c r="L38" s="528">
        <v>144500</v>
      </c>
      <c r="M38" s="528"/>
      <c r="N38" s="529"/>
      <c r="O38" s="530"/>
      <c r="P38" s="8"/>
      <c r="S38" s="274"/>
    </row>
    <row r="39" spans="1:19" ht="16.899999999999999" customHeight="1">
      <c r="A39" s="144"/>
      <c r="B39" s="147" t="s">
        <v>48</v>
      </c>
      <c r="C39" s="145"/>
      <c r="D39" s="146"/>
      <c r="E39" s="319"/>
      <c r="F39" s="328"/>
      <c r="G39" s="329"/>
      <c r="H39" s="328"/>
      <c r="I39" s="328"/>
      <c r="J39" s="328"/>
      <c r="K39" s="329"/>
      <c r="L39" s="532">
        <f>L36+L38</f>
        <v>412500</v>
      </c>
      <c r="M39" s="328"/>
      <c r="N39" s="329"/>
      <c r="O39" s="330"/>
      <c r="P39" s="8"/>
      <c r="S39" s="274" t="s">
        <v>155</v>
      </c>
    </row>
    <row r="40" spans="1:19" ht="16.899999999999999" customHeight="1">
      <c r="A40" s="101"/>
      <c r="B40" s="165" t="s">
        <v>49</v>
      </c>
      <c r="C40" s="166"/>
      <c r="D40" s="167"/>
      <c r="E40" s="320"/>
      <c r="F40" s="259">
        <v>-82143</v>
      </c>
      <c r="G40" s="331"/>
      <c r="H40" s="259"/>
      <c r="I40" s="259">
        <v>-45380</v>
      </c>
      <c r="J40" s="259"/>
      <c r="K40" s="331"/>
      <c r="L40" s="259">
        <v>0</v>
      </c>
      <c r="M40" s="259"/>
      <c r="N40" s="331"/>
      <c r="O40" s="261">
        <f>+L40-I40</f>
        <v>45380</v>
      </c>
      <c r="P40" s="8"/>
      <c r="S40" s="274" t="s">
        <v>155</v>
      </c>
    </row>
    <row r="41" spans="1:19" ht="16.899999999999999" customHeight="1">
      <c r="A41" s="101"/>
      <c r="B41" s="165" t="s">
        <v>209</v>
      </c>
      <c r="C41" s="166"/>
      <c r="D41" s="167"/>
      <c r="E41" s="320"/>
      <c r="F41" s="259">
        <v>11262</v>
      </c>
      <c r="G41" s="331"/>
      <c r="H41" s="259"/>
      <c r="I41" s="259"/>
      <c r="J41" s="259"/>
      <c r="K41" s="331"/>
      <c r="L41" s="259">
        <v>0</v>
      </c>
      <c r="M41" s="259"/>
      <c r="N41" s="331"/>
      <c r="O41" s="261">
        <f t="shared" ref="O41:O43" si="2">+L41-I41</f>
        <v>0</v>
      </c>
      <c r="P41" s="8"/>
      <c r="S41" s="274" t="s">
        <v>155</v>
      </c>
    </row>
    <row r="42" spans="1:19" ht="16.899999999999999" customHeight="1">
      <c r="A42" s="101"/>
      <c r="B42" s="165" t="s">
        <v>264</v>
      </c>
      <c r="C42" s="166"/>
      <c r="D42" s="167"/>
      <c r="E42" s="320"/>
      <c r="F42" s="259">
        <v>0</v>
      </c>
      <c r="G42" s="331"/>
      <c r="H42" s="259"/>
      <c r="I42" s="259">
        <v>15000</v>
      </c>
      <c r="J42" s="259"/>
      <c r="K42" s="331"/>
      <c r="L42" s="259">
        <v>6000</v>
      </c>
      <c r="M42" s="259"/>
      <c r="N42" s="331"/>
      <c r="O42" s="261">
        <f t="shared" si="2"/>
        <v>-9000</v>
      </c>
      <c r="P42" s="8"/>
      <c r="S42" s="274"/>
    </row>
    <row r="43" spans="1:19">
      <c r="A43" s="101"/>
      <c r="B43" s="165" t="s">
        <v>50</v>
      </c>
      <c r="C43" s="166"/>
      <c r="D43" s="167"/>
      <c r="E43" s="320"/>
      <c r="F43" s="259">
        <v>45380</v>
      </c>
      <c r="G43" s="331"/>
      <c r="H43" s="259"/>
      <c r="I43" s="259">
        <v>0</v>
      </c>
      <c r="J43" s="259"/>
      <c r="K43" s="331"/>
      <c r="L43" s="259">
        <v>0</v>
      </c>
      <c r="M43" s="259"/>
      <c r="N43" s="331"/>
      <c r="O43" s="261">
        <f t="shared" si="2"/>
        <v>0</v>
      </c>
      <c r="P43" s="8"/>
      <c r="S43" s="274" t="s">
        <v>155</v>
      </c>
    </row>
    <row r="44" spans="1:19">
      <c r="A44" s="124"/>
      <c r="B44" s="168" t="s">
        <v>51</v>
      </c>
      <c r="C44" s="169"/>
      <c r="D44" s="170"/>
      <c r="E44" s="321"/>
      <c r="F44" s="260">
        <v>-14736</v>
      </c>
      <c r="G44" s="332"/>
      <c r="H44" s="260"/>
      <c r="I44" s="260">
        <v>-15000</v>
      </c>
      <c r="J44" s="260"/>
      <c r="K44" s="332"/>
      <c r="L44" s="260">
        <v>-6000</v>
      </c>
      <c r="M44" s="260"/>
      <c r="N44" s="332"/>
      <c r="O44" s="261">
        <f>+L44-I44</f>
        <v>9000</v>
      </c>
      <c r="P44" s="8"/>
      <c r="S44" s="274" t="s">
        <v>155</v>
      </c>
    </row>
    <row r="45" spans="1:19">
      <c r="A45" s="100"/>
      <c r="B45" s="171" t="s">
        <v>52</v>
      </c>
      <c r="C45" s="172"/>
      <c r="D45" s="223"/>
      <c r="E45" s="322"/>
      <c r="F45" s="333">
        <f>SUM(F36:F44)</f>
        <v>417663</v>
      </c>
      <c r="G45" s="334"/>
      <c r="H45" s="333"/>
      <c r="I45" s="333">
        <f>SUM(I36:I44)</f>
        <v>412500</v>
      </c>
      <c r="J45" s="333"/>
      <c r="K45" s="334"/>
      <c r="L45" s="551">
        <f>SUM(L39:L44)</f>
        <v>412500</v>
      </c>
      <c r="M45" s="333"/>
      <c r="N45" s="334"/>
      <c r="O45" s="335">
        <f>SUM(O36:O44)</f>
        <v>-144500</v>
      </c>
      <c r="P45" s="8"/>
      <c r="S45" s="274" t="s">
        <v>203</v>
      </c>
    </row>
    <row r="46" spans="1:19" ht="21.75" customHeight="1">
      <c r="A46" s="224"/>
      <c r="B46" s="225"/>
      <c r="C46" s="226"/>
      <c r="D46" s="227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8"/>
    </row>
    <row r="47" spans="1:19">
      <c r="N47" s="18"/>
      <c r="O47" s="18"/>
      <c r="P47" s="8"/>
    </row>
    <row r="48" spans="1:19">
      <c r="N48" s="18"/>
      <c r="O48" s="18"/>
      <c r="P48" s="8"/>
    </row>
    <row r="49" spans="14:16">
      <c r="N49" s="18"/>
      <c r="O49" s="18"/>
      <c r="P49" s="8"/>
    </row>
    <row r="50" spans="14:16">
      <c r="N50" s="18"/>
      <c r="O50" s="18"/>
      <c r="P50" s="8"/>
    </row>
    <row r="51" spans="14:16">
      <c r="N51" s="18"/>
      <c r="O51" s="19"/>
      <c r="P51" s="8"/>
    </row>
    <row r="52" spans="14:16">
      <c r="N52" s="18"/>
      <c r="O52" s="19"/>
      <c r="P52" s="8"/>
    </row>
    <row r="53" spans="14:16">
      <c r="N53" s="18"/>
      <c r="O53" s="18"/>
      <c r="P53" s="8"/>
    </row>
    <row r="54" spans="14:16">
      <c r="N54" s="18"/>
      <c r="O54" s="18"/>
      <c r="P54" s="8"/>
    </row>
    <row r="55" spans="14:16">
      <c r="N55" s="18"/>
      <c r="O55" s="18"/>
      <c r="P55" s="8"/>
    </row>
    <row r="56" spans="14:16">
      <c r="N56" s="18"/>
      <c r="O56" s="18"/>
      <c r="P56" s="8"/>
    </row>
    <row r="57" spans="14:16">
      <c r="N57" s="18"/>
      <c r="O57" s="18"/>
      <c r="P57" s="8"/>
    </row>
    <row r="58" spans="14:16">
      <c r="N58" s="18"/>
      <c r="O58" s="18"/>
      <c r="P58" s="8"/>
    </row>
    <row r="59" spans="14:16">
      <c r="N59" s="18"/>
      <c r="O59" s="18"/>
      <c r="P59" s="8"/>
    </row>
    <row r="60" spans="14:16">
      <c r="N60" s="18"/>
      <c r="O60" s="18"/>
      <c r="P60" s="8"/>
    </row>
    <row r="61" spans="14:16">
      <c r="N61" s="18"/>
      <c r="O61" s="18"/>
      <c r="P61" s="8"/>
    </row>
    <row r="62" spans="14:16">
      <c r="N62" s="18"/>
      <c r="O62" s="18"/>
      <c r="P62" s="8"/>
    </row>
    <row r="63" spans="14:16">
      <c r="N63" s="18"/>
      <c r="O63" s="18"/>
      <c r="P63" s="8"/>
    </row>
    <row r="64" spans="14:16">
      <c r="N64" s="18"/>
      <c r="O64" s="18"/>
      <c r="P64" s="8"/>
    </row>
    <row r="65" spans="14:16">
      <c r="N65" s="18"/>
      <c r="O65" s="18"/>
      <c r="P65" s="8"/>
    </row>
    <row r="66" spans="14:16">
      <c r="N66" s="20"/>
      <c r="O66" s="18"/>
      <c r="P66" s="8"/>
    </row>
    <row r="67" spans="14:16">
      <c r="N67" s="8"/>
      <c r="O67" s="8"/>
      <c r="P67" s="8"/>
    </row>
    <row r="68" spans="14:16">
      <c r="N68" s="7"/>
      <c r="O68" s="7"/>
      <c r="P68" s="8"/>
    </row>
    <row r="69" spans="14:16">
      <c r="N69" s="7"/>
      <c r="O69" s="7"/>
      <c r="P69" s="8"/>
    </row>
    <row r="70" spans="14:16">
      <c r="N70" s="7"/>
      <c r="O70" s="7"/>
      <c r="P70" s="8"/>
    </row>
    <row r="71" spans="14:16">
      <c r="N71" s="7"/>
      <c r="O71" s="7"/>
      <c r="P71" s="8"/>
    </row>
    <row r="72" spans="14:16">
      <c r="P72" s="8"/>
    </row>
    <row r="73" spans="14:16">
      <c r="P73" s="8"/>
    </row>
  </sheetData>
  <mergeCells count="3">
    <mergeCell ref="G8:J8"/>
    <mergeCell ref="E8:F8"/>
    <mergeCell ref="C19:D19"/>
  </mergeCells>
  <phoneticPr fontId="0" type="noConversion"/>
  <printOptions horizontalCentered="1"/>
  <pageMargins left="0.5" right="0.5" top="0.5" bottom="0.25" header="0.5" footer="0.5"/>
  <pageSetup scale="70" orientation="landscape" r:id="rId1"/>
  <headerFooter alignWithMargins="0">
    <oddFooter>&amp;C&amp;"Times New Roman,Regular"Exhibit L - Summary of Requirements by Object Class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(A) Org Chart </vt:lpstr>
      <vt:lpstr>B. Summary of Requirements </vt:lpstr>
      <vt:lpstr>(C) Increases Offsets</vt:lpstr>
      <vt:lpstr>(D) Strat Goal &amp; Obj</vt:lpstr>
      <vt:lpstr>(F) 2011 Crosswalk</vt:lpstr>
      <vt:lpstr>G. 2012 Crosswalk </vt:lpstr>
      <vt:lpstr>(J) Financial Analysis</vt:lpstr>
      <vt:lpstr>(L) Sum by OC</vt:lpstr>
      <vt:lpstr>'B. Summary of Requirements '!DL</vt:lpstr>
      <vt:lpstr>'(A) Org Chart '!Print_Area</vt:lpstr>
      <vt:lpstr>'(C) Increases Offsets'!Print_Area</vt:lpstr>
      <vt:lpstr>'(D) Strat Goal &amp; Obj'!Print_Area</vt:lpstr>
      <vt:lpstr>'(F) 2011 Crosswalk'!Print_Area</vt:lpstr>
      <vt:lpstr>'(J) Financial Analysis'!Print_Area</vt:lpstr>
      <vt:lpstr>'(L) Sum by OC'!Print_Area</vt:lpstr>
      <vt:lpstr>'B. Summary of Requirements '!Print_Area</vt:lpstr>
      <vt:lpstr>'G. 2012 Crosswalk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sdale</dc:creator>
  <cp:lastModifiedBy>rlindsay</cp:lastModifiedBy>
  <cp:lastPrinted>2012-02-09T15:50:00Z</cp:lastPrinted>
  <dcterms:created xsi:type="dcterms:W3CDTF">2003-08-28T20:51:00Z</dcterms:created>
  <dcterms:modified xsi:type="dcterms:W3CDTF">2012-02-09T15:52:23Z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