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20" windowWidth="15480" windowHeight="7080" tabRatio="889"/>
  </bookViews>
  <sheets>
    <sheet name="A. Organization Chart" sheetId="2" r:id="rId1"/>
    <sheet name="B. Summary of Requirements_SE " sheetId="3" r:id="rId2"/>
    <sheet name="B. Summary of Requirements_Cons" sheetId="22" r:id="rId3"/>
    <sheet name="C. Increases Offsets" sheetId="4" r:id="rId4"/>
    <sheet name="D. Strategic Goals &amp; Objectives" sheetId="5" r:id="rId5"/>
    <sheet name="E. ATB Justification" sheetId="6" r:id="rId6"/>
    <sheet name="F. 2011 Crosswalk" sheetId="7" r:id="rId7"/>
    <sheet name="G. 2012 Crosswalk" sheetId="8" r:id="rId8"/>
    <sheet name="H. Reimbursable Resources" sheetId="9" r:id="rId9"/>
    <sheet name="I. Permanent Positions" sheetId="10" r:id="rId10"/>
    <sheet name="J. Financial Analysis" sheetId="11" r:id="rId11"/>
    <sheet name="K. Summary by Grade" sheetId="12" r:id="rId12"/>
    <sheet name="L. Summary by Object Class_SE" sheetId="13" r:id="rId13"/>
    <sheet name="L. Summary by Object Class_ Con" sheetId="23" r:id="rId14"/>
  </sheets>
  <externalReferences>
    <externalReference r:id="rId15"/>
    <externalReference r:id="rId16"/>
  </externalReferences>
  <definedNames>
    <definedName name="_10POS_BY_CAT" localSheetId="10">'[1]Summ Atty Agt'!#REF!</definedName>
    <definedName name="_11POS_BY_CAT" localSheetId="2">#REF!</definedName>
    <definedName name="_11POS_BY_CAT" localSheetId="13">#REF!</definedName>
    <definedName name="_11POS_BY_CAT">#REF!</definedName>
    <definedName name="_1ATTORNEY_SUPP" localSheetId="2">#REF!</definedName>
    <definedName name="_1ATTORNEY_SUPP" localSheetId="1">#REF!</definedName>
    <definedName name="_2ATTORNEY_SUPP" localSheetId="2">#REF!</definedName>
    <definedName name="_2ATTORNEY_SUPP" localSheetId="13">#REF!</definedName>
    <definedName name="_2ATTORNEY_SUPP">#REF!</definedName>
    <definedName name="_3GA_ROLLUP" localSheetId="2">'B. Summary of Requirements_Cons'!#REF!</definedName>
    <definedName name="_3GA_ROLLUP" localSheetId="1">'B. Summary of Requirements_SE '!#REF!</definedName>
    <definedName name="_4GA_ROLLUP" localSheetId="4">#REF!</definedName>
    <definedName name="_5GA_ROLLUP" localSheetId="8">[2]SumReq!#REF!</definedName>
    <definedName name="_6GA_ROLLUP" localSheetId="10">'[1]Sum of Req'!#REF!</definedName>
    <definedName name="_7GA_ROLLUP" localSheetId="2">#REF!</definedName>
    <definedName name="_7GA_ROLLUP" localSheetId="13">#REF!</definedName>
    <definedName name="_7GA_ROLLUP">#REF!</definedName>
    <definedName name="_8POS_BY_CAT" localSheetId="2">#REF!</definedName>
    <definedName name="_8POS_BY_CAT" localSheetId="1">#REF!</definedName>
    <definedName name="_9POS_BY_CAT" localSheetId="4">#REF!</definedName>
    <definedName name="DL" localSheetId="2">'B. Summary of Requirements_Cons'!$A$3:$U$43</definedName>
    <definedName name="DL" localSheetId="1">'B. Summary of Requirements_SE '!$A$3:$U$65</definedName>
    <definedName name="DL" localSheetId="13">#REF!</definedName>
    <definedName name="DL">#REF!</definedName>
    <definedName name="EXECSUPP" localSheetId="2">'B. Summary of Requirements_Cons'!#REF!</definedName>
    <definedName name="EXECSUPP" localSheetId="1">'B. Summary of Requirements_SE '!#REF!</definedName>
    <definedName name="EXECSUPP" localSheetId="4">#REF!</definedName>
    <definedName name="EXECSUPP" localSheetId="10">'[1]Sum of Req'!#REF!</definedName>
    <definedName name="EXECSUPP" localSheetId="13">#REF!</definedName>
    <definedName name="EXECSUPP">#REF!</definedName>
    <definedName name="FY0711.1" localSheetId="2">#REF!</definedName>
    <definedName name="FY0711.1" localSheetId="13">#REF!</definedName>
    <definedName name="FY0711.1">#REF!</definedName>
    <definedName name="FY0711.5" localSheetId="2">#REF!</definedName>
    <definedName name="FY0711.5" localSheetId="13">#REF!</definedName>
    <definedName name="FY0711.5">#REF!</definedName>
    <definedName name="FY0712.1" localSheetId="2">#REF!</definedName>
    <definedName name="FY0712.1" localSheetId="13">#REF!</definedName>
    <definedName name="FY0712.1">#REF!</definedName>
    <definedName name="FY0721.0" localSheetId="2">#REF!</definedName>
    <definedName name="FY0721.0" localSheetId="13">#REF!</definedName>
    <definedName name="FY0721.0">#REF!</definedName>
    <definedName name="FY0722.0" localSheetId="2">#REF!</definedName>
    <definedName name="FY0722.0" localSheetId="13">#REF!</definedName>
    <definedName name="FY0722.0">#REF!</definedName>
    <definedName name="FY0723.1" localSheetId="2">#REF!</definedName>
    <definedName name="FY0723.1" localSheetId="13">#REF!</definedName>
    <definedName name="FY0723.1">#REF!</definedName>
    <definedName name="FY0723.2" localSheetId="2">#REF!</definedName>
    <definedName name="FY0723.2" localSheetId="13">#REF!</definedName>
    <definedName name="FY0723.2">#REF!</definedName>
    <definedName name="FY0723.3" localSheetId="2">#REF!</definedName>
    <definedName name="FY0723.3" localSheetId="13">#REF!</definedName>
    <definedName name="FY0723.3">#REF!</definedName>
    <definedName name="FY0724.0" localSheetId="2">#REF!</definedName>
    <definedName name="FY0724.0" localSheetId="13">#REF!</definedName>
    <definedName name="FY0724.0">#REF!</definedName>
    <definedName name="FY0725.2" localSheetId="2">#REF!</definedName>
    <definedName name="FY0725.2" localSheetId="13">#REF!</definedName>
    <definedName name="FY0725.2">#REF!</definedName>
    <definedName name="FY0725.3" localSheetId="2">#REF!</definedName>
    <definedName name="FY0725.3" localSheetId="13">#REF!</definedName>
    <definedName name="FY0725.3">#REF!</definedName>
    <definedName name="FY0725.6" localSheetId="2">#REF!</definedName>
    <definedName name="FY0725.6" localSheetId="13">#REF!</definedName>
    <definedName name="FY0725.6">#REF!</definedName>
    <definedName name="FY0726.0" localSheetId="2">#REF!</definedName>
    <definedName name="FY0726.0" localSheetId="13">#REF!</definedName>
    <definedName name="FY0726.0">#REF!</definedName>
    <definedName name="FY0731.0" localSheetId="2">#REF!</definedName>
    <definedName name="FY0731.0" localSheetId="13">#REF!</definedName>
    <definedName name="FY0731.0">#REF!</definedName>
    <definedName name="FY0732.0" localSheetId="2">#REF!</definedName>
    <definedName name="FY0732.0" localSheetId="13">#REF!</definedName>
    <definedName name="FY0732.0">#REF!</definedName>
    <definedName name="FY07Ling" localSheetId="2">#REF!</definedName>
    <definedName name="FY07Ling" localSheetId="13">#REF!</definedName>
    <definedName name="FY07Ling">#REF!</definedName>
    <definedName name="FY07Mult" localSheetId="2">#REF!</definedName>
    <definedName name="FY07Mult" localSheetId="13">#REF!</definedName>
    <definedName name="FY07Mult">#REF!</definedName>
    <definedName name="FY07PEPI" localSheetId="2">#REF!</definedName>
    <definedName name="FY07PEPI" localSheetId="13">#REF!</definedName>
    <definedName name="FY07PEPI">#REF!</definedName>
    <definedName name="FY07Tot" localSheetId="2">#REF!</definedName>
    <definedName name="FY07Tot" localSheetId="13">#REF!</definedName>
    <definedName name="FY07Tot">#REF!</definedName>
    <definedName name="FY07Train" localSheetId="2">#REF!</definedName>
    <definedName name="FY07Train" localSheetId="13">#REF!</definedName>
    <definedName name="FY07Train">#REF!</definedName>
    <definedName name="FY0811.1" localSheetId="2">#REF!</definedName>
    <definedName name="FY0811.1" localSheetId="13">#REF!</definedName>
    <definedName name="FY0811.1">#REF!</definedName>
    <definedName name="FY0811.5" localSheetId="2">#REF!</definedName>
    <definedName name="FY0811.5" localSheetId="13">#REF!</definedName>
    <definedName name="FY0811.5">#REF!</definedName>
    <definedName name="FY0812.1" localSheetId="2">#REF!</definedName>
    <definedName name="FY0812.1" localSheetId="13">#REF!</definedName>
    <definedName name="FY0812.1">#REF!</definedName>
    <definedName name="FY0821.0" localSheetId="2">#REF!</definedName>
    <definedName name="FY0821.0" localSheetId="13">#REF!</definedName>
    <definedName name="FY0821.0">#REF!</definedName>
    <definedName name="FY0822.0" localSheetId="2">#REF!</definedName>
    <definedName name="FY0822.0" localSheetId="13">#REF!</definedName>
    <definedName name="FY0822.0">#REF!</definedName>
    <definedName name="FY0823.1" localSheetId="2">#REF!</definedName>
    <definedName name="FY0823.1" localSheetId="13">#REF!</definedName>
    <definedName name="FY0823.1">#REF!</definedName>
    <definedName name="FY0823.2" localSheetId="2">#REF!</definedName>
    <definedName name="FY0823.2" localSheetId="13">#REF!</definedName>
    <definedName name="FY0823.2">#REF!</definedName>
    <definedName name="FY0823.3" localSheetId="2">#REF!</definedName>
    <definedName name="FY0823.3" localSheetId="13">#REF!</definedName>
    <definedName name="FY0823.3">#REF!</definedName>
    <definedName name="FY0824.0" localSheetId="2">#REF!</definedName>
    <definedName name="FY0824.0" localSheetId="13">#REF!</definedName>
    <definedName name="FY0824.0">#REF!</definedName>
    <definedName name="FY0825.2" localSheetId="2">#REF!</definedName>
    <definedName name="FY0825.2" localSheetId="13">#REF!</definedName>
    <definedName name="FY0825.2">#REF!</definedName>
    <definedName name="FY0825.3" localSheetId="2">#REF!</definedName>
    <definedName name="FY0825.3" localSheetId="13">#REF!</definedName>
    <definedName name="FY0825.3">#REF!</definedName>
    <definedName name="FY0825.6" localSheetId="2">#REF!</definedName>
    <definedName name="FY0825.6" localSheetId="13">#REF!</definedName>
    <definedName name="FY0825.6">#REF!</definedName>
    <definedName name="FY0826.0" localSheetId="2">#REF!</definedName>
    <definedName name="FY0826.0" localSheetId="13">#REF!</definedName>
    <definedName name="FY0826.0">#REF!</definedName>
    <definedName name="FY0831.0" localSheetId="2">#REF!</definedName>
    <definedName name="FY0831.0" localSheetId="13">#REF!</definedName>
    <definedName name="FY0831.0">#REF!</definedName>
    <definedName name="FY0832.0" localSheetId="2">#REF!</definedName>
    <definedName name="FY0832.0" localSheetId="13">#REF!</definedName>
    <definedName name="FY0832.0">#REF!</definedName>
    <definedName name="FY08Ling" localSheetId="2">#REF!</definedName>
    <definedName name="FY08Ling" localSheetId="13">#REF!</definedName>
    <definedName name="FY08Ling">#REF!</definedName>
    <definedName name="FY08Mult" localSheetId="2">#REF!</definedName>
    <definedName name="FY08Mult" localSheetId="13">#REF!</definedName>
    <definedName name="FY08Mult">#REF!</definedName>
    <definedName name="FY08PEPI" localSheetId="2">#REF!</definedName>
    <definedName name="FY08PEPI" localSheetId="13">#REF!</definedName>
    <definedName name="FY08PEPI">#REF!</definedName>
    <definedName name="FY08Tot" localSheetId="2">#REF!</definedName>
    <definedName name="FY08Tot" localSheetId="13">#REF!</definedName>
    <definedName name="FY08Tot">#REF!</definedName>
    <definedName name="FY08Train" localSheetId="2">#REF!</definedName>
    <definedName name="FY08Train" localSheetId="13">#REF!</definedName>
    <definedName name="FY08Train">#REF!</definedName>
    <definedName name="FY0911.1" localSheetId="2">#REF!</definedName>
    <definedName name="FY0911.1" localSheetId="13">#REF!</definedName>
    <definedName name="FY0911.1">#REF!</definedName>
    <definedName name="FY0911.5" localSheetId="2">#REF!</definedName>
    <definedName name="FY0911.5" localSheetId="13">#REF!</definedName>
    <definedName name="FY0911.5">#REF!</definedName>
    <definedName name="FY0912.1" localSheetId="2">#REF!</definedName>
    <definedName name="FY0912.1" localSheetId="13">#REF!</definedName>
    <definedName name="FY0912.1">#REF!</definedName>
    <definedName name="FY0921.0" localSheetId="2">#REF!</definedName>
    <definedName name="FY0921.0" localSheetId="13">#REF!</definedName>
    <definedName name="FY0921.0">#REF!</definedName>
    <definedName name="FY0922.0" localSheetId="2">#REF!</definedName>
    <definedName name="FY0922.0" localSheetId="13">#REF!</definedName>
    <definedName name="FY0922.0">#REF!</definedName>
    <definedName name="FY0923.1" localSheetId="2">#REF!</definedName>
    <definedName name="FY0923.1" localSheetId="13">#REF!</definedName>
    <definedName name="FY0923.1">#REF!</definedName>
    <definedName name="FY0923.2" localSheetId="2">#REF!</definedName>
    <definedName name="FY0923.2" localSheetId="13">#REF!</definedName>
    <definedName name="FY0923.2">#REF!</definedName>
    <definedName name="FY0923.3" localSheetId="2">#REF!</definedName>
    <definedName name="FY0923.3" localSheetId="13">#REF!</definedName>
    <definedName name="FY0923.3">#REF!</definedName>
    <definedName name="FY0924.0" localSheetId="2">#REF!</definedName>
    <definedName name="FY0924.0" localSheetId="13">#REF!</definedName>
    <definedName name="FY0924.0">#REF!</definedName>
    <definedName name="FY0925.2" localSheetId="2">#REF!</definedName>
    <definedName name="FY0925.2" localSheetId="13">#REF!</definedName>
    <definedName name="FY0925.2">#REF!</definedName>
    <definedName name="FY0925.3" localSheetId="2">#REF!</definedName>
    <definedName name="FY0925.3" localSheetId="13">#REF!</definedName>
    <definedName name="FY0925.3">#REF!</definedName>
    <definedName name="FY0925.6" localSheetId="2">#REF!</definedName>
    <definedName name="FY0925.6" localSheetId="13">#REF!</definedName>
    <definedName name="FY0925.6">#REF!</definedName>
    <definedName name="FY0926.0" localSheetId="2">#REF!</definedName>
    <definedName name="FY0926.0" localSheetId="13">#REF!</definedName>
    <definedName name="FY0926.0">#REF!</definedName>
    <definedName name="FY0931.0" localSheetId="2">#REF!</definedName>
    <definedName name="FY0931.0" localSheetId="13">#REF!</definedName>
    <definedName name="FY0931.0">#REF!</definedName>
    <definedName name="FY0932.0" localSheetId="2">#REF!</definedName>
    <definedName name="FY0932.0" localSheetId="13">#REF!</definedName>
    <definedName name="FY0932.0">#REF!</definedName>
    <definedName name="FY09Ling" localSheetId="2">#REF!</definedName>
    <definedName name="FY09Ling" localSheetId="13">#REF!</definedName>
    <definedName name="FY09Ling">#REF!</definedName>
    <definedName name="FY09Mult" localSheetId="2">#REF!</definedName>
    <definedName name="FY09Mult" localSheetId="13">#REF!</definedName>
    <definedName name="FY09Mult">#REF!</definedName>
    <definedName name="FY09PEPI" localSheetId="2">#REF!</definedName>
    <definedName name="FY09PEPI" localSheetId="13">#REF!</definedName>
    <definedName name="FY09PEPI">#REF!</definedName>
    <definedName name="FY09Tot" localSheetId="2">#REF!</definedName>
    <definedName name="FY09Tot" localSheetId="13">#REF!</definedName>
    <definedName name="FY09Tot">#REF!</definedName>
    <definedName name="FY09Train" localSheetId="2">#REF!</definedName>
    <definedName name="FY09Train" localSheetId="13">#REF!</definedName>
    <definedName name="FY09Train">#REF!</definedName>
    <definedName name="hlhl0" localSheetId="5">'E. ATB Justification'!#REF!</definedName>
    <definedName name="INTEL" localSheetId="2">'B. Summary of Requirements_Cons'!#REF!</definedName>
    <definedName name="INTEL" localSheetId="1">'B. Summary of Requirements_SE '!#REF!</definedName>
    <definedName name="INTEL" localSheetId="4">#REF!</definedName>
    <definedName name="INTEL" localSheetId="10">'[1]Sum of Req'!#REF!</definedName>
    <definedName name="INTEL" localSheetId="13">#REF!</definedName>
    <definedName name="INTEL">#REF!</definedName>
    <definedName name="JMD" localSheetId="2">'B. Summary of Requirements_Cons'!#REF!</definedName>
    <definedName name="JMD" localSheetId="1">'B. Summary of Requirements_SE '!#REF!</definedName>
    <definedName name="JMD" localSheetId="4">#REF!</definedName>
    <definedName name="JMD" localSheetId="10">'[1]Sum of Req'!#REF!</definedName>
    <definedName name="JMD" localSheetId="13">#REF!</definedName>
    <definedName name="JMD">#REF!</definedName>
    <definedName name="OLE_LINK7" localSheetId="5">'E. ATB Justification'!#REF!</definedName>
    <definedName name="PART" localSheetId="2">#REF!</definedName>
    <definedName name="PART" localSheetId="13">#REF!</definedName>
    <definedName name="PART">#REF!</definedName>
    <definedName name="_xlnm.Print_Area" localSheetId="0">'A. Organization Chart'!$A$1:$N$44</definedName>
    <definedName name="_xlnm.Print_Area" localSheetId="2">'B. Summary of Requirements_Cons'!$A$1:$U$44</definedName>
    <definedName name="_xlnm.Print_Area" localSheetId="1">'B. Summary of Requirements_SE '!$A$1:$U$81</definedName>
    <definedName name="_xlnm.Print_Area" localSheetId="3">'C. Increases Offsets'!$A$1:$H$30</definedName>
    <definedName name="_xlnm.Print_Area" localSheetId="4">'D. Strategic Goals &amp; Objectives'!$A$1:$N$48</definedName>
    <definedName name="_xlnm.Print_Area" localSheetId="5">'E. ATB Justification'!$A$1:$I$55</definedName>
    <definedName name="_xlnm.Print_Area" localSheetId="6">'F. 2011 Crosswalk'!$A$1:$O$46</definedName>
    <definedName name="_xlnm.Print_Area" localSheetId="7">'G. 2012 Crosswalk'!$A$1:$R$48</definedName>
    <definedName name="_xlnm.Print_Area" localSheetId="8">'H. Reimbursable Resources'!$A$1:$N$29</definedName>
    <definedName name="_xlnm.Print_Area" localSheetId="9">'I. Permanent Positions'!$A$1:$G$40</definedName>
    <definedName name="_xlnm.Print_Area" localSheetId="10">'J. Financial Analysis'!$A$1:$W$34</definedName>
    <definedName name="_xlnm.Print_Area" localSheetId="11">'K. Summary by Grade'!$A$1:$I$30</definedName>
    <definedName name="_xlnm.Print_Area" localSheetId="13">'L. Summary by Object Class_ Con'!$A$1:$K$19</definedName>
    <definedName name="_xlnm.Print_Area" localSheetId="12">'L. Summary by Object Class_SE'!$A$1:$K$52</definedName>
    <definedName name="_xlnm.Print_Area">#REF!</definedName>
    <definedName name="REIMPRO" localSheetId="2">#REF!</definedName>
    <definedName name="REIMPRO" localSheetId="8">'H. Reimbursable Resources'!$A$1:$N$29</definedName>
    <definedName name="REIMPRO" localSheetId="13">#REF!</definedName>
    <definedName name="REIMPRO">#REF!</definedName>
    <definedName name="REIMSOR" localSheetId="2">#REF!</definedName>
    <definedName name="REIMSOR" localSheetId="8">'H. Reimbursable Resources'!#REF!</definedName>
    <definedName name="REIMSOR" localSheetId="13">#REF!</definedName>
    <definedName name="REIMSOR">#REF!</definedName>
    <definedName name="Z_12C66D54_5067_4346_818B_6EAB1C8A9183_.wvu.Cols" localSheetId="7" hidden="1">'G. 2012 Crosswalk'!$H:$J</definedName>
    <definedName name="Z_12C66D54_5067_4346_818B_6EAB1C8A9183_.wvu.Cols" localSheetId="13" hidden="1">'L. Summary by Object Class_ Con'!$J:$L</definedName>
    <definedName name="Z_12C66D54_5067_4346_818B_6EAB1C8A9183_.wvu.Cols" localSheetId="12" hidden="1">'L. Summary by Object Class_SE'!$J:$L</definedName>
    <definedName name="Z_12C66D54_5067_4346_818B_6EAB1C8A9183_.wvu.PrintArea" localSheetId="0" hidden="1">'A. Organization Chart'!$A$1:$N$29</definedName>
    <definedName name="Z_12C66D54_5067_4346_818B_6EAB1C8A9183_.wvu.PrintArea" localSheetId="2" hidden="1">'B. Summary of Requirements_Cons'!$A$1:$U$44</definedName>
    <definedName name="Z_12C66D54_5067_4346_818B_6EAB1C8A9183_.wvu.PrintArea" localSheetId="1" hidden="1">'B. Summary of Requirements_SE '!$A$1:$U$80</definedName>
    <definedName name="Z_12C66D54_5067_4346_818B_6EAB1C8A9183_.wvu.PrintArea" localSheetId="3" hidden="1">'C. Increases Offsets'!$A$1:$H$16</definedName>
    <definedName name="Z_12C66D54_5067_4346_818B_6EAB1C8A9183_.wvu.PrintArea" localSheetId="4" hidden="1">'D. Strategic Goals &amp; Objectives'!$A$1:$N$29</definedName>
    <definedName name="Z_12C66D54_5067_4346_818B_6EAB1C8A9183_.wvu.PrintArea" localSheetId="5" hidden="1">'E. ATB Justification'!$A$1:$I$55</definedName>
    <definedName name="Z_12C66D54_5067_4346_818B_6EAB1C8A9183_.wvu.PrintArea" localSheetId="6" hidden="1">'F. 2011 Crosswalk'!$A$1:$O$30</definedName>
    <definedName name="Z_12C66D54_5067_4346_818B_6EAB1C8A9183_.wvu.PrintArea" localSheetId="7" hidden="1">'G. 2012 Crosswalk'!$A$1:$R$24</definedName>
    <definedName name="Z_12C66D54_5067_4346_818B_6EAB1C8A9183_.wvu.PrintArea" localSheetId="8" hidden="1">'H. Reimbursable Resources'!$A$1:$N$30</definedName>
    <definedName name="Z_12C66D54_5067_4346_818B_6EAB1C8A9183_.wvu.PrintArea" localSheetId="9" hidden="1">'I. Permanent Positions'!$A$1:$G$37</definedName>
    <definedName name="Z_12C66D54_5067_4346_818B_6EAB1C8A9183_.wvu.PrintArea" localSheetId="10" hidden="1">'J. Financial Analysis'!$A$1:$W$20</definedName>
    <definedName name="Z_12C66D54_5067_4346_818B_6EAB1C8A9183_.wvu.PrintArea" localSheetId="11" hidden="1">'K. Summary by Grade'!$A$1:$I$30</definedName>
    <definedName name="Z_12C66D54_5067_4346_818B_6EAB1C8A9183_.wvu.PrintArea" localSheetId="13" hidden="1">'L. Summary by Object Class_ Con'!$A$1:$K$19</definedName>
    <definedName name="Z_12C66D54_5067_4346_818B_6EAB1C8A9183_.wvu.PrintArea" localSheetId="12" hidden="1">'L. Summary by Object Class_SE'!$A$1:$K$52</definedName>
    <definedName name="Z_12C66D54_5067_4346_818B_6EAB1C8A9183_.wvu.Rows" localSheetId="4" hidden="1">'D. Strategic Goals &amp; Objectives'!$10:$10</definedName>
    <definedName name="Z_3118AF25_8423_420A_806A_487665220C68_.wvu.Cols" localSheetId="7" hidden="1">'G. 2012 Crosswalk'!$H:$J</definedName>
    <definedName name="Z_3118AF25_8423_420A_806A_487665220C68_.wvu.Cols" localSheetId="13" hidden="1">'L. Summary by Object Class_ Con'!$J:$L</definedName>
    <definedName name="Z_3118AF25_8423_420A_806A_487665220C68_.wvu.Cols" localSheetId="12" hidden="1">'L. Summary by Object Class_SE'!$J:$L</definedName>
    <definedName name="Z_3118AF25_8423_420A_806A_487665220C68_.wvu.PrintArea" localSheetId="0" hidden="1">'A. Organization Chart'!$A$1:$N$29</definedName>
    <definedName name="Z_3118AF25_8423_420A_806A_487665220C68_.wvu.PrintArea" localSheetId="2" hidden="1">'B. Summary of Requirements_Cons'!$A$1:$U$44</definedName>
    <definedName name="Z_3118AF25_8423_420A_806A_487665220C68_.wvu.PrintArea" localSheetId="1" hidden="1">'B. Summary of Requirements_SE '!$A$1:$U$80</definedName>
    <definedName name="Z_3118AF25_8423_420A_806A_487665220C68_.wvu.PrintArea" localSheetId="3" hidden="1">'C. Increases Offsets'!$A$1:$H$16</definedName>
    <definedName name="Z_3118AF25_8423_420A_806A_487665220C68_.wvu.PrintArea" localSheetId="4" hidden="1">'D. Strategic Goals &amp; Objectives'!$A$1:$N$29</definedName>
    <definedName name="Z_3118AF25_8423_420A_806A_487665220C68_.wvu.PrintArea" localSheetId="5" hidden="1">'E. ATB Justification'!$A$1:$I$55</definedName>
    <definedName name="Z_3118AF25_8423_420A_806A_487665220C68_.wvu.PrintArea" localSheetId="6" hidden="1">'F. 2011 Crosswalk'!$A$1:$O$30</definedName>
    <definedName name="Z_3118AF25_8423_420A_806A_487665220C68_.wvu.PrintArea" localSheetId="7" hidden="1">'G. 2012 Crosswalk'!$A$1:$R$24</definedName>
    <definedName name="Z_3118AF25_8423_420A_806A_487665220C68_.wvu.PrintArea" localSheetId="8" hidden="1">'H. Reimbursable Resources'!$A$1:$N$30</definedName>
    <definedName name="Z_3118AF25_8423_420A_806A_487665220C68_.wvu.PrintArea" localSheetId="9" hidden="1">'I. Permanent Positions'!$A$1:$G$37</definedName>
    <definedName name="Z_3118AF25_8423_420A_806A_487665220C68_.wvu.PrintArea" localSheetId="10" hidden="1">'J. Financial Analysis'!$A$1:$W$20</definedName>
    <definedName name="Z_3118AF25_8423_420A_806A_487665220C68_.wvu.PrintArea" localSheetId="11" hidden="1">'K. Summary by Grade'!$A$1:$I$30</definedName>
    <definedName name="Z_3118AF25_8423_420A_806A_487665220C68_.wvu.PrintArea" localSheetId="13" hidden="1">'L. Summary by Object Class_ Con'!$A$1:$K$19</definedName>
    <definedName name="Z_3118AF25_8423_420A_806A_487665220C68_.wvu.PrintArea" localSheetId="12" hidden="1">'L. Summary by Object Class_SE'!$A$1:$K$52</definedName>
    <definedName name="Z_3118AF25_8423_420A_806A_487665220C68_.wvu.Rows" localSheetId="4" hidden="1">'D. Strategic Goals &amp; Objectives'!$10:$10</definedName>
    <definedName name="Z_4148B88B_8ED7_4FDE_9459_DEB244AD0552_.wvu.Cols" localSheetId="6" hidden="1">'F. 2011 Crosswalk'!#REF!</definedName>
    <definedName name="Z_4148B88B_8ED7_4FDE_9459_DEB244AD0552_.wvu.Cols" localSheetId="7" hidden="1">'G. 2012 Crosswalk'!$H:$J</definedName>
    <definedName name="Z_4148B88B_8ED7_4FDE_9459_DEB244AD0552_.wvu.Cols" localSheetId="13" hidden="1">'L. Summary by Object Class_ Con'!$J:$L</definedName>
    <definedName name="Z_4148B88B_8ED7_4FDE_9459_DEB244AD0552_.wvu.Cols" localSheetId="12" hidden="1">'L. Summary by Object Class_SE'!$J:$L</definedName>
    <definedName name="Z_4148B88B_8ED7_4FDE_9459_DEB244AD0552_.wvu.PrintArea" localSheetId="0" hidden="1">'A. Organization Chart'!$A$1:$N$29</definedName>
    <definedName name="Z_4148B88B_8ED7_4FDE_9459_DEB244AD0552_.wvu.PrintArea" localSheetId="2" hidden="1">'B. Summary of Requirements_Cons'!$A$1:$U$44</definedName>
    <definedName name="Z_4148B88B_8ED7_4FDE_9459_DEB244AD0552_.wvu.PrintArea" localSheetId="1" hidden="1">'B. Summary of Requirements_SE '!$A$1:$U$80</definedName>
    <definedName name="Z_4148B88B_8ED7_4FDE_9459_DEB244AD0552_.wvu.PrintArea" localSheetId="3" hidden="1">'C. Increases Offsets'!$A$1:$H$16</definedName>
    <definedName name="Z_4148B88B_8ED7_4FDE_9459_DEB244AD0552_.wvu.PrintArea" localSheetId="4" hidden="1">'D. Strategic Goals &amp; Objectives'!$A$1:$N$29</definedName>
    <definedName name="Z_4148B88B_8ED7_4FDE_9459_DEB244AD0552_.wvu.PrintArea" localSheetId="5" hidden="1">'E. ATB Justification'!$A$1:$I$55</definedName>
    <definedName name="Z_4148B88B_8ED7_4FDE_9459_DEB244AD0552_.wvu.PrintArea" localSheetId="6" hidden="1">'F. 2011 Crosswalk'!$A$1:$O$30</definedName>
    <definedName name="Z_4148B88B_8ED7_4FDE_9459_DEB244AD0552_.wvu.PrintArea" localSheetId="7" hidden="1">'G. 2012 Crosswalk'!$A$1:$R$24</definedName>
    <definedName name="Z_4148B88B_8ED7_4FDE_9459_DEB244AD0552_.wvu.PrintArea" localSheetId="8" hidden="1">'H. Reimbursable Resources'!$A$1:$N$30</definedName>
    <definedName name="Z_4148B88B_8ED7_4FDE_9459_DEB244AD0552_.wvu.PrintArea" localSheetId="9" hidden="1">'I. Permanent Positions'!$A$1:$G$37</definedName>
    <definedName name="Z_4148B88B_8ED7_4FDE_9459_DEB244AD0552_.wvu.PrintArea" localSheetId="10" hidden="1">'J. Financial Analysis'!$A$1:$W$20</definedName>
    <definedName name="Z_4148B88B_8ED7_4FDE_9459_DEB244AD0552_.wvu.PrintArea" localSheetId="11" hidden="1">'K. Summary by Grade'!$A$1:$I$30</definedName>
    <definedName name="Z_4148B88B_8ED7_4FDE_9459_DEB244AD0552_.wvu.PrintArea" localSheetId="13" hidden="1">'L. Summary by Object Class_ Con'!$A$1:$K$19</definedName>
    <definedName name="Z_4148B88B_8ED7_4FDE_9459_DEB244AD0552_.wvu.PrintArea" localSheetId="12" hidden="1">'L. Summary by Object Class_SE'!$A$1:$K$52</definedName>
    <definedName name="Z_4148B88B_8ED7_4FDE_9459_DEB244AD0552_.wvu.Rows" localSheetId="4" hidden="1">'D. Strategic Goals &amp; Objectives'!$10:$10</definedName>
    <definedName name="Z_56C0A34E_45B4_448B_85E5_70B3A8E63333_.wvu.Cols" localSheetId="13" hidden="1">'L. Summary by Object Class_ Con'!$J:$L</definedName>
    <definedName name="Z_56C0A34E_45B4_448B_85E5_70B3A8E63333_.wvu.Cols" localSheetId="12" hidden="1">'L. Summary by Object Class_SE'!$J:$L</definedName>
    <definedName name="Z_56C0A34E_45B4_448B_85E5_70B3A8E63333_.wvu.PrintArea" localSheetId="0" hidden="1">'A. Organization Chart'!$A$1:$N$29</definedName>
    <definedName name="Z_56C0A34E_45B4_448B_85E5_70B3A8E63333_.wvu.PrintArea" localSheetId="2" hidden="1">'B. Summary of Requirements_Cons'!$A$1:$U$44</definedName>
    <definedName name="Z_56C0A34E_45B4_448B_85E5_70B3A8E63333_.wvu.PrintArea" localSheetId="1" hidden="1">'B. Summary of Requirements_SE '!$A$1:$U$80</definedName>
    <definedName name="Z_56C0A34E_45B4_448B_85E5_70B3A8E63333_.wvu.PrintArea" localSheetId="3" hidden="1">'C. Increases Offsets'!$A$1:$H$16</definedName>
    <definedName name="Z_56C0A34E_45B4_448B_85E5_70B3A8E63333_.wvu.PrintArea" localSheetId="4" hidden="1">'D. Strategic Goals &amp; Objectives'!$A$1:$N$29</definedName>
    <definedName name="Z_56C0A34E_45B4_448B_85E5_70B3A8E63333_.wvu.PrintArea" localSheetId="5" hidden="1">'E. ATB Justification'!$A$1:$I$55</definedName>
    <definedName name="Z_56C0A34E_45B4_448B_85E5_70B3A8E63333_.wvu.PrintArea" localSheetId="6" hidden="1">'F. 2011 Crosswalk'!$A$1:$O$30</definedName>
    <definedName name="Z_56C0A34E_45B4_448B_85E5_70B3A8E63333_.wvu.PrintArea" localSheetId="7" hidden="1">'G. 2012 Crosswalk'!$A$1:$R$24</definedName>
    <definedName name="Z_56C0A34E_45B4_448B_85E5_70B3A8E63333_.wvu.PrintArea" localSheetId="8" hidden="1">'H. Reimbursable Resources'!$A$1:$N$30</definedName>
    <definedName name="Z_56C0A34E_45B4_448B_85E5_70B3A8E63333_.wvu.PrintArea" localSheetId="9" hidden="1">'I. Permanent Positions'!$A$1:$G$37</definedName>
    <definedName name="Z_56C0A34E_45B4_448B_85E5_70B3A8E63333_.wvu.PrintArea" localSheetId="10" hidden="1">'J. Financial Analysis'!$A$1:$W$20</definedName>
    <definedName name="Z_56C0A34E_45B4_448B_85E5_70B3A8E63333_.wvu.PrintArea" localSheetId="11" hidden="1">'K. Summary by Grade'!$A$1:$I$30</definedName>
    <definedName name="Z_56C0A34E_45B4_448B_85E5_70B3A8E63333_.wvu.PrintArea" localSheetId="13" hidden="1">'L. Summary by Object Class_ Con'!$A$1:$K$19</definedName>
    <definedName name="Z_56C0A34E_45B4_448B_85E5_70B3A8E63333_.wvu.PrintArea" localSheetId="12" hidden="1">'L. Summary by Object Class_SE'!$A$1:$K$52</definedName>
    <definedName name="Z_56C0A34E_45B4_448B_85E5_70B3A8E63333_.wvu.Rows" localSheetId="4" hidden="1">'D. Strategic Goals &amp; Objectives'!$10:$10</definedName>
  </definedNames>
  <calcPr calcId="145621"/>
  <customWorkbookViews>
    <customWorkbookView name="mschneck - Personal View" guid="{3118AF25-8423-420A-806A-487665220C68}" mergeInterval="0" personalView="1" maximized="1" xWindow="1" yWindow="1" windowWidth="1680" windowHeight="797" tabRatio="889" activeSheetId="14" showComments="commIndAndComment"/>
    <customWorkbookView name="debjones - Personal View" guid="{56C0A34E-45B4-448B-85E5-70B3A8E63333}" mergeInterval="0" personalView="1" maximized="1" xWindow="1" yWindow="1" windowWidth="1680" windowHeight="820" tabRatio="889" activeSheetId="3" showComments="commIndAndComment"/>
    <customWorkbookView name="matsatt - Personal View" guid="{4148B88B-8ED7-4FDE-9459-DEB244AD0552}" mergeInterval="0" personalView="1" maximized="1" xWindow="1" yWindow="1" windowWidth="1246" windowHeight="743" tabRatio="889" activeSheetId="3"/>
    <customWorkbookView name="mcupertino - Personal View" guid="{12C66D54-5067-4346-818B-6EAB1C8A9183}" mergeInterval="0" personalView="1" maximized="1" xWindow="1" yWindow="1" windowWidth="1280" windowHeight="833" tabRatio="889" activeSheetId="6"/>
  </customWorkbookViews>
</workbook>
</file>

<file path=xl/calcChain.xml><?xml version="1.0" encoding="utf-8"?>
<calcChain xmlns="http://schemas.openxmlformats.org/spreadsheetml/2006/main">
  <c r="E35" i="10"/>
  <c r="G50" i="13" l="1"/>
  <c r="E16" i="9"/>
  <c r="K16" l="1"/>
  <c r="H16"/>
  <c r="O71" i="3" l="1"/>
  <c r="U71"/>
  <c r="D33" i="10" l="1"/>
  <c r="F33"/>
  <c r="C33"/>
  <c r="B33"/>
  <c r="N30" i="5" l="1"/>
  <c r="D30"/>
  <c r="N45"/>
  <c r="M45"/>
  <c r="M26"/>
  <c r="L26"/>
  <c r="N26" s="1"/>
  <c r="I24"/>
  <c r="M24" s="1"/>
  <c r="G24"/>
  <c r="F24"/>
  <c r="D24"/>
  <c r="C24"/>
  <c r="K21"/>
  <c r="J20"/>
  <c r="I20"/>
  <c r="M20" s="1"/>
  <c r="F20"/>
  <c r="C20"/>
  <c r="M19"/>
  <c r="J19"/>
  <c r="L19" s="1"/>
  <c r="N19" s="1"/>
  <c r="M18"/>
  <c r="G18"/>
  <c r="G21" s="1"/>
  <c r="F18"/>
  <c r="D18"/>
  <c r="D21" s="1"/>
  <c r="C18"/>
  <c r="K15"/>
  <c r="K25" s="1"/>
  <c r="K27" s="1"/>
  <c r="K29" s="1"/>
  <c r="K31" s="1"/>
  <c r="I14"/>
  <c r="I15" s="1"/>
  <c r="G14"/>
  <c r="F14"/>
  <c r="F15" s="1"/>
  <c r="D14"/>
  <c r="D15" s="1"/>
  <c r="C14"/>
  <c r="C15" s="1"/>
  <c r="C21" l="1"/>
  <c r="J14"/>
  <c r="J15" s="1"/>
  <c r="M14"/>
  <c r="M15" s="1"/>
  <c r="M21"/>
  <c r="I21"/>
  <c r="F21"/>
  <c r="F25" s="1"/>
  <c r="F27" s="1"/>
  <c r="F29" s="1"/>
  <c r="F31" s="1"/>
  <c r="C25"/>
  <c r="C27" s="1"/>
  <c r="C29" s="1"/>
  <c r="C31" s="1"/>
  <c r="I25"/>
  <c r="J18"/>
  <c r="G15"/>
  <c r="G25" s="1"/>
  <c r="D25"/>
  <c r="D27" s="1"/>
  <c r="D29" s="1"/>
  <c r="D31" s="1"/>
  <c r="L20"/>
  <c r="N20" s="1"/>
  <c r="J24"/>
  <c r="L14" l="1"/>
  <c r="L15" s="1"/>
  <c r="L24"/>
  <c r="G27"/>
  <c r="G29" s="1"/>
  <c r="G31" s="1"/>
  <c r="M25"/>
  <c r="M27" s="1"/>
  <c r="M29" s="1"/>
  <c r="M31" s="1"/>
  <c r="I27"/>
  <c r="I29" s="1"/>
  <c r="I31" s="1"/>
  <c r="J21"/>
  <c r="J25" s="1"/>
  <c r="L18"/>
  <c r="L21" s="1"/>
  <c r="L25" l="1"/>
  <c r="N14"/>
  <c r="N15" s="1"/>
  <c r="N25"/>
  <c r="J27"/>
  <c r="J29" s="1"/>
  <c r="J31" s="1"/>
  <c r="N18"/>
  <c r="N21" s="1"/>
  <c r="L27"/>
  <c r="L29" s="1"/>
  <c r="L31" s="1"/>
  <c r="N24"/>
  <c r="N27" l="1"/>
  <c r="N29" s="1"/>
  <c r="N31" s="1"/>
  <c r="B10" i="13" l="1"/>
  <c r="T19" i="22"/>
  <c r="U19"/>
  <c r="S19"/>
  <c r="T27" i="3" l="1"/>
  <c r="U27"/>
  <c r="S27"/>
  <c r="I23" i="9" l="1"/>
  <c r="K23"/>
  <c r="J23"/>
  <c r="G33" i="10"/>
  <c r="E23" i="13" l="1"/>
  <c r="E42" l="1"/>
  <c r="O12" i="8"/>
  <c r="G34" i="10" l="1"/>
  <c r="G35"/>
  <c r="E29"/>
  <c r="E33" s="1"/>
  <c r="N46" i="5" l="1"/>
  <c r="N48" s="1"/>
  <c r="M46"/>
  <c r="M48" s="1"/>
  <c r="L46"/>
  <c r="L48" s="1"/>
  <c r="K46"/>
  <c r="K48" s="1"/>
  <c r="J46"/>
  <c r="J48" s="1"/>
  <c r="I46"/>
  <c r="I48" s="1"/>
  <c r="G46"/>
  <c r="G48" s="1"/>
  <c r="F46"/>
  <c r="F48" s="1"/>
  <c r="D46"/>
  <c r="D48" s="1"/>
  <c r="C46"/>
  <c r="C48" s="1"/>
  <c r="E17" i="8" l="1"/>
  <c r="F17"/>
  <c r="F19"/>
  <c r="F23" s="1"/>
  <c r="E43"/>
  <c r="F43"/>
  <c r="I48" i="6" l="1"/>
  <c r="I52"/>
  <c r="H52"/>
  <c r="G52"/>
  <c r="I22" l="1"/>
  <c r="I55" s="1"/>
  <c r="H22"/>
  <c r="G22"/>
  <c r="E26" i="9" l="1"/>
  <c r="E17"/>
  <c r="E15"/>
  <c r="E14"/>
  <c r="G41" i="13" l="1"/>
  <c r="G42" s="1"/>
  <c r="E33" i="11" l="1"/>
  <c r="D33"/>
  <c r="E32"/>
  <c r="D32"/>
  <c r="A25"/>
  <c r="A24"/>
  <c r="C34"/>
  <c r="B34"/>
  <c r="W12"/>
  <c r="V12"/>
  <c r="W19"/>
  <c r="V19"/>
  <c r="W18"/>
  <c r="V18"/>
  <c r="W17"/>
  <c r="V17"/>
  <c r="W16"/>
  <c r="V16"/>
  <c r="W15"/>
  <c r="V15"/>
  <c r="W14"/>
  <c r="V14"/>
  <c r="W13"/>
  <c r="V13"/>
  <c r="P20"/>
  <c r="O20"/>
  <c r="D34" l="1"/>
  <c r="E34"/>
  <c r="N20"/>
  <c r="Q20"/>
  <c r="A35" i="8" l="1"/>
  <c r="A34"/>
  <c r="O43"/>
  <c r="N43"/>
  <c r="M43"/>
  <c r="L43"/>
  <c r="K43"/>
  <c r="J43"/>
  <c r="I43"/>
  <c r="H43"/>
  <c r="G43"/>
  <c r="D43"/>
  <c r="C43"/>
  <c r="B43"/>
  <c r="R42"/>
  <c r="R43" s="1"/>
  <c r="Q42"/>
  <c r="Q43" s="1"/>
  <c r="P42"/>
  <c r="P43" s="1"/>
  <c r="K40" i="7"/>
  <c r="D28" i="4" l="1"/>
  <c r="D30" s="1"/>
  <c r="L11" i="23"/>
  <c r="I11"/>
  <c r="I13"/>
  <c r="L13"/>
  <c r="L12"/>
  <c r="I12"/>
  <c r="C12"/>
  <c r="A5"/>
  <c r="G16"/>
  <c r="E16"/>
  <c r="L14"/>
  <c r="I14"/>
  <c r="L10"/>
  <c r="I10"/>
  <c r="K15"/>
  <c r="J15"/>
  <c r="G15"/>
  <c r="A4"/>
  <c r="E50" i="13"/>
  <c r="G36"/>
  <c r="G24"/>
  <c r="G23"/>
  <c r="E41"/>
  <c r="L41" s="1"/>
  <c r="C28"/>
  <c r="E36"/>
  <c r="E24"/>
  <c r="C39"/>
  <c r="C36"/>
  <c r="C45"/>
  <c r="C44"/>
  <c r="I31"/>
  <c r="L31"/>
  <c r="I30"/>
  <c r="I28"/>
  <c r="L30"/>
  <c r="F10"/>
  <c r="G12"/>
  <c r="G17" s="1"/>
  <c r="F12"/>
  <c r="E12"/>
  <c r="E17" s="1"/>
  <c r="D12"/>
  <c r="C12"/>
  <c r="C17" s="1"/>
  <c r="B12"/>
  <c r="D10"/>
  <c r="I14"/>
  <c r="H14"/>
  <c r="A33" i="7"/>
  <c r="L41"/>
  <c r="K41"/>
  <c r="J41"/>
  <c r="I41"/>
  <c r="H41"/>
  <c r="G41"/>
  <c r="F41"/>
  <c r="E41"/>
  <c r="D41"/>
  <c r="C41"/>
  <c r="B41"/>
  <c r="N40"/>
  <c r="N41" s="1"/>
  <c r="M40"/>
  <c r="M41" s="1"/>
  <c r="O40"/>
  <c r="O41" s="1"/>
  <c r="A6" i="4"/>
  <c r="C30"/>
  <c r="U22" i="22"/>
  <c r="T22"/>
  <c r="S22"/>
  <c r="D17" i="13" l="1"/>
  <c r="G17" i="23"/>
  <c r="L17" s="1"/>
  <c r="G19"/>
  <c r="L42" i="13"/>
  <c r="C15" i="23"/>
  <c r="C19" s="1"/>
  <c r="L16"/>
  <c r="E15"/>
  <c r="I15"/>
  <c r="L28" i="13"/>
  <c r="L32"/>
  <c r="L29"/>
  <c r="L33"/>
  <c r="F17"/>
  <c r="I33"/>
  <c r="I32"/>
  <c r="B17"/>
  <c r="I29"/>
  <c r="E19" i="23" l="1"/>
  <c r="L15"/>
  <c r="A33" i="22" l="1"/>
  <c r="R44"/>
  <c r="Q44"/>
  <c r="P44"/>
  <c r="L44"/>
  <c r="K44"/>
  <c r="J44"/>
  <c r="I44"/>
  <c r="H44"/>
  <c r="G44"/>
  <c r="F44"/>
  <c r="E44"/>
  <c r="D44"/>
  <c r="O43"/>
  <c r="U43" s="1"/>
  <c r="U44" s="1"/>
  <c r="N43"/>
  <c r="T43" s="1"/>
  <c r="T44" s="1"/>
  <c r="M43"/>
  <c r="S43" s="1"/>
  <c r="S44" s="1"/>
  <c r="A32"/>
  <c r="A20" i="4" l="1"/>
  <c r="A36" i="5"/>
  <c r="A21" i="4"/>
  <c r="A37" i="5"/>
  <c r="M44" i="22"/>
  <c r="S23"/>
  <c r="S24" s="1"/>
  <c r="N44"/>
  <c r="U23"/>
  <c r="U24" s="1"/>
  <c r="T23"/>
  <c r="T24" s="1"/>
  <c r="O44"/>
  <c r="E51" i="13" l="1"/>
  <c r="G51" s="1"/>
  <c r="C51"/>
  <c r="C50"/>
  <c r="G27" i="12"/>
  <c r="G26"/>
  <c r="D25"/>
  <c r="H14"/>
  <c r="H13"/>
  <c r="R14" i="8"/>
  <c r="Q14"/>
  <c r="P14"/>
  <c r="N26" i="9" l="1"/>
  <c r="M26"/>
  <c r="L26"/>
  <c r="N25"/>
  <c r="M25"/>
  <c r="L25"/>
  <c r="N24"/>
  <c r="M24"/>
  <c r="L24"/>
  <c r="N23"/>
  <c r="M23"/>
  <c r="L23"/>
  <c r="N22"/>
  <c r="M22"/>
  <c r="L22"/>
  <c r="N21"/>
  <c r="M21"/>
  <c r="L21"/>
  <c r="N20"/>
  <c r="M20"/>
  <c r="L20"/>
  <c r="N19"/>
  <c r="M19"/>
  <c r="L19"/>
  <c r="N18"/>
  <c r="M18"/>
  <c r="L18"/>
  <c r="M17"/>
  <c r="L17"/>
  <c r="K17"/>
  <c r="H17"/>
  <c r="M16"/>
  <c r="L16"/>
  <c r="M15"/>
  <c r="L15"/>
  <c r="K15"/>
  <c r="H15"/>
  <c r="M14"/>
  <c r="L14"/>
  <c r="K14"/>
  <c r="H14"/>
  <c r="N13"/>
  <c r="M13"/>
  <c r="L13"/>
  <c r="N12"/>
  <c r="M12"/>
  <c r="L12"/>
  <c r="N11"/>
  <c r="M11"/>
  <c r="L11"/>
  <c r="N10"/>
  <c r="M10"/>
  <c r="L10"/>
  <c r="N17" l="1"/>
  <c r="N14"/>
  <c r="N15"/>
  <c r="N16"/>
  <c r="N22" i="7"/>
  <c r="N21"/>
  <c r="N18"/>
  <c r="L17"/>
  <c r="I17"/>
  <c r="I19" s="1"/>
  <c r="I23" s="1"/>
  <c r="H17"/>
  <c r="G17"/>
  <c r="F17"/>
  <c r="F19" s="1"/>
  <c r="F23" s="1"/>
  <c r="E17"/>
  <c r="D17"/>
  <c r="C17"/>
  <c r="C19" s="1"/>
  <c r="C23" s="1"/>
  <c r="B17"/>
  <c r="N16"/>
  <c r="M16"/>
  <c r="K16"/>
  <c r="J16"/>
  <c r="O15"/>
  <c r="N15"/>
  <c r="M15"/>
  <c r="O14"/>
  <c r="N14"/>
  <c r="M14"/>
  <c r="N13"/>
  <c r="M13"/>
  <c r="K13"/>
  <c r="N12"/>
  <c r="M12"/>
  <c r="K12"/>
  <c r="O12" s="1"/>
  <c r="H14" i="4"/>
  <c r="H13"/>
  <c r="E16"/>
  <c r="U41" i="3"/>
  <c r="U42" s="1"/>
  <c r="T41"/>
  <c r="T42" s="1"/>
  <c r="S41"/>
  <c r="S42" s="1"/>
  <c r="U40"/>
  <c r="U33"/>
  <c r="T33"/>
  <c r="S33"/>
  <c r="U17"/>
  <c r="T17"/>
  <c r="S17"/>
  <c r="N79"/>
  <c r="T79" s="1"/>
  <c r="N78"/>
  <c r="T78" s="1"/>
  <c r="N74"/>
  <c r="T74" s="1"/>
  <c r="O69"/>
  <c r="U69" s="1"/>
  <c r="N69"/>
  <c r="T69" s="1"/>
  <c r="M69"/>
  <c r="S69" s="1"/>
  <c r="O68"/>
  <c r="U68" s="1"/>
  <c r="N68"/>
  <c r="T68" s="1"/>
  <c r="M68"/>
  <c r="S68" s="1"/>
  <c r="O67"/>
  <c r="U67" s="1"/>
  <c r="N67"/>
  <c r="T67" s="1"/>
  <c r="M67"/>
  <c r="S67" s="1"/>
  <c r="O66"/>
  <c r="U66" s="1"/>
  <c r="N66"/>
  <c r="T66" s="1"/>
  <c r="M66"/>
  <c r="S66" s="1"/>
  <c r="O65"/>
  <c r="U65" s="1"/>
  <c r="N65"/>
  <c r="T65" s="1"/>
  <c r="M65"/>
  <c r="S65" s="1"/>
  <c r="U34" l="1"/>
  <c r="U35" s="1"/>
  <c r="U36" s="1"/>
  <c r="U43" s="1"/>
  <c r="S34"/>
  <c r="S35" s="1"/>
  <c r="S36" s="1"/>
  <c r="S43" s="1"/>
  <c r="T34"/>
  <c r="T35" s="1"/>
  <c r="T36" s="1"/>
  <c r="T43" s="1"/>
  <c r="N17" i="7"/>
  <c r="N19" s="1"/>
  <c r="N23" s="1"/>
  <c r="K17"/>
  <c r="M17"/>
  <c r="O16"/>
  <c r="J17"/>
  <c r="O13"/>
  <c r="T45" i="3" l="1"/>
  <c r="T46"/>
  <c r="S45"/>
  <c r="S46"/>
  <c r="U45"/>
  <c r="U46"/>
  <c r="O17" i="7"/>
  <c r="R12" i="8"/>
  <c r="R16"/>
  <c r="R15"/>
  <c r="R13"/>
  <c r="I39" i="13"/>
  <c r="I38"/>
  <c r="I37"/>
  <c r="I36"/>
  <c r="I34"/>
  <c r="I27"/>
  <c r="I26"/>
  <c r="I25"/>
  <c r="I35"/>
  <c r="I24"/>
  <c r="I23"/>
  <c r="I22"/>
  <c r="I21"/>
  <c r="I20"/>
  <c r="I19"/>
  <c r="H16"/>
  <c r="H15"/>
  <c r="H13"/>
  <c r="H10"/>
  <c r="H11"/>
  <c r="I16"/>
  <c r="I15"/>
  <c r="I13"/>
  <c r="I11"/>
  <c r="I10"/>
  <c r="H15" i="12"/>
  <c r="H16"/>
  <c r="H17"/>
  <c r="H18"/>
  <c r="H19"/>
  <c r="H20"/>
  <c r="H21"/>
  <c r="H22"/>
  <c r="H23"/>
  <c r="H24"/>
  <c r="H12"/>
  <c r="H25" l="1"/>
  <c r="N28" i="9"/>
  <c r="L28"/>
  <c r="Q22" i="8"/>
  <c r="Q21"/>
  <c r="Q18"/>
  <c r="Q16"/>
  <c r="Q15"/>
  <c r="Q13"/>
  <c r="Q12"/>
  <c r="P16"/>
  <c r="P15"/>
  <c r="P13"/>
  <c r="P12"/>
  <c r="O17"/>
  <c r="N17"/>
  <c r="A54" i="3"/>
  <c r="Q17" i="8" l="1"/>
  <c r="E40" i="13"/>
  <c r="C40"/>
  <c r="C46" s="1"/>
  <c r="M17" i="8"/>
  <c r="L17"/>
  <c r="L19" s="1"/>
  <c r="L23" s="1"/>
  <c r="K17"/>
  <c r="J17"/>
  <c r="I17"/>
  <c r="I19" s="1"/>
  <c r="I23" s="1"/>
  <c r="H17"/>
  <c r="G17"/>
  <c r="D17"/>
  <c r="C17"/>
  <c r="C19" s="1"/>
  <c r="C23" s="1"/>
  <c r="B17"/>
  <c r="R17"/>
  <c r="A5"/>
  <c r="A4"/>
  <c r="A4" i="5"/>
  <c r="D70" i="3"/>
  <c r="D72" s="1"/>
  <c r="E70"/>
  <c r="F70"/>
  <c r="F72" s="1"/>
  <c r="G70"/>
  <c r="G72" s="1"/>
  <c r="H70"/>
  <c r="I70"/>
  <c r="I72" s="1"/>
  <c r="J70"/>
  <c r="J72" s="1"/>
  <c r="K70"/>
  <c r="L70"/>
  <c r="L72" s="1"/>
  <c r="M70"/>
  <c r="M72" s="1"/>
  <c r="N70"/>
  <c r="O70"/>
  <c r="O72" s="1"/>
  <c r="P70"/>
  <c r="P72" s="1"/>
  <c r="Q70"/>
  <c r="R70"/>
  <c r="R72" s="1"/>
  <c r="H48" i="6"/>
  <c r="H55" s="1"/>
  <c r="G48"/>
  <c r="G55" s="1"/>
  <c r="J28" i="9"/>
  <c r="D28"/>
  <c r="G28"/>
  <c r="G16" i="4"/>
  <c r="L34" i="13"/>
  <c r="L23"/>
  <c r="C20" i="11"/>
  <c r="B20"/>
  <c r="R20"/>
  <c r="F25" i="12"/>
  <c r="C16" i="4"/>
  <c r="B25" i="12"/>
  <c r="D20" i="11"/>
  <c r="H20"/>
  <c r="I20"/>
  <c r="L20"/>
  <c r="B37" i="10"/>
  <c r="H28" i="9"/>
  <c r="C28"/>
  <c r="A5" i="13"/>
  <c r="A4"/>
  <c r="D37" i="10"/>
  <c r="F16" i="4"/>
  <c r="D16"/>
  <c r="A6" i="12"/>
  <c r="A5"/>
  <c r="A5" i="11"/>
  <c r="A4"/>
  <c r="A6" i="10"/>
  <c r="A5"/>
  <c r="A4" i="6"/>
  <c r="A5" i="9"/>
  <c r="A4"/>
  <c r="A5" i="7"/>
  <c r="A4"/>
  <c r="A5" i="4"/>
  <c r="J17" i="13"/>
  <c r="K17"/>
  <c r="K19"/>
  <c r="L19"/>
  <c r="L20"/>
  <c r="L21"/>
  <c r="J22"/>
  <c r="L22"/>
  <c r="L24"/>
  <c r="L35"/>
  <c r="L25"/>
  <c r="L26"/>
  <c r="L27"/>
  <c r="L36"/>
  <c r="L37"/>
  <c r="L38"/>
  <c r="L39"/>
  <c r="C37" i="10"/>
  <c r="E37"/>
  <c r="E28" i="9"/>
  <c r="F28"/>
  <c r="I28"/>
  <c r="K28"/>
  <c r="M28"/>
  <c r="H75" i="3" l="1"/>
  <c r="H80" s="1"/>
  <c r="H72"/>
  <c r="N75"/>
  <c r="N80" s="1"/>
  <c r="N72"/>
  <c r="K75"/>
  <c r="K80" s="1"/>
  <c r="K72"/>
  <c r="Q75"/>
  <c r="Q80" s="1"/>
  <c r="Q72"/>
  <c r="E75"/>
  <c r="E80" s="1"/>
  <c r="E72"/>
  <c r="H16" i="4"/>
  <c r="G37" i="10"/>
  <c r="H12" i="13"/>
  <c r="H17" s="1"/>
  <c r="I12"/>
  <c r="I17" s="1"/>
  <c r="I40" s="1"/>
  <c r="K40"/>
  <c r="G40"/>
  <c r="G46" s="1"/>
  <c r="J40"/>
  <c r="G20" i="11"/>
  <c r="F37" i="10"/>
  <c r="T70" i="3"/>
  <c r="S70"/>
  <c r="S72" s="1"/>
  <c r="U70"/>
  <c r="U72" s="1"/>
  <c r="P17" i="8"/>
  <c r="Q19"/>
  <c r="Q23" s="1"/>
  <c r="E46" i="13"/>
  <c r="F20" i="11"/>
  <c r="T20"/>
  <c r="U20"/>
  <c r="M20"/>
  <c r="E20"/>
  <c r="S20"/>
  <c r="K20"/>
  <c r="T75" i="3" l="1"/>
  <c r="T80" s="1"/>
  <c r="T72"/>
  <c r="V20" i="11"/>
  <c r="L17" i="13"/>
  <c r="L40"/>
  <c r="W20" i="11"/>
  <c r="J20"/>
</calcChain>
</file>

<file path=xl/sharedStrings.xml><?xml version="1.0" encoding="utf-8"?>
<sst xmlns="http://schemas.openxmlformats.org/spreadsheetml/2006/main" count="1279" uniqueCount="307">
  <si>
    <t>end of line</t>
  </si>
  <si>
    <t xml:space="preserve">          Total DIRECT requirements</t>
  </si>
  <si>
    <t>23.1  GSA rent (Reimbursable)</t>
  </si>
  <si>
    <t>25.3 DHS Security (Reimbursable)</t>
  </si>
  <si>
    <t>Financial Analysis of Program Changes</t>
  </si>
  <si>
    <t>Total FTE &amp; personnel compensation</t>
  </si>
  <si>
    <t>Program Offsets</t>
  </si>
  <si>
    <t>Adjustments to Base</t>
  </si>
  <si>
    <t>Domestic Rent and Facilities</t>
  </si>
  <si>
    <t>11.1  Direct FTE &amp; personnel compensation</t>
  </si>
  <si>
    <t xml:space="preserve">       Total </t>
  </si>
  <si>
    <t>Average SES Salary</t>
  </si>
  <si>
    <t>Perm. Pos.</t>
  </si>
  <si>
    <t>Location of Description by Decision Unit</t>
  </si>
  <si>
    <t>Reprogrammings / Transfers</t>
  </si>
  <si>
    <t>end of sheet</t>
  </si>
  <si>
    <t>Total Authorized</t>
  </si>
  <si>
    <t>Total Reimbursable</t>
  </si>
  <si>
    <t xml:space="preserve">   J: Financial Analysis of Program Changes</t>
  </si>
  <si>
    <t>I: Detail of Permanent Positions by Category</t>
  </si>
  <si>
    <r>
      <t>International Cooperative Administrative Support Services (ICASS)</t>
    </r>
    <r>
      <rPr>
        <sz val="9"/>
        <color indexed="8"/>
        <rFont val="Times New Roman"/>
        <family val="1"/>
      </rPr>
      <t>.  Under the ICASS, an annual charge is made by the Department of State for administrative support based on the overseas staff of each federal agency.  This request is based on the projected FY 2011 bill for post invoices and other ICASS costs.</t>
    </r>
  </si>
  <si>
    <t>Transfers:</t>
  </si>
  <si>
    <t>Total Adjustments to Base and Technical Adjustments</t>
  </si>
  <si>
    <t xml:space="preserve">Total Adjustments to Base </t>
  </si>
  <si>
    <t>Increase/Decrease</t>
  </si>
  <si>
    <t>Decision Unit</t>
  </si>
  <si>
    <t xml:space="preserve">     Total</t>
  </si>
  <si>
    <t>atb</t>
  </si>
  <si>
    <t>enhance</t>
  </si>
  <si>
    <t>FTE</t>
  </si>
  <si>
    <t>Total</t>
  </si>
  <si>
    <t>Detail of Permanent Positions by Category</t>
  </si>
  <si>
    <t>Category</t>
  </si>
  <si>
    <t>Transfers</t>
  </si>
  <si>
    <t>Grades and Salary Ranges</t>
  </si>
  <si>
    <t>LEAP</t>
  </si>
  <si>
    <t>11.5  Total, Other personnel compensation</t>
  </si>
  <si>
    <t xml:space="preserve">     Other Compensation</t>
  </si>
  <si>
    <t xml:space="preserve">     Overtime</t>
  </si>
  <si>
    <t>11.8  Special personal services payments</t>
  </si>
  <si>
    <t>12.0  Personnel benefits</t>
  </si>
  <si>
    <t>21.0  Travel and transportation of persons</t>
  </si>
  <si>
    <t>22.0  Transportation of things</t>
  </si>
  <si>
    <t>23.3  Comm., util., &amp; other misc. charges</t>
  </si>
  <si>
    <t>24.0  Printing and reproduction</t>
  </si>
  <si>
    <t>25.1  Advisory and assistance services</t>
  </si>
  <si>
    <t>26.0  Supplies and materials</t>
  </si>
  <si>
    <t>31.0  Equipment</t>
  </si>
  <si>
    <t xml:space="preserve">          Total obligations</t>
  </si>
  <si>
    <t>Unobligated balance, start of year</t>
  </si>
  <si>
    <t>Unobligated balance, end of year</t>
  </si>
  <si>
    <t>Recoveries of prior year obligations</t>
  </si>
  <si>
    <t>11.3  Other than full-time permanent</t>
  </si>
  <si>
    <t>Transportation of things</t>
  </si>
  <si>
    <t>Printing</t>
  </si>
  <si>
    <t>Equipment</t>
  </si>
  <si>
    <t>Travel and transportation of persons</t>
  </si>
  <si>
    <t>Communication, rents, and utilities</t>
  </si>
  <si>
    <t>Other services</t>
  </si>
  <si>
    <t>Supplies and materials</t>
  </si>
  <si>
    <t>Average GS Salary</t>
  </si>
  <si>
    <t>Average GS Grade</t>
  </si>
  <si>
    <t>Object Classes</t>
  </si>
  <si>
    <t>Other Object Classes:</t>
  </si>
  <si>
    <t>Summary of Reimbursable Resources</t>
  </si>
  <si>
    <t>Summary of Requirements by Object Class</t>
  </si>
  <si>
    <t>Overtime</t>
  </si>
  <si>
    <t>Technical Adjustments</t>
  </si>
  <si>
    <t>Program Changes</t>
  </si>
  <si>
    <t>Total Program Changes</t>
  </si>
  <si>
    <t>Information &amp; Arts (1000-1099)</t>
  </si>
  <si>
    <t>Business &amp; Industry (1100-1199)</t>
  </si>
  <si>
    <t>Supply Services (2000-2099)</t>
  </si>
  <si>
    <t>GS-4, $30,456 - 39,590</t>
  </si>
  <si>
    <t>GS-7, $42,209 - 54,875</t>
  </si>
  <si>
    <t>GS-8, $46,745 - 60,765</t>
  </si>
  <si>
    <t>GS-9, $51,630 - 67,114</t>
  </si>
  <si>
    <t>GS-10, $56,857 - 73,917</t>
  </si>
  <si>
    <t>GS-11, $62,467 - 81,204</t>
  </si>
  <si>
    <t>GS-12, $74,872 - 97,333</t>
  </si>
  <si>
    <t>GS-13, $89,033 - 115,742</t>
  </si>
  <si>
    <t>GS-14, $105,211 - 136,771</t>
  </si>
  <si>
    <t>GS-15, $123,758 - 155,500</t>
  </si>
  <si>
    <t>SES, $119,554 - 179,700</t>
  </si>
  <si>
    <t>2012 template</t>
  </si>
  <si>
    <t>FY 2011 CJ Submission</t>
  </si>
  <si>
    <t>23.1  GSA rent</t>
  </si>
  <si>
    <t>25.4  Operation and maintenance of facilities</t>
  </si>
  <si>
    <t>L: Summary of Requirements by Object Class</t>
  </si>
  <si>
    <t>K: Summary of Requirements by Grade</t>
  </si>
  <si>
    <t>25.7 Operation and maintenance of equipment</t>
  </si>
  <si>
    <t>Justification for Base Adjustments</t>
  </si>
  <si>
    <t>Pay and Benefits</t>
  </si>
  <si>
    <t>Other Adjustments</t>
  </si>
  <si>
    <t>Foreign Expenses</t>
  </si>
  <si>
    <t>POS</t>
  </si>
  <si>
    <t>Total Increase:</t>
  </si>
  <si>
    <t>Total Decrease:</t>
  </si>
  <si>
    <t>Decreases</t>
  </si>
  <si>
    <t xml:space="preserve">Amount  </t>
  </si>
  <si>
    <t>Grades:</t>
  </si>
  <si>
    <t>(Dollars in Thousands)</t>
  </si>
  <si>
    <t>Salaries and Expenses</t>
  </si>
  <si>
    <t>Total Offsets</t>
  </si>
  <si>
    <t>Other FTE:</t>
  </si>
  <si>
    <t>Total Comp. FTE</t>
  </si>
  <si>
    <t>Total FTE</t>
  </si>
  <si>
    <t>Other FTE</t>
  </si>
  <si>
    <t>Total Compensable FTE</t>
  </si>
  <si>
    <t>Headquarters (Washington, D.C.)</t>
  </si>
  <si>
    <t>Summary of Requirements</t>
  </si>
  <si>
    <t>Rescissions</t>
  </si>
  <si>
    <t>Supplementals</t>
  </si>
  <si>
    <t xml:space="preserve">     Subtotal Increases</t>
  </si>
  <si>
    <t>Collections by Source</t>
  </si>
  <si>
    <t>Budgetary Resources:</t>
  </si>
  <si>
    <t>Estimates by budget activity</t>
  </si>
  <si>
    <t>Pos.</t>
  </si>
  <si>
    <t xml:space="preserve"> </t>
  </si>
  <si>
    <t>Amount</t>
  </si>
  <si>
    <t>Increases</t>
  </si>
  <si>
    <t>Accounting and Budget (500-599)</t>
  </si>
  <si>
    <t>U.S. Field</t>
  </si>
  <si>
    <t>TOTAL</t>
  </si>
  <si>
    <t>Summary of Requirements by Grade</t>
  </si>
  <si>
    <t>Resources by Department of Justice Strategic Goal/Objective</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</si>
  <si>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</si>
  <si>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</si>
  <si>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</si>
  <si>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</si>
  <si>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</si>
  <si>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</si>
  <si>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Subtotal, Goal 3</t>
  </si>
  <si>
    <t>GRAND TOTAL</t>
  </si>
  <si>
    <t>Crosswalk of 2011 Availability</t>
  </si>
  <si>
    <t>Carryover</t>
  </si>
  <si>
    <t>Recoveries</t>
  </si>
  <si>
    <t xml:space="preserve">Increase/Decrease </t>
  </si>
  <si>
    <t>A: Organizational Chart</t>
  </si>
  <si>
    <t>B: Summary of Requirements</t>
  </si>
  <si>
    <t>C: Program Increases/Offsets By Decision Unit</t>
  </si>
  <si>
    <t>D: Resources by DOJ Strategic Goal and Strategic Objective</t>
  </si>
  <si>
    <t>E.  Justification for Base Adjustments</t>
  </si>
  <si>
    <t>H: Summary of Reimbursable Resources</t>
  </si>
  <si>
    <t>FY 2013 Request</t>
  </si>
  <si>
    <t>2013 Current Services</t>
  </si>
  <si>
    <t>2013 Total Request</t>
  </si>
  <si>
    <t>2012 - 2013 Total Change</t>
  </si>
  <si>
    <t>Subtotal Offsets</t>
  </si>
  <si>
    <t>F: Crosswalk of 2011 Availability</t>
  </si>
  <si>
    <t>Crosswalk of 2012 Availability</t>
  </si>
  <si>
    <t xml:space="preserve">  Total, 2013 Program Changes Requested</t>
  </si>
  <si>
    <t xml:space="preserve">     Total, Appropriated Positions</t>
  </si>
  <si>
    <t>Increases:</t>
  </si>
  <si>
    <t>2012 
Enacted</t>
  </si>
  <si>
    <t>FY 2013 Program Increases/Offsets By Decision Unit</t>
  </si>
  <si>
    <t>2011
Enacted</t>
  </si>
  <si>
    <t xml:space="preserve">   2.1  Combat the threat, incidence, and prevalence of violent crime</t>
  </si>
  <si>
    <t xml:space="preserve">   2.3  Combat the threat, trafficking, and use of illegal drugs and the diversion of
          licit drugs</t>
  </si>
  <si>
    <t xml:space="preserve">   2.2  Prevent and intervene in crimes against vulnerable populations, uphold the
          rights of, and improve services to, America's crime victims</t>
  </si>
  <si>
    <t xml:space="preserve">   3.1 Promote and strengthen relationships and strategies for the administration of 
          justice with state, local, tribal and international law enforcement</t>
  </si>
  <si>
    <t xml:space="preserve">   3.2 Protect judges, witnesses, and other participants in federal proceedings; 
         apprehend fugitives; and ensure the appearance of criminal defendants for 
         judicial proceedings or confinement</t>
  </si>
  <si>
    <t xml:space="preserve">   3.3  Provide for the safe, secure, humane, and cost-effective confinement of 
          detainees awaiting trial and/or sentencing, and those in the custody of the
          Federal Prison System </t>
  </si>
  <si>
    <t>Goal 1: Prevent Terrorism and Promote the Nation's Security
            Consistent with the Rule of Law</t>
  </si>
  <si>
    <t>Goal 2: Prevent Crime, Protect the Rights of the 
             American People, and Enforce Federal Law</t>
  </si>
  <si>
    <t xml:space="preserve">Goal 3: Ensure and Support the Fair, Impartial, Efficient, and 
             Transparent Administration of Justice at the Federal,
             State, Local, Tribal and International Levels        </t>
  </si>
  <si>
    <t>G: Crosswalk of 2012 Availability</t>
  </si>
  <si>
    <t>Judicial and Courthouse Security</t>
  </si>
  <si>
    <t>Fugitive Apprehension</t>
  </si>
  <si>
    <t>Prisoner Security and Transportation</t>
  </si>
  <si>
    <t>Protection of Witnesses</t>
  </si>
  <si>
    <t>Tactical Operations</t>
  </si>
  <si>
    <t>Restoration of Rescission - USMS S&amp;E</t>
  </si>
  <si>
    <t>JABS - To Components</t>
  </si>
  <si>
    <t>JCON and JCON S/TS - To Components</t>
  </si>
  <si>
    <t>LEWC - To Components</t>
  </si>
  <si>
    <t>Office of Information Policy (OIP) - From Components</t>
  </si>
  <si>
    <t>Professional Responsibility Advisory Office (PRAO) - From Components</t>
  </si>
  <si>
    <t xml:space="preserve">Offsets: </t>
  </si>
  <si>
    <t>IT Savings</t>
  </si>
  <si>
    <t>Administrative Efficiencies</t>
  </si>
  <si>
    <t>All Decision Units</t>
  </si>
  <si>
    <t>United States Marshals Service</t>
  </si>
  <si>
    <t>Protective Security and Transportation</t>
  </si>
  <si>
    <t>Reimbursable FTE*</t>
  </si>
  <si>
    <t>Carryover:  Unobligated Balances that were carried over from FY 2010 S&amp;E Multi-Year (1510/110324) include $930,018 for the HIDTA program, $3,975,539 to support the mission in Afghanistan; and $29,651,000 for SWB Supplemental initiatives.  Also includes $19,734,328 carryover from S&amp;E No-Year (15X0324), majority of which is for information technology enhancements.</t>
  </si>
  <si>
    <t>Recoveries:  Funds recovered from prior year obligations include $5,190,922 from S&amp;E No-Year (15X0324); and $77,556 from S&amp;E Multi-Year (1510/110324).</t>
  </si>
  <si>
    <t xml:space="preserve">Transfers:  Unobligated balance transfers include USMS (1510/110324) transfers from Department of State (DOS - 1910/110113) to support operations in Afghanistan, $4,040,000; from High Intensity Drug Trafficking Area (HIDTA - 1110/111070 to support the HIDTA program, $164,179; from S&amp;E No-Year (15X0324) for information technology enhancements, $1,225,000; and to Law Enforcement Wireless Communications (LEWC - 15X0132), ($965,790).  Appropriations transfers include USMS (1511/120324) transfers from HIDTA 1111/121070, $1,274,593, from DOS 1911/120113, $3,300,000; and to LEWC 15X0132, ($2,517,103). </t>
  </si>
  <si>
    <t>Administrative Office of the U.S. Courts (AOUSC)</t>
  </si>
  <si>
    <t>Assets Forfeiture Fund (AFF)</t>
  </si>
  <si>
    <t>Centers for Disease Control (CDC)</t>
  </si>
  <si>
    <t>Department of Defense (DOD)</t>
  </si>
  <si>
    <t>Department of Homeland Security (DHS)</t>
  </si>
  <si>
    <t>Department of Justice (DOJ)</t>
  </si>
  <si>
    <t>Department of State (DOS)</t>
  </si>
  <si>
    <t>Executive Office of the U.S. Attorneys (EOUSA)</t>
  </si>
  <si>
    <t>Federal Law Enforcement Training Center (FLETC)</t>
  </si>
  <si>
    <t>Gang Related Education and Training (GREAT)</t>
  </si>
  <si>
    <t>Office of Federal Detention Trustee (OFDT)</t>
  </si>
  <si>
    <t>Office of National Drug Control Policy (ONDCP)</t>
  </si>
  <si>
    <t>Organized Crime Drug Enforcement Task Force Program (OCDETF)</t>
  </si>
  <si>
    <t>Service of Process (SOP)</t>
  </si>
  <si>
    <t>U.S. Tax Court</t>
  </si>
  <si>
    <t>Various Federal Sources</t>
  </si>
  <si>
    <t>Executive Level IV, $155,500</t>
  </si>
  <si>
    <t>Senior Level, $119,554 - 179,700</t>
  </si>
  <si>
    <t>Transfer In</t>
  </si>
  <si>
    <t>Transfer Out</t>
  </si>
  <si>
    <t>2013
Request</t>
  </si>
  <si>
    <t>Construction</t>
  </si>
  <si>
    <t>Program Offset - Construction</t>
  </si>
  <si>
    <t>Total Offset</t>
  </si>
  <si>
    <t>Recoveries.  Funds recovered from prior year obligations include $1,782,347 from Construction No-Year (15X0133).</t>
  </si>
  <si>
    <t xml:space="preserve">     LEAP</t>
  </si>
  <si>
    <t>13.0  Other benefits</t>
  </si>
  <si>
    <t>23.2 Rental Payments to Others</t>
  </si>
  <si>
    <t>25.2 Other services from non-Federal sources</t>
  </si>
  <si>
    <t>25.3 Purchases of goods &amp; services from Government accounts (Antennas, DHS Sec. Etc..)</t>
  </si>
  <si>
    <t>25.3 Other goods and services from Federal sources</t>
  </si>
  <si>
    <t>25.6 Medical care</t>
  </si>
  <si>
    <t>25.8 Subsistence and Support of Persons</t>
  </si>
  <si>
    <t>32.0  Build Out</t>
  </si>
  <si>
    <t>42.0  Other</t>
  </si>
  <si>
    <t>25.9 Moving/Lease Expirations/Contract Parking</t>
  </si>
  <si>
    <t>Carryover.  Unobligated Balances that were carried over from FY 2011 include $2,050,770 from Construction No-Year (15X0133) for renovation and related costs.</t>
  </si>
  <si>
    <t>Carryover.  Unobligated Balances that were carried over from FY 2010 include $2,053,518 from Construction No-Year (15X0133) for renovation and security; and $8,000,000 from Construction Multi-Year (1510/110133) for SWB Supplemental initiative.</t>
  </si>
  <si>
    <t>Admin Efficiencies</t>
  </si>
  <si>
    <r>
      <t>2013 Pay Raise.</t>
    </r>
    <r>
      <rPr>
        <sz val="9"/>
        <rFont val="Times New Roman"/>
        <family val="1"/>
      </rPr>
      <t xml:space="preserve">  This request provides for a proposed 0.5 percent pay raise to be effective in January of 2013.  The increase only includes the general pay raise.  The amount request, $2,134, represents the pay amounts for 3/4 of the fiscal year plus appropriate benefits ($1,487 for pay and $647 for benefits.)</t>
    </r>
  </si>
  <si>
    <t>Total Transfers:</t>
  </si>
  <si>
    <r>
      <t>Joint Automated Booking System</t>
    </r>
    <r>
      <rPr>
        <sz val="9"/>
        <rFont val="Times New Roman"/>
        <family val="1"/>
      </rPr>
      <t>.  A transfer of $2,755 is included in support of the Department's Justice Automated Booking System program which will be moved to the Working Capital Fund and provided as a billable service in FY 2013.</t>
    </r>
  </si>
  <si>
    <r>
      <rPr>
        <u/>
        <sz val="9"/>
        <rFont val="Times New Roman"/>
        <family val="1"/>
      </rPr>
      <t>JCON and JCON S/TS</t>
    </r>
    <r>
      <rPr>
        <sz val="9"/>
        <rFont val="Times New Roman"/>
        <family val="1"/>
      </rPr>
      <t>.  A transfer of $2,774 is included in support of the Department's Justice Consolidated Office Network (JCON) and JCON S/TS programs which will be moved to the Working Capital Fund and provided as a billable service in FY 2013.</t>
    </r>
  </si>
  <si>
    <r>
      <t>Office of Information Policy</t>
    </r>
    <r>
      <rPr>
        <sz val="9"/>
        <rFont val="Times New Roman"/>
        <family val="1"/>
      </rPr>
      <t>.  The component transfers for the Office of Information Policy (OIP) into the General Administration appropriation will centralize appropriated funding and eliminate the current reimbursable financing process.  The centralization of the funding is administratively advantageous because it eliminates the paper-intensive reimbursement process.</t>
    </r>
  </si>
  <si>
    <r>
      <t>Professional Responsibility Advisory Office</t>
    </r>
    <r>
      <rPr>
        <sz val="9"/>
        <rFont val="Times New Roman"/>
        <family val="1"/>
      </rPr>
      <t>.  The component transfers for the Professional Responsibility Advisory Office (PRAO) into the General Administration appropriation will centralize appropriated funding and eliminate the current reimbursable financing process.  The centralization of the funding is administratively advantageous because it eliminates the paper-intensive reimbursement process.</t>
    </r>
  </si>
  <si>
    <r>
      <t>Law Enforcement Radios</t>
    </r>
    <r>
      <rPr>
        <sz val="9"/>
        <rFont val="Times New Roman"/>
        <family val="1"/>
      </rPr>
      <t>.  In FY 2013, the funding for the Department's Radio/Interoperability program is being realigned.  This change will generate savings and allow the Department to increase our investments in improved technology and interoperability.  As part of the realignment, base operations and maintenance (O&amp;M) funding for radios is being transferred back to components.  For USMS, the O&amp;M transfer amount is $3,700.</t>
    </r>
  </si>
  <si>
    <r>
      <t>Retirement</t>
    </r>
    <r>
      <rPr>
        <sz val="9"/>
        <color theme="1"/>
        <rFont val="Times New Roman"/>
        <family val="1"/>
      </rPr>
      <t>.  Agency retirement contributions increase as employees under CSRS retire and are replaced by FERS employees.  Based on OPM government-wide estimates, we project that the DOJ workforce will convert from CSRS to FERS at a rate of 1.3 percent per year.  The requested increase of  $1,481 is necessary to meet our increased retirement obligations as a result of this conversion.</t>
    </r>
  </si>
  <si>
    <r>
      <t>Employees Compensation Fund.</t>
    </r>
    <r>
      <rPr>
        <sz val="9"/>
        <rFont val="Times New Roman"/>
        <family val="1"/>
      </rPr>
      <t xml:space="preserve">  The $682 increase reflects payments to the Department of Labor for injury benefits paid in the past year under the Federal Employee Compensation Act.  This estimate is based on the first quarter of prior year billing and current year estimates.</t>
    </r>
  </si>
  <si>
    <r>
      <t>Health Insurance.</t>
    </r>
    <r>
      <rPr>
        <sz val="9"/>
        <rFont val="Times New Roman"/>
        <family val="1"/>
      </rPr>
      <t xml:space="preserve">  Effective January 2013, this component's contribution to Federal employees' health insurance premiums increased by 8.4 percent.  Applied against the 2011 estimate of $30,834, the additional amount required is $2,590.</t>
    </r>
  </si>
  <si>
    <r>
      <t>Changes in Compensable Days</t>
    </r>
    <r>
      <rPr>
        <sz val="9"/>
        <color theme="1"/>
        <rFont val="Times New Roman"/>
        <family val="1"/>
      </rPr>
      <t>.  The decreased cost for one compensable day in FY 2013 compared to FY 2012 is calculated by dividing the FY 2012 estimated personnel compensation $1,640 and applicable benefits $714 by 261 compensable days.</t>
    </r>
  </si>
  <si>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$10,396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</si>
  <si>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Government Leased Quarters (GLQ) Requirement - object class 12.1</t>
    </r>
    <r>
      <rPr>
        <sz val="9"/>
        <rFont val="Times New Roman"/>
        <family val="1"/>
      </rPr>
      <t xml:space="preserve">.  GLQ is a mandatory program managed by the Department of State (DOS) and provides government employees stationed overseas with housing and utilities.  DOS exercises authority for leases and control of the GLQs and negotiates the lease for components. $24, reflects the change in cost to support existing staffing levels.  </t>
    </r>
  </si>
  <si>
    <r>
      <rPr>
        <u/>
        <sz val="9"/>
        <rFont val="Times New Roman"/>
        <family val="1"/>
      </rPr>
      <t>Legacy Radio Operations and Maintenance</t>
    </r>
    <r>
      <rPr>
        <sz val="9"/>
        <rFont val="Times New Roman"/>
        <family val="1"/>
      </rPr>
      <t xml:space="preserve">. In FY 2013, the </t>
    </r>
    <r>
      <rPr>
        <sz val="9"/>
        <color rgb="FF000000"/>
        <rFont val="Times New Roman"/>
        <family val="1"/>
      </rPr>
      <t xml:space="preserve">funding for the Department’s Radio/Interoperability program is being realigned.  This change will generate savings and allow the Department to increase our investments in improved technology and interoperability.  As part of the realignment, base operations and maintenance (O&amp;M) funding for radios is being transferred back to components.  In order to fully fund the O&amp;M requirements, an ATB increase of $1,200 is requested for USMS.   </t>
    </r>
  </si>
  <si>
    <r>
      <rPr>
        <u/>
        <sz val="9"/>
        <rFont val="Times New Roman"/>
        <family val="1"/>
      </rPr>
      <t>FERS Rate Increase.</t>
    </r>
    <r>
      <rPr>
        <sz val="9"/>
        <rFont val="Times New Roman"/>
        <family val="1"/>
      </rPr>
      <t xml:space="preserve">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total Normal Cost of Regular retirement under FERS will increase from the current level of 12.5% of pay to 12.7%.  The total FERS contribution for Law Enforcement retirement will increase from 27.0% to 27.6%.  This will result in new agency contribution rates of 11.9% for normal costs (up from the current 11.7%) and 26.3% for law enforcement personnel (up from the current 25.7%).  The amount requested, $1,963, represents the funds needed to cover this increase.</t>
    </r>
  </si>
  <si>
    <t>Carryover:  Unobligated Balances that were carried over from FY 2011 S&amp;E Multi-Year (1511/120324) include $1,122,504 for the HIDTA program and $3,300,000 to support the mission in Afghanistan.  Also includes $9,525,192 carryover from S&amp;E No-Year (15X0324) to support information technology enhancements.</t>
  </si>
  <si>
    <t>Recoveries:  Recoveries from prior year obligations are estimated at $1,750,000 as reported in the FY 2012 Spend Plan under Section 211 Notifications, to support courthouse renovation and related costs.</t>
  </si>
  <si>
    <r>
      <t>Overseas Capital Security Cost Sharing (CSCS).</t>
    </r>
    <r>
      <rPr>
        <sz val="9"/>
        <color indexed="8"/>
        <rFont val="Times New Roman"/>
        <family val="1"/>
      </rPr>
      <t xml:space="preserve">  The Department of State (DOS) is in the midst of a 14-year, $17.5 billion embassy construction program, with a plan to build and maintain approximately 150 new diplomatic and consular compounds.  DOS allocates these costs through a Capital Security Cost Sharing Program in which each agency contributes funding based on the number of positions that are authorized for overseas personnel.  The estimated cost to the the USMS in FY 2013 is less than amounts charged in prior years.  The ATB decrease requested for CSCS reflects the reduced FY 2013 estimate. The USMS currently has 17 positions overseas, and funding is decreased by ($68) for this account.</t>
    </r>
  </si>
  <si>
    <r>
      <rPr>
        <u/>
        <sz val="9"/>
        <color indexed="8"/>
        <rFont val="Times New Roman"/>
        <family val="1"/>
      </rPr>
      <t>Security Charges.</t>
    </r>
    <r>
      <rPr>
        <sz val="9"/>
        <color indexed="8"/>
        <rFont val="Times New Roman"/>
        <family val="1"/>
      </rPr>
      <t xml:space="preserve">  Guard Service includes those costs paid directly by DOJ and those paid to Department of Homeland Security (DHS).  The requested increase of $5,827 is required to meet our commitment to DHS and other security costs.</t>
    </r>
  </si>
  <si>
    <t>Foreign Field</t>
  </si>
  <si>
    <t xml:space="preserve">Transfers:  Unobligated balance transfers include USMS (1511/120324) transfer from High Intensity Drug Trafficking Area (HIDTA - 1111/121070 to support the HIDTA program, $3,900 and planned transfer to Law Enforcement Wireless Communications ((LEWC - 15X0132) ($2,517,123).  Also includes S&amp;E No-Year (15X0324) transfer from S&amp;E Prior Year 15110324, $3,000,000. </t>
  </si>
  <si>
    <t>Recoveries:  Recoveries of prior year obligatations are estimated at $1,300,000 from S&amp;E as reported in the FY 2012 Spend Plan under Section 211 Notifications, to support courthouse security equipment and information technology systems.</t>
  </si>
  <si>
    <t>2011 Enacted</t>
  </si>
  <si>
    <t xml:space="preserve">     Subtotal Transfers</t>
  </si>
  <si>
    <t>Total ATB and Technical Adjustment:</t>
  </si>
  <si>
    <t>Rescission of Balances</t>
  </si>
  <si>
    <t>2012 - 2013 Total Change (without  Rescission of Balances)</t>
  </si>
  <si>
    <t>2012 Rescission of Balances</t>
  </si>
  <si>
    <t>Rescissions:  Unobligated balance rescission, $2,200,000.</t>
  </si>
  <si>
    <t>2013
Offsets</t>
  </si>
  <si>
    <t>2013
Current Services</t>
  </si>
  <si>
    <t>2013
Adjustments to Base and Technical Adjustments</t>
  </si>
  <si>
    <t>2011
Availability</t>
  </si>
  <si>
    <t>2012
Availability</t>
  </si>
  <si>
    <t>2011
Actual</t>
  </si>
  <si>
    <t>2011
Actuals</t>
  </si>
  <si>
    <t>2013 Total Request with Balance Rescissions</t>
  </si>
  <si>
    <t>Total 2012 Enacted with Balance Rescissions</t>
  </si>
  <si>
    <t>2012 Enacted without Balance Rescissions</t>
  </si>
  <si>
    <t>Total with
Balance Rescissions</t>
  </si>
  <si>
    <t>2013
Request
with Balance Rescissions</t>
  </si>
  <si>
    <t>2012
Enacted
with Balance Rescissions</t>
  </si>
  <si>
    <t>Offsets and 
Rescission of Balances</t>
  </si>
  <si>
    <t xml:space="preserve">NOTE: FY 2011 and FY 2012 were realigned under the new DOJ Strategic Plan for FY2012 - FY2016.  </t>
  </si>
  <si>
    <t xml:space="preserve">    Full-time permanent</t>
  </si>
  <si>
    <t>FY 2011
Enacted
Without Balance Rescissions</t>
  </si>
  <si>
    <t>FY 2012
Enacted
Without Balance Rescissions</t>
  </si>
  <si>
    <t>2012 Enacted with Balance Rescissions</t>
  </si>
  <si>
    <t>GRAND TOTAL WITH BALANCE RESCISSIONS</t>
  </si>
  <si>
    <t>Human Resources Management (200-299)</t>
  </si>
  <si>
    <t>General Administrative, Clerical, and Office Services (300-399)</t>
  </si>
  <si>
    <t>Equipment, Facilities, and Services (1600-1699)</t>
  </si>
  <si>
    <t>Transportation (2100-2199)</t>
  </si>
  <si>
    <t>Information Technology Management  (2210)</t>
  </si>
  <si>
    <t>Security Administration (080)</t>
  </si>
  <si>
    <t>Miscellaneous Occupations (010-099)</t>
  </si>
  <si>
    <t>Mathematics and Statistics (1500-1599)</t>
  </si>
  <si>
    <t>Miscellaneous Inspectors (1802)</t>
  </si>
  <si>
    <t>Intelligence (132)</t>
  </si>
  <si>
    <t>Medical/Public Health (600-699)</t>
  </si>
  <si>
    <t>Architecture (808)</t>
  </si>
  <si>
    <t>Electronics Technical (856)</t>
  </si>
  <si>
    <t>Paralegal Specialist (950)</t>
  </si>
  <si>
    <t xml:space="preserve">General Attorney (905) </t>
  </si>
  <si>
    <t xml:space="preserve">Criminal Investigative (1811 and 082) </t>
  </si>
  <si>
    <t>* FY 2012-2013 exclude additional reimbursable positions and FTE for CDC (2) and DOJ supporting Plan Colombia (1).</t>
  </si>
  <si>
    <t>2012
Planned*</t>
  </si>
  <si>
    <t>2013
Request*</t>
  </si>
  <si>
    <t>Reimbursable FTE:*</t>
  </si>
  <si>
    <t>Civilian Response Corps (CRC)</t>
  </si>
  <si>
    <t>Social science, Psychology, and Welfare (100-199)</t>
  </si>
  <si>
    <t>Total Authorized \1</t>
  </si>
  <si>
    <t>Total Reimbursable \2</t>
  </si>
  <si>
    <t>\1  Number of administrative positions by category is revised in FY 2012-2013 based on current position allocation plans</t>
  </si>
  <si>
    <t>Note:  Number of positions by grade is revised based on current allocation plans.</t>
  </si>
  <si>
    <t>NOTE:  All FTE numbers in this table reflect authorized FTE, which is the total number of FTE available to a component.  Because the FY 2013 President's Budget Appendix builds the FTE request using actual FTE rather than authorized, it may not match the FY 2012 FTE Enacted and FY 2013 FTE Request reflected in this table.</t>
  </si>
  <si>
    <t>* Excludes additional reimbursable positions and FTE for Centers for Disease Control (CDC) (2) and DOJ supporting Plan Colombia (1).</t>
  </si>
  <si>
    <t>* FY 2012-2013 exclude additional reimbursable positions and FTE for Centers for Disease Control (CDC) (2) and DOJ supporting Plan Colombia (1).</t>
  </si>
  <si>
    <t>\2  FY 2012-2013 exclude additional reimbursable positions for Centers for Disease Control (CDC) (2) and DOJ supporting Plan Colombia (1)</t>
  </si>
  <si>
    <t>Reimbursable FTE</t>
  </si>
</sst>
</file>

<file path=xl/styles.xml><?xml version="1.0" encoding="utf-8"?>
<styleSheet xmlns="http://schemas.openxmlformats.org/spreadsheetml/2006/main">
  <numFmts count="10">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 numFmtId="171" formatCode="mm/dd/yy"/>
    <numFmt numFmtId="172" formatCode="0_);[Red]\(0\)"/>
  </numFmts>
  <fonts count="96">
    <font>
      <sz val="12"/>
      <name val="Arial"/>
    </font>
    <font>
      <sz val="11"/>
      <color theme="1"/>
      <name val="Calibri"/>
      <family val="2"/>
      <scheme val="minor"/>
    </font>
    <font>
      <sz val="12"/>
      <name val="TimesNewRomanPS"/>
    </font>
    <font>
      <sz val="12"/>
      <name val="Times New Roman"/>
      <family val="1"/>
    </font>
    <font>
      <sz val="12"/>
      <name val="Times New Roman"/>
      <family val="1"/>
    </font>
    <font>
      <sz val="10"/>
      <color indexed="8"/>
      <name val="TMS"/>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sz val="10"/>
      <name val="Arial"/>
      <family val="2"/>
    </font>
    <font>
      <b/>
      <u/>
      <sz val="12"/>
      <name val="Arial"/>
      <family val="2"/>
    </font>
    <font>
      <b/>
      <sz val="10"/>
      <name val="Times New Roman"/>
      <family val="1"/>
    </font>
    <font>
      <sz val="14"/>
      <name val="Times New Roman"/>
      <family val="1"/>
    </font>
    <font>
      <sz val="12"/>
      <color indexed="8"/>
      <name val="Times New Roman"/>
      <family val="1"/>
    </font>
    <font>
      <b/>
      <sz val="12"/>
      <color indexed="8"/>
      <name val="Times New Roman"/>
      <family val="1"/>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i/>
      <sz val="10"/>
      <name val="Arial"/>
      <family val="2"/>
    </font>
    <font>
      <i/>
      <sz val="10"/>
      <name val="Arial"/>
      <family val="2"/>
    </font>
    <font>
      <sz val="14"/>
      <name val="Arial"/>
      <family val="2"/>
    </font>
    <font>
      <sz val="20"/>
      <name val="Arial"/>
      <family val="2"/>
    </font>
    <font>
      <u/>
      <sz val="9"/>
      <color indexed="8"/>
      <name val="Times New Roman"/>
      <family val="1"/>
    </font>
    <font>
      <sz val="8"/>
      <name val="Arial"/>
      <family val="2"/>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10"/>
      <color indexed="9"/>
      <name val="TMS"/>
    </font>
    <font>
      <sz val="8"/>
      <color indexed="9"/>
      <name val="Arial"/>
      <family val="2"/>
    </font>
    <font>
      <sz val="8"/>
      <color indexed="9"/>
      <name val="Arial"/>
      <family val="2"/>
    </font>
    <font>
      <sz val="8"/>
      <name val="Times New Roman"/>
      <family val="1"/>
    </font>
    <font>
      <sz val="8"/>
      <color indexed="9"/>
      <name val="Times New Roman"/>
      <family val="1"/>
    </font>
    <font>
      <sz val="8"/>
      <color indexed="9"/>
      <name val="Times New Roman"/>
      <family val="1"/>
    </font>
    <font>
      <sz val="8"/>
      <name val="Times New Roman"/>
      <family val="1"/>
    </font>
    <font>
      <sz val="12"/>
      <name val="Arial"/>
      <family val="2"/>
    </font>
    <font>
      <sz val="18"/>
      <name val="Arial"/>
      <family val="2"/>
    </font>
    <font>
      <sz val="16"/>
      <name val="Arial"/>
      <family val="2"/>
    </font>
    <font>
      <b/>
      <sz val="12"/>
      <color indexed="9"/>
      <name val="Arial"/>
      <family val="2"/>
    </font>
    <font>
      <u/>
      <sz val="12"/>
      <name val="Times New Roman"/>
      <family val="1"/>
    </font>
    <font>
      <b/>
      <sz val="9"/>
      <name val="Times New Roman"/>
      <family val="1"/>
    </font>
    <font>
      <b/>
      <u/>
      <sz val="9"/>
      <name val="Times New Roman"/>
      <family val="1"/>
    </font>
    <font>
      <sz val="16"/>
      <name val="Times New Roman"/>
      <family val="1"/>
    </font>
    <font>
      <u/>
      <sz val="10"/>
      <name val="Times New Roman"/>
      <family val="1"/>
    </font>
    <font>
      <b/>
      <sz val="10"/>
      <name val="Arial"/>
      <family val="2"/>
    </font>
    <font>
      <sz val="10"/>
      <name val="Arial"/>
      <family val="2"/>
    </font>
    <font>
      <sz val="11"/>
      <name val="Times New Roman"/>
      <family val="1"/>
    </font>
    <font>
      <sz val="12"/>
      <color theme="0"/>
      <name val="Arial"/>
      <family val="2"/>
    </font>
    <font>
      <sz val="16"/>
      <color indexed="8"/>
      <name val="Times New Roman"/>
      <family val="1"/>
    </font>
    <font>
      <u/>
      <sz val="9"/>
      <color theme="1"/>
      <name val="Times New Roman"/>
      <family val="1"/>
    </font>
    <font>
      <sz val="9"/>
      <color theme="1"/>
      <name val="Times New Roman"/>
      <family val="1"/>
    </font>
    <font>
      <sz val="12"/>
      <color theme="1"/>
      <name val="Arial"/>
      <family val="2"/>
    </font>
    <font>
      <sz val="11"/>
      <color indexed="8"/>
      <name val="Calibri"/>
      <family val="2"/>
    </font>
    <font>
      <sz val="10"/>
      <color indexed="8"/>
      <name val="Times New Roman"/>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7.5"/>
      <color indexed="12"/>
      <name val="Arial"/>
      <family val="2"/>
    </font>
    <font>
      <sz val="14"/>
      <name val="Arial Narrow"/>
      <family val="2"/>
    </font>
    <font>
      <sz val="10"/>
      <name val="Tahoma"/>
      <family val="2"/>
    </font>
    <font>
      <sz val="10"/>
      <color theme="1"/>
      <name val="Times New Roman"/>
      <family val="2"/>
    </font>
    <font>
      <sz val="11"/>
      <color rgb="FF1F497D"/>
      <name val="Calibri"/>
      <family val="2"/>
    </font>
    <font>
      <sz val="9"/>
      <color rgb="FF000000"/>
      <name val="Times New Roman"/>
      <family val="1"/>
    </font>
  </fonts>
  <fills count="2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5">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right style="thin">
        <color indexed="64"/>
      </right>
      <top style="thin">
        <color indexed="64"/>
      </top>
      <bottom style="thin">
        <color indexed="64"/>
      </bottom>
      <diagonal/>
    </border>
    <border>
      <left style="thin">
        <color indexed="8"/>
      </left>
      <right/>
      <top/>
      <bottom style="hair">
        <color indexed="8"/>
      </bottom>
      <diagonal/>
    </border>
    <border>
      <left/>
      <right style="thin">
        <color indexed="8"/>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indexed="64"/>
      </left>
      <right/>
      <top/>
      <bottom style="hair">
        <color indexed="8"/>
      </bottom>
      <diagonal/>
    </border>
    <border>
      <left/>
      <right style="medium">
        <color indexed="64"/>
      </right>
      <top/>
      <bottom style="hair">
        <color indexed="8"/>
      </bottom>
      <diagonal/>
    </border>
    <border>
      <left style="thin">
        <color indexed="8"/>
      </left>
      <right/>
      <top/>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right style="medium">
        <color indexed="8"/>
      </right>
      <top style="thin">
        <color indexed="8"/>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8"/>
      </left>
      <right/>
      <top style="thin">
        <color indexed="64"/>
      </top>
      <bottom/>
      <diagonal/>
    </border>
    <border>
      <left/>
      <right style="thin">
        <color indexed="8"/>
      </right>
      <top style="hair">
        <color indexed="23"/>
      </top>
      <bottom style="hair">
        <color indexed="8"/>
      </bottom>
      <diagonal/>
    </border>
    <border>
      <left style="thin">
        <color indexed="64"/>
      </left>
      <right/>
      <top style="thin">
        <color indexed="23"/>
      </top>
      <bottom style="thin">
        <color indexed="23"/>
      </bottom>
      <diagonal/>
    </border>
    <border>
      <left style="thin">
        <color indexed="64"/>
      </left>
      <right/>
      <top style="thin">
        <color indexed="23"/>
      </top>
      <bottom style="hair">
        <color indexed="64"/>
      </bottom>
      <diagonal/>
    </border>
    <border>
      <left style="thin">
        <color indexed="8"/>
      </left>
      <right style="thin">
        <color indexed="8"/>
      </right>
      <top style="hair">
        <color indexed="8"/>
      </top>
      <bottom style="thin">
        <color indexed="64"/>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bottom style="medium">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right style="medium">
        <color indexed="8"/>
      </right>
      <top style="thin">
        <color indexed="8"/>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hair">
        <color indexed="64"/>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8"/>
      </left>
      <right/>
      <top/>
      <bottom style="thin">
        <color indexed="8"/>
      </bottom>
      <diagonal/>
    </border>
    <border>
      <left/>
      <right style="medium">
        <color indexed="8"/>
      </right>
      <top/>
      <bottom style="thin">
        <color indexed="8"/>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hair">
        <color indexed="23"/>
      </top>
      <bottom style="hair">
        <color indexed="23"/>
      </bottom>
      <diagonal/>
    </border>
    <border>
      <left style="thin">
        <color indexed="23"/>
      </left>
      <right style="thin">
        <color indexed="23"/>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8"/>
      </left>
      <right/>
      <top style="hair">
        <color indexed="23"/>
      </top>
      <bottom style="hair">
        <color indexed="23"/>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style="thin">
        <color indexed="64"/>
      </right>
      <top style="hair">
        <color indexed="23"/>
      </top>
      <bottom style="hair">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right style="thin">
        <color indexed="64"/>
      </right>
      <top/>
      <bottom style="thin">
        <color indexed="8"/>
      </bottom>
      <diagonal/>
    </border>
    <border>
      <left style="thin">
        <color indexed="64"/>
      </left>
      <right style="thin">
        <color indexed="8"/>
      </right>
      <top/>
      <bottom style="medium">
        <color indexed="64"/>
      </bottom>
      <diagonal/>
    </border>
    <border>
      <left/>
      <right style="thin">
        <color indexed="64"/>
      </right>
      <top style="thin">
        <color indexed="8"/>
      </top>
      <bottom style="medium">
        <color indexed="64"/>
      </bottom>
      <diagonal/>
    </border>
    <border>
      <left/>
      <right style="thin">
        <color indexed="64"/>
      </right>
      <top style="thin">
        <color indexed="8"/>
      </top>
      <bottom style="thin">
        <color indexed="64"/>
      </bottom>
      <diagonal/>
    </border>
    <border>
      <left/>
      <right style="thin">
        <color indexed="8"/>
      </right>
      <top style="thin">
        <color indexed="64"/>
      </top>
      <bottom/>
      <diagonal/>
    </border>
    <border>
      <left/>
      <right style="thin">
        <color indexed="64"/>
      </right>
      <top style="thin">
        <color indexed="23"/>
      </top>
      <bottom style="thin">
        <color indexed="23"/>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hair">
        <color indexed="23"/>
      </bottom>
      <diagonal/>
    </border>
    <border>
      <left style="thin">
        <color indexed="23"/>
      </left>
      <right/>
      <top style="hair">
        <color indexed="23"/>
      </top>
      <bottom style="hair">
        <color indexed="23"/>
      </bottom>
      <diagonal/>
    </border>
    <border>
      <left style="thin">
        <color indexed="23"/>
      </left>
      <right style="thin">
        <color indexed="64"/>
      </right>
      <top style="thin">
        <color indexed="8"/>
      </top>
      <bottom style="hair">
        <color indexed="23"/>
      </bottom>
      <diagonal/>
    </border>
    <border>
      <left style="thin">
        <color indexed="64"/>
      </left>
      <right style="thin">
        <color indexed="64"/>
      </right>
      <top style="medium">
        <color indexed="64"/>
      </top>
      <bottom style="hair">
        <color indexed="23"/>
      </bottom>
      <diagonal/>
    </border>
    <border>
      <left style="thin">
        <color indexed="64"/>
      </left>
      <right style="thin">
        <color indexed="64"/>
      </right>
      <top style="hair">
        <color indexed="23"/>
      </top>
      <bottom style="hair">
        <color indexed="64"/>
      </bottom>
      <diagonal/>
    </border>
    <border>
      <left/>
      <right/>
      <top style="hair">
        <color indexed="23"/>
      </top>
      <bottom style="hair">
        <color indexed="23"/>
      </bottom>
      <diagonal/>
    </border>
  </borders>
  <cellStyleXfs count="68">
    <xf numFmtId="0" fontId="0" fillId="0" borderId="0"/>
    <xf numFmtId="43" fontId="20" fillId="0" borderId="0" applyFont="0" applyFill="0" applyBorder="0" applyAlignment="0" applyProtection="0"/>
    <xf numFmtId="43" fontId="16" fillId="0" borderId="0" applyFont="0" applyFill="0" applyBorder="0" applyAlignment="0" applyProtection="0"/>
    <xf numFmtId="44" fontId="20" fillId="0" borderId="0" applyFont="0" applyFill="0" applyBorder="0" applyAlignment="0" applyProtection="0"/>
    <xf numFmtId="44" fontId="16" fillId="0" borderId="0" applyFont="0" applyFill="0" applyBorder="0" applyAlignment="0" applyProtection="0"/>
    <xf numFmtId="0" fontId="15" fillId="0" borderId="0"/>
    <xf numFmtId="0" fontId="65" fillId="0" borderId="0"/>
    <xf numFmtId="0" fontId="20" fillId="0" borderId="0"/>
    <xf numFmtId="0" fontId="20" fillId="0" borderId="0"/>
    <xf numFmtId="0" fontId="16" fillId="0" borderId="0"/>
    <xf numFmtId="9" fontId="16" fillId="0" borderId="0" applyFont="0" applyFill="0" applyBorder="0" applyAlignment="0" applyProtection="0"/>
    <xf numFmtId="0" fontId="72" fillId="5" borderId="0" applyNumberFormat="0" applyBorder="0" applyAlignment="0" applyProtection="0"/>
    <xf numFmtId="0" fontId="72" fillId="11" borderId="0" applyNumberFormat="0" applyBorder="0" applyAlignment="0" applyProtection="0"/>
    <xf numFmtId="0" fontId="72" fillId="10" borderId="0" applyNumberFormat="0" applyBorder="0" applyAlignment="0" applyProtection="0"/>
    <xf numFmtId="0" fontId="72" fillId="9" borderId="0" applyNumberFormat="0" applyBorder="0" applyAlignment="0" applyProtection="0"/>
    <xf numFmtId="0" fontId="72" fillId="8" borderId="0" applyNumberFormat="0" applyBorder="0" applyAlignment="0" applyProtection="0"/>
    <xf numFmtId="0" fontId="72" fillId="4" borderId="0" applyNumberFormat="0" applyBorder="0" applyAlignment="0" applyProtection="0"/>
    <xf numFmtId="0" fontId="1" fillId="0" borderId="0"/>
    <xf numFmtId="0" fontId="72" fillId="7" borderId="0" applyNumberFormat="0" applyBorder="0" applyAlignment="0" applyProtection="0"/>
    <xf numFmtId="43" fontId="16" fillId="0" borderId="0" applyFont="0" applyFill="0" applyBorder="0" applyAlignment="0" applyProtection="0"/>
    <xf numFmtId="0" fontId="72" fillId="6" borderId="0" applyNumberFormat="0" applyBorder="0" applyAlignment="0" applyProtection="0"/>
    <xf numFmtId="9" fontId="16" fillId="0" borderId="0" applyFont="0" applyFill="0" applyBorder="0" applyAlignment="0" applyProtection="0"/>
    <xf numFmtId="0" fontId="72" fillId="10"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2" fillId="13" borderId="0" applyNumberFormat="0" applyBorder="0" applyAlignment="0" applyProtection="0"/>
    <xf numFmtId="0" fontId="72" fillId="12" borderId="0" applyNumberFormat="0" applyBorder="0" applyAlignment="0" applyProtection="0"/>
    <xf numFmtId="0" fontId="72" fillId="7" borderId="0" applyNumberFormat="0" applyBorder="0" applyAlignment="0" applyProtection="0"/>
    <xf numFmtId="0" fontId="74" fillId="12" borderId="0" applyNumberFormat="0" applyBorder="0" applyAlignment="0" applyProtection="0"/>
    <xf numFmtId="0" fontId="74" fillId="15" borderId="0" applyNumberFormat="0" applyBorder="0" applyAlignment="0" applyProtection="0"/>
    <xf numFmtId="0" fontId="74" fillId="16" borderId="0" applyNumberFormat="0" applyBorder="0" applyAlignment="0" applyProtection="0"/>
    <xf numFmtId="0" fontId="74" fillId="17" borderId="0" applyNumberFormat="0" applyBorder="0" applyAlignment="0" applyProtection="0"/>
    <xf numFmtId="0" fontId="74" fillId="18" borderId="0" applyNumberFormat="0" applyBorder="0" applyAlignment="0" applyProtection="0"/>
    <xf numFmtId="0" fontId="74" fillId="19" borderId="0" applyNumberFormat="0" applyBorder="0" applyAlignment="0" applyProtection="0"/>
    <xf numFmtId="0" fontId="74" fillId="20" borderId="0" applyNumberFormat="0" applyBorder="0" applyAlignment="0" applyProtection="0"/>
    <xf numFmtId="0" fontId="74" fillId="15" borderId="0" applyNumberFormat="0" applyBorder="0" applyAlignment="0" applyProtection="0"/>
    <xf numFmtId="0" fontId="74" fillId="16" borderId="0" applyNumberFormat="0" applyBorder="0" applyAlignment="0" applyProtection="0"/>
    <xf numFmtId="0" fontId="74" fillId="21" borderId="0" applyNumberFormat="0" applyBorder="0" applyAlignment="0" applyProtection="0"/>
    <xf numFmtId="0" fontId="75" fillId="5" borderId="0" applyNumberFormat="0" applyBorder="0" applyAlignment="0" applyProtection="0"/>
    <xf numFmtId="0" fontId="76" fillId="22" borderId="1" applyNumberFormat="0" applyAlignment="0" applyProtection="0"/>
    <xf numFmtId="0" fontId="77" fillId="23" borderId="127" applyNumberFormat="0" applyAlignment="0" applyProtection="0"/>
    <xf numFmtId="43" fontId="73" fillId="0" borderId="0" applyFont="0" applyFill="0" applyBorder="0" applyAlignment="0" applyProtection="0"/>
    <xf numFmtId="171" fontId="16" fillId="0" borderId="0" applyFont="0" applyFill="0" applyBorder="0" applyAlignment="0" applyProtection="0"/>
    <xf numFmtId="0" fontId="78" fillId="0" borderId="0" applyNumberFormat="0" applyFill="0" applyBorder="0" applyAlignment="0" applyProtection="0"/>
    <xf numFmtId="172" fontId="16" fillId="0" borderId="0" applyFont="0" applyFill="0" applyBorder="0" applyAlignment="0" applyProtection="0"/>
    <xf numFmtId="0" fontId="79" fillId="6" borderId="0" applyNumberFormat="0" applyBorder="0" applyAlignment="0" applyProtection="0"/>
    <xf numFmtId="0" fontId="80" fillId="0" borderId="128" applyNumberFormat="0" applyFill="0" applyAlignment="0" applyProtection="0"/>
    <xf numFmtId="0" fontId="81" fillId="0" borderId="129" applyNumberFormat="0" applyFill="0" applyAlignment="0" applyProtection="0"/>
    <xf numFmtId="0" fontId="82" fillId="0" borderId="130" applyNumberFormat="0" applyFill="0" applyAlignment="0" applyProtection="0"/>
    <xf numFmtId="0" fontId="82" fillId="0" borderId="0" applyNumberFormat="0" applyFill="0" applyBorder="0" applyAlignment="0" applyProtection="0"/>
    <xf numFmtId="0" fontId="90" fillId="0" borderId="0" applyNumberFormat="0" applyFill="0" applyBorder="0" applyAlignment="0" applyProtection="0">
      <alignment vertical="top"/>
      <protection locked="0"/>
    </xf>
    <xf numFmtId="0" fontId="83" fillId="9" borderId="1" applyNumberFormat="0" applyAlignment="0" applyProtection="0"/>
    <xf numFmtId="0" fontId="84" fillId="0" borderId="131" applyNumberFormat="0" applyFill="0" applyAlignment="0" applyProtection="0"/>
    <xf numFmtId="0" fontId="85" fillId="24" borderId="0" applyNumberFormat="0" applyBorder="0" applyAlignment="0" applyProtection="0"/>
    <xf numFmtId="0" fontId="16" fillId="0" borderId="0"/>
    <xf numFmtId="171" fontId="91" fillId="0" borderId="0" applyFill="0" applyBorder="0" applyAlignment="0" applyProtection="0"/>
    <xf numFmtId="0" fontId="15" fillId="0" borderId="0"/>
    <xf numFmtId="0" fontId="92" fillId="0" borderId="0"/>
    <xf numFmtId="0" fontId="16" fillId="0" borderId="0"/>
    <xf numFmtId="0" fontId="93" fillId="0" borderId="0"/>
    <xf numFmtId="0" fontId="16" fillId="0" borderId="0"/>
    <xf numFmtId="0" fontId="16" fillId="25" borderId="132" applyNumberFormat="0" applyFont="0" applyAlignment="0" applyProtection="0"/>
    <xf numFmtId="0" fontId="86" fillId="22" borderId="133" applyNumberFormat="0" applyAlignment="0" applyProtection="0"/>
    <xf numFmtId="9" fontId="1" fillId="0" borderId="0" applyFont="0" applyFill="0" applyBorder="0" applyAlignment="0" applyProtection="0"/>
    <xf numFmtId="49" fontId="16" fillId="0" borderId="0" applyFont="0" applyFill="0" applyBorder="0" applyAlignment="0" applyProtection="0"/>
    <xf numFmtId="0" fontId="87" fillId="0" borderId="0" applyNumberFormat="0" applyFill="0" applyBorder="0" applyAlignment="0" applyProtection="0"/>
    <xf numFmtId="0" fontId="88" fillId="0" borderId="134" applyNumberFormat="0" applyFill="0" applyAlignment="0" applyProtection="0"/>
    <xf numFmtId="0" fontId="89" fillId="0" borderId="0" applyNumberFormat="0" applyFill="0" applyBorder="0" applyAlignment="0" applyProtection="0"/>
  </cellStyleXfs>
  <cellXfs count="825">
    <xf numFmtId="0" fontId="0" fillId="0" borderId="0" xfId="0"/>
    <xf numFmtId="165" fontId="2" fillId="0" borderId="0" xfId="0" applyNumberFormat="1" applyFont="1" applyAlignment="1"/>
    <xf numFmtId="165" fontId="2" fillId="0" borderId="0" xfId="0" applyNumberFormat="1" applyFont="1" applyBorder="1" applyAlignment="1"/>
    <xf numFmtId="165" fontId="6" fillId="0" borderId="0" xfId="0" applyNumberFormat="1" applyFont="1"/>
    <xf numFmtId="3" fontId="6" fillId="0" borderId="0" xfId="0" applyNumberFormat="1" applyFont="1" applyAlignment="1"/>
    <xf numFmtId="3" fontId="6" fillId="0" borderId="0" xfId="0" applyNumberFormat="1" applyFont="1" applyAlignment="1">
      <alignment horizontal="fill"/>
    </xf>
    <xf numFmtId="165" fontId="9" fillId="0" borderId="0" xfId="0" applyNumberFormat="1" applyFont="1" applyAlignment="1"/>
    <xf numFmtId="165" fontId="6" fillId="0" borderId="0" xfId="0" applyNumberFormat="1" applyFont="1" applyAlignment="1"/>
    <xf numFmtId="165" fontId="4" fillId="0" borderId="0" xfId="0" applyNumberFormat="1" applyFont="1" applyAlignment="1"/>
    <xf numFmtId="165" fontId="4" fillId="0" borderId="0" xfId="0" applyNumberFormat="1" applyFont="1" applyBorder="1" applyAlignment="1"/>
    <xf numFmtId="165" fontId="0" fillId="0" borderId="0" xfId="0" applyNumberFormat="1"/>
    <xf numFmtId="165" fontId="0" fillId="0" borderId="0" xfId="0" applyNumberFormat="1" applyBorder="1"/>
    <xf numFmtId="165" fontId="7" fillId="2" borderId="0" xfId="0" applyNumberFormat="1" applyFont="1" applyFill="1" applyAlignment="1"/>
    <xf numFmtId="165" fontId="7" fillId="2" borderId="0" xfId="0" applyNumberFormat="1" applyFont="1" applyFill="1" applyBorder="1" applyAlignment="1"/>
    <xf numFmtId="165" fontId="13" fillId="2" borderId="0" xfId="0" applyNumberFormat="1" applyFont="1" applyFill="1" applyAlignment="1"/>
    <xf numFmtId="165" fontId="6" fillId="0" borderId="0" xfId="0" applyNumberFormat="1" applyFont="1" applyAlignment="1">
      <alignment horizontal="right"/>
    </xf>
    <xf numFmtId="0" fontId="0" fillId="0" borderId="0" xfId="0" applyBorder="1"/>
    <xf numFmtId="3" fontId="5" fillId="2" borderId="0" xfId="0" applyNumberFormat="1" applyFont="1" applyFill="1" applyBorder="1" applyAlignment="1"/>
    <xf numFmtId="3" fontId="18" fillId="0" borderId="0" xfId="0" applyNumberFormat="1" applyFont="1" applyAlignment="1"/>
    <xf numFmtId="165" fontId="3" fillId="0" borderId="0" xfId="0" applyNumberFormat="1" applyFont="1" applyAlignment="1"/>
    <xf numFmtId="165" fontId="19" fillId="2" borderId="0" xfId="0" applyNumberFormat="1" applyFont="1" applyFill="1" applyAlignment="1"/>
    <xf numFmtId="165" fontId="6" fillId="0" borderId="0" xfId="0" applyNumberFormat="1" applyFont="1" applyBorder="1"/>
    <xf numFmtId="0" fontId="20" fillId="0" borderId="0" xfId="7"/>
    <xf numFmtId="0" fontId="22" fillId="0" borderId="4" xfId="7" applyFont="1" applyBorder="1" applyAlignment="1">
      <alignment horizontal="center"/>
    </xf>
    <xf numFmtId="5" fontId="22" fillId="0" borderId="0" xfId="7" applyNumberFormat="1" applyFont="1" applyBorder="1"/>
    <xf numFmtId="0" fontId="30" fillId="0" borderId="0" xfId="0" applyFont="1"/>
    <xf numFmtId="165" fontId="2" fillId="0" borderId="0" xfId="0" applyNumberFormat="1" applyFont="1" applyFill="1" applyAlignment="1"/>
    <xf numFmtId="0" fontId="9" fillId="0" borderId="10" xfId="7" applyFont="1" applyBorder="1"/>
    <xf numFmtId="0" fontId="20" fillId="0" borderId="0" xfId="7" applyBorder="1"/>
    <xf numFmtId="165" fontId="6" fillId="0" borderId="0" xfId="0" applyNumberFormat="1" applyFont="1" applyFill="1" applyAlignment="1"/>
    <xf numFmtId="5" fontId="26" fillId="2" borderId="12" xfId="0" applyNumberFormat="1" applyFont="1" applyFill="1" applyBorder="1" applyAlignment="1"/>
    <xf numFmtId="5" fontId="26" fillId="2" borderId="11" xfId="0" applyNumberFormat="1" applyFont="1" applyFill="1" applyBorder="1" applyAlignment="1"/>
    <xf numFmtId="0" fontId="0" fillId="0" borderId="0" xfId="0" applyBorder="1" applyAlignment="1">
      <alignment horizontal="center"/>
    </xf>
    <xf numFmtId="0" fontId="30" fillId="0" borderId="0" xfId="0" applyFont="1" applyBorder="1" applyAlignment="1">
      <alignment horizontal="center"/>
    </xf>
    <xf numFmtId="0" fontId="0" fillId="0" borderId="0" xfId="0" applyAlignment="1">
      <alignment horizontal="center"/>
    </xf>
    <xf numFmtId="0" fontId="9" fillId="0" borderId="13" xfId="7" applyFont="1" applyBorder="1"/>
    <xf numFmtId="0" fontId="20" fillId="0" borderId="14" xfId="7" applyBorder="1"/>
    <xf numFmtId="0" fontId="9" fillId="0" borderId="14" xfId="7" applyFont="1" applyBorder="1"/>
    <xf numFmtId="0" fontId="20" fillId="0" borderId="10" xfId="7" applyBorder="1"/>
    <xf numFmtId="3" fontId="17" fillId="0" borderId="0" xfId="0" applyNumberFormat="1" applyFont="1" applyAlignment="1">
      <alignment horizontal="centerContinuous"/>
    </xf>
    <xf numFmtId="165" fontId="17" fillId="0" borderId="0" xfId="0" applyNumberFormat="1" applyFont="1" applyAlignment="1">
      <alignment horizontal="centerContinuous"/>
    </xf>
    <xf numFmtId="165" fontId="7" fillId="0" borderId="0" xfId="0" applyNumberFormat="1" applyFont="1" applyFill="1" applyBorder="1" applyAlignment="1"/>
    <xf numFmtId="0" fontId="40" fillId="0" borderId="0" xfId="0" applyFont="1" applyFill="1" applyBorder="1" applyAlignment="1">
      <alignment vertical="top" wrapText="1"/>
    </xf>
    <xf numFmtId="0" fontId="38" fillId="0" borderId="0" xfId="7" applyFont="1" applyFill="1" applyAlignment="1"/>
    <xf numFmtId="0" fontId="37" fillId="0" borderId="0" xfId="7" applyFont="1" applyFill="1" applyAlignment="1"/>
    <xf numFmtId="164" fontId="25" fillId="2" borderId="11" xfId="0" applyNumberFormat="1" applyFont="1" applyFill="1" applyBorder="1" applyAlignment="1"/>
    <xf numFmtId="165" fontId="45" fillId="0" borderId="0" xfId="0" applyNumberFormat="1" applyFont="1" applyAlignment="1"/>
    <xf numFmtId="165" fontId="46" fillId="2" borderId="0" xfId="0" applyNumberFormat="1" applyFont="1" applyFill="1" applyAlignment="1"/>
    <xf numFmtId="0" fontId="47" fillId="0" borderId="0" xfId="7" applyFont="1"/>
    <xf numFmtId="170" fontId="26" fillId="2" borderId="15" xfId="0" applyNumberFormat="1" applyFont="1" applyFill="1" applyBorder="1" applyAlignment="1"/>
    <xf numFmtId="0" fontId="50" fillId="0" borderId="0" xfId="0" applyFont="1"/>
    <xf numFmtId="165" fontId="49" fillId="0" borderId="0" xfId="0" applyNumberFormat="1" applyFont="1"/>
    <xf numFmtId="165" fontId="29" fillId="0" borderId="0" xfId="0" applyNumberFormat="1" applyFont="1"/>
    <xf numFmtId="165" fontId="49" fillId="0" borderId="0" xfId="0" applyNumberFormat="1" applyFont="1" applyAlignment="1"/>
    <xf numFmtId="165" fontId="29" fillId="0" borderId="0" xfId="0" applyNumberFormat="1" applyFont="1" applyAlignment="1"/>
    <xf numFmtId="3" fontId="49" fillId="2" borderId="0" xfId="0" applyNumberFormat="1" applyFont="1" applyFill="1" applyAlignment="1"/>
    <xf numFmtId="0" fontId="29" fillId="0" borderId="0" xfId="0" applyFont="1"/>
    <xf numFmtId="165" fontId="50" fillId="0" borderId="0" xfId="0" applyNumberFormat="1" applyFont="1"/>
    <xf numFmtId="165" fontId="50" fillId="0" borderId="0" xfId="0" applyNumberFormat="1" applyFont="1" applyBorder="1"/>
    <xf numFmtId="165" fontId="53" fillId="0" borderId="0" xfId="0" applyNumberFormat="1" applyFont="1" applyAlignment="1"/>
    <xf numFmtId="165" fontId="54" fillId="0" borderId="0" xfId="0" applyNumberFormat="1" applyFont="1" applyAlignment="1"/>
    <xf numFmtId="3" fontId="52" fillId="0" borderId="0" xfId="0" applyNumberFormat="1" applyFont="1" applyAlignment="1"/>
    <xf numFmtId="3" fontId="51" fillId="0" borderId="0" xfId="0" applyNumberFormat="1" applyFont="1" applyAlignment="1"/>
    <xf numFmtId="0" fontId="50" fillId="0" borderId="0" xfId="7" applyFont="1"/>
    <xf numFmtId="0" fontId="42" fillId="0" borderId="0" xfId="7" applyFont="1"/>
    <xf numFmtId="37" fontId="6" fillId="0" borderId="9" xfId="0" applyNumberFormat="1" applyFont="1" applyBorder="1" applyAlignment="1"/>
    <xf numFmtId="37" fontId="6" fillId="0" borderId="12" xfId="0" applyNumberFormat="1" applyFont="1" applyBorder="1" applyAlignment="1"/>
    <xf numFmtId="37" fontId="17" fillId="0" borderId="17" xfId="0" applyNumberFormat="1" applyFont="1" applyBorder="1" applyAlignment="1"/>
    <xf numFmtId="37" fontId="6" fillId="0" borderId="5" xfId="0" applyNumberFormat="1" applyFont="1" applyBorder="1" applyAlignment="1"/>
    <xf numFmtId="37" fontId="6" fillId="0" borderId="4" xfId="0" applyNumberFormat="1" applyFont="1" applyBorder="1"/>
    <xf numFmtId="37" fontId="6" fillId="0" borderId="10" xfId="0" applyNumberFormat="1" applyFont="1" applyBorder="1"/>
    <xf numFmtId="37" fontId="7" fillId="2" borderId="12" xfId="0" applyNumberFormat="1" applyFont="1" applyFill="1" applyBorder="1" applyAlignment="1"/>
    <xf numFmtId="37" fontId="24" fillId="2" borderId="0" xfId="0" applyNumberFormat="1" applyFont="1" applyFill="1" applyBorder="1" applyAlignment="1"/>
    <xf numFmtId="37" fontId="24" fillId="2" borderId="15" xfId="0" applyNumberFormat="1" applyFont="1" applyFill="1" applyBorder="1" applyAlignment="1"/>
    <xf numFmtId="37" fontId="24" fillId="2" borderId="11" xfId="0" applyNumberFormat="1" applyFont="1" applyFill="1" applyBorder="1" applyAlignment="1"/>
    <xf numFmtId="37" fontId="25" fillId="2" borderId="34" xfId="0" applyNumberFormat="1" applyFont="1" applyFill="1" applyBorder="1" applyAlignment="1"/>
    <xf numFmtId="4" fontId="24" fillId="2" borderId="15" xfId="0" applyNumberFormat="1" applyFont="1" applyFill="1" applyBorder="1" applyAlignment="1"/>
    <xf numFmtId="4" fontId="24" fillId="2" borderId="15" xfId="0" applyNumberFormat="1" applyFont="1" applyFill="1" applyBorder="1" applyAlignment="1">
      <alignment horizontal="right"/>
    </xf>
    <xf numFmtId="4" fontId="24" fillId="2" borderId="35" xfId="0" applyNumberFormat="1" applyFont="1" applyFill="1" applyBorder="1" applyAlignment="1">
      <alignment horizontal="right"/>
    </xf>
    <xf numFmtId="4" fontId="24" fillId="2" borderId="35" xfId="0" applyNumberFormat="1" applyFont="1" applyFill="1" applyBorder="1" applyAlignment="1"/>
    <xf numFmtId="4" fontId="6" fillId="0" borderId="15" xfId="0" applyNumberFormat="1" applyFont="1" applyBorder="1" applyAlignment="1"/>
    <xf numFmtId="37" fontId="7" fillId="2" borderId="15" xfId="0" applyNumberFormat="1" applyFont="1" applyFill="1" applyBorder="1" applyAlignment="1"/>
    <xf numFmtId="37" fontId="7" fillId="2" borderId="11" xfId="0" applyNumberFormat="1" applyFont="1" applyFill="1" applyBorder="1" applyAlignment="1"/>
    <xf numFmtId="37" fontId="7" fillId="2" borderId="15" xfId="0" applyNumberFormat="1" applyFont="1" applyFill="1" applyBorder="1" applyAlignment="1">
      <alignment horizontal="right"/>
    </xf>
    <xf numFmtId="37" fontId="7" fillId="0" borderId="15" xfId="0" applyNumberFormat="1" applyFont="1" applyFill="1" applyBorder="1" applyAlignment="1"/>
    <xf numFmtId="37" fontId="7" fillId="0" borderId="11" xfId="0" applyNumberFormat="1" applyFont="1" applyFill="1" applyBorder="1" applyAlignment="1"/>
    <xf numFmtId="37" fontId="7" fillId="0" borderId="12" xfId="0" applyNumberFormat="1" applyFont="1" applyFill="1" applyBorder="1" applyAlignment="1"/>
    <xf numFmtId="37" fontId="8" fillId="2" borderId="15" xfId="0" applyNumberFormat="1" applyFont="1" applyFill="1" applyBorder="1" applyAlignment="1"/>
    <xf numFmtId="37" fontId="8" fillId="2" borderId="11" xfId="0" applyNumberFormat="1" applyFont="1" applyFill="1" applyBorder="1" applyAlignment="1"/>
    <xf numFmtId="37" fontId="8" fillId="2" borderId="12" xfId="0" applyNumberFormat="1" applyFont="1" applyFill="1" applyBorder="1" applyAlignment="1"/>
    <xf numFmtId="37" fontId="7" fillId="2" borderId="8" xfId="0" applyNumberFormat="1" applyFont="1" applyFill="1" applyBorder="1" applyAlignment="1"/>
    <xf numFmtId="37" fontId="7" fillId="2" borderId="0" xfId="0" applyNumberFormat="1" applyFont="1" applyFill="1" applyBorder="1" applyAlignment="1"/>
    <xf numFmtId="37" fontId="7" fillId="2" borderId="34" xfId="0" applyNumberFormat="1" applyFont="1" applyFill="1" applyBorder="1" applyAlignment="1"/>
    <xf numFmtId="37" fontId="7" fillId="2" borderId="37" xfId="0" applyNumberFormat="1" applyFont="1" applyFill="1" applyBorder="1" applyAlignment="1"/>
    <xf numFmtId="0" fontId="22" fillId="0" borderId="38" xfId="7" applyFont="1" applyBorder="1"/>
    <xf numFmtId="5" fontId="22" fillId="0" borderId="37" xfId="7" applyNumberFormat="1" applyFont="1" applyBorder="1"/>
    <xf numFmtId="5" fontId="22" fillId="0" borderId="38" xfId="7" applyNumberFormat="1" applyFont="1" applyBorder="1"/>
    <xf numFmtId="0" fontId="18" fillId="0" borderId="0" xfId="0" applyFont="1"/>
    <xf numFmtId="0" fontId="36" fillId="0" borderId="0" xfId="0" applyFont="1" applyBorder="1" applyAlignment="1">
      <alignment vertical="top" wrapText="1"/>
    </xf>
    <xf numFmtId="0" fontId="0" fillId="0" borderId="0" xfId="0" applyAlignment="1">
      <alignment vertical="top"/>
    </xf>
    <xf numFmtId="0" fontId="30" fillId="0" borderId="0" xfId="0" applyFont="1" applyAlignment="1">
      <alignment vertical="top"/>
    </xf>
    <xf numFmtId="0" fontId="30" fillId="0" borderId="0" xfId="0" applyFont="1" applyBorder="1" applyAlignment="1">
      <alignment vertical="top" wrapText="1"/>
    </xf>
    <xf numFmtId="37" fontId="7" fillId="2" borderId="43" xfId="0" applyNumberFormat="1" applyFont="1" applyFill="1" applyBorder="1" applyAlignment="1"/>
    <xf numFmtId="37" fontId="7" fillId="0" borderId="43" xfId="0" applyNumberFormat="1" applyFont="1" applyFill="1" applyBorder="1" applyAlignment="1"/>
    <xf numFmtId="37" fontId="17" fillId="0" borderId="14" xfId="0" applyNumberFormat="1" applyFont="1" applyBorder="1" applyAlignment="1">
      <alignment horizontal="right"/>
    </xf>
    <xf numFmtId="37" fontId="25" fillId="2" borderId="37" xfId="0" applyNumberFormat="1" applyFont="1" applyFill="1" applyBorder="1" applyAlignment="1"/>
    <xf numFmtId="165" fontId="39" fillId="0" borderId="0" xfId="0" applyNumberFormat="1" applyFont="1" applyAlignment="1"/>
    <xf numFmtId="0" fontId="58" fillId="2" borderId="0" xfId="0" applyFont="1" applyFill="1" applyProtection="1">
      <protection hidden="1"/>
    </xf>
    <xf numFmtId="37" fontId="17" fillId="0" borderId="17" xfId="0" applyNumberFormat="1" applyFont="1" applyBorder="1" applyAlignment="1">
      <alignment horizontal="right"/>
    </xf>
    <xf numFmtId="37" fontId="24" fillId="2" borderId="48" xfId="0" applyNumberFormat="1" applyFont="1" applyFill="1" applyBorder="1" applyAlignment="1"/>
    <xf numFmtId="0" fontId="14" fillId="0" borderId="0" xfId="0" applyFont="1"/>
    <xf numFmtId="37" fontId="6" fillId="0" borderId="11" xfId="0" applyNumberFormat="1" applyFont="1" applyBorder="1" applyAlignment="1"/>
    <xf numFmtId="164" fontId="17" fillId="0" borderId="3" xfId="0" applyNumberFormat="1" applyFont="1" applyBorder="1" applyAlignment="1"/>
    <xf numFmtId="164" fontId="17" fillId="0" borderId="4" xfId="0" applyNumberFormat="1" applyFont="1" applyBorder="1" applyAlignment="1"/>
    <xf numFmtId="0" fontId="25" fillId="2" borderId="56" xfId="0" applyNumberFormat="1" applyFont="1" applyFill="1" applyBorder="1" applyAlignment="1">
      <alignment horizontal="right"/>
    </xf>
    <xf numFmtId="0" fontId="25" fillId="2" borderId="58" xfId="0" applyNumberFormat="1" applyFont="1" applyFill="1" applyBorder="1" applyAlignment="1">
      <alignment horizontal="right"/>
    </xf>
    <xf numFmtId="0" fontId="18" fillId="0" borderId="0" xfId="0" applyNumberFormat="1" applyFont="1" applyAlignment="1"/>
    <xf numFmtId="0" fontId="24" fillId="2" borderId="15" xfId="0" applyNumberFormat="1" applyFont="1" applyFill="1" applyBorder="1" applyAlignment="1">
      <alignment horizontal="left"/>
    </xf>
    <xf numFmtId="0" fontId="25" fillId="2" borderId="34" xfId="0" applyNumberFormat="1" applyFont="1" applyFill="1" applyBorder="1" applyAlignment="1">
      <alignment horizontal="left"/>
    </xf>
    <xf numFmtId="0" fontId="25" fillId="2" borderId="15" xfId="0" applyNumberFormat="1" applyFont="1" applyFill="1" applyBorder="1" applyAlignment="1">
      <alignment horizontal="left"/>
    </xf>
    <xf numFmtId="0" fontId="25" fillId="2" borderId="35" xfId="0" applyNumberFormat="1" applyFont="1" applyFill="1" applyBorder="1" applyAlignment="1">
      <alignment horizontal="left"/>
    </xf>
    <xf numFmtId="0" fontId="25" fillId="2" borderId="60" xfId="0" applyNumberFormat="1" applyFont="1" applyFill="1" applyBorder="1" applyAlignment="1">
      <alignment horizontal="right"/>
    </xf>
    <xf numFmtId="0" fontId="25" fillId="2" borderId="61" xfId="0" applyNumberFormat="1" applyFont="1" applyFill="1" applyBorder="1" applyAlignment="1">
      <alignment horizontal="right"/>
    </xf>
    <xf numFmtId="0" fontId="7" fillId="2" borderId="63" xfId="0" applyNumberFormat="1" applyFont="1" applyFill="1" applyBorder="1" applyAlignment="1">
      <alignment horizontal="left" indent="1"/>
    </xf>
    <xf numFmtId="0" fontId="7" fillId="2" borderId="13" xfId="0" applyNumberFormat="1" applyFont="1" applyFill="1" applyBorder="1" applyAlignment="1">
      <alignment horizontal="left" indent="1"/>
    </xf>
    <xf numFmtId="0" fontId="8" fillId="2" borderId="13" xfId="0" applyNumberFormat="1" applyFont="1" applyFill="1" applyBorder="1" applyAlignment="1">
      <alignment horizontal="left" indent="2"/>
    </xf>
    <xf numFmtId="0" fontId="7" fillId="2" borderId="43" xfId="0" applyNumberFormat="1" applyFont="1" applyFill="1" applyBorder="1" applyAlignment="1">
      <alignment horizontal="left" indent="1"/>
    </xf>
    <xf numFmtId="0" fontId="7" fillId="2" borderId="64" xfId="0" applyNumberFormat="1" applyFont="1" applyFill="1" applyBorder="1" applyAlignment="1">
      <alignment horizontal="left" indent="2"/>
    </xf>
    <xf numFmtId="0" fontId="7" fillId="2" borderId="13" xfId="0" applyNumberFormat="1" applyFont="1" applyFill="1" applyBorder="1" applyAlignment="1">
      <alignment horizontal="left" indent="2"/>
    </xf>
    <xf numFmtId="0" fontId="26" fillId="2" borderId="13" xfId="0" applyNumberFormat="1" applyFont="1" applyFill="1" applyBorder="1" applyAlignment="1">
      <alignment horizontal="left" indent="3"/>
    </xf>
    <xf numFmtId="0" fontId="7" fillId="0" borderId="13" xfId="0" applyNumberFormat="1" applyFont="1" applyFill="1" applyBorder="1" applyAlignment="1">
      <alignment horizontal="left" indent="2"/>
    </xf>
    <xf numFmtId="0" fontId="26" fillId="2" borderId="60" xfId="0" applyNumberFormat="1" applyFont="1" applyFill="1" applyBorder="1" applyAlignment="1">
      <alignment horizontal="right"/>
    </xf>
    <xf numFmtId="0" fontId="26" fillId="2" borderId="61" xfId="0" applyNumberFormat="1" applyFont="1" applyFill="1" applyBorder="1" applyAlignment="1">
      <alignment horizontal="right"/>
    </xf>
    <xf numFmtId="0" fontId="26" fillId="2" borderId="62" xfId="0" applyNumberFormat="1" applyFont="1" applyFill="1" applyBorder="1" applyAlignment="1">
      <alignment horizontal="right"/>
    </xf>
    <xf numFmtId="0" fontId="6" fillId="0" borderId="15" xfId="0" applyNumberFormat="1" applyFont="1" applyBorder="1" applyAlignment="1"/>
    <xf numFmtId="0" fontId="6" fillId="0" borderId="11" xfId="0" applyNumberFormat="1" applyFont="1" applyBorder="1" applyAlignment="1"/>
    <xf numFmtId="0" fontId="6" fillId="0" borderId="7" xfId="0" applyNumberFormat="1" applyFont="1" applyBorder="1" applyAlignment="1"/>
    <xf numFmtId="0" fontId="17" fillId="0" borderId="3" xfId="0" applyNumberFormat="1" applyFont="1" applyBorder="1" applyAlignment="1"/>
    <xf numFmtId="0" fontId="6" fillId="0" borderId="65" xfId="0" applyNumberFormat="1" applyFont="1" applyBorder="1" applyAlignment="1"/>
    <xf numFmtId="0" fontId="6" fillId="0" borderId="66" xfId="0" applyNumberFormat="1" applyFont="1" applyBorder="1" applyAlignment="1"/>
    <xf numFmtId="0" fontId="6" fillId="0" borderId="11" xfId="0" applyNumberFormat="1" applyFont="1" applyBorder="1" applyAlignment="1">
      <alignment horizontal="fill"/>
    </xf>
    <xf numFmtId="0" fontId="6" fillId="0" borderId="3" xfId="0" applyNumberFormat="1" applyFont="1" applyBorder="1" applyAlignment="1">
      <alignment horizontal="fill"/>
    </xf>
    <xf numFmtId="0" fontId="6" fillId="0" borderId="3" xfId="0" applyNumberFormat="1" applyFont="1" applyBorder="1" applyAlignment="1"/>
    <xf numFmtId="0" fontId="6" fillId="0" borderId="60" xfId="0" applyNumberFormat="1" applyFont="1" applyBorder="1" applyAlignment="1">
      <alignment horizontal="right"/>
    </xf>
    <xf numFmtId="0" fontId="6" fillId="0" borderId="61" xfId="0" applyNumberFormat="1" applyFont="1" applyBorder="1" applyAlignment="1">
      <alignment horizontal="center"/>
    </xf>
    <xf numFmtId="0" fontId="6" fillId="0" borderId="61" xfId="0" applyNumberFormat="1" applyFont="1" applyBorder="1" applyAlignment="1">
      <alignment horizontal="right"/>
    </xf>
    <xf numFmtId="0" fontId="6" fillId="0" borderId="60" xfId="0" applyNumberFormat="1" applyFont="1" applyBorder="1" applyAlignment="1">
      <alignment horizontal="center"/>
    </xf>
    <xf numFmtId="0" fontId="6" fillId="0" borderId="62" xfId="0" applyNumberFormat="1" applyFont="1" applyBorder="1" applyAlignment="1">
      <alignment horizontal="right"/>
    </xf>
    <xf numFmtId="37" fontId="6" fillId="0" borderId="8" xfId="0" applyNumberFormat="1" applyFont="1" applyBorder="1" applyAlignment="1">
      <alignment horizontal="center"/>
    </xf>
    <xf numFmtId="37" fontId="6" fillId="0" borderId="0" xfId="0" applyNumberFormat="1" applyFont="1" applyAlignment="1">
      <alignment horizontal="center"/>
    </xf>
    <xf numFmtId="37" fontId="6" fillId="0" borderId="8" xfId="0" applyNumberFormat="1" applyFont="1" applyBorder="1" applyAlignment="1"/>
    <xf numFmtId="37" fontId="6" fillId="0" borderId="0" xfId="0" applyNumberFormat="1" applyFont="1" applyAlignment="1"/>
    <xf numFmtId="37" fontId="6" fillId="0" borderId="7" xfId="0" applyNumberFormat="1" applyFont="1" applyBorder="1" applyAlignment="1"/>
    <xf numFmtId="37" fontId="6" fillId="0" borderId="3" xfId="0" applyNumberFormat="1" applyFont="1" applyBorder="1" applyAlignment="1"/>
    <xf numFmtId="37" fontId="6" fillId="0" borderId="15" xfId="0" applyNumberFormat="1" applyFont="1" applyBorder="1" applyAlignment="1"/>
    <xf numFmtId="37" fontId="6" fillId="0" borderId="0" xfId="0" applyNumberFormat="1" applyFont="1" applyBorder="1" applyAlignment="1"/>
    <xf numFmtId="5" fontId="7" fillId="2" borderId="11" xfId="0" applyNumberFormat="1" applyFont="1" applyFill="1" applyBorder="1" applyAlignment="1"/>
    <xf numFmtId="5" fontId="7" fillId="2" borderId="12" xfId="0" applyNumberFormat="1" applyFont="1" applyFill="1" applyBorder="1" applyAlignment="1"/>
    <xf numFmtId="0" fontId="7" fillId="2" borderId="68" xfId="0" applyNumberFormat="1" applyFont="1" applyFill="1" applyBorder="1" applyAlignment="1">
      <alignment horizontal="left"/>
    </xf>
    <xf numFmtId="0" fontId="27" fillId="2" borderId="69" xfId="0" applyNumberFormat="1" applyFont="1" applyFill="1" applyBorder="1" applyAlignment="1">
      <alignment horizontal="left" indent="5"/>
    </xf>
    <xf numFmtId="0" fontId="43" fillId="0" borderId="0" xfId="0" applyFont="1" applyBorder="1" applyAlignment="1">
      <alignment vertical="top" wrapText="1"/>
    </xf>
    <xf numFmtId="0" fontId="30" fillId="0" borderId="0" xfId="0" applyFont="1" applyBorder="1" applyAlignment="1">
      <alignment horizontal="center" vertical="top"/>
    </xf>
    <xf numFmtId="0" fontId="36" fillId="0" borderId="0" xfId="0" applyFont="1" applyBorder="1" applyAlignment="1">
      <alignment horizontal="center" vertical="top" wrapText="1"/>
    </xf>
    <xf numFmtId="0" fontId="0" fillId="3" borderId="0" xfId="0" applyFill="1" applyBorder="1" applyAlignment="1">
      <alignment horizontal="center" vertical="top"/>
    </xf>
    <xf numFmtId="0" fontId="61" fillId="0" borderId="0" xfId="0" applyFont="1" applyBorder="1" applyAlignment="1">
      <alignment horizontal="center"/>
    </xf>
    <xf numFmtId="0" fontId="60" fillId="0" borderId="0" xfId="0" applyFont="1" applyBorder="1" applyAlignment="1">
      <alignment vertical="top" wrapText="1"/>
    </xf>
    <xf numFmtId="0" fontId="30" fillId="0" borderId="0" xfId="0" applyFont="1" applyBorder="1" applyAlignment="1">
      <alignment horizontal="right" vertical="top" wrapText="1"/>
    </xf>
    <xf numFmtId="0" fontId="30" fillId="3" borderId="0" xfId="0" applyFont="1" applyFill="1" applyBorder="1" applyAlignment="1">
      <alignment horizontal="center" vertical="top"/>
    </xf>
    <xf numFmtId="0" fontId="36" fillId="0" borderId="0" xfId="0" applyFont="1" applyBorder="1" applyAlignment="1">
      <alignment horizontal="center"/>
    </xf>
    <xf numFmtId="0" fontId="6" fillId="0" borderId="34" xfId="0" applyNumberFormat="1" applyFont="1" applyBorder="1" applyAlignment="1"/>
    <xf numFmtId="0" fontId="17" fillId="0" borderId="60" xfId="0" applyNumberFormat="1" applyFont="1" applyBorder="1" applyAlignment="1">
      <alignment horizontal="right"/>
    </xf>
    <xf numFmtId="0" fontId="17" fillId="0" borderId="61" xfId="0" applyNumberFormat="1" applyFont="1" applyBorder="1" applyAlignment="1">
      <alignment horizontal="right"/>
    </xf>
    <xf numFmtId="0" fontId="17" fillId="0" borderId="62" xfId="0" applyNumberFormat="1" applyFont="1" applyBorder="1" applyAlignment="1">
      <alignment horizontal="right"/>
    </xf>
    <xf numFmtId="0" fontId="6" fillId="0" borderId="63" xfId="0" applyNumberFormat="1" applyFont="1" applyBorder="1" applyAlignment="1">
      <alignment horizontal="left"/>
    </xf>
    <xf numFmtId="0" fontId="6" fillId="0" borderId="13" xfId="0" applyNumberFormat="1" applyFont="1" applyBorder="1" applyAlignment="1">
      <alignment horizontal="left"/>
    </xf>
    <xf numFmtId="0" fontId="6" fillId="0" borderId="43" xfId="0" applyNumberFormat="1" applyFont="1" applyBorder="1" applyAlignment="1">
      <alignment horizontal="left"/>
    </xf>
    <xf numFmtId="37" fontId="17" fillId="0" borderId="7" xfId="0" applyNumberFormat="1" applyFont="1" applyBorder="1" applyAlignment="1"/>
    <xf numFmtId="37" fontId="17" fillId="0" borderId="3" xfId="0" applyNumberFormat="1" applyFont="1" applyBorder="1" applyAlignment="1"/>
    <xf numFmtId="5" fontId="17" fillId="0" borderId="3" xfId="0" applyNumberFormat="1" applyFont="1" applyBorder="1" applyAlignment="1"/>
    <xf numFmtId="5" fontId="17" fillId="0" borderId="4" xfId="0" applyNumberFormat="1" applyFont="1" applyBorder="1" applyAlignment="1"/>
    <xf numFmtId="37" fontId="6" fillId="0" borderId="4" xfId="0" applyNumberFormat="1" applyFont="1" applyBorder="1" applyAlignment="1"/>
    <xf numFmtId="37" fontId="6" fillId="0" borderId="34" xfId="0" applyNumberFormat="1" applyFont="1" applyBorder="1" applyAlignment="1"/>
    <xf numFmtId="37" fontId="6" fillId="0" borderId="37" xfId="0" applyNumberFormat="1" applyFont="1" applyBorder="1" applyAlignment="1"/>
    <xf numFmtId="37" fontId="6" fillId="0" borderId="18" xfId="0" applyNumberFormat="1" applyFont="1" applyBorder="1" applyAlignment="1"/>
    <xf numFmtId="0" fontId="6" fillId="0" borderId="64" xfId="0" applyNumberFormat="1" applyFont="1" applyBorder="1" applyAlignment="1"/>
    <xf numFmtId="0" fontId="6" fillId="0" borderId="13" xfId="0" applyNumberFormat="1" applyFont="1" applyBorder="1" applyAlignment="1">
      <alignment horizontal="left" indent="3"/>
    </xf>
    <xf numFmtId="0" fontId="6" fillId="0" borderId="43" xfId="0" applyNumberFormat="1" applyFont="1" applyBorder="1" applyAlignment="1">
      <alignment horizontal="left" indent="3"/>
    </xf>
    <xf numFmtId="5" fontId="6" fillId="0" borderId="3" xfId="0" applyNumberFormat="1" applyFont="1" applyBorder="1" applyAlignment="1"/>
    <xf numFmtId="5" fontId="6" fillId="0" borderId="4" xfId="0" applyNumberFormat="1" applyFont="1" applyBorder="1" applyAlignment="1"/>
    <xf numFmtId="165" fontId="6" fillId="0" borderId="0" xfId="0" applyNumberFormat="1" applyFont="1" applyAlignment="1">
      <alignment horizontal="centerContinuous"/>
    </xf>
    <xf numFmtId="37" fontId="17" fillId="0" borderId="0" xfId="0" applyNumberFormat="1" applyFont="1" applyBorder="1" applyAlignment="1"/>
    <xf numFmtId="5" fontId="17" fillId="0" borderId="0" xfId="0" applyNumberFormat="1" applyFont="1" applyBorder="1" applyAlignment="1"/>
    <xf numFmtId="3" fontId="7" fillId="2" borderId="0" xfId="0" applyNumberFormat="1" applyFont="1" applyFill="1" applyAlignment="1"/>
    <xf numFmtId="165" fontId="52" fillId="0" borderId="0" xfId="0" applyNumberFormat="1" applyFont="1" applyAlignment="1"/>
    <xf numFmtId="165" fontId="51" fillId="0" borderId="0" xfId="0" applyNumberFormat="1" applyFont="1" applyAlignment="1"/>
    <xf numFmtId="37" fontId="6" fillId="0" borderId="36" xfId="0" applyNumberFormat="1" applyFont="1" applyBorder="1" applyAlignment="1"/>
    <xf numFmtId="0" fontId="59" fillId="0" borderId="8" xfId="0" applyNumberFormat="1" applyFont="1" applyBorder="1" applyAlignment="1"/>
    <xf numFmtId="0" fontId="59" fillId="0" borderId="0" xfId="0" applyNumberFormat="1" applyFont="1" applyBorder="1" applyAlignment="1"/>
    <xf numFmtId="0" fontId="59" fillId="0" borderId="36" xfId="0" applyNumberFormat="1" applyFont="1" applyBorder="1" applyAlignment="1"/>
    <xf numFmtId="0" fontId="59" fillId="0" borderId="0" xfId="0" applyNumberFormat="1" applyFont="1" applyAlignment="1"/>
    <xf numFmtId="0" fontId="47" fillId="0" borderId="0" xfId="8" applyFont="1"/>
    <xf numFmtId="0" fontId="0" fillId="0" borderId="0" xfId="0" applyAlignment="1"/>
    <xf numFmtId="0" fontId="20" fillId="0" borderId="0" xfId="8"/>
    <xf numFmtId="0" fontId="17" fillId="0" borderId="0" xfId="8" applyFont="1"/>
    <xf numFmtId="0" fontId="22" fillId="0" borderId="0" xfId="8" applyFont="1"/>
    <xf numFmtId="0" fontId="9" fillId="0" borderId="0" xfId="8" applyFont="1"/>
    <xf numFmtId="0" fontId="9" fillId="0" borderId="0" xfId="8" applyFont="1" applyFill="1" applyAlignment="1">
      <alignment vertical="center"/>
    </xf>
    <xf numFmtId="0" fontId="22" fillId="0" borderId="0" xfId="8" applyFont="1" applyFill="1" applyBorder="1" applyAlignment="1">
      <alignment horizontal="centerContinuous"/>
    </xf>
    <xf numFmtId="0" fontId="9" fillId="0" borderId="8" xfId="8" applyFont="1" applyFill="1" applyBorder="1" applyAlignment="1">
      <alignment horizontal="center"/>
    </xf>
    <xf numFmtId="0" fontId="9" fillId="0" borderId="36" xfId="8" applyFont="1" applyFill="1" applyBorder="1" applyAlignment="1">
      <alignment horizontal="center"/>
    </xf>
    <xf numFmtId="0" fontId="9" fillId="0" borderId="0" xfId="8" applyFont="1" applyFill="1"/>
    <xf numFmtId="0" fontId="9" fillId="0" borderId="0" xfId="8" applyFont="1" applyFill="1" applyBorder="1" applyAlignment="1">
      <alignment horizontal="center"/>
    </xf>
    <xf numFmtId="0" fontId="9" fillId="0" borderId="7" xfId="8" applyFont="1" applyFill="1" applyBorder="1" applyAlignment="1">
      <alignment horizontal="center" wrapText="1"/>
    </xf>
    <xf numFmtId="0" fontId="9" fillId="0" borderId="4" xfId="8" applyFont="1" applyFill="1" applyBorder="1" applyAlignment="1">
      <alignment horizontal="center" wrapText="1"/>
    </xf>
    <xf numFmtId="0" fontId="63" fillId="0" borderId="0" xfId="8" applyFont="1" applyFill="1" applyBorder="1" applyAlignment="1">
      <alignment horizontal="center"/>
    </xf>
    <xf numFmtId="0" fontId="9" fillId="0" borderId="2" xfId="8" applyFont="1" applyBorder="1"/>
    <xf numFmtId="0" fontId="9" fillId="0" borderId="0" xfId="8" applyFont="1" applyBorder="1"/>
    <xf numFmtId="0" fontId="22" fillId="0" borderId="6" xfId="8" applyFont="1" applyBorder="1"/>
    <xf numFmtId="168" fontId="22" fillId="0" borderId="0" xfId="3" applyNumberFormat="1" applyFont="1" applyBorder="1"/>
    <xf numFmtId="167" fontId="9" fillId="0" borderId="0" xfId="1" applyNumberFormat="1" applyFont="1" applyBorder="1"/>
    <xf numFmtId="167" fontId="22" fillId="0" borderId="0" xfId="1" applyNumberFormat="1" applyFont="1" applyBorder="1"/>
    <xf numFmtId="0" fontId="64" fillId="0" borderId="0" xfId="8" applyFont="1"/>
    <xf numFmtId="0" fontId="22" fillId="0" borderId="71" xfId="8" applyFont="1" applyBorder="1" applyAlignment="1">
      <alignment horizontal="left"/>
    </xf>
    <xf numFmtId="0" fontId="22" fillId="0" borderId="72" xfId="8" applyFont="1" applyBorder="1" applyAlignment="1">
      <alignment horizontal="left"/>
    </xf>
    <xf numFmtId="167" fontId="22" fillId="0" borderId="0" xfId="8" applyNumberFormat="1" applyFont="1" applyBorder="1" applyAlignment="1">
      <alignment horizontal="left"/>
    </xf>
    <xf numFmtId="168" fontId="22" fillId="0" borderId="0" xfId="3" applyNumberFormat="1" applyFont="1" applyBorder="1" applyAlignment="1">
      <alignment horizontal="left"/>
    </xf>
    <xf numFmtId="0" fontId="64" fillId="0" borderId="0" xfId="8" applyFont="1" applyAlignment="1">
      <alignment horizontal="left"/>
    </xf>
    <xf numFmtId="0" fontId="64" fillId="0" borderId="0" xfId="8" applyFont="1" applyBorder="1" applyAlignment="1">
      <alignment horizontal="left"/>
    </xf>
    <xf numFmtId="0" fontId="22" fillId="0" borderId="0" xfId="8" applyFont="1" applyBorder="1" applyAlignment="1">
      <alignment horizontal="left"/>
    </xf>
    <xf numFmtId="0" fontId="67" fillId="0" borderId="0" xfId="0" applyFont="1"/>
    <xf numFmtId="0" fontId="7" fillId="2" borderId="15" xfId="0" applyNumberFormat="1" applyFont="1" applyFill="1" applyBorder="1" applyAlignment="1">
      <alignment horizontal="left" indent="1"/>
    </xf>
    <xf numFmtId="0" fontId="26" fillId="0" borderId="66" xfId="0" applyNumberFormat="1" applyFont="1" applyFill="1" applyBorder="1" applyAlignment="1">
      <alignment horizontal="left" indent="2"/>
    </xf>
    <xf numFmtId="37" fontId="26" fillId="0" borderId="66" xfId="0" applyNumberFormat="1" applyFont="1" applyFill="1" applyBorder="1" applyAlignment="1"/>
    <xf numFmtId="37" fontId="26" fillId="0" borderId="75" xfId="0" applyNumberFormat="1" applyFont="1" applyFill="1" applyBorder="1" applyAlignment="1"/>
    <xf numFmtId="37" fontId="26" fillId="0" borderId="76" xfId="0" applyNumberFormat="1" applyFont="1" applyFill="1" applyBorder="1" applyAlignment="1"/>
    <xf numFmtId="0" fontId="26" fillId="0" borderId="77" xfId="0" applyNumberFormat="1" applyFont="1" applyFill="1" applyBorder="1" applyAlignment="1">
      <alignment horizontal="left" indent="2"/>
    </xf>
    <xf numFmtId="37" fontId="26" fillId="0" borderId="63" xfId="0" applyNumberFormat="1" applyFont="1" applyFill="1" applyBorder="1" applyAlignment="1"/>
    <xf numFmtId="37" fontId="26" fillId="0" borderId="78" xfId="0" applyNumberFormat="1" applyFont="1" applyFill="1" applyBorder="1" applyAlignment="1"/>
    <xf numFmtId="37" fontId="26" fillId="0" borderId="79" xfId="0" applyNumberFormat="1" applyFont="1" applyFill="1" applyBorder="1" applyAlignment="1"/>
    <xf numFmtId="37" fontId="7" fillId="2" borderId="18" xfId="0" applyNumberFormat="1" applyFont="1" applyFill="1" applyBorder="1" applyAlignment="1"/>
    <xf numFmtId="0" fontId="21" fillId="3" borderId="0" xfId="0" applyFont="1" applyFill="1" applyBorder="1" applyAlignment="1">
      <alignment horizontal="center" vertical="top"/>
    </xf>
    <xf numFmtId="3" fontId="15" fillId="0" borderId="0" xfId="0" applyNumberFormat="1" applyFont="1" applyAlignment="1"/>
    <xf numFmtId="3" fontId="29" fillId="0" borderId="0" xfId="0" applyNumberFormat="1" applyFont="1" applyAlignment="1"/>
    <xf numFmtId="165" fontId="15" fillId="0" borderId="0" xfId="0" applyNumberFormat="1" applyFont="1"/>
    <xf numFmtId="3" fontId="7" fillId="2" borderId="0" xfId="0" applyNumberFormat="1" applyFont="1" applyFill="1" applyAlignment="1">
      <alignment horizontal="center"/>
    </xf>
    <xf numFmtId="3" fontId="7" fillId="2" borderId="0" xfId="0" applyNumberFormat="1" applyFont="1" applyFill="1" applyBorder="1" applyAlignment="1">
      <alignment horizontal="center"/>
    </xf>
    <xf numFmtId="5" fontId="17" fillId="0" borderId="5" xfId="0" applyNumberFormat="1" applyFont="1" applyBorder="1" applyAlignment="1"/>
    <xf numFmtId="37" fontId="6" fillId="0" borderId="38" xfId="0" applyNumberFormat="1" applyFont="1" applyBorder="1" applyAlignment="1"/>
    <xf numFmtId="5" fontId="6" fillId="0" borderId="5" xfId="0" applyNumberFormat="1" applyFont="1" applyBorder="1" applyAlignment="1"/>
    <xf numFmtId="0" fontId="17" fillId="0" borderId="84" xfId="0" applyNumberFormat="1" applyFont="1" applyBorder="1" applyAlignment="1">
      <alignment horizontal="center"/>
    </xf>
    <xf numFmtId="0" fontId="17" fillId="0" borderId="61" xfId="0" applyNumberFormat="1" applyFont="1" applyBorder="1" applyAlignment="1">
      <alignment horizontal="center"/>
    </xf>
    <xf numFmtId="0" fontId="25" fillId="2" borderId="57" xfId="0" applyNumberFormat="1" applyFont="1" applyFill="1" applyBorder="1" applyAlignment="1">
      <alignment horizontal="center"/>
    </xf>
    <xf numFmtId="37" fontId="24" fillId="2" borderId="27" xfId="0" applyNumberFormat="1" applyFont="1" applyFill="1" applyBorder="1" applyAlignment="1">
      <alignment horizontal="center"/>
    </xf>
    <xf numFmtId="3" fontId="5" fillId="2" borderId="0" xfId="0" applyNumberFormat="1" applyFont="1" applyFill="1" applyBorder="1" applyAlignment="1">
      <alignment horizontal="center"/>
    </xf>
    <xf numFmtId="37" fontId="24" fillId="2" borderId="36" xfId="0" applyNumberFormat="1" applyFont="1" applyFill="1" applyBorder="1" applyAlignment="1">
      <alignment horizontal="center"/>
    </xf>
    <xf numFmtId="0" fontId="25" fillId="2" borderId="59" xfId="0" applyNumberFormat="1" applyFont="1" applyFill="1" applyBorder="1" applyAlignment="1">
      <alignment horizontal="center"/>
    </xf>
    <xf numFmtId="0" fontId="68" fillId="2" borderId="19" xfId="0" applyNumberFormat="1" applyFont="1" applyFill="1" applyBorder="1" applyAlignment="1">
      <alignment horizontal="left"/>
    </xf>
    <xf numFmtId="0" fontId="68" fillId="2" borderId="52" xfId="0" applyNumberFormat="1" applyFont="1" applyFill="1" applyBorder="1" applyAlignment="1">
      <alignment horizontal="left"/>
    </xf>
    <xf numFmtId="0" fontId="68" fillId="2" borderId="53" xfId="0" applyNumberFormat="1" applyFont="1" applyFill="1" applyBorder="1" applyAlignment="1">
      <alignment horizontal="left"/>
    </xf>
    <xf numFmtId="0" fontId="68" fillId="2" borderId="54" xfId="0" applyNumberFormat="1" applyFont="1" applyFill="1" applyBorder="1" applyAlignment="1">
      <alignment horizontal="left"/>
    </xf>
    <xf numFmtId="0" fontId="34" fillId="2" borderId="55" xfId="0" applyNumberFormat="1" applyFont="1" applyFill="1" applyBorder="1" applyAlignment="1">
      <alignment horizontal="left"/>
    </xf>
    <xf numFmtId="5" fontId="7" fillId="2" borderId="44" xfId="0" applyNumberFormat="1" applyFont="1" applyFill="1" applyBorder="1" applyAlignment="1"/>
    <xf numFmtId="5" fontId="7" fillId="2" borderId="45" xfId="0" applyNumberFormat="1" applyFont="1" applyFill="1" applyBorder="1" applyAlignment="1"/>
    <xf numFmtId="3" fontId="3" fillId="0" borderId="0" xfId="0" applyNumberFormat="1" applyFont="1" applyAlignment="1"/>
    <xf numFmtId="0" fontId="22" fillId="0" borderId="0" xfId="7" applyFont="1" applyBorder="1"/>
    <xf numFmtId="0" fontId="3" fillId="0" borderId="13" xfId="0" applyNumberFormat="1" applyFont="1" applyBorder="1" applyAlignment="1">
      <alignment horizontal="left" indent="4"/>
    </xf>
    <xf numFmtId="0" fontId="36" fillId="0" borderId="0" xfId="0" applyFont="1" applyBorder="1" applyAlignment="1">
      <alignment vertical="top" wrapText="1"/>
    </xf>
    <xf numFmtId="0" fontId="27" fillId="2" borderId="58" xfId="0" applyNumberFormat="1" applyFont="1" applyFill="1" applyBorder="1" applyAlignment="1">
      <alignment horizontal="left" indent="5"/>
    </xf>
    <xf numFmtId="37" fontId="27" fillId="2" borderId="111" xfId="0" applyNumberFormat="1" applyFont="1" applyFill="1" applyBorder="1" applyAlignment="1"/>
    <xf numFmtId="37" fontId="28" fillId="0" borderId="37" xfId="0" applyNumberFormat="1" applyFont="1" applyBorder="1"/>
    <xf numFmtId="37" fontId="27" fillId="2" borderId="110" xfId="0" applyNumberFormat="1" applyFont="1" applyFill="1" applyBorder="1" applyAlignment="1"/>
    <xf numFmtId="37" fontId="28" fillId="0" borderId="38" xfId="0" applyNumberFormat="1" applyFont="1" applyBorder="1"/>
    <xf numFmtId="0" fontId="7" fillId="2" borderId="113" xfId="0" applyNumberFormat="1" applyFont="1" applyFill="1" applyBorder="1" applyAlignment="1">
      <alignment horizontal="left"/>
    </xf>
    <xf numFmtId="37" fontId="7" fillId="2" borderId="114" xfId="0" applyNumberFormat="1" applyFont="1" applyFill="1" applyBorder="1" applyAlignment="1"/>
    <xf numFmtId="0" fontId="9" fillId="0" borderId="113" xfId="0" applyNumberFormat="1" applyFont="1" applyBorder="1" applyAlignment="1"/>
    <xf numFmtId="0" fontId="7" fillId="2" borderId="116" xfId="0" applyNumberFormat="1" applyFont="1" applyFill="1" applyBorder="1" applyAlignment="1">
      <alignment horizontal="left"/>
    </xf>
    <xf numFmtId="0" fontId="9" fillId="0" borderId="116" xfId="0" applyNumberFormat="1" applyFont="1" applyFill="1" applyBorder="1" applyAlignment="1"/>
    <xf numFmtId="37" fontId="9" fillId="0" borderId="44" xfId="0" applyNumberFormat="1" applyFont="1" applyBorder="1"/>
    <xf numFmtId="37" fontId="9" fillId="0" borderId="10" xfId="0" applyNumberFormat="1" applyFont="1" applyBorder="1"/>
    <xf numFmtId="165" fontId="3" fillId="0" borderId="0" xfId="0" applyNumberFormat="1" applyFont="1"/>
    <xf numFmtId="0" fontId="25" fillId="2" borderId="120" xfId="0" applyNumberFormat="1" applyFont="1" applyFill="1" applyBorder="1" applyAlignment="1">
      <alignment horizontal="right"/>
    </xf>
    <xf numFmtId="5" fontId="24" fillId="2" borderId="121" xfId="0" applyNumberFormat="1" applyFont="1" applyFill="1" applyBorder="1" applyAlignment="1"/>
    <xf numFmtId="5" fontId="24" fillId="2" borderId="122" xfId="0" applyNumberFormat="1" applyFont="1" applyFill="1" applyBorder="1" applyAlignment="1"/>
    <xf numFmtId="5" fontId="25" fillId="2" borderId="123" xfId="0" applyNumberFormat="1" applyFont="1" applyFill="1" applyBorder="1" applyAlignment="1"/>
    <xf numFmtId="5" fontId="24" fillId="2" borderId="124" xfId="0" applyNumberFormat="1" applyFont="1" applyFill="1" applyBorder="1" applyAlignment="1"/>
    <xf numFmtId="5" fontId="24" fillId="2" borderId="125" xfId="0" applyNumberFormat="1" applyFont="1" applyFill="1" applyBorder="1" applyAlignment="1"/>
    <xf numFmtId="0" fontId="22" fillId="0" borderId="6" xfId="8" applyFont="1" applyBorder="1" applyAlignment="1">
      <alignment vertical="top" wrapText="1"/>
    </xf>
    <xf numFmtId="0" fontId="9" fillId="0" borderId="6" xfId="0" applyFont="1" applyBorder="1" applyAlignment="1">
      <alignment vertical="top" wrapText="1"/>
    </xf>
    <xf numFmtId="0" fontId="9" fillId="0" borderId="6" xfId="0" applyFont="1" applyBorder="1" applyAlignment="1">
      <alignment vertical="top"/>
    </xf>
    <xf numFmtId="0" fontId="22" fillId="0" borderId="5" xfId="8" applyFont="1" applyBorder="1" applyAlignment="1">
      <alignment vertical="top"/>
    </xf>
    <xf numFmtId="0" fontId="9" fillId="0" borderId="6" xfId="8" applyFont="1" applyBorder="1" applyAlignment="1">
      <alignment vertical="top"/>
    </xf>
    <xf numFmtId="0" fontId="36" fillId="0" borderId="0" xfId="0" applyFont="1" applyBorder="1" applyAlignment="1">
      <alignment horizontal="center" vertical="top"/>
    </xf>
    <xf numFmtId="0" fontId="0" fillId="0" borderId="0" xfId="0" applyBorder="1" applyAlignment="1">
      <alignment horizontal="center" vertical="top"/>
    </xf>
    <xf numFmtId="0" fontId="30" fillId="0" borderId="0" xfId="0" applyFont="1" applyBorder="1" applyAlignment="1">
      <alignment vertical="top" wrapText="1"/>
    </xf>
    <xf numFmtId="0" fontId="3" fillId="0" borderId="34" xfId="0" applyNumberFormat="1" applyFont="1" applyBorder="1" applyAlignment="1"/>
    <xf numFmtId="0" fontId="0" fillId="0" borderId="67" xfId="0" applyNumberFormat="1" applyBorder="1" applyAlignment="1">
      <alignment horizontal="left" indent="4"/>
    </xf>
    <xf numFmtId="0" fontId="3" fillId="0" borderId="13" xfId="0" applyNumberFormat="1" applyFont="1" applyFill="1" applyBorder="1" applyAlignment="1">
      <alignment horizontal="left" indent="4"/>
    </xf>
    <xf numFmtId="0" fontId="0" fillId="0" borderId="0" xfId="0" applyBorder="1" applyAlignment="1">
      <alignment vertical="top" wrapText="1"/>
    </xf>
    <xf numFmtId="0" fontId="0" fillId="0" borderId="0" xfId="0"/>
    <xf numFmtId="0" fontId="3" fillId="0" borderId="15" xfId="0" applyNumberFormat="1" applyFont="1" applyBorder="1" applyAlignment="1"/>
    <xf numFmtId="0" fontId="3" fillId="0" borderId="11" xfId="0" applyNumberFormat="1" applyFont="1" applyBorder="1" applyAlignment="1"/>
    <xf numFmtId="37" fontId="3" fillId="0" borderId="15" xfId="0" applyNumberFormat="1" applyFont="1" applyBorder="1" applyAlignment="1"/>
    <xf numFmtId="37" fontId="3" fillId="0" borderId="11" xfId="0" applyNumberFormat="1" applyFont="1" applyBorder="1" applyAlignment="1"/>
    <xf numFmtId="37" fontId="3" fillId="0" borderId="12" xfId="0" applyNumberFormat="1" applyFont="1" applyBorder="1" applyAlignment="1"/>
    <xf numFmtId="37" fontId="3" fillId="0" borderId="15" xfId="0" applyNumberFormat="1" applyFont="1" applyBorder="1" applyAlignment="1">
      <alignment horizontal="right"/>
    </xf>
    <xf numFmtId="37" fontId="3" fillId="0" borderId="11" xfId="0" applyNumberFormat="1" applyFont="1" applyBorder="1" applyAlignment="1">
      <alignment horizontal="right"/>
    </xf>
    <xf numFmtId="37" fontId="3" fillId="0" borderId="12" xfId="0" applyNumberFormat="1" applyFont="1" applyBorder="1" applyAlignment="1">
      <alignment horizontal="right"/>
    </xf>
    <xf numFmtId="0" fontId="3" fillId="0" borderId="67" xfId="0" applyNumberFormat="1" applyFont="1" applyBorder="1" applyAlignment="1"/>
    <xf numFmtId="37" fontId="3" fillId="0" borderId="7" xfId="0" applyNumberFormat="1" applyFont="1" applyBorder="1" applyAlignment="1"/>
    <xf numFmtId="37" fontId="3" fillId="0" borderId="3" xfId="0" applyNumberFormat="1" applyFont="1" applyBorder="1" applyAlignment="1"/>
    <xf numFmtId="3" fontId="3" fillId="0" borderId="3" xfId="0" applyNumberFormat="1" applyFont="1" applyBorder="1" applyAlignment="1"/>
    <xf numFmtId="37" fontId="3" fillId="0" borderId="4" xfId="0" applyNumberFormat="1" applyFont="1" applyBorder="1" applyAlignment="1"/>
    <xf numFmtId="3" fontId="3" fillId="0" borderId="11" xfId="0" applyNumberFormat="1" applyFont="1" applyBorder="1" applyAlignment="1"/>
    <xf numFmtId="37" fontId="3" fillId="0" borderId="8" xfId="0" applyNumberFormat="1" applyFont="1" applyBorder="1" applyAlignment="1"/>
    <xf numFmtId="37" fontId="3" fillId="0" borderId="0" xfId="0" applyNumberFormat="1" applyFont="1" applyAlignment="1"/>
    <xf numFmtId="37" fontId="3" fillId="0" borderId="0" xfId="0" applyNumberFormat="1" applyFont="1" applyBorder="1" applyAlignment="1"/>
    <xf numFmtId="37" fontId="3" fillId="0" borderId="36" xfId="0" applyNumberFormat="1" applyFont="1" applyBorder="1" applyAlignment="1"/>
    <xf numFmtId="37" fontId="3" fillId="0" borderId="67" xfId="0" applyNumberFormat="1" applyFont="1" applyBorder="1" applyAlignment="1"/>
    <xf numFmtId="37" fontId="17" fillId="0" borderId="43" xfId="0" applyNumberFormat="1" applyFont="1" applyBorder="1" applyAlignment="1"/>
    <xf numFmtId="37" fontId="17" fillId="0" borderId="16" xfId="0" applyNumberFormat="1" applyFont="1" applyBorder="1" applyAlignment="1">
      <alignment horizontal="right"/>
    </xf>
    <xf numFmtId="37" fontId="17" fillId="0" borderId="16" xfId="0" applyNumberFormat="1" applyFont="1" applyBorder="1" applyAlignment="1"/>
    <xf numFmtId="37" fontId="3" fillId="0" borderId="16" xfId="0" applyNumberFormat="1" applyFont="1" applyBorder="1" applyAlignment="1">
      <alignment horizontal="right"/>
    </xf>
    <xf numFmtId="37" fontId="3" fillId="0" borderId="46" xfId="0" applyNumberFormat="1" applyFont="1" applyBorder="1" applyAlignment="1"/>
    <xf numFmtId="37" fontId="3" fillId="0" borderId="9" xfId="0" applyNumberFormat="1" applyFont="1" applyBorder="1" applyAlignment="1"/>
    <xf numFmtId="37" fontId="3" fillId="0" borderId="6" xfId="0" applyNumberFormat="1" applyFont="1" applyBorder="1" applyAlignment="1"/>
    <xf numFmtId="37" fontId="3" fillId="0" borderId="10" xfId="0" applyNumberFormat="1" applyFont="1" applyBorder="1" applyAlignment="1"/>
    <xf numFmtId="0" fontId="22" fillId="0" borderId="18" xfId="7" applyFont="1" applyBorder="1" applyAlignment="1">
      <alignment horizontal="center" wrapText="1"/>
    </xf>
    <xf numFmtId="37" fontId="3" fillId="0" borderId="12" xfId="0" applyNumberFormat="1" applyFont="1" applyBorder="1"/>
    <xf numFmtId="0" fontId="3" fillId="0" borderId="63" xfId="0" applyNumberFormat="1" applyFont="1" applyBorder="1" applyAlignment="1">
      <alignment horizontal="left"/>
    </xf>
    <xf numFmtId="37" fontId="3" fillId="0" borderId="15" xfId="0" applyNumberFormat="1" applyFont="1" applyFill="1" applyBorder="1" applyAlignment="1"/>
    <xf numFmtId="37" fontId="3" fillId="0" borderId="11" xfId="0" applyNumberFormat="1" applyFont="1" applyFill="1" applyBorder="1" applyAlignment="1"/>
    <xf numFmtId="0" fontId="3" fillId="0" borderId="13" xfId="0" applyNumberFormat="1" applyFont="1" applyBorder="1" applyAlignment="1">
      <alignment horizontal="left"/>
    </xf>
    <xf numFmtId="0" fontId="3" fillId="0" borderId="43" xfId="0" applyNumberFormat="1" applyFont="1" applyBorder="1" applyAlignment="1">
      <alignment horizontal="left"/>
    </xf>
    <xf numFmtId="37" fontId="3" fillId="0" borderId="7" xfId="0" applyNumberFormat="1" applyFont="1" applyFill="1" applyBorder="1" applyAlignment="1"/>
    <xf numFmtId="37" fontId="3" fillId="0" borderId="3" xfId="0" applyNumberFormat="1" applyFont="1" applyFill="1" applyBorder="1" applyAlignment="1"/>
    <xf numFmtId="37" fontId="3" fillId="0" borderId="5" xfId="0" applyNumberFormat="1" applyFont="1" applyBorder="1" applyAlignment="1"/>
    <xf numFmtId="37" fontId="3" fillId="0" borderId="34" xfId="0" applyNumberFormat="1" applyFont="1" applyBorder="1" applyAlignment="1"/>
    <xf numFmtId="37" fontId="3" fillId="0" borderId="37" xfId="0" applyNumberFormat="1" applyFont="1" applyBorder="1" applyAlignment="1"/>
    <xf numFmtId="37" fontId="3" fillId="0" borderId="38" xfId="0" applyNumberFormat="1" applyFont="1" applyBorder="1" applyAlignment="1"/>
    <xf numFmtId="37" fontId="3" fillId="0" borderId="18" xfId="0" applyNumberFormat="1" applyFont="1" applyBorder="1" applyAlignment="1"/>
    <xf numFmtId="0" fontId="3" fillId="0" borderId="64" xfId="0" applyNumberFormat="1" applyFont="1" applyBorder="1" applyAlignment="1"/>
    <xf numFmtId="0" fontId="3" fillId="0" borderId="13" xfId="0" applyNumberFormat="1" applyFont="1" applyBorder="1" applyAlignment="1">
      <alignment horizontal="left" indent="3"/>
    </xf>
    <xf numFmtId="0" fontId="3" fillId="0" borderId="43" xfId="0" applyNumberFormat="1" applyFont="1" applyBorder="1" applyAlignment="1">
      <alignment horizontal="left" indent="3"/>
    </xf>
    <xf numFmtId="5" fontId="3" fillId="0" borderId="3" xfId="0" applyNumberFormat="1" applyFont="1" applyBorder="1" applyAlignment="1"/>
    <xf numFmtId="5" fontId="3" fillId="0" borderId="5" xfId="0" applyNumberFormat="1" applyFont="1" applyBorder="1" applyAlignment="1"/>
    <xf numFmtId="5" fontId="3" fillId="0" borderId="4" xfId="0" applyNumberFormat="1" applyFont="1" applyBorder="1" applyAlignment="1"/>
    <xf numFmtId="0" fontId="17" fillId="0" borderId="34" xfId="0" applyNumberFormat="1" applyFont="1" applyFill="1" applyBorder="1" applyAlignment="1"/>
    <xf numFmtId="0" fontId="15" fillId="0" borderId="37" xfId="0" applyNumberFormat="1" applyFont="1" applyFill="1" applyBorder="1" applyAlignment="1"/>
    <xf numFmtId="0" fontId="0" fillId="0" borderId="37" xfId="0" applyNumberFormat="1" applyFill="1" applyBorder="1" applyAlignment="1"/>
    <xf numFmtId="0" fontId="3" fillId="0" borderId="8" xfId="0" applyNumberFormat="1" applyFont="1" applyFill="1" applyBorder="1" applyAlignment="1"/>
    <xf numFmtId="0" fontId="3" fillId="0" borderId="0" xfId="0" applyNumberFormat="1" applyFont="1" applyFill="1" applyBorder="1" applyAlignment="1"/>
    <xf numFmtId="0" fontId="17" fillId="0" borderId="0" xfId="0" applyNumberFormat="1" applyFont="1" applyFill="1" applyBorder="1" applyAlignment="1"/>
    <xf numFmtId="37" fontId="17" fillId="0" borderId="65" xfId="0" applyNumberFormat="1" applyFont="1" applyFill="1" applyBorder="1" applyAlignment="1">
      <alignment horizontal="center"/>
    </xf>
    <xf numFmtId="37" fontId="17" fillId="0" borderId="91" xfId="0" applyNumberFormat="1" applyFont="1" applyFill="1" applyBorder="1" applyAlignment="1">
      <alignment horizontal="center"/>
    </xf>
    <xf numFmtId="3" fontId="3" fillId="0" borderId="0" xfId="0" applyNumberFormat="1" applyFont="1" applyFill="1" applyAlignment="1"/>
    <xf numFmtId="37" fontId="17" fillId="0" borderId="7" xfId="0" applyNumberFormat="1" applyFont="1" applyFill="1" applyBorder="1" applyAlignment="1">
      <alignment horizontal="center"/>
    </xf>
    <xf numFmtId="37" fontId="17" fillId="0" borderId="3" xfId="0" applyNumberFormat="1" applyFont="1" applyFill="1" applyBorder="1" applyAlignment="1">
      <alignment horizontal="center"/>
    </xf>
    <xf numFmtId="164" fontId="17" fillId="0" borderId="3" xfId="0" applyNumberFormat="1" applyFont="1" applyFill="1" applyBorder="1" applyAlignment="1"/>
    <xf numFmtId="5" fontId="17" fillId="0" borderId="3" xfId="0" applyNumberFormat="1" applyFont="1" applyFill="1" applyBorder="1" applyAlignment="1"/>
    <xf numFmtId="0" fontId="3" fillId="0" borderId="79" xfId="0" applyNumberFormat="1" applyFont="1" applyBorder="1" applyAlignment="1">
      <alignment horizontal="left"/>
    </xf>
    <xf numFmtId="0" fontId="3" fillId="0" borderId="80" xfId="0" applyNumberFormat="1" applyFont="1" applyBorder="1" applyAlignment="1">
      <alignment horizontal="left"/>
    </xf>
    <xf numFmtId="37" fontId="3" fillId="0" borderId="13" xfId="0" applyNumberFormat="1" applyFont="1" applyBorder="1" applyAlignment="1"/>
    <xf numFmtId="37" fontId="3" fillId="0" borderId="80" xfId="0" applyNumberFormat="1" applyFont="1" applyBorder="1" applyAlignment="1"/>
    <xf numFmtId="0" fontId="3" fillId="0" borderId="45" xfId="0" applyNumberFormat="1" applyFont="1" applyBorder="1" applyAlignment="1">
      <alignment horizontal="left"/>
    </xf>
    <xf numFmtId="37" fontId="3" fillId="0" borderId="4" xfId="0" applyNumberFormat="1" applyFont="1" applyFill="1" applyBorder="1" applyAlignment="1"/>
    <xf numFmtId="37" fontId="9" fillId="0" borderId="8" xfId="8" applyNumberFormat="1" applyFont="1" applyBorder="1" applyAlignment="1">
      <alignment horizontal="right"/>
    </xf>
    <xf numFmtId="37" fontId="9" fillId="0" borderId="36" xfId="8" applyNumberFormat="1" applyFont="1" applyBorder="1" applyAlignment="1">
      <alignment horizontal="right"/>
    </xf>
    <xf numFmtId="3" fontId="9" fillId="0" borderId="0" xfId="8" applyNumberFormat="1" applyFont="1" applyAlignment="1">
      <alignment horizontal="right"/>
    </xf>
    <xf numFmtId="37" fontId="9" fillId="0" borderId="65" xfId="8" applyNumberFormat="1" applyFont="1" applyBorder="1" applyAlignment="1">
      <alignment horizontal="right"/>
    </xf>
    <xf numFmtId="37" fontId="22" fillId="0" borderId="34" xfId="1" applyNumberFormat="1" applyFont="1" applyBorder="1" applyAlignment="1">
      <alignment horizontal="right"/>
    </xf>
    <xf numFmtId="37" fontId="22" fillId="0" borderId="18" xfId="1" applyNumberFormat="1" applyFont="1" applyBorder="1" applyAlignment="1">
      <alignment horizontal="right"/>
    </xf>
    <xf numFmtId="3" fontId="22" fillId="0" borderId="65" xfId="1" applyNumberFormat="1" applyFont="1" applyBorder="1" applyAlignment="1">
      <alignment horizontal="right"/>
    </xf>
    <xf numFmtId="3" fontId="22" fillId="0" borderId="2" xfId="1" applyNumberFormat="1" applyFont="1" applyBorder="1" applyAlignment="1">
      <alignment horizontal="right"/>
    </xf>
    <xf numFmtId="170" fontId="9" fillId="0" borderId="0" xfId="8" applyNumberFormat="1" applyFont="1" applyAlignment="1">
      <alignment horizontal="right"/>
    </xf>
    <xf numFmtId="37" fontId="9" fillId="0" borderId="0" xfId="8" applyNumberFormat="1" applyFont="1" applyAlignment="1">
      <alignment horizontal="right"/>
    </xf>
    <xf numFmtId="0" fontId="9" fillId="0" borderId="0" xfId="8" applyFont="1" applyAlignment="1">
      <alignment horizontal="right"/>
    </xf>
    <xf numFmtId="37" fontId="9" fillId="0" borderId="70" xfId="8" applyNumberFormat="1" applyFont="1" applyBorder="1" applyAlignment="1">
      <alignment horizontal="right"/>
    </xf>
    <xf numFmtId="37" fontId="22" fillId="0" borderId="73" xfId="8" applyNumberFormat="1" applyFont="1" applyBorder="1" applyAlignment="1">
      <alignment horizontal="right"/>
    </xf>
    <xf numFmtId="0" fontId="22" fillId="0" borderId="72" xfId="8" applyFont="1" applyBorder="1" applyAlignment="1">
      <alignment horizontal="right"/>
    </xf>
    <xf numFmtId="37" fontId="24" fillId="2" borderId="15" xfId="0" applyNumberFormat="1" applyFont="1" applyFill="1" applyBorder="1" applyAlignment="1"/>
    <xf numFmtId="37" fontId="24" fillId="2" borderId="11" xfId="0" applyNumberFormat="1" applyFont="1" applyFill="1" applyBorder="1" applyAlignment="1"/>
    <xf numFmtId="0" fontId="24" fillId="0" borderId="15" xfId="0" applyNumberFormat="1" applyFont="1" applyFill="1" applyBorder="1" applyAlignment="1">
      <alignment horizontal="left"/>
    </xf>
    <xf numFmtId="165" fontId="52" fillId="0" borderId="0" xfId="0" applyNumberFormat="1" applyFont="1" applyAlignment="1"/>
    <xf numFmtId="0" fontId="24" fillId="0" borderId="15" xfId="0" applyNumberFormat="1" applyFont="1" applyFill="1" applyBorder="1" applyAlignment="1">
      <alignment horizontal="left"/>
    </xf>
    <xf numFmtId="0" fontId="24" fillId="2" borderId="15" xfId="0" applyNumberFormat="1" applyFont="1" applyFill="1" applyBorder="1" applyAlignment="1">
      <alignment horizontal="left"/>
    </xf>
    <xf numFmtId="0" fontId="0" fillId="0" borderId="0" xfId="0"/>
    <xf numFmtId="165" fontId="3" fillId="0" borderId="0" xfId="0" applyNumberFormat="1" applyFont="1"/>
    <xf numFmtId="165" fontId="49" fillId="0" borderId="0" xfId="0" applyNumberFormat="1" applyFont="1"/>
    <xf numFmtId="37" fontId="24" fillId="2" borderId="15" xfId="0" applyNumberFormat="1" applyFont="1" applyFill="1" applyBorder="1" applyAlignment="1"/>
    <xf numFmtId="37" fontId="25" fillId="2" borderId="34" xfId="0" applyNumberFormat="1" applyFont="1" applyFill="1" applyBorder="1" applyAlignment="1"/>
    <xf numFmtId="4" fontId="24" fillId="2" borderId="15" xfId="0" applyNumberFormat="1" applyFont="1" applyFill="1" applyBorder="1" applyAlignment="1"/>
    <xf numFmtId="4" fontId="24" fillId="2" borderId="35" xfId="0" applyNumberFormat="1" applyFont="1" applyFill="1" applyBorder="1" applyAlignment="1"/>
    <xf numFmtId="37" fontId="7" fillId="0" borderId="15" xfId="0" applyNumberFormat="1" applyFont="1" applyFill="1" applyBorder="1" applyAlignment="1"/>
    <xf numFmtId="37" fontId="7" fillId="0" borderId="11" xfId="0" applyNumberFormat="1" applyFont="1" applyFill="1" applyBorder="1" applyAlignment="1"/>
    <xf numFmtId="37" fontId="7" fillId="0" borderId="12" xfId="0" applyNumberFormat="1" applyFont="1" applyFill="1" applyBorder="1" applyAlignment="1"/>
    <xf numFmtId="0" fontId="7" fillId="0" borderId="13" xfId="0" applyNumberFormat="1" applyFont="1" applyFill="1" applyBorder="1" applyAlignment="1">
      <alignment horizontal="left" indent="2"/>
    </xf>
    <xf numFmtId="37" fontId="24" fillId="0" borderId="15" xfId="0" applyNumberFormat="1" applyFont="1" applyFill="1" applyBorder="1" applyAlignment="1"/>
    <xf numFmtId="37" fontId="7" fillId="0" borderId="126" xfId="0" applyNumberFormat="1" applyFont="1" applyFill="1" applyBorder="1" applyAlignment="1"/>
    <xf numFmtId="37" fontId="7" fillId="0" borderId="115" xfId="0" applyNumberFormat="1" applyFont="1" applyFill="1" applyBorder="1" applyAlignment="1"/>
    <xf numFmtId="0" fontId="0" fillId="0" borderId="0" xfId="0"/>
    <xf numFmtId="0" fontId="0" fillId="0" borderId="0" xfId="0" applyAlignment="1">
      <alignment horizontal="center"/>
    </xf>
    <xf numFmtId="0" fontId="0" fillId="0" borderId="0" xfId="0"/>
    <xf numFmtId="0" fontId="0" fillId="0" borderId="0" xfId="0" applyBorder="1" applyAlignment="1">
      <alignment vertical="top" wrapText="1"/>
    </xf>
    <xf numFmtId="3" fontId="7" fillId="2" borderId="0" xfId="0" applyNumberFormat="1" applyFont="1" applyFill="1" applyAlignment="1">
      <alignment horizontal="center"/>
    </xf>
    <xf numFmtId="5" fontId="17" fillId="0" borderId="46" xfId="0" applyNumberFormat="1" applyFont="1" applyBorder="1" applyAlignment="1"/>
    <xf numFmtId="0" fontId="20" fillId="0" borderId="38" xfId="7" applyBorder="1"/>
    <xf numFmtId="165" fontId="52" fillId="0" borderId="0" xfId="0" applyNumberFormat="1" applyFont="1" applyAlignment="1">
      <alignment vertical="top"/>
    </xf>
    <xf numFmtId="0" fontId="3" fillId="0" borderId="94" xfId="0" applyNumberFormat="1" applyFont="1" applyBorder="1" applyAlignment="1">
      <alignment horizontal="left"/>
    </xf>
    <xf numFmtId="37" fontId="3" fillId="0" borderId="94" xfId="0" applyNumberFormat="1" applyFont="1" applyBorder="1" applyAlignment="1"/>
    <xf numFmtId="37" fontId="3" fillId="0" borderId="95" xfId="0" applyNumberFormat="1" applyFont="1" applyBorder="1" applyAlignment="1"/>
    <xf numFmtId="37" fontId="3" fillId="0" borderId="112" xfId="0" applyNumberFormat="1" applyFont="1" applyBorder="1" applyAlignment="1"/>
    <xf numFmtId="37" fontId="3" fillId="0" borderId="96" xfId="0" applyNumberFormat="1" applyFont="1" applyBorder="1" applyAlignment="1"/>
    <xf numFmtId="0" fontId="17" fillId="0" borderId="7" xfId="0" applyNumberFormat="1" applyFont="1" applyBorder="1" applyAlignment="1">
      <alignment horizontal="left" indent="3"/>
    </xf>
    <xf numFmtId="0" fontId="49" fillId="0" borderId="0" xfId="0" applyFont="1" applyAlignment="1">
      <alignment vertical="top"/>
    </xf>
    <xf numFmtId="0" fontId="3" fillId="0" borderId="37" xfId="0" applyNumberFormat="1" applyFont="1" applyFill="1" applyBorder="1" applyAlignment="1"/>
    <xf numFmtId="37" fontId="17" fillId="0" borderId="38" xfId="0" applyNumberFormat="1" applyFont="1" applyBorder="1" applyAlignment="1">
      <alignment horizontal="right"/>
    </xf>
    <xf numFmtId="37" fontId="3" fillId="0" borderId="38" xfId="0" applyNumberFormat="1" applyFont="1" applyBorder="1" applyAlignment="1">
      <alignment horizontal="right"/>
    </xf>
    <xf numFmtId="5" fontId="3" fillId="0" borderId="81" xfId="0" applyNumberFormat="1" applyFont="1" applyFill="1" applyBorder="1" applyAlignment="1"/>
    <xf numFmtId="164" fontId="17" fillId="0" borderId="4" xfId="0" applyNumberFormat="1" applyFont="1" applyFill="1" applyBorder="1" applyAlignment="1"/>
    <xf numFmtId="0" fontId="36" fillId="0" borderId="0" xfId="0" applyFont="1" applyBorder="1" applyAlignment="1">
      <alignment horizontal="center" vertical="top"/>
    </xf>
    <xf numFmtId="0" fontId="30" fillId="0" borderId="0" xfId="0" applyFont="1" applyBorder="1" applyAlignment="1">
      <alignment vertical="top" wrapText="1"/>
    </xf>
    <xf numFmtId="37" fontId="3" fillId="0" borderId="43" xfId="0" applyNumberFormat="1" applyFont="1" applyFill="1" applyBorder="1" applyAlignment="1"/>
    <xf numFmtId="37" fontId="3" fillId="0" borderId="44" xfId="0" applyNumberFormat="1" applyFont="1" applyFill="1" applyBorder="1" applyAlignment="1"/>
    <xf numFmtId="37" fontId="3" fillId="0" borderId="10" xfId="0" applyNumberFormat="1" applyFont="1" applyFill="1" applyBorder="1" applyAlignment="1"/>
    <xf numFmtId="37" fontId="3" fillId="0" borderId="43" xfId="0" applyNumberFormat="1" applyFont="1" applyBorder="1" applyAlignment="1"/>
    <xf numFmtId="37" fontId="3" fillId="0" borderId="44" xfId="0" applyNumberFormat="1" applyFont="1" applyBorder="1" applyAlignment="1"/>
    <xf numFmtId="37" fontId="3" fillId="0" borderId="45" xfId="0" applyNumberFormat="1" applyFont="1" applyBorder="1" applyAlignment="1"/>
    <xf numFmtId="37" fontId="6" fillId="0" borderId="43" xfId="0" applyNumberFormat="1" applyFont="1" applyFill="1" applyBorder="1" applyAlignment="1"/>
    <xf numFmtId="37" fontId="6" fillId="0" borderId="44" xfId="0" applyNumberFormat="1" applyFont="1" applyFill="1" applyBorder="1" applyAlignment="1"/>
    <xf numFmtId="37" fontId="6" fillId="0" borderId="10" xfId="0" applyNumberFormat="1" applyFont="1" applyFill="1" applyBorder="1" applyAlignment="1"/>
    <xf numFmtId="37" fontId="6" fillId="0" borderId="45" xfId="0" applyNumberFormat="1" applyFont="1" applyBorder="1" applyAlignment="1"/>
    <xf numFmtId="37" fontId="24" fillId="2" borderId="135" xfId="0" applyNumberFormat="1" applyFont="1" applyFill="1" applyBorder="1" applyAlignment="1">
      <alignment horizontal="center"/>
    </xf>
    <xf numFmtId="37" fontId="24" fillId="2" borderId="31" xfId="0" applyNumberFormat="1" applyFont="1" applyFill="1" applyBorder="1" applyAlignment="1">
      <alignment horizontal="right"/>
    </xf>
    <xf numFmtId="37" fontId="24" fillId="2" borderId="32" xfId="0" applyNumberFormat="1" applyFont="1" applyFill="1" applyBorder="1" applyAlignment="1">
      <alignment horizontal="right"/>
    </xf>
    <xf numFmtId="37" fontId="24" fillId="2" borderId="33" xfId="0" applyNumberFormat="1" applyFont="1" applyFill="1" applyBorder="1" applyAlignment="1">
      <alignment horizontal="right"/>
    </xf>
    <xf numFmtId="37" fontId="24" fillId="2" borderId="19" xfId="0" applyNumberFormat="1" applyFont="1" applyFill="1" applyBorder="1" applyAlignment="1">
      <alignment horizontal="right"/>
    </xf>
    <xf numFmtId="37" fontId="24" fillId="2" borderId="49" xfId="0" applyNumberFormat="1" applyFont="1" applyFill="1" applyBorder="1" applyAlignment="1">
      <alignment horizontal="right"/>
    </xf>
    <xf numFmtId="37" fontId="24" fillId="2" borderId="21" xfId="0" applyNumberFormat="1" applyFont="1" applyFill="1" applyBorder="1" applyAlignment="1">
      <alignment horizontal="right"/>
    </xf>
    <xf numFmtId="37" fontId="24" fillId="2" borderId="22" xfId="0" applyNumberFormat="1" applyFont="1" applyFill="1" applyBorder="1" applyAlignment="1">
      <alignment horizontal="right"/>
    </xf>
    <xf numFmtId="37" fontId="24" fillId="2" borderId="23" xfId="0" applyNumberFormat="1" applyFont="1" applyFill="1" applyBorder="1" applyAlignment="1">
      <alignment horizontal="right"/>
    </xf>
    <xf numFmtId="37" fontId="24" fillId="2" borderId="24" xfId="0" applyNumberFormat="1" applyFont="1" applyFill="1" applyBorder="1" applyAlignment="1">
      <alignment horizontal="right"/>
    </xf>
    <xf numFmtId="37" fontId="24" fillId="2" borderId="20" xfId="0" applyNumberFormat="1" applyFont="1" applyFill="1" applyBorder="1" applyAlignment="1">
      <alignment horizontal="right"/>
    </xf>
    <xf numFmtId="37" fontId="24" fillId="2" borderId="25" xfId="0" applyNumberFormat="1" applyFont="1" applyFill="1" applyBorder="1" applyAlignment="1">
      <alignment horizontal="right"/>
    </xf>
    <xf numFmtId="37" fontId="24" fillId="2" borderId="30" xfId="0" applyNumberFormat="1" applyFont="1" applyFill="1" applyBorder="1" applyAlignment="1">
      <alignment horizontal="right"/>
    </xf>
    <xf numFmtId="37" fontId="24" fillId="2" borderId="0" xfId="0" applyNumberFormat="1" applyFont="1" applyFill="1" applyBorder="1" applyAlignment="1">
      <alignment horizontal="right"/>
    </xf>
    <xf numFmtId="37" fontId="24" fillId="2" borderId="36" xfId="0" applyNumberFormat="1" applyFont="1" applyFill="1" applyBorder="1" applyAlignment="1">
      <alignment horizontal="right"/>
    </xf>
    <xf numFmtId="170" fontId="25" fillId="2" borderId="39" xfId="0" applyNumberFormat="1" applyFont="1" applyFill="1" applyBorder="1" applyAlignment="1">
      <alignment horizontal="right"/>
    </xf>
    <xf numFmtId="5" fontId="25" fillId="2" borderId="40" xfId="0" applyNumberFormat="1" applyFont="1" applyFill="1" applyBorder="1" applyAlignment="1">
      <alignment horizontal="right"/>
    </xf>
    <xf numFmtId="170" fontId="25" fillId="2" borderId="41" xfId="0" applyNumberFormat="1" applyFont="1" applyFill="1" applyBorder="1" applyAlignment="1">
      <alignment horizontal="right"/>
    </xf>
    <xf numFmtId="37" fontId="25" fillId="2" borderId="41" xfId="0" applyNumberFormat="1" applyFont="1" applyFill="1" applyBorder="1" applyAlignment="1">
      <alignment horizontal="right"/>
    </xf>
    <xf numFmtId="37" fontId="25" fillId="2" borderId="39" xfId="0" applyNumberFormat="1" applyFont="1" applyFill="1" applyBorder="1" applyAlignment="1">
      <alignment horizontal="right"/>
    </xf>
    <xf numFmtId="5" fontId="25" fillId="2" borderId="42" xfId="0" applyNumberFormat="1" applyFont="1" applyFill="1" applyBorder="1" applyAlignment="1">
      <alignment horizontal="right"/>
    </xf>
    <xf numFmtId="3" fontId="7" fillId="2" borderId="0" xfId="0" applyNumberFormat="1" applyFont="1" applyFill="1" applyBorder="1" applyAlignment="1"/>
    <xf numFmtId="0" fontId="25" fillId="2" borderId="140" xfId="0" applyNumberFormat="1" applyFont="1" applyFill="1" applyBorder="1" applyAlignment="1">
      <alignment horizontal="center"/>
    </xf>
    <xf numFmtId="0" fontId="68" fillId="2" borderId="2" xfId="0" applyNumberFormat="1" applyFont="1" applyFill="1" applyBorder="1" applyAlignment="1">
      <alignment horizontal="left"/>
    </xf>
    <xf numFmtId="0" fontId="68" fillId="2" borderId="101" xfId="0" applyNumberFormat="1" applyFont="1" applyFill="1" applyBorder="1" applyAlignment="1">
      <alignment horizontal="left"/>
    </xf>
    <xf numFmtId="37" fontId="24" fillId="2" borderId="4" xfId="0" applyNumberFormat="1" applyFont="1" applyFill="1" applyBorder="1" applyAlignment="1">
      <alignment horizontal="right"/>
    </xf>
    <xf numFmtId="0" fontId="68" fillId="2" borderId="23" xfId="0" applyNumberFormat="1" applyFont="1" applyFill="1" applyBorder="1" applyAlignment="1">
      <alignment horizontal="left"/>
    </xf>
    <xf numFmtId="0" fontId="34" fillId="2" borderId="7" xfId="0" applyNumberFormat="1" applyFont="1" applyFill="1" applyBorder="1" applyAlignment="1">
      <alignment horizontal="left"/>
    </xf>
    <xf numFmtId="170" fontId="25" fillId="2" borderId="99" xfId="0" applyNumberFormat="1" applyFont="1" applyFill="1" applyBorder="1" applyAlignment="1">
      <alignment horizontal="right"/>
    </xf>
    <xf numFmtId="5" fontId="25" fillId="2" borderId="100" xfId="0" applyNumberFormat="1" applyFont="1" applyFill="1" applyBorder="1" applyAlignment="1">
      <alignment horizontal="right"/>
    </xf>
    <xf numFmtId="37" fontId="25" fillId="2" borderId="99" xfId="0" applyNumberFormat="1" applyFont="1" applyFill="1" applyBorder="1" applyAlignment="1">
      <alignment horizontal="right"/>
    </xf>
    <xf numFmtId="5" fontId="25" fillId="2" borderId="141" xfId="0" applyNumberFormat="1" applyFont="1" applyFill="1" applyBorder="1" applyAlignment="1">
      <alignment horizontal="right"/>
    </xf>
    <xf numFmtId="0" fontId="26" fillId="0" borderId="43" xfId="0" applyNumberFormat="1" applyFont="1" applyFill="1" applyBorder="1" applyAlignment="1">
      <alignment horizontal="left" indent="2"/>
    </xf>
    <xf numFmtId="37" fontId="26" fillId="0" borderId="43" xfId="0" applyNumberFormat="1" applyFont="1" applyFill="1" applyBorder="1" applyAlignment="1"/>
    <xf numFmtId="37" fontId="26" fillId="0" borderId="44" xfId="0" applyNumberFormat="1" applyFont="1" applyFill="1" applyBorder="1" applyAlignment="1"/>
    <xf numFmtId="37" fontId="26" fillId="0" borderId="45" xfId="0" applyNumberFormat="1" applyFont="1" applyFill="1" applyBorder="1" applyAlignment="1"/>
    <xf numFmtId="37" fontId="66" fillId="0" borderId="0" xfId="0" applyNumberFormat="1" applyFont="1" applyBorder="1" applyAlignment="1">
      <alignment horizontal="right" vertical="top" wrapText="1"/>
    </xf>
    <xf numFmtId="37" fontId="30" fillId="0" borderId="0" xfId="0" applyNumberFormat="1" applyFont="1" applyBorder="1" applyAlignment="1">
      <alignment horizontal="right" vertical="top" wrapText="1"/>
    </xf>
    <xf numFmtId="0" fontId="66" fillId="0" borderId="0" xfId="0" applyFont="1" applyBorder="1" applyAlignment="1">
      <alignment horizontal="right" vertical="top" wrapText="1"/>
    </xf>
    <xf numFmtId="0" fontId="36" fillId="0" borderId="0" xfId="0" applyFont="1" applyAlignment="1">
      <alignment horizontal="left" wrapText="1"/>
    </xf>
    <xf numFmtId="0" fontId="60" fillId="0" borderId="0" xfId="0" applyFont="1" applyBorder="1" applyAlignment="1">
      <alignment horizontal="right" vertical="top" wrapText="1"/>
    </xf>
    <xf numFmtId="164" fontId="60" fillId="0" borderId="0" xfId="0" applyNumberFormat="1" applyFont="1" applyBorder="1" applyAlignment="1">
      <alignment horizontal="right" vertical="top" wrapText="1"/>
    </xf>
    <xf numFmtId="0" fontId="94" fillId="0" borderId="0" xfId="0" applyFont="1"/>
    <xf numFmtId="0" fontId="66" fillId="0" borderId="0" xfId="0" applyFont="1" applyAlignment="1">
      <alignment vertical="top"/>
    </xf>
    <xf numFmtId="5" fontId="60" fillId="0" borderId="0" xfId="0" applyNumberFormat="1" applyFont="1" applyBorder="1" applyAlignment="1">
      <alignment vertical="top" wrapText="1"/>
    </xf>
    <xf numFmtId="164" fontId="60" fillId="0" borderId="0" xfId="0" applyNumberFormat="1" applyFont="1" applyBorder="1" applyAlignment="1">
      <alignment vertical="top" wrapText="1"/>
    </xf>
    <xf numFmtId="0" fontId="22" fillId="0" borderId="36" xfId="8" applyFont="1" applyBorder="1"/>
    <xf numFmtId="167" fontId="22" fillId="0" borderId="65" xfId="8" applyNumberFormat="1" applyFont="1" applyBorder="1" applyAlignment="1">
      <alignment horizontal="left"/>
    </xf>
    <xf numFmtId="168" fontId="22" fillId="0" borderId="81" xfId="3" applyNumberFormat="1" applyFont="1" applyBorder="1" applyAlignment="1">
      <alignment horizontal="left"/>
    </xf>
    <xf numFmtId="0" fontId="64" fillId="0" borderId="65" xfId="8" applyFont="1" applyBorder="1" applyAlignment="1">
      <alignment horizontal="left"/>
    </xf>
    <xf numFmtId="0" fontId="64" fillId="0" borderId="81" xfId="8" applyFont="1" applyBorder="1" applyAlignment="1">
      <alignment horizontal="left"/>
    </xf>
    <xf numFmtId="37" fontId="9" fillId="0" borderId="7" xfId="1" applyNumberFormat="1" applyFont="1" applyBorder="1" applyAlignment="1">
      <alignment horizontal="right"/>
    </xf>
    <xf numFmtId="37" fontId="9" fillId="0" borderId="4" xfId="1" applyNumberFormat="1" applyFont="1" applyBorder="1" applyAlignment="1">
      <alignment horizontal="right"/>
    </xf>
    <xf numFmtId="3" fontId="9" fillId="0" borderId="7" xfId="1" applyNumberFormat="1" applyFont="1" applyBorder="1" applyAlignment="1">
      <alignment horizontal="right"/>
    </xf>
    <xf numFmtId="3" fontId="9" fillId="0" borderId="5" xfId="1" applyNumberFormat="1" applyFont="1" applyBorder="1" applyAlignment="1">
      <alignment horizontal="right"/>
    </xf>
    <xf numFmtId="0" fontId="0" fillId="0" borderId="0" xfId="0"/>
    <xf numFmtId="0" fontId="0" fillId="0" borderId="0" xfId="0" applyBorder="1" applyAlignment="1">
      <alignment horizontal="center"/>
    </xf>
    <xf numFmtId="5" fontId="3" fillId="0" borderId="91" xfId="0" applyNumberFormat="1" applyFont="1" applyFill="1" applyBorder="1" applyAlignment="1"/>
    <xf numFmtId="164" fontId="3" fillId="0" borderId="91" xfId="0" applyNumberFormat="1" applyFont="1" applyFill="1" applyBorder="1" applyAlignment="1"/>
    <xf numFmtId="37" fontId="60" fillId="0" borderId="0" xfId="0" applyNumberFormat="1" applyFont="1" applyBorder="1" applyAlignment="1">
      <alignment horizontal="right" vertical="top" wrapText="1"/>
    </xf>
    <xf numFmtId="4" fontId="25" fillId="2" borderId="47" xfId="0" applyNumberFormat="1" applyFont="1" applyFill="1" applyBorder="1" applyAlignment="1"/>
    <xf numFmtId="0" fontId="17" fillId="0" borderId="0" xfId="0" applyNumberFormat="1" applyFont="1" applyFill="1" applyBorder="1" applyAlignment="1">
      <alignment wrapText="1"/>
    </xf>
    <xf numFmtId="37" fontId="9" fillId="0" borderId="36" xfId="4" applyNumberFormat="1" applyFont="1" applyBorder="1" applyAlignment="1">
      <alignment horizontal="right"/>
    </xf>
    <xf numFmtId="37" fontId="22" fillId="0" borderId="34" xfId="2" applyNumberFormat="1" applyFont="1" applyBorder="1" applyAlignment="1">
      <alignment horizontal="right"/>
    </xf>
    <xf numFmtId="37" fontId="22" fillId="0" borderId="18" xfId="2" applyNumberFormat="1" applyFont="1" applyBorder="1" applyAlignment="1">
      <alignment horizontal="right"/>
    </xf>
    <xf numFmtId="3" fontId="22" fillId="0" borderId="65" xfId="2" applyNumberFormat="1" applyFont="1" applyBorder="1" applyAlignment="1">
      <alignment horizontal="right"/>
    </xf>
    <xf numFmtId="3" fontId="22" fillId="0" borderId="2" xfId="2" applyNumberFormat="1" applyFont="1" applyBorder="1" applyAlignment="1">
      <alignment horizontal="right"/>
    </xf>
    <xf numFmtId="37" fontId="22" fillId="0" borderId="65" xfId="2" applyNumberFormat="1" applyFont="1" applyBorder="1" applyAlignment="1">
      <alignment horizontal="right"/>
    </xf>
    <xf numFmtId="37" fontId="22" fillId="0" borderId="2" xfId="2" applyNumberFormat="1" applyFont="1" applyBorder="1" applyAlignment="1">
      <alignment horizontal="right"/>
    </xf>
    <xf numFmtId="5" fontId="22" fillId="0" borderId="74" xfId="4" applyNumberFormat="1" applyFont="1" applyBorder="1" applyAlignment="1">
      <alignment horizontal="right"/>
    </xf>
    <xf numFmtId="0" fontId="22" fillId="0" borderId="144" xfId="8" applyFont="1" applyBorder="1" applyAlignment="1">
      <alignment horizontal="left"/>
    </xf>
    <xf numFmtId="0" fontId="22" fillId="0" borderId="145" xfId="8" applyFont="1" applyBorder="1" applyAlignment="1">
      <alignment horizontal="left"/>
    </xf>
    <xf numFmtId="0" fontId="22" fillId="0" borderId="135" xfId="8" applyFont="1" applyBorder="1" applyAlignment="1">
      <alignment horizontal="right"/>
    </xf>
    <xf numFmtId="37" fontId="22" fillId="0" borderId="146" xfId="8" applyNumberFormat="1" applyFont="1" applyBorder="1" applyAlignment="1">
      <alignment horizontal="right"/>
    </xf>
    <xf numFmtId="5" fontId="22" fillId="0" borderId="119" xfId="4" applyNumberFormat="1" applyFont="1" applyBorder="1" applyAlignment="1">
      <alignment horizontal="right"/>
    </xf>
    <xf numFmtId="37" fontId="22" fillId="0" borderId="148" xfId="8" applyNumberFormat="1" applyFont="1" applyBorder="1" applyAlignment="1">
      <alignment horizontal="right"/>
    </xf>
    <xf numFmtId="5" fontId="22" fillId="0" borderId="120" xfId="4" applyNumberFormat="1" applyFont="1" applyBorder="1" applyAlignment="1">
      <alignment horizontal="right"/>
    </xf>
    <xf numFmtId="37" fontId="9" fillId="0" borderId="147" xfId="8" applyNumberFormat="1" applyFont="1" applyBorder="1" applyAlignment="1">
      <alignment horizontal="right"/>
    </xf>
    <xf numFmtId="0" fontId="9" fillId="0" borderId="135" xfId="8" applyFont="1" applyBorder="1" applyAlignment="1">
      <alignment horizontal="right"/>
    </xf>
    <xf numFmtId="0" fontId="9" fillId="0" borderId="72" xfId="8" applyFont="1" applyBorder="1" applyAlignment="1">
      <alignment horizontal="right"/>
    </xf>
    <xf numFmtId="37" fontId="9" fillId="0" borderId="135" xfId="4" applyNumberFormat="1" applyFont="1" applyBorder="1" applyAlignment="1">
      <alignment horizontal="right"/>
    </xf>
    <xf numFmtId="0" fontId="9" fillId="0" borderId="72" xfId="8" applyFont="1" applyBorder="1" applyAlignment="1">
      <alignment horizontal="left" indent="3"/>
    </xf>
    <xf numFmtId="37" fontId="7" fillId="0" borderId="149" xfId="0" applyNumberFormat="1" applyFont="1" applyFill="1" applyBorder="1" applyAlignment="1"/>
    <xf numFmtId="37" fontId="7" fillId="2" borderId="150" xfId="0" applyNumberFormat="1" applyFont="1" applyFill="1" applyBorder="1" applyAlignment="1"/>
    <xf numFmtId="37" fontId="27" fillId="2" borderId="58" xfId="0" applyNumberFormat="1" applyFont="1" applyFill="1" applyBorder="1" applyAlignment="1"/>
    <xf numFmtId="37" fontId="7" fillId="2" borderId="151" xfId="0" applyNumberFormat="1" applyFont="1" applyFill="1" applyBorder="1" applyAlignment="1"/>
    <xf numFmtId="37" fontId="7" fillId="2" borderId="115" xfId="0" applyNumberFormat="1" applyFont="1" applyFill="1" applyBorder="1" applyAlignment="1"/>
    <xf numFmtId="37" fontId="7" fillId="2" borderId="152" xfId="0" applyNumberFormat="1" applyFont="1" applyFill="1" applyBorder="1" applyAlignment="1"/>
    <xf numFmtId="37" fontId="7" fillId="2" borderId="153" xfId="0" applyNumberFormat="1" applyFont="1" applyFill="1" applyBorder="1" applyAlignment="1"/>
    <xf numFmtId="37" fontId="27" fillId="2" borderId="70" xfId="0" applyNumberFormat="1" applyFont="1" applyFill="1" applyBorder="1" applyAlignment="1"/>
    <xf numFmtId="37" fontId="7" fillId="2" borderId="154" xfId="0" applyNumberFormat="1" applyFont="1" applyFill="1" applyBorder="1" applyAlignment="1"/>
    <xf numFmtId="0" fontId="3" fillId="0" borderId="34" xfId="0" applyNumberFormat="1" applyFont="1" applyBorder="1" applyAlignment="1"/>
    <xf numFmtId="49" fontId="9" fillId="0" borderId="91" xfId="0" applyNumberFormat="1" applyFont="1" applyBorder="1" applyAlignment="1"/>
    <xf numFmtId="49" fontId="3" fillId="0" borderId="91" xfId="0" applyNumberFormat="1" applyFont="1" applyBorder="1" applyAlignment="1"/>
    <xf numFmtId="0" fontId="46" fillId="0" borderId="0" xfId="0" applyFont="1" applyBorder="1" applyAlignment="1"/>
    <xf numFmtId="0" fontId="55" fillId="0" borderId="0" xfId="0" applyFont="1" applyBorder="1" applyAlignment="1"/>
    <xf numFmtId="0" fontId="6" fillId="0" borderId="11" xfId="0" applyNumberFormat="1" applyFont="1" applyBorder="1" applyAlignment="1">
      <alignment horizontal="left"/>
    </xf>
    <xf numFmtId="0" fontId="6" fillId="0" borderId="12" xfId="0" applyNumberFormat="1" applyFont="1" applyBorder="1" applyAlignment="1">
      <alignment horizontal="left"/>
    </xf>
    <xf numFmtId="0" fontId="6" fillId="0" borderId="37" xfId="0" applyNumberFormat="1" applyFont="1" applyBorder="1" applyAlignment="1">
      <alignment horizontal="left"/>
    </xf>
    <xf numFmtId="0" fontId="6" fillId="0" borderId="18" xfId="0" applyNumberFormat="1" applyFont="1" applyBorder="1" applyAlignment="1">
      <alignment horizontal="left"/>
    </xf>
    <xf numFmtId="0" fontId="14" fillId="3" borderId="0" xfId="0" applyFont="1" applyFill="1" applyAlignment="1">
      <alignment vertical="top" wrapText="1"/>
    </xf>
    <xf numFmtId="0" fontId="6" fillId="0" borderId="91" xfId="0" applyNumberFormat="1" applyFont="1" applyBorder="1" applyAlignment="1">
      <alignment horizontal="center"/>
    </xf>
    <xf numFmtId="0" fontId="6" fillId="0" borderId="81" xfId="0" applyNumberFormat="1" applyFont="1" applyBorder="1" applyAlignment="1">
      <alignment horizontal="center"/>
    </xf>
    <xf numFmtId="0" fontId="3" fillId="0" borderId="3" xfId="0" applyNumberFormat="1" applyFont="1" applyBorder="1" applyAlignment="1">
      <alignment horizontal="left"/>
    </xf>
    <xf numFmtId="0" fontId="6" fillId="0" borderId="4" xfId="0" applyNumberFormat="1" applyFont="1" applyBorder="1" applyAlignment="1">
      <alignment horizontal="left"/>
    </xf>
    <xf numFmtId="0" fontId="6" fillId="0" borderId="75" xfId="0" applyNumberFormat="1" applyFont="1" applyBorder="1" applyAlignment="1">
      <alignment horizontal="center"/>
    </xf>
    <xf numFmtId="0" fontId="6" fillId="0" borderId="76" xfId="0" applyNumberFormat="1" applyFont="1" applyBorder="1" applyAlignment="1">
      <alignment horizontal="center"/>
    </xf>
    <xf numFmtId="0" fontId="3" fillId="0" borderId="13" xfId="0" applyNumberFormat="1" applyFont="1" applyBorder="1" applyAlignment="1">
      <alignment horizontal="left" indent="4"/>
    </xf>
    <xf numFmtId="0" fontId="0" fillId="0" borderId="67" xfId="0" applyNumberFormat="1" applyBorder="1" applyAlignment="1">
      <alignment horizontal="left" indent="4"/>
    </xf>
    <xf numFmtId="0" fontId="3" fillId="0" borderId="13" xfId="0" applyNumberFormat="1" applyFont="1" applyBorder="1" applyAlignment="1">
      <alignment horizontal="left" indent="2"/>
    </xf>
    <xf numFmtId="0" fontId="0" fillId="0" borderId="67" xfId="0" applyNumberFormat="1" applyBorder="1" applyAlignment="1">
      <alignment horizontal="left" indent="2"/>
    </xf>
    <xf numFmtId="0" fontId="3" fillId="0" borderId="13" xfId="0" applyNumberFormat="1" applyFont="1" applyBorder="1" applyAlignment="1"/>
    <xf numFmtId="0" fontId="0" fillId="0" borderId="67" xfId="0" applyNumberFormat="1" applyBorder="1" applyAlignment="1"/>
    <xf numFmtId="0" fontId="3" fillId="0" borderId="13" xfId="0" applyNumberFormat="1" applyFont="1" applyFill="1" applyBorder="1" applyAlignment="1">
      <alignment horizontal="left" indent="4"/>
    </xf>
    <xf numFmtId="0" fontId="3" fillId="0" borderId="65" xfId="0" applyNumberFormat="1" applyFont="1" applyBorder="1" applyAlignment="1">
      <alignment horizontal="center" vertical="center" wrapText="1"/>
    </xf>
    <xf numFmtId="0" fontId="55" fillId="0" borderId="91" xfId="0" applyNumberFormat="1" applyFont="1" applyBorder="1" applyAlignment="1">
      <alignment horizontal="center" vertical="center" wrapText="1"/>
    </xf>
    <xf numFmtId="0" fontId="55" fillId="0" borderId="81" xfId="0" applyNumberFormat="1" applyFont="1" applyBorder="1" applyAlignment="1">
      <alignment horizontal="center" vertical="center" wrapText="1"/>
    </xf>
    <xf numFmtId="0" fontId="55" fillId="0" borderId="7" xfId="0" applyNumberFormat="1" applyFont="1" applyBorder="1" applyAlignment="1">
      <alignment horizontal="center" vertical="center" wrapText="1"/>
    </xf>
    <xf numFmtId="0" fontId="55" fillId="0" borderId="3" xfId="0" applyNumberFormat="1" applyFont="1" applyBorder="1" applyAlignment="1">
      <alignment horizontal="center" vertical="center" wrapText="1"/>
    </xf>
    <xf numFmtId="0" fontId="55" fillId="0" borderId="4" xfId="0" applyNumberFormat="1" applyFont="1" applyBorder="1" applyAlignment="1">
      <alignment horizontal="center" vertical="center" wrapText="1"/>
    </xf>
    <xf numFmtId="0" fontId="17" fillId="0" borderId="34" xfId="0" applyNumberFormat="1" applyFont="1" applyBorder="1" applyAlignment="1"/>
    <xf numFmtId="0" fontId="17" fillId="0" borderId="37" xfId="0" applyNumberFormat="1" applyFont="1" applyBorder="1" applyAlignment="1"/>
    <xf numFmtId="0" fontId="17" fillId="0" borderId="18" xfId="0" applyNumberFormat="1" applyFont="1" applyBorder="1" applyAlignment="1"/>
    <xf numFmtId="0" fontId="17" fillId="0" borderId="65" xfId="0" applyNumberFormat="1" applyFont="1" applyBorder="1" applyAlignment="1"/>
    <xf numFmtId="0" fontId="55" fillId="0" borderId="91" xfId="0" applyNumberFormat="1" applyFont="1" applyBorder="1" applyAlignment="1"/>
    <xf numFmtId="0" fontId="55" fillId="0" borderId="8" xfId="0" applyNumberFormat="1" applyFont="1" applyBorder="1" applyAlignment="1"/>
    <xf numFmtId="0" fontId="55" fillId="0" borderId="0" xfId="0" applyNumberFormat="1" applyFont="1" applyBorder="1" applyAlignment="1"/>
    <xf numFmtId="0" fontId="55" fillId="0" borderId="60" xfId="0" applyNumberFormat="1" applyFont="1" applyBorder="1" applyAlignment="1"/>
    <xf numFmtId="0" fontId="55" fillId="0" borderId="61" xfId="0" applyNumberFormat="1" applyFont="1" applyBorder="1" applyAlignment="1"/>
    <xf numFmtId="0" fontId="55" fillId="0" borderId="91" xfId="0" applyNumberFormat="1" applyFont="1" applyBorder="1" applyAlignment="1">
      <alignment vertical="center"/>
    </xf>
    <xf numFmtId="0" fontId="55" fillId="0" borderId="81" xfId="0" applyNumberFormat="1" applyFont="1" applyBorder="1" applyAlignment="1">
      <alignment vertical="center"/>
    </xf>
    <xf numFmtId="0" fontId="55" fillId="0" borderId="7" xfId="0" applyNumberFormat="1" applyFont="1" applyBorder="1" applyAlignment="1">
      <alignment vertical="center"/>
    </xf>
    <xf numFmtId="0" fontId="55" fillId="0" borderId="3" xfId="0" applyNumberFormat="1" applyFont="1" applyBorder="1" applyAlignment="1">
      <alignment vertical="center"/>
    </xf>
    <xf numFmtId="0" fontId="55" fillId="0" borderId="4" xfId="0" applyNumberFormat="1" applyFont="1" applyBorder="1" applyAlignment="1">
      <alignment vertical="center"/>
    </xf>
    <xf numFmtId="0" fontId="31" fillId="0" borderId="0" xfId="0" applyNumberFormat="1" applyFont="1" applyAlignment="1">
      <alignment horizontal="center"/>
    </xf>
    <xf numFmtId="0" fontId="0" fillId="0" borderId="0" xfId="0" applyNumberFormat="1" applyAlignment="1">
      <alignment horizontal="center"/>
    </xf>
    <xf numFmtId="0" fontId="32" fillId="0" borderId="0" xfId="0" applyNumberFormat="1" applyFont="1" applyAlignment="1">
      <alignment horizontal="center"/>
    </xf>
    <xf numFmtId="0" fontId="0" fillId="0" borderId="0" xfId="0"/>
    <xf numFmtId="0" fontId="0" fillId="0" borderId="0" xfId="0" applyNumberFormat="1" applyBorder="1" applyAlignment="1">
      <alignment horizontal="center"/>
    </xf>
    <xf numFmtId="0" fontId="3" fillId="0" borderId="34" xfId="0" applyNumberFormat="1" applyFont="1" applyBorder="1" applyAlignment="1"/>
    <xf numFmtId="0" fontId="0" fillId="0" borderId="37" xfId="0" applyNumberFormat="1" applyBorder="1" applyAlignment="1"/>
    <xf numFmtId="3" fontId="9" fillId="0" borderId="91" xfId="0" applyNumberFormat="1" applyFont="1" applyBorder="1" applyAlignment="1">
      <alignment horizontal="left" wrapText="1"/>
    </xf>
    <xf numFmtId="0" fontId="3" fillId="0" borderId="50" xfId="0" applyNumberFormat="1" applyFont="1" applyBorder="1" applyAlignment="1"/>
    <xf numFmtId="0" fontId="0" fillId="0" borderId="88" xfId="0" applyNumberFormat="1" applyBorder="1" applyAlignment="1"/>
    <xf numFmtId="165" fontId="17" fillId="0" borderId="2" xfId="0" applyNumberFormat="1" applyFont="1" applyBorder="1" applyAlignment="1">
      <alignment horizontal="center" wrapText="1"/>
    </xf>
    <xf numFmtId="0" fontId="0" fillId="0" borderId="84" xfId="0" applyBorder="1" applyAlignment="1">
      <alignment horizontal="center" wrapText="1"/>
    </xf>
    <xf numFmtId="0" fontId="17" fillId="0" borderId="82" xfId="0" applyNumberFormat="1" applyFont="1" applyBorder="1" applyAlignment="1"/>
    <xf numFmtId="0" fontId="0" fillId="0" borderId="83" xfId="0" applyNumberFormat="1" applyBorder="1" applyAlignment="1"/>
    <xf numFmtId="0" fontId="3" fillId="0" borderId="15" xfId="0" applyNumberFormat="1" applyFont="1" applyBorder="1" applyAlignment="1">
      <alignment horizontal="left" indent="4"/>
    </xf>
    <xf numFmtId="0" fontId="0" fillId="0" borderId="11" xfId="0" applyNumberFormat="1" applyBorder="1" applyAlignment="1">
      <alignment horizontal="left" indent="4"/>
    </xf>
    <xf numFmtId="0" fontId="17" fillId="0" borderId="13" xfId="0" applyNumberFormat="1" applyFont="1" applyBorder="1" applyAlignment="1">
      <alignment horizontal="left"/>
    </xf>
    <xf numFmtId="0" fontId="17" fillId="0" borderId="67" xfId="0" applyNumberFormat="1" applyFont="1" applyBorder="1" applyAlignment="1">
      <alignment horizontal="left"/>
    </xf>
    <xf numFmtId="0" fontId="17" fillId="0" borderId="80" xfId="0" applyNumberFormat="1" applyFont="1" applyBorder="1" applyAlignment="1">
      <alignment horizontal="left"/>
    </xf>
    <xf numFmtId="0" fontId="17" fillId="0" borderId="89" xfId="0" applyNumberFormat="1" applyFont="1" applyBorder="1" applyAlignment="1">
      <alignment horizontal="left" indent="2"/>
    </xf>
    <xf numFmtId="0" fontId="0" fillId="0" borderId="90" xfId="0" applyNumberFormat="1" applyBorder="1" applyAlignment="1">
      <alignment horizontal="left" indent="2"/>
    </xf>
    <xf numFmtId="0" fontId="3" fillId="0" borderId="51" xfId="0" applyNumberFormat="1" applyFont="1" applyBorder="1" applyAlignment="1"/>
    <xf numFmtId="0" fontId="0" fillId="0" borderId="87" xfId="0" applyNumberFormat="1" applyBorder="1" applyAlignment="1"/>
    <xf numFmtId="0" fontId="18" fillId="0" borderId="0" xfId="0" applyNumberFormat="1" applyFont="1" applyAlignment="1"/>
    <xf numFmtId="0" fontId="57" fillId="0" borderId="0" xfId="0" applyNumberFormat="1" applyFont="1" applyAlignment="1"/>
    <xf numFmtId="3" fontId="6" fillId="0" borderId="0" xfId="0" applyNumberFormat="1" applyFont="1" applyAlignment="1">
      <alignment horizontal="center"/>
    </xf>
    <xf numFmtId="3" fontId="9" fillId="0" borderId="0" xfId="0" applyNumberFormat="1" applyFont="1" applyAlignment="1">
      <alignment horizontal="center"/>
    </xf>
    <xf numFmtId="3" fontId="32" fillId="0" borderId="0" xfId="0" applyNumberFormat="1" applyFont="1" applyAlignment="1">
      <alignment horizontal="center"/>
    </xf>
    <xf numFmtId="165" fontId="17" fillId="0" borderId="2" xfId="0" applyNumberFormat="1" applyFont="1" applyBorder="1" applyAlignment="1">
      <alignment horizontal="right"/>
    </xf>
    <xf numFmtId="0" fontId="0" fillId="0" borderId="84" xfId="0" applyBorder="1" applyAlignment="1"/>
    <xf numFmtId="165" fontId="17" fillId="0" borderId="2" xfId="0" applyNumberFormat="1" applyFont="1" applyBorder="1" applyAlignment="1">
      <alignment horizontal="center"/>
    </xf>
    <xf numFmtId="165" fontId="17" fillId="0" borderId="34" xfId="0" applyNumberFormat="1" applyFont="1" applyBorder="1" applyAlignment="1">
      <alignment horizontal="center"/>
    </xf>
    <xf numFmtId="165" fontId="17" fillId="0" borderId="37" xfId="0" applyNumberFormat="1" applyFont="1" applyBorder="1" applyAlignment="1">
      <alignment horizontal="center"/>
    </xf>
    <xf numFmtId="165" fontId="17" fillId="0" borderId="18" xfId="0" applyNumberFormat="1" applyFont="1" applyBorder="1" applyAlignment="1">
      <alignment horizontal="center"/>
    </xf>
    <xf numFmtId="3" fontId="9" fillId="0" borderId="36" xfId="0" applyNumberFormat="1" applyFont="1" applyBorder="1" applyAlignment="1">
      <alignment horizontal="center"/>
    </xf>
    <xf numFmtId="3" fontId="9" fillId="0" borderId="61" xfId="0" applyNumberFormat="1" applyFont="1" applyBorder="1" applyAlignment="1">
      <alignment horizontal="center"/>
    </xf>
    <xf numFmtId="3" fontId="9" fillId="0" borderId="62" xfId="0" applyNumberFormat="1" applyFont="1" applyBorder="1" applyAlignment="1">
      <alignment horizontal="center"/>
    </xf>
    <xf numFmtId="0" fontId="3" fillId="0" borderId="88" xfId="0" applyNumberFormat="1" applyFont="1" applyBorder="1" applyAlignment="1"/>
    <xf numFmtId="0" fontId="3" fillId="0" borderId="143" xfId="0" applyNumberFormat="1" applyFont="1" applyBorder="1" applyAlignment="1"/>
    <xf numFmtId="0" fontId="15" fillId="3" borderId="0" xfId="7" applyFont="1" applyFill="1" applyAlignment="1">
      <alignment horizontal="left"/>
    </xf>
    <xf numFmtId="0" fontId="22" fillId="0" borderId="2" xfId="7" applyFont="1" applyBorder="1" applyAlignment="1"/>
    <xf numFmtId="0" fontId="0" fillId="0" borderId="5" xfId="0" applyBorder="1" applyAlignment="1"/>
    <xf numFmtId="0" fontId="22" fillId="0" borderId="2" xfId="7" applyFont="1" applyBorder="1" applyAlignment="1">
      <alignment horizontal="center" wrapText="1"/>
    </xf>
    <xf numFmtId="0" fontId="0" fillId="0" borderId="5" xfId="0" applyBorder="1" applyAlignment="1">
      <alignment horizontal="center" wrapText="1"/>
    </xf>
    <xf numFmtId="0" fontId="31" fillId="0" borderId="0" xfId="7" applyFont="1" applyAlignment="1">
      <alignment horizontal="center"/>
    </xf>
    <xf numFmtId="0" fontId="56" fillId="0" borderId="0" xfId="0" applyFont="1" applyAlignment="1">
      <alignment horizontal="center"/>
    </xf>
    <xf numFmtId="3" fontId="32" fillId="0" borderId="0" xfId="7" applyNumberFormat="1" applyFont="1" applyAlignment="1">
      <alignment horizontal="center"/>
    </xf>
    <xf numFmtId="0" fontId="56" fillId="0" borderId="0" xfId="0" applyFont="1" applyBorder="1" applyAlignment="1">
      <alignment horizontal="center"/>
    </xf>
    <xf numFmtId="0" fontId="32" fillId="0" borderId="0" xfId="7" applyFont="1" applyAlignment="1">
      <alignment horizontal="center"/>
    </xf>
    <xf numFmtId="0" fontId="16" fillId="0" borderId="0" xfId="7" applyFont="1" applyAlignment="1">
      <alignment horizontal="center"/>
    </xf>
    <xf numFmtId="0" fontId="20" fillId="0" borderId="0" xfId="7" applyBorder="1" applyAlignment="1">
      <alignment horizontal="center"/>
    </xf>
    <xf numFmtId="0" fontId="20" fillId="0" borderId="3" xfId="7" applyBorder="1" applyAlignment="1">
      <alignment horizontal="center"/>
    </xf>
    <xf numFmtId="3" fontId="18" fillId="0" borderId="0" xfId="0" applyNumberFormat="1" applyFont="1" applyAlignment="1"/>
    <xf numFmtId="0" fontId="57" fillId="0" borderId="0" xfId="0" applyFont="1" applyAlignment="1"/>
    <xf numFmtId="3" fontId="18" fillId="0" borderId="0" xfId="0" applyNumberFormat="1" applyFont="1" applyAlignment="1">
      <alignment horizontal="center"/>
    </xf>
    <xf numFmtId="0" fontId="20" fillId="0" borderId="0" xfId="7" applyAlignment="1">
      <alignment horizontal="center"/>
    </xf>
    <xf numFmtId="0" fontId="22" fillId="0" borderId="2" xfId="8" applyFont="1" applyFill="1" applyBorder="1" applyAlignment="1"/>
    <xf numFmtId="0" fontId="9" fillId="0" borderId="5" xfId="8" applyFont="1" applyFill="1" applyBorder="1" applyAlignment="1"/>
    <xf numFmtId="0" fontId="9" fillId="0" borderId="0" xfId="8" applyFont="1" applyBorder="1" applyAlignment="1">
      <alignment horizontal="left" wrapText="1"/>
    </xf>
    <xf numFmtId="0" fontId="15" fillId="0" borderId="0" xfId="0" applyFont="1" applyAlignment="1">
      <alignment wrapText="1"/>
    </xf>
    <xf numFmtId="0" fontId="22" fillId="0" borderId="92" xfId="8" applyFont="1" applyFill="1" applyBorder="1" applyAlignment="1">
      <alignment horizontal="center" vertical="center" wrapText="1"/>
    </xf>
    <xf numFmtId="0" fontId="16" fillId="0" borderId="93" xfId="0" applyFont="1" applyBorder="1" applyAlignment="1">
      <alignment horizontal="center" vertical="center" wrapText="1"/>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1" fontId="22" fillId="0" borderId="92" xfId="8" applyNumberFormat="1" applyFont="1" applyFill="1" applyBorder="1" applyAlignment="1">
      <alignment horizontal="center" vertical="center" wrapText="1"/>
    </xf>
    <xf numFmtId="0" fontId="22" fillId="0" borderId="95" xfId="0" applyFont="1" applyBorder="1" applyAlignment="1">
      <alignment horizontal="center" vertical="center" wrapText="1"/>
    </xf>
    <xf numFmtId="0" fontId="22" fillId="0" borderId="96" xfId="0" applyFont="1" applyBorder="1" applyAlignment="1">
      <alignment horizontal="center" vertical="center" wrapText="1"/>
    </xf>
    <xf numFmtId="0" fontId="0" fillId="0" borderId="93"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22" fillId="0" borderId="34" xfId="8" applyFont="1" applyFill="1" applyBorder="1" applyAlignment="1">
      <alignment horizontal="center" wrapText="1"/>
    </xf>
    <xf numFmtId="0" fontId="22" fillId="0" borderId="18" xfId="8" applyFont="1" applyFill="1" applyBorder="1" applyAlignment="1">
      <alignment horizontal="center"/>
    </xf>
    <xf numFmtId="0" fontId="17" fillId="0" borderId="0" xfId="8" applyFont="1" applyAlignment="1">
      <alignment horizontal="center"/>
    </xf>
    <xf numFmtId="0" fontId="0" fillId="0" borderId="0" xfId="0" applyBorder="1" applyAlignment="1">
      <alignment horizontal="center"/>
    </xf>
    <xf numFmtId="3" fontId="17" fillId="0" borderId="0" xfId="8" applyNumberFormat="1" applyFont="1" applyAlignment="1">
      <alignment horizontal="center"/>
    </xf>
    <xf numFmtId="0" fontId="9" fillId="0" borderId="0" xfId="8" applyFont="1" applyAlignment="1">
      <alignment horizontal="center"/>
    </xf>
    <xf numFmtId="3" fontId="17" fillId="0" borderId="0" xfId="8" applyNumberFormat="1" applyFont="1" applyAlignment="1">
      <alignment horizontal="center" wrapText="1"/>
    </xf>
    <xf numFmtId="0" fontId="0" fillId="0" borderId="0" xfId="0" applyAlignment="1">
      <alignment horizontal="center" wrapText="1"/>
    </xf>
    <xf numFmtId="0" fontId="18" fillId="0" borderId="0" xfId="8" applyFont="1" applyAlignment="1"/>
    <xf numFmtId="0" fontId="62" fillId="0" borderId="0" xfId="0" applyFont="1" applyBorder="1" applyAlignment="1"/>
    <xf numFmtId="0" fontId="22" fillId="0" borderId="94" xfId="0" applyFont="1" applyBorder="1" applyAlignment="1">
      <alignment horizontal="center" vertical="center" wrapText="1"/>
    </xf>
    <xf numFmtId="0" fontId="36" fillId="0" borderId="0" xfId="0" applyFont="1" applyBorder="1" applyAlignment="1">
      <alignment horizontal="center" vertical="top"/>
    </xf>
    <xf numFmtId="0" fontId="0" fillId="0" borderId="0" xfId="0" applyBorder="1" applyAlignment="1">
      <alignment horizontal="center" vertical="top"/>
    </xf>
    <xf numFmtId="0" fontId="18" fillId="0" borderId="0" xfId="8" applyFont="1" applyAlignment="1">
      <alignment horizontal="left"/>
    </xf>
    <xf numFmtId="0" fontId="0" fillId="0" borderId="0" xfId="0" applyBorder="1" applyAlignment="1">
      <alignment horizontal="left"/>
    </xf>
    <xf numFmtId="0" fontId="6" fillId="0" borderId="0" xfId="8" applyFont="1" applyAlignment="1">
      <alignment horizontal="center"/>
    </xf>
    <xf numFmtId="0" fontId="6" fillId="0" borderId="0" xfId="8" applyFont="1" applyBorder="1" applyAlignment="1">
      <alignment horizontal="center"/>
    </xf>
    <xf numFmtId="0" fontId="30" fillId="0" borderId="0" xfId="8" applyFont="1" applyBorder="1" applyAlignment="1">
      <alignment horizontal="center"/>
    </xf>
    <xf numFmtId="0" fontId="36" fillId="0" borderId="0" xfId="0" applyFont="1" applyBorder="1" applyAlignment="1">
      <alignment horizontal="center"/>
    </xf>
    <xf numFmtId="0" fontId="36" fillId="0" borderId="0" xfId="0" applyFont="1" applyAlignment="1">
      <alignment horizontal="left" vertical="top" wrapText="1"/>
    </xf>
    <xf numFmtId="0" fontId="30" fillId="0" borderId="0" xfId="0" applyFont="1" applyAlignment="1">
      <alignment horizontal="left" vertical="top" wrapText="1"/>
    </xf>
    <xf numFmtId="0" fontId="36" fillId="0" borderId="0" xfId="0" applyFont="1" applyFill="1" applyAlignment="1">
      <alignment horizontal="left" wrapText="1"/>
    </xf>
    <xf numFmtId="0" fontId="36" fillId="0" borderId="0" xfId="0" applyFont="1" applyAlignment="1">
      <alignment horizontal="left" wrapText="1"/>
    </xf>
    <xf numFmtId="0" fontId="36" fillId="0" borderId="0" xfId="0" applyFont="1" applyBorder="1" applyAlignment="1">
      <alignment horizontal="left" vertical="top" wrapText="1"/>
    </xf>
    <xf numFmtId="0" fontId="41" fillId="0" borderId="0" xfId="0" applyFont="1" applyBorder="1" applyAlignment="1">
      <alignment vertical="top" wrapText="1"/>
    </xf>
    <xf numFmtId="0" fontId="0" fillId="0" borderId="0" xfId="0" applyBorder="1" applyAlignment="1">
      <alignment vertical="top" wrapText="1"/>
    </xf>
    <xf numFmtId="0" fontId="30" fillId="0" borderId="0" xfId="0" applyNumberFormat="1" applyFont="1" applyBorder="1" applyAlignment="1">
      <alignment vertical="top" wrapText="1"/>
    </xf>
    <xf numFmtId="0" fontId="15" fillId="0" borderId="0" xfId="0" applyFont="1" applyBorder="1" applyAlignment="1">
      <alignment vertical="top" wrapText="1"/>
    </xf>
    <xf numFmtId="0" fontId="69" fillId="0" borderId="0" xfId="0" applyFont="1" applyBorder="1" applyAlignment="1">
      <alignment vertical="top" wrapText="1"/>
    </xf>
    <xf numFmtId="0" fontId="71" fillId="0" borderId="0" xfId="0" applyFont="1" applyBorder="1" applyAlignment="1">
      <alignment vertical="top" wrapText="1"/>
    </xf>
    <xf numFmtId="0" fontId="36" fillId="0" borderId="0" xfId="0" applyFont="1" applyBorder="1" applyAlignment="1">
      <alignment vertical="top" wrapText="1"/>
    </xf>
    <xf numFmtId="0" fontId="69" fillId="0" borderId="0" xfId="0" applyFont="1" applyFill="1" applyBorder="1" applyAlignment="1">
      <alignment vertical="top" wrapText="1"/>
    </xf>
    <xf numFmtId="0" fontId="36" fillId="0" borderId="0" xfId="0" applyNumberFormat="1" applyFont="1" applyBorder="1" applyAlignment="1">
      <alignment vertical="top" wrapText="1"/>
    </xf>
    <xf numFmtId="0" fontId="11" fillId="0" borderId="0" xfId="0" applyFont="1" applyBorder="1" applyAlignment="1">
      <alignment vertical="top" wrapText="1"/>
    </xf>
    <xf numFmtId="0" fontId="2" fillId="0" borderId="0" xfId="0" applyNumberFormat="1" applyFont="1" applyAlignment="1">
      <alignment horizontal="left" wrapText="1"/>
    </xf>
    <xf numFmtId="0" fontId="17" fillId="0" borderId="65" xfId="0" applyNumberFormat="1" applyFont="1" applyBorder="1" applyAlignment="1">
      <alignment horizontal="center" vertical="center" wrapText="1"/>
    </xf>
    <xf numFmtId="0" fontId="6" fillId="0" borderId="91" xfId="0" applyNumberFormat="1" applyFont="1" applyBorder="1" applyAlignment="1">
      <alignment horizontal="center" vertical="center" wrapText="1"/>
    </xf>
    <xf numFmtId="0" fontId="6" fillId="0" borderId="81"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36" xfId="0" applyNumberFormat="1" applyFont="1" applyBorder="1" applyAlignment="1">
      <alignment horizontal="center" vertical="center" wrapText="1"/>
    </xf>
    <xf numFmtId="165" fontId="21" fillId="3" borderId="0" xfId="0" applyNumberFormat="1" applyFont="1" applyFill="1" applyAlignment="1">
      <alignment horizontal="center" wrapText="1"/>
    </xf>
    <xf numFmtId="0" fontId="17" fillId="0" borderId="2" xfId="0" applyNumberFormat="1" applyFont="1" applyBorder="1" applyAlignment="1">
      <alignment horizontal="center" vertical="center" wrapText="1"/>
    </xf>
    <xf numFmtId="0" fontId="17" fillId="0" borderId="6" xfId="0" applyNumberFormat="1" applyFont="1" applyBorder="1" applyAlignment="1">
      <alignment horizontal="center" vertical="center" wrapText="1"/>
    </xf>
    <xf numFmtId="0" fontId="17" fillId="0" borderId="65" xfId="0" applyNumberFormat="1" applyFont="1" applyBorder="1" applyAlignment="1">
      <alignment horizontal="center" vertical="center"/>
    </xf>
    <xf numFmtId="0" fontId="6" fillId="0" borderId="91" xfId="0" applyNumberFormat="1" applyFont="1" applyBorder="1" applyAlignment="1">
      <alignment horizontal="center" vertical="center"/>
    </xf>
    <xf numFmtId="0" fontId="6" fillId="0" borderId="81"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0" xfId="0" applyNumberFormat="1" applyFont="1" applyBorder="1" applyAlignment="1">
      <alignment horizontal="center" vertical="center"/>
    </xf>
    <xf numFmtId="0" fontId="6" fillId="0" borderId="36" xfId="0" applyNumberFormat="1" applyFont="1" applyBorder="1" applyAlignment="1">
      <alignment horizontal="center" vertical="center"/>
    </xf>
    <xf numFmtId="0" fontId="17" fillId="0" borderId="65" xfId="0" applyNumberFormat="1" applyFont="1" applyBorder="1" applyAlignment="1">
      <alignment horizontal="center"/>
    </xf>
    <xf numFmtId="0" fontId="17" fillId="0" borderId="8" xfId="0" applyNumberFormat="1" applyFont="1" applyBorder="1" applyAlignment="1">
      <alignment horizontal="center"/>
    </xf>
    <xf numFmtId="0" fontId="17" fillId="0" borderId="60" xfId="0" applyNumberFormat="1" applyFont="1" applyBorder="1" applyAlignment="1">
      <alignment horizontal="center"/>
    </xf>
    <xf numFmtId="165" fontId="10" fillId="0" borderId="0" xfId="0" applyNumberFormat="1" applyFont="1" applyAlignment="1">
      <alignment horizontal="center"/>
    </xf>
    <xf numFmtId="0" fontId="3" fillId="0" borderId="0" xfId="0" applyFont="1" applyAlignment="1">
      <alignment horizontal="center"/>
    </xf>
    <xf numFmtId="165" fontId="12" fillId="0" borderId="0" xfId="0" applyNumberFormat="1" applyFont="1" applyAlignment="1">
      <alignment horizontal="center"/>
    </xf>
    <xf numFmtId="0" fontId="3" fillId="0" borderId="0" xfId="0" applyFont="1" applyBorder="1" applyAlignment="1">
      <alignment horizontal="center"/>
    </xf>
    <xf numFmtId="165" fontId="9" fillId="0" borderId="0" xfId="0" applyNumberFormat="1" applyFont="1" applyAlignment="1">
      <alignment horizontal="center"/>
    </xf>
    <xf numFmtId="165" fontId="3" fillId="0" borderId="0" xfId="0" applyNumberFormat="1" applyFont="1" applyAlignment="1">
      <alignment horizontal="center"/>
    </xf>
    <xf numFmtId="0" fontId="2" fillId="0" borderId="0" xfId="0" applyNumberFormat="1" applyFont="1" applyAlignment="1">
      <alignment horizontal="left" vertical="top" wrapText="1"/>
    </xf>
    <xf numFmtId="0" fontId="6" fillId="0" borderId="0" xfId="0" applyFont="1" applyAlignment="1">
      <alignment horizontal="center"/>
    </xf>
    <xf numFmtId="0" fontId="6" fillId="0" borderId="0" xfId="0" applyFont="1" applyBorder="1" applyAlignment="1">
      <alignment horizontal="center"/>
    </xf>
    <xf numFmtId="165" fontId="6" fillId="0" borderId="0" xfId="0" applyNumberFormat="1" applyFont="1" applyAlignment="1">
      <alignment horizontal="center"/>
    </xf>
    <xf numFmtId="165" fontId="6" fillId="0" borderId="3" xfId="0" applyNumberFormat="1" applyFont="1" applyBorder="1" applyAlignment="1">
      <alignment horizontal="center"/>
    </xf>
    <xf numFmtId="165" fontId="3" fillId="0" borderId="3" xfId="0" applyNumberFormat="1" applyFont="1" applyBorder="1" applyAlignment="1">
      <alignment horizontal="center"/>
    </xf>
    <xf numFmtId="0" fontId="3" fillId="0" borderId="91" xfId="0" applyNumberFormat="1" applyFont="1" applyBorder="1" applyAlignment="1">
      <alignment horizontal="center" vertical="center"/>
    </xf>
    <xf numFmtId="0" fontId="3" fillId="0" borderId="81" xfId="0" applyNumberFormat="1" applyFont="1" applyBorder="1" applyAlignment="1">
      <alignment horizontal="center" vertical="center"/>
    </xf>
    <xf numFmtId="0" fontId="3" fillId="0" borderId="8"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36" xfId="0" applyNumberFormat="1" applyFont="1" applyBorder="1" applyAlignment="1">
      <alignment horizontal="center" vertical="center"/>
    </xf>
    <xf numFmtId="0" fontId="3" fillId="0" borderId="91"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81"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0" fontId="17" fillId="0" borderId="81" xfId="0" applyNumberFormat="1" applyFont="1" applyBorder="1" applyAlignment="1">
      <alignment horizontal="center" vertical="center" wrapText="1"/>
    </xf>
    <xf numFmtId="0" fontId="17" fillId="0" borderId="36" xfId="0" applyNumberFormat="1" applyFont="1" applyBorder="1" applyAlignment="1">
      <alignment horizontal="center" vertical="center" wrapText="1"/>
    </xf>
    <xf numFmtId="0" fontId="3" fillId="0" borderId="0" xfId="0" applyNumberFormat="1" applyFont="1" applyAlignment="1"/>
    <xf numFmtId="0" fontId="10" fillId="0" borderId="0" xfId="0" applyNumberFormat="1" applyFont="1" applyAlignment="1">
      <alignment horizontal="center"/>
    </xf>
    <xf numFmtId="0" fontId="6" fillId="0" borderId="0" xfId="0" applyNumberFormat="1" applyFont="1" applyAlignment="1">
      <alignment horizontal="center"/>
    </xf>
    <xf numFmtId="0" fontId="12" fillId="0" borderId="0" xfId="0" applyNumberFormat="1" applyFont="1" applyAlignment="1">
      <alignment horizontal="center"/>
    </xf>
    <xf numFmtId="0" fontId="6" fillId="0" borderId="0" xfId="0" applyNumberFormat="1" applyFont="1" applyBorder="1" applyAlignment="1">
      <alignment horizontal="center"/>
    </xf>
    <xf numFmtId="0" fontId="9" fillId="0" borderId="0" xfId="0" applyNumberFormat="1" applyFont="1" applyAlignment="1">
      <alignment horizontal="center"/>
    </xf>
    <xf numFmtId="0" fontId="17" fillId="0" borderId="7" xfId="0" applyNumberFormat="1" applyFont="1" applyBorder="1" applyAlignment="1">
      <alignment horizontal="left" indent="5"/>
    </xf>
    <xf numFmtId="0" fontId="17" fillId="0" borderId="4" xfId="0" applyNumberFormat="1" applyFont="1" applyBorder="1" applyAlignment="1">
      <alignment horizontal="left" indent="5"/>
    </xf>
    <xf numFmtId="165" fontId="45" fillId="0" borderId="0" xfId="0" applyNumberFormat="1" applyFont="1" applyAlignment="1">
      <alignment horizontal="center"/>
    </xf>
    <xf numFmtId="0" fontId="45" fillId="0" borderId="0" xfId="0" applyFont="1" applyBorder="1" applyAlignment="1">
      <alignment horizontal="center"/>
    </xf>
    <xf numFmtId="0" fontId="6" fillId="0" borderId="91" xfId="0" applyNumberFormat="1" applyFont="1" applyBorder="1" applyAlignment="1"/>
    <xf numFmtId="0" fontId="6" fillId="0" borderId="60" xfId="0" applyNumberFormat="1" applyFont="1" applyBorder="1" applyAlignment="1"/>
    <xf numFmtId="0" fontId="6" fillId="0" borderId="61" xfId="0" applyNumberFormat="1" applyFont="1" applyBorder="1" applyAlignment="1"/>
    <xf numFmtId="0" fontId="17" fillId="0" borderId="34" xfId="0" applyNumberFormat="1" applyFont="1" applyBorder="1" applyAlignment="1">
      <alignment horizontal="center"/>
    </xf>
    <xf numFmtId="0" fontId="6" fillId="0" borderId="37" xfId="0" applyNumberFormat="1" applyFont="1" applyBorder="1" applyAlignment="1">
      <alignment horizontal="center"/>
    </xf>
    <xf numFmtId="0" fontId="6" fillId="0" borderId="18" xfId="0" applyNumberFormat="1" applyFont="1" applyBorder="1" applyAlignment="1">
      <alignment horizontal="center"/>
    </xf>
    <xf numFmtId="0" fontId="17" fillId="0" borderId="34" xfId="0" applyNumberFormat="1" applyFont="1" applyBorder="1" applyAlignment="1">
      <alignment horizontal="center" wrapText="1"/>
    </xf>
    <xf numFmtId="0" fontId="6" fillId="0" borderId="65" xfId="0" applyNumberFormat="1" applyFont="1" applyBorder="1" applyAlignment="1">
      <alignment horizontal="center"/>
    </xf>
    <xf numFmtId="0" fontId="26" fillId="2" borderId="99" xfId="0" applyNumberFormat="1" applyFont="1" applyFill="1" applyBorder="1" applyAlignment="1">
      <alignment horizontal="center" vertical="center" wrapText="1"/>
    </xf>
    <xf numFmtId="0" fontId="6" fillId="0" borderId="100" xfId="0" applyNumberFormat="1" applyFont="1" applyBorder="1" applyAlignment="1">
      <alignment horizontal="center" vertical="center" wrapText="1"/>
    </xf>
    <xf numFmtId="0" fontId="26" fillId="2" borderId="117" xfId="0" applyNumberFormat="1" applyFont="1" applyFill="1" applyBorder="1" applyAlignment="1">
      <alignment horizontal="center" wrapText="1"/>
    </xf>
    <xf numFmtId="0" fontId="6" fillId="0" borderId="118" xfId="0" applyNumberFormat="1" applyFont="1" applyBorder="1" applyAlignment="1">
      <alignment horizontal="center" wrapText="1"/>
    </xf>
    <xf numFmtId="0" fontId="26" fillId="2" borderId="102" xfId="0" applyNumberFormat="1" applyFont="1" applyFill="1" applyBorder="1" applyAlignment="1">
      <alignment horizontal="center" wrapText="1"/>
    </xf>
    <xf numFmtId="0" fontId="6" fillId="0" borderId="8" xfId="0" applyNumberFormat="1" applyFont="1" applyBorder="1" applyAlignment="1">
      <alignment wrapText="1"/>
    </xf>
    <xf numFmtId="0" fontId="6" fillId="0" borderId="85" xfId="0" applyNumberFormat="1" applyFont="1" applyBorder="1" applyAlignment="1">
      <alignment wrapText="1"/>
    </xf>
    <xf numFmtId="49" fontId="9" fillId="0" borderId="0" xfId="0" quotePrefix="1" applyNumberFormat="1" applyFont="1" applyBorder="1" applyAlignment="1">
      <alignment horizontal="left"/>
    </xf>
    <xf numFmtId="49" fontId="9" fillId="0" borderId="0" xfId="0" applyNumberFormat="1" applyFont="1" applyBorder="1" applyAlignment="1">
      <alignment horizontal="left"/>
    </xf>
    <xf numFmtId="49" fontId="16" fillId="0" borderId="0" xfId="0" applyNumberFormat="1" applyFont="1" applyBorder="1" applyAlignment="1">
      <alignment horizontal="left"/>
    </xf>
    <xf numFmtId="49" fontId="9" fillId="0" borderId="91" xfId="0" quotePrefix="1" applyNumberFormat="1" applyFont="1" applyBorder="1" applyAlignment="1">
      <alignment horizontal="left"/>
    </xf>
    <xf numFmtId="49" fontId="9" fillId="0" borderId="91" xfId="0" applyNumberFormat="1" applyFont="1" applyBorder="1" applyAlignment="1">
      <alignment horizontal="left"/>
    </xf>
    <xf numFmtId="0" fontId="6" fillId="0" borderId="0" xfId="0" applyNumberFormat="1" applyFont="1" applyBorder="1" applyAlignment="1"/>
    <xf numFmtId="0" fontId="12" fillId="0" borderId="0" xfId="0" applyNumberFormat="1" applyFont="1" applyBorder="1" applyAlignment="1">
      <alignment horizontal="center"/>
    </xf>
    <xf numFmtId="3" fontId="18" fillId="0" borderId="0" xfId="0" applyNumberFormat="1" applyFont="1" applyBorder="1" applyAlignment="1">
      <alignment horizontal="center"/>
    </xf>
    <xf numFmtId="165" fontId="6" fillId="0" borderId="0" xfId="0" applyNumberFormat="1" applyFont="1" applyBorder="1" applyAlignment="1">
      <alignment horizontal="center"/>
    </xf>
    <xf numFmtId="165" fontId="7" fillId="2" borderId="86" xfId="0" applyNumberFormat="1" applyFont="1" applyFill="1" applyBorder="1" applyAlignment="1">
      <alignment horizontal="center"/>
    </xf>
    <xf numFmtId="0" fontId="26" fillId="2" borderId="97" xfId="0" applyNumberFormat="1" applyFont="1" applyFill="1" applyBorder="1" applyAlignment="1">
      <alignment horizontal="center" vertical="center" wrapText="1"/>
    </xf>
    <xf numFmtId="0" fontId="26" fillId="2" borderId="98" xfId="0" applyNumberFormat="1" applyFont="1" applyFill="1" applyBorder="1" applyAlignment="1">
      <alignment horizontal="center" vertical="center"/>
    </xf>
    <xf numFmtId="0" fontId="25" fillId="2" borderId="136" xfId="0" applyNumberFormat="1" applyFont="1" applyFill="1" applyBorder="1" applyAlignment="1">
      <alignment wrapText="1"/>
    </xf>
    <xf numFmtId="0" fontId="6" fillId="0" borderId="137" xfId="0" applyNumberFormat="1" applyFont="1" applyBorder="1" applyAlignment="1">
      <alignment wrapText="1"/>
    </xf>
    <xf numFmtId="0" fontId="6" fillId="0" borderId="139" xfId="0" applyNumberFormat="1" applyFont="1" applyBorder="1" applyAlignment="1">
      <alignment wrapText="1"/>
    </xf>
    <xf numFmtId="0" fontId="33" fillId="2" borderId="103" xfId="0" applyNumberFormat="1" applyFont="1" applyFill="1" applyBorder="1" applyAlignment="1">
      <alignment horizontal="center"/>
    </xf>
    <xf numFmtId="0" fontId="23" fillId="0" borderId="86" xfId="0" applyNumberFormat="1" applyFont="1" applyBorder="1" applyAlignment="1">
      <alignment horizontal="center"/>
    </xf>
    <xf numFmtId="0" fontId="33" fillId="2" borderId="0" xfId="0" applyNumberFormat="1" applyFont="1" applyFill="1" applyAlignment="1">
      <alignment horizontal="center" wrapText="1"/>
    </xf>
    <xf numFmtId="0" fontId="33" fillId="2" borderId="48" xfId="0" applyNumberFormat="1" applyFont="1" applyFill="1" applyBorder="1" applyAlignment="1">
      <alignment horizontal="center" wrapText="1"/>
    </xf>
    <xf numFmtId="0" fontId="23" fillId="0" borderId="81" xfId="0" applyNumberFormat="1" applyFont="1" applyBorder="1" applyAlignment="1">
      <alignment wrapText="1"/>
    </xf>
    <xf numFmtId="0" fontId="23" fillId="0" borderId="103" xfId="0" applyNumberFormat="1" applyFont="1" applyBorder="1" applyAlignment="1">
      <alignment wrapText="1"/>
    </xf>
    <xf numFmtId="0" fontId="23" fillId="0" borderId="138" xfId="0" applyNumberFormat="1" applyFont="1" applyBorder="1" applyAlignment="1">
      <alignment wrapText="1"/>
    </xf>
    <xf numFmtId="0" fontId="33" fillId="2" borderId="103" xfId="0" applyNumberFormat="1" applyFont="1" applyFill="1" applyBorder="1" applyAlignment="1">
      <alignment horizontal="center" wrapText="1"/>
    </xf>
    <xf numFmtId="0" fontId="23" fillId="0" borderId="86" xfId="0" applyNumberFormat="1" applyFont="1" applyBorder="1" applyAlignment="1">
      <alignment horizontal="center" wrapText="1"/>
    </xf>
    <xf numFmtId="0" fontId="33" fillId="2" borderId="142" xfId="0" applyNumberFormat="1" applyFont="1" applyFill="1" applyBorder="1" applyAlignment="1">
      <alignment horizontal="center" wrapText="1"/>
    </xf>
    <xf numFmtId="3" fontId="7" fillId="2" borderId="0" xfId="0" applyNumberFormat="1" applyFont="1" applyFill="1" applyAlignment="1">
      <alignment horizontal="center"/>
    </xf>
    <xf numFmtId="3" fontId="7" fillId="2" borderId="0" xfId="0" applyNumberFormat="1" applyFont="1" applyFill="1" applyBorder="1" applyAlignment="1">
      <alignment horizontal="center"/>
    </xf>
    <xf numFmtId="0" fontId="33" fillId="2" borderId="26" xfId="0" applyNumberFormat="1" applyFont="1" applyFill="1" applyBorder="1" applyAlignment="1">
      <alignment horizontal="center" wrapText="1"/>
    </xf>
    <xf numFmtId="0" fontId="23" fillId="0" borderId="29" xfId="0" applyNumberFormat="1" applyFont="1" applyBorder="1" applyAlignment="1">
      <alignment wrapText="1"/>
    </xf>
    <xf numFmtId="0" fontId="23" fillId="0" borderId="104" xfId="0" applyNumberFormat="1" applyFont="1" applyBorder="1" applyAlignment="1">
      <alignment wrapText="1"/>
    </xf>
    <xf numFmtId="3" fontId="7" fillId="2" borderId="86" xfId="0" applyNumberFormat="1" applyFont="1" applyFill="1" applyBorder="1" applyAlignment="1">
      <alignment horizontal="center"/>
    </xf>
    <xf numFmtId="3" fontId="48" fillId="2" borderId="105" xfId="0" applyNumberFormat="1" applyFont="1" applyFill="1" applyBorder="1" applyAlignment="1">
      <alignment horizontal="center"/>
    </xf>
    <xf numFmtId="0" fontId="44" fillId="0" borderId="105" xfId="0" applyFont="1" applyBorder="1" applyAlignment="1">
      <alignment horizontal="center"/>
    </xf>
    <xf numFmtId="0" fontId="25" fillId="2" borderId="106" xfId="0" applyNumberFormat="1" applyFont="1" applyFill="1" applyBorder="1" applyAlignment="1">
      <alignment wrapText="1"/>
    </xf>
    <xf numFmtId="0" fontId="6" fillId="0" borderId="107" xfId="0" applyNumberFormat="1" applyFont="1" applyBorder="1" applyAlignment="1">
      <alignment wrapText="1"/>
    </xf>
    <xf numFmtId="0" fontId="6" fillId="0" borderId="108" xfId="0" applyNumberFormat="1" applyFont="1" applyBorder="1" applyAlignment="1">
      <alignment wrapText="1"/>
    </xf>
    <xf numFmtId="0" fontId="23" fillId="0" borderId="28" xfId="0" applyNumberFormat="1" applyFont="1" applyBorder="1"/>
    <xf numFmtId="0" fontId="33" fillId="2" borderId="26" xfId="0" applyNumberFormat="1" applyFont="1" applyFill="1" applyBorder="1" applyAlignment="1">
      <alignment horizontal="center" vertical="top" wrapText="1"/>
    </xf>
    <xf numFmtId="0" fontId="23" fillId="0" borderId="28" xfId="0" applyNumberFormat="1" applyFont="1" applyBorder="1" applyAlignment="1">
      <alignment horizontal="center" vertical="top" wrapText="1"/>
    </xf>
    <xf numFmtId="0" fontId="23" fillId="0" borderId="27" xfId="0" applyNumberFormat="1" applyFont="1" applyBorder="1" applyAlignment="1">
      <alignment horizontal="center" vertical="top" wrapText="1"/>
    </xf>
    <xf numFmtId="0" fontId="35" fillId="2" borderId="0" xfId="0" applyNumberFormat="1" applyFont="1" applyFill="1" applyAlignment="1">
      <alignment horizontal="center"/>
    </xf>
    <xf numFmtId="0" fontId="34" fillId="2" borderId="0" xfId="0" applyNumberFormat="1" applyFont="1" applyFill="1" applyAlignment="1">
      <alignment horizontal="center"/>
    </xf>
    <xf numFmtId="0" fontId="34" fillId="2" borderId="0" xfId="0" applyNumberFormat="1" applyFont="1" applyFill="1" applyAlignment="1"/>
    <xf numFmtId="0" fontId="6" fillId="0" borderId="0" xfId="0" applyNumberFormat="1" applyFont="1" applyAlignment="1"/>
    <xf numFmtId="165" fontId="33" fillId="2" borderId="0" xfId="0" applyNumberFormat="1" applyFont="1" applyFill="1" applyAlignment="1">
      <alignment horizontal="center"/>
    </xf>
    <xf numFmtId="165" fontId="7" fillId="2" borderId="0" xfId="0" applyNumberFormat="1" applyFont="1" applyFill="1" applyAlignment="1">
      <alignment horizontal="center"/>
    </xf>
    <xf numFmtId="165" fontId="9" fillId="2" borderId="0" xfId="0" applyNumberFormat="1" applyFont="1" applyFill="1" applyAlignment="1">
      <alignment horizontal="left"/>
    </xf>
    <xf numFmtId="0" fontId="3" fillId="0" borderId="0" xfId="0" applyFont="1" applyBorder="1" applyAlignment="1">
      <alignment horizontal="left"/>
    </xf>
    <xf numFmtId="165" fontId="7" fillId="2" borderId="61" xfId="0" applyNumberFormat="1" applyFont="1" applyFill="1" applyBorder="1" applyAlignment="1">
      <alignment horizontal="center"/>
    </xf>
    <xf numFmtId="0" fontId="25" fillId="2" borderId="92" xfId="0" applyNumberFormat="1" applyFont="1" applyFill="1" applyBorder="1" applyAlignment="1">
      <alignment horizontal="center" vertical="center" wrapText="1"/>
    </xf>
    <xf numFmtId="0" fontId="6" fillId="0" borderId="93"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119" xfId="0" applyNumberFormat="1" applyFont="1" applyBorder="1" applyAlignment="1">
      <alignment horizontal="center" vertical="center" wrapText="1"/>
    </xf>
    <xf numFmtId="0" fontId="6" fillId="0" borderId="33" xfId="0" applyNumberFormat="1" applyFont="1" applyBorder="1" applyAlignment="1">
      <alignment horizontal="center" vertical="center" wrapText="1"/>
    </xf>
    <xf numFmtId="0" fontId="25" fillId="2" borderId="109" xfId="0" applyNumberFormat="1" applyFont="1" applyFill="1" applyBorder="1" applyAlignment="1">
      <alignment wrapText="1"/>
    </xf>
    <xf numFmtId="0" fontId="6" fillId="0" borderId="6" xfId="0" applyNumberFormat="1" applyFont="1" applyBorder="1" applyAlignment="1">
      <alignment wrapText="1"/>
    </xf>
    <xf numFmtId="0" fontId="6" fillId="0" borderId="84" xfId="0" applyNumberFormat="1" applyFont="1" applyBorder="1" applyAlignment="1">
      <alignment wrapText="1"/>
    </xf>
    <xf numFmtId="0" fontId="0" fillId="0" borderId="0" xfId="0" applyNumberFormat="1" applyBorder="1" applyAlignment="1"/>
    <xf numFmtId="3" fontId="18" fillId="0" borderId="0" xfId="0" applyNumberFormat="1" applyFont="1" applyBorder="1" applyAlignment="1"/>
    <xf numFmtId="0" fontId="0" fillId="0" borderId="0" xfId="0" applyBorder="1" applyAlignment="1"/>
    <xf numFmtId="0" fontId="10" fillId="0" borderId="0" xfId="0" applyNumberFormat="1" applyFont="1" applyBorder="1" applyAlignment="1">
      <alignment horizontal="center"/>
    </xf>
    <xf numFmtId="165" fontId="45" fillId="0" borderId="0" xfId="0" applyNumberFormat="1" applyFont="1" applyBorder="1" applyAlignment="1">
      <alignment horizontal="center"/>
    </xf>
    <xf numFmtId="0" fontId="44" fillId="0" borderId="0" xfId="0" applyFont="1" applyBorder="1" applyAlignment="1">
      <alignment horizontal="center"/>
    </xf>
    <xf numFmtId="0" fontId="3" fillId="3" borderId="0" xfId="0" applyNumberFormat="1" applyFont="1" applyFill="1" applyAlignment="1">
      <alignment horizontal="left" wrapText="1"/>
    </xf>
    <xf numFmtId="0" fontId="7" fillId="2" borderId="65" xfId="0" applyNumberFormat="1" applyFont="1" applyFill="1" applyBorder="1" applyAlignment="1"/>
    <xf numFmtId="0" fontId="0" fillId="0" borderId="60" xfId="0" applyNumberFormat="1" applyBorder="1" applyAlignment="1"/>
    <xf numFmtId="0" fontId="9" fillId="0" borderId="0" xfId="0" applyNumberFormat="1" applyFont="1" applyBorder="1" applyAlignment="1">
      <alignment horizontal="center"/>
    </xf>
    <xf numFmtId="0" fontId="26" fillId="2" borderId="34" xfId="0" applyNumberFormat="1" applyFont="1" applyFill="1" applyBorder="1" applyAlignment="1">
      <alignment horizontal="center" vertical="center" wrapText="1"/>
    </xf>
    <xf numFmtId="0" fontId="0" fillId="0" borderId="37" xfId="0" applyNumberFormat="1" applyBorder="1" applyAlignment="1">
      <alignment horizontal="center" vertical="center" wrapText="1"/>
    </xf>
    <xf numFmtId="0" fontId="26" fillId="2" borderId="34" xfId="0" applyNumberFormat="1" applyFont="1" applyFill="1" applyBorder="1" applyAlignment="1">
      <alignment horizontal="center" vertical="center"/>
    </xf>
    <xf numFmtId="0" fontId="0" fillId="0" borderId="18" xfId="0" applyNumberFormat="1" applyBorder="1" applyAlignment="1">
      <alignment horizontal="center" vertical="center"/>
    </xf>
    <xf numFmtId="0" fontId="26" fillId="2" borderId="18" xfId="0" applyNumberFormat="1" applyFont="1" applyFill="1" applyBorder="1" applyAlignment="1">
      <alignment horizontal="center" vertical="center"/>
    </xf>
    <xf numFmtId="0" fontId="22" fillId="0" borderId="34" xfId="0" applyNumberFormat="1" applyFont="1" applyBorder="1" applyAlignment="1">
      <alignment horizontal="center" vertical="center" wrapText="1"/>
    </xf>
    <xf numFmtId="0" fontId="22" fillId="0" borderId="18" xfId="0" applyNumberFormat="1" applyFont="1" applyBorder="1" applyAlignment="1">
      <alignment horizontal="center" vertical="center" wrapText="1"/>
    </xf>
    <xf numFmtId="0" fontId="9" fillId="0" borderId="8" xfId="0" applyNumberFormat="1" applyFont="1" applyBorder="1" applyAlignment="1">
      <alignment horizontal="center"/>
    </xf>
    <xf numFmtId="0" fontId="0" fillId="0" borderId="36" xfId="0" applyNumberFormat="1" applyBorder="1" applyAlignment="1"/>
    <xf numFmtId="0" fontId="18" fillId="0" borderId="65" xfId="0" applyNumberFormat="1" applyFont="1" applyBorder="1" applyAlignment="1"/>
    <xf numFmtId="0" fontId="0" fillId="0" borderId="91" xfId="0" applyNumberFormat="1" applyBorder="1" applyAlignment="1"/>
    <xf numFmtId="0" fontId="0" fillId="0" borderId="81" xfId="0" applyNumberFormat="1" applyBorder="1" applyAlignment="1"/>
    <xf numFmtId="3" fontId="18" fillId="0" borderId="8" xfId="0" applyNumberFormat="1" applyFont="1" applyBorder="1" applyAlignment="1"/>
    <xf numFmtId="0" fontId="0" fillId="0" borderId="36" xfId="0" applyBorder="1" applyAlignment="1"/>
    <xf numFmtId="0" fontId="10" fillId="0" borderId="8" xfId="0" applyNumberFormat="1" applyFont="1" applyBorder="1" applyAlignment="1">
      <alignment horizontal="center"/>
    </xf>
    <xf numFmtId="0" fontId="12" fillId="0" borderId="8" xfId="0" applyNumberFormat="1" applyFont="1" applyBorder="1" applyAlignment="1">
      <alignment horizontal="center"/>
    </xf>
    <xf numFmtId="165" fontId="6" fillId="0" borderId="7" xfId="0" applyNumberFormat="1" applyFont="1" applyBorder="1" applyAlignment="1">
      <alignment horizontal="center"/>
    </xf>
    <xf numFmtId="165" fontId="6" fillId="0" borderId="4" xfId="0" applyNumberFormat="1" applyFont="1" applyBorder="1" applyAlignment="1">
      <alignment horizontal="center"/>
    </xf>
  </cellXfs>
  <cellStyles count="68">
    <cellStyle name="20% - Accent1 2" xfId="16"/>
    <cellStyle name="20% - Accent2 2" xfId="11"/>
    <cellStyle name="20% - Accent3 2" xfId="20"/>
    <cellStyle name="20% - Accent4 2" xfId="18"/>
    <cellStyle name="20% - Accent5 2" xfId="15"/>
    <cellStyle name="20% - Accent6 2" xfId="14"/>
    <cellStyle name="40% - Accent1 2" xfId="13"/>
    <cellStyle name="40% - Accent2 2" xfId="12"/>
    <cellStyle name="40% - Accent3 2" xfId="26"/>
    <cellStyle name="40% - Accent4 2" xfId="27"/>
    <cellStyle name="40% - Accent5 2" xfId="22"/>
    <cellStyle name="40% - Accent6 2" xfId="25"/>
    <cellStyle name="60% - Accent1 2" xfId="23"/>
    <cellStyle name="60% - Accent2 2" xfId="24"/>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ulation 2" xfId="39"/>
    <cellStyle name="Check Cell 2" xfId="40"/>
    <cellStyle name="Comma" xfId="1" builtinId="3"/>
    <cellStyle name="Comma 2" xfId="2"/>
    <cellStyle name="Comma 3" xfId="19"/>
    <cellStyle name="Comma 4" xfId="41"/>
    <cellStyle name="Currency" xfId="3" builtinId="4"/>
    <cellStyle name="Currency 2" xfId="4"/>
    <cellStyle name="Date" xfId="42"/>
    <cellStyle name="Explanatory Text 2" xfId="43"/>
    <cellStyle name="Fixed" xfId="44"/>
    <cellStyle name="Good 2" xfId="45"/>
    <cellStyle name="Heading 1 2" xfId="46"/>
    <cellStyle name="Heading 2 2" xfId="47"/>
    <cellStyle name="Heading 3 2" xfId="48"/>
    <cellStyle name="Heading 4 2" xfId="49"/>
    <cellStyle name="Hyperlink 2" xfId="50"/>
    <cellStyle name="Input 2" xfId="51"/>
    <cellStyle name="Linked Cell 2" xfId="52"/>
    <cellStyle name="Neutral 2" xfId="53"/>
    <cellStyle name="Normal" xfId="0" builtinId="0"/>
    <cellStyle name="Normal 2" xfId="5"/>
    <cellStyle name="Normal 2 2" xfId="55"/>
    <cellStyle name="Normal 2 3" xfId="54"/>
    <cellStyle name="Normal 3" xfId="6"/>
    <cellStyle name="Normal 3 2" xfId="9"/>
    <cellStyle name="Normal 4" xfId="56"/>
    <cellStyle name="Normal 4 2" xfId="57"/>
    <cellStyle name="Normal 5" xfId="58"/>
    <cellStyle name="Normal 5 2" xfId="59"/>
    <cellStyle name="Normal 6" xfId="60"/>
    <cellStyle name="Normal 7" xfId="17"/>
    <cellStyle name="Normal_Improve by DU" xfId="7"/>
    <cellStyle name="Normal_Rsrcs_X_ DOJ Goal  Obj" xfId="8"/>
    <cellStyle name="Note 2" xfId="61"/>
    <cellStyle name="Output 2" xfId="62"/>
    <cellStyle name="Percent 2" xfId="10"/>
    <cellStyle name="Percent 2 2" xfId="21"/>
    <cellStyle name="Percent 3" xfId="63"/>
    <cellStyle name="Text" xfId="64"/>
    <cellStyle name="Title 2" xfId="65"/>
    <cellStyle name="Total 2" xfId="66"/>
    <cellStyle name="Warning Text 2" xfId="6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88901</xdr:rowOff>
    </xdr:from>
    <xdr:to>
      <xdr:col>14</xdr:col>
      <xdr:colOff>12699</xdr:colOff>
      <xdr:row>44</xdr:row>
      <xdr:rowOff>0</xdr:rowOff>
    </xdr:to>
    <xdr:pic>
      <xdr:nvPicPr>
        <xdr:cNvPr id="3" name="Picture 1" descr="text version"/>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42901"/>
          <a:ext cx="10058399" cy="892809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5" Type="http://schemas.openxmlformats.org/officeDocument/2006/relationships/printerSettings" Target="../printerSettings/printerSettings46.bin"/><Relationship Id="rId4" Type="http://schemas.openxmlformats.org/officeDocument/2006/relationships/printerSettings" Target="../printerSettings/printerSettings4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5" Type="http://schemas.openxmlformats.org/officeDocument/2006/relationships/printerSettings" Target="../printerSettings/printerSettings51.bin"/><Relationship Id="rId4" Type="http://schemas.openxmlformats.org/officeDocument/2006/relationships/printerSettings" Target="../printerSettings/printerSettings5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sheetPr codeName="Sheet3">
    <pageSetUpPr fitToPage="1"/>
  </sheetPr>
  <dimension ref="A1:N256"/>
  <sheetViews>
    <sheetView tabSelected="1" view="pageBreakPreview" zoomScale="75" zoomScaleNormal="75" zoomScaleSheetLayoutView="75" workbookViewId="0">
      <selection activeCell="Q24" sqref="Q24"/>
    </sheetView>
  </sheetViews>
  <sheetFormatPr defaultRowHeight="15"/>
  <cols>
    <col min="14" max="14" width="1.5546875" style="50" customWidth="1"/>
  </cols>
  <sheetData>
    <row r="1" spans="1:14" ht="20.25">
      <c r="A1" s="97" t="s">
        <v>138</v>
      </c>
      <c r="N1" s="50" t="s">
        <v>0</v>
      </c>
    </row>
    <row r="2" spans="1:14">
      <c r="N2" s="50" t="s">
        <v>0</v>
      </c>
    </row>
    <row r="3" spans="1:14">
      <c r="N3" s="50" t="s">
        <v>0</v>
      </c>
    </row>
    <row r="4" spans="1:14">
      <c r="N4" s="50" t="s">
        <v>0</v>
      </c>
    </row>
    <row r="5" spans="1:14" ht="15.75">
      <c r="B5" s="110"/>
      <c r="N5" s="50" t="s">
        <v>0</v>
      </c>
    </row>
    <row r="6" spans="1:14">
      <c r="N6" s="50" t="s">
        <v>0</v>
      </c>
    </row>
    <row r="7" spans="1:14">
      <c r="N7" s="50" t="s">
        <v>0</v>
      </c>
    </row>
    <row r="8" spans="1:14">
      <c r="N8" s="50" t="s">
        <v>0</v>
      </c>
    </row>
    <row r="9" spans="1:14">
      <c r="N9" s="50" t="s">
        <v>0</v>
      </c>
    </row>
    <row r="10" spans="1:14">
      <c r="N10" s="50" t="s">
        <v>0</v>
      </c>
    </row>
    <row r="11" spans="1:14">
      <c r="N11" s="50" t="s">
        <v>0</v>
      </c>
    </row>
    <row r="12" spans="1:14">
      <c r="N12" s="50" t="s">
        <v>0</v>
      </c>
    </row>
    <row r="13" spans="1:14">
      <c r="N13" s="50" t="s">
        <v>0</v>
      </c>
    </row>
    <row r="14" spans="1:14">
      <c r="N14" s="50" t="s">
        <v>0</v>
      </c>
    </row>
    <row r="15" spans="1:14">
      <c r="N15" s="50" t="s">
        <v>0</v>
      </c>
    </row>
    <row r="16" spans="1:14">
      <c r="N16" s="50" t="s">
        <v>0</v>
      </c>
    </row>
    <row r="17" spans="1:14">
      <c r="N17" s="50" t="s">
        <v>0</v>
      </c>
    </row>
    <row r="18" spans="1:14">
      <c r="N18" s="50" t="s">
        <v>0</v>
      </c>
    </row>
    <row r="19" spans="1:14">
      <c r="N19" s="50" t="s">
        <v>0</v>
      </c>
    </row>
    <row r="20" spans="1:14">
      <c r="N20" s="50" t="s">
        <v>0</v>
      </c>
    </row>
    <row r="21" spans="1:14">
      <c r="N21" s="50" t="s">
        <v>0</v>
      </c>
    </row>
    <row r="22" spans="1:14">
      <c r="N22" s="50" t="s">
        <v>0</v>
      </c>
    </row>
    <row r="23" spans="1:14">
      <c r="N23" s="50" t="s">
        <v>0</v>
      </c>
    </row>
    <row r="24" spans="1:14">
      <c r="N24" s="50" t="s">
        <v>0</v>
      </c>
    </row>
    <row r="25" spans="1:14">
      <c r="N25" s="50" t="s">
        <v>0</v>
      </c>
    </row>
    <row r="26" spans="1:14">
      <c r="N26" s="50" t="s">
        <v>0</v>
      </c>
    </row>
    <row r="27" spans="1:14">
      <c r="N27" s="50" t="s">
        <v>0</v>
      </c>
    </row>
    <row r="28" spans="1:14">
      <c r="N28" s="50" t="s">
        <v>0</v>
      </c>
    </row>
    <row r="29" spans="1:14">
      <c r="A29" s="525"/>
      <c r="B29" s="526"/>
      <c r="C29" s="526"/>
      <c r="D29" s="526"/>
      <c r="E29" s="526"/>
      <c r="F29" s="526"/>
      <c r="G29" s="526"/>
      <c r="H29" s="526"/>
      <c r="I29" s="526"/>
      <c r="J29" s="526"/>
      <c r="K29" s="526"/>
      <c r="L29" s="526"/>
      <c r="M29" s="526"/>
      <c r="N29" s="50" t="s">
        <v>0</v>
      </c>
    </row>
    <row r="30" spans="1:14">
      <c r="N30" s="50" t="s">
        <v>0</v>
      </c>
    </row>
    <row r="31" spans="1:14" ht="21" customHeight="1">
      <c r="A31" s="399"/>
      <c r="B31" s="399"/>
      <c r="C31" s="399"/>
      <c r="D31" s="399"/>
      <c r="E31" s="399"/>
      <c r="F31" s="399"/>
      <c r="G31" s="399"/>
      <c r="H31" s="399"/>
      <c r="I31" s="399"/>
      <c r="J31" s="399"/>
      <c r="K31" s="399"/>
      <c r="L31" s="399"/>
      <c r="M31" s="399"/>
      <c r="N31" s="50" t="s">
        <v>0</v>
      </c>
    </row>
    <row r="32" spans="1:14" ht="72.75" customHeight="1">
      <c r="A32" s="399"/>
      <c r="B32" s="399"/>
      <c r="C32" s="399"/>
      <c r="D32" s="399"/>
      <c r="E32" s="399"/>
      <c r="F32" s="399"/>
      <c r="G32" s="399"/>
      <c r="H32" s="399"/>
      <c r="I32" s="399"/>
      <c r="J32" s="399"/>
      <c r="K32" s="399"/>
      <c r="L32" s="399"/>
      <c r="M32" s="399"/>
      <c r="N32" s="50" t="s">
        <v>0</v>
      </c>
    </row>
    <row r="33" spans="14:14">
      <c r="N33" s="50" t="s">
        <v>0</v>
      </c>
    </row>
    <row r="34" spans="14:14">
      <c r="N34" s="50" t="s">
        <v>0</v>
      </c>
    </row>
    <row r="35" spans="14:14">
      <c r="N35" s="50" t="s">
        <v>0</v>
      </c>
    </row>
    <row r="36" spans="14:14">
      <c r="N36" s="50" t="s">
        <v>0</v>
      </c>
    </row>
    <row r="37" spans="14:14">
      <c r="N37" s="50" t="s">
        <v>0</v>
      </c>
    </row>
    <row r="38" spans="14:14">
      <c r="N38" s="50" t="s">
        <v>0</v>
      </c>
    </row>
    <row r="39" spans="14:14">
      <c r="N39" s="50" t="s">
        <v>0</v>
      </c>
    </row>
    <row r="40" spans="14:14">
      <c r="N40" s="50" t="s">
        <v>0</v>
      </c>
    </row>
    <row r="41" spans="14:14">
      <c r="N41" s="50" t="s">
        <v>0</v>
      </c>
    </row>
    <row r="42" spans="14:14">
      <c r="N42" s="50" t="s">
        <v>0</v>
      </c>
    </row>
    <row r="43" spans="14:14">
      <c r="N43" s="50" t="s">
        <v>0</v>
      </c>
    </row>
    <row r="44" spans="14:14">
      <c r="N44" s="50" t="s">
        <v>15</v>
      </c>
    </row>
    <row r="200" spans="1:1">
      <c r="A200" t="s">
        <v>84</v>
      </c>
    </row>
    <row r="256" spans="1:1" ht="15.75">
      <c r="A256" s="107" t="s">
        <v>85</v>
      </c>
    </row>
  </sheetData>
  <customSheetViews>
    <customSheetView guid="{3118AF25-8423-420A-806A-487665220C68}" scale="75" showPageBreaks="1" fitToPage="1" printArea="1" view="pageBreakPreview" topLeftCell="A10">
      <selection activeCell="I34" sqref="I34"/>
      <pageMargins left="0.75" right="0.75" top="1" bottom="1" header="0.5" footer="0.5"/>
      <printOptions horizontalCentered="1"/>
      <pageSetup scale="86" orientation="landscape" r:id="rId1"/>
      <headerFooter alignWithMargins="0">
        <oddFooter>&amp;C&amp;"Times New Roman,Regular"Exhibit A - Organizational Chart</oddFooter>
      </headerFooter>
    </customSheetView>
    <customSheetView guid="{56C0A34E-45B4-448B-85E5-70B3A8E63333}" scale="75" showPageBreaks="1" fitToPage="1" printArea="1" view="pageBreakPreview">
      <pageMargins left="0.75" right="0.75" top="1" bottom="1" header="0.5" footer="0.5"/>
      <printOptions horizontalCentered="1"/>
      <pageSetup scale="86" orientation="landscape" r:id="rId2"/>
      <headerFooter alignWithMargins="0">
        <oddFooter>&amp;C&amp;"Times New Roman,Regular"Exhibit A - Organizational Chart</oddFooter>
      </headerFooter>
    </customSheetView>
    <customSheetView guid="{4148B88B-8ED7-4FDE-9459-DEB244AD0552}" scale="75" showPageBreaks="1" fitToPage="1" printArea="1" view="pageBreakPreview">
      <pageMargins left="0.75" right="0.75" top="1" bottom="1" header="0.5" footer="0.5"/>
      <printOptions horizontalCentered="1"/>
      <pageSetup scale="86" orientation="landscape" r:id="rId3"/>
      <headerFooter alignWithMargins="0">
        <oddFooter>&amp;C&amp;"Times New Roman,Regular"Exhibit A - Organizational Chart</oddFooter>
      </headerFooter>
    </customSheetView>
    <customSheetView guid="{12C66D54-5067-4346-818B-6EAB1C8A9183}" scale="75" showPageBreaks="1" fitToPage="1" printArea="1" view="pageBreakPreview">
      <selection activeCell="I34" sqref="I34"/>
      <pageMargins left="0.75" right="0.75" top="1" bottom="1" header="0.5" footer="0.5"/>
      <printOptions horizontalCentered="1"/>
      <pageSetup scale="86" orientation="landscape" r:id="rId4"/>
      <headerFooter alignWithMargins="0">
        <oddFooter>&amp;C&amp;"Times New Roman,Regular"Exhibit A - Organizational Chart</oddFooter>
      </headerFooter>
    </customSheetView>
  </customSheetViews>
  <mergeCells count="1">
    <mergeCell ref="A29:M29"/>
  </mergeCells>
  <phoneticPr fontId="0" type="noConversion"/>
  <printOptions horizontalCentered="1"/>
  <pageMargins left="0.75" right="0.75" top="1" bottom="1" header="0.5" footer="0.5"/>
  <pageSetup scale="65" orientation="landscape" r:id="rId5"/>
  <headerFooter alignWithMargins="0">
    <oddFooter>&amp;C&amp;"Times New Roman,Regular"Exhibit A - Organizational Chart</oddFooter>
  </headerFooter>
  <drawing r:id="rId6"/>
</worksheet>
</file>

<file path=xl/worksheets/sheet2.xml><?xml version="1.0" encoding="utf-8"?>
<worksheet xmlns="http://schemas.openxmlformats.org/spreadsheetml/2006/main" xmlns:r="http://schemas.openxmlformats.org/officeDocument/2006/relationships">
  <sheetPr codeName="Sheet4">
    <pageSetUpPr fitToPage="1"/>
  </sheetPr>
  <dimension ref="A1:W84"/>
  <sheetViews>
    <sheetView showGridLines="0" showOutlineSymbols="0" view="pageBreakPreview" zoomScale="70" zoomScaleNormal="75" zoomScaleSheetLayoutView="70" workbookViewId="0">
      <selection activeCell="AB46" sqref="AB46"/>
    </sheetView>
  </sheetViews>
  <sheetFormatPr defaultColWidth="8.88671875" defaultRowHeight="15.75"/>
  <cols>
    <col min="1" max="2" width="2.5546875" style="4" customWidth="1"/>
    <col min="3" max="3" width="25" style="4" customWidth="1"/>
    <col min="4" max="5" width="7.6640625" style="7" bestFit="1" customWidth="1"/>
    <col min="6" max="6" width="11" style="7" bestFit="1" customWidth="1"/>
    <col min="7" max="8" width="7.6640625" style="7" bestFit="1" customWidth="1"/>
    <col min="9" max="9" width="11.77734375" style="7" bestFit="1" customWidth="1"/>
    <col min="10" max="10" width="4.77734375" style="7" bestFit="1" customWidth="1"/>
    <col min="11" max="11" width="4.21875" style="7" bestFit="1" customWidth="1"/>
    <col min="12" max="12" width="9.33203125" style="7" bestFit="1" customWidth="1"/>
    <col min="13" max="14" width="7.6640625" style="7" bestFit="1" customWidth="1"/>
    <col min="15" max="15" width="11.44140625" style="7" bestFit="1" customWidth="1"/>
    <col min="16" max="16" width="4.77734375" style="7" bestFit="1" customWidth="1"/>
    <col min="17" max="17" width="4.21875" style="7" bestFit="1" customWidth="1"/>
    <col min="18" max="18" width="10.6640625" style="7" bestFit="1" customWidth="1"/>
    <col min="19" max="19" width="9.5546875" style="7" customWidth="1"/>
    <col min="20" max="20" width="9.77734375" style="7" bestFit="1" customWidth="1"/>
    <col min="21" max="21" width="13.21875" style="7" bestFit="1" customWidth="1"/>
    <col min="22" max="22" width="6.5546875" style="62" customWidth="1"/>
    <col min="23" max="23" width="7.6640625" style="4" customWidth="1"/>
    <col min="24" max="16384" width="8.88671875" style="4"/>
  </cols>
  <sheetData>
    <row r="1" spans="1:22" ht="20.25">
      <c r="A1" s="588" t="s">
        <v>139</v>
      </c>
      <c r="B1" s="589"/>
      <c r="C1" s="589"/>
      <c r="D1" s="589"/>
      <c r="E1" s="589"/>
      <c r="F1" s="589"/>
      <c r="G1" s="589"/>
      <c r="H1" s="589"/>
      <c r="I1" s="589"/>
      <c r="J1" s="589"/>
      <c r="K1" s="589"/>
      <c r="L1" s="589"/>
      <c r="M1" s="589"/>
      <c r="N1" s="589"/>
      <c r="O1" s="589"/>
      <c r="P1" s="589"/>
      <c r="Q1" s="589"/>
      <c r="R1" s="589"/>
      <c r="S1" s="589"/>
      <c r="T1" s="589"/>
      <c r="U1" s="589"/>
      <c r="V1" s="61" t="s">
        <v>0</v>
      </c>
    </row>
    <row r="2" spans="1:22">
      <c r="A2" s="590"/>
      <c r="B2" s="590"/>
      <c r="C2" s="590"/>
      <c r="D2" s="590"/>
      <c r="E2" s="590"/>
      <c r="F2" s="590"/>
      <c r="G2" s="590"/>
      <c r="H2" s="590"/>
      <c r="I2" s="590"/>
      <c r="J2" s="590"/>
      <c r="K2" s="590"/>
      <c r="L2" s="590"/>
      <c r="M2" s="590"/>
      <c r="N2" s="590"/>
      <c r="O2" s="590"/>
      <c r="P2" s="590"/>
      <c r="Q2" s="590"/>
      <c r="R2" s="590"/>
      <c r="S2" s="590"/>
      <c r="T2" s="590"/>
      <c r="U2" s="590"/>
      <c r="V2" s="61" t="s">
        <v>0</v>
      </c>
    </row>
    <row r="3" spans="1:22">
      <c r="A3" s="591"/>
      <c r="B3" s="591"/>
      <c r="C3" s="591"/>
      <c r="D3" s="591"/>
      <c r="E3" s="591"/>
      <c r="F3" s="591"/>
      <c r="G3" s="591"/>
      <c r="H3" s="591"/>
      <c r="I3" s="591"/>
      <c r="J3" s="591"/>
      <c r="K3" s="591"/>
      <c r="L3" s="591"/>
      <c r="M3" s="591"/>
      <c r="N3" s="591"/>
      <c r="O3" s="591"/>
      <c r="P3" s="591"/>
      <c r="Q3" s="591"/>
      <c r="R3" s="591"/>
      <c r="S3" s="591"/>
      <c r="T3" s="591"/>
      <c r="U3" s="591"/>
      <c r="V3" s="61" t="s">
        <v>0</v>
      </c>
    </row>
    <row r="4" spans="1:22" ht="22.5">
      <c r="A4" s="565" t="s">
        <v>110</v>
      </c>
      <c r="B4" s="566"/>
      <c r="C4" s="566"/>
      <c r="D4" s="566"/>
      <c r="E4" s="566"/>
      <c r="F4" s="566"/>
      <c r="G4" s="566"/>
      <c r="H4" s="566"/>
      <c r="I4" s="566"/>
      <c r="J4" s="566"/>
      <c r="K4" s="566"/>
      <c r="L4" s="566"/>
      <c r="M4" s="566"/>
      <c r="N4" s="566"/>
      <c r="O4" s="566"/>
      <c r="P4" s="566"/>
      <c r="Q4" s="566"/>
      <c r="R4" s="566"/>
      <c r="S4" s="566"/>
      <c r="T4" s="566"/>
      <c r="U4" s="566"/>
      <c r="V4" s="61" t="s">
        <v>0</v>
      </c>
    </row>
    <row r="5" spans="1:22" ht="23.25">
      <c r="A5" s="567" t="s">
        <v>182</v>
      </c>
      <c r="B5" s="569"/>
      <c r="C5" s="569"/>
      <c r="D5" s="569"/>
      <c r="E5" s="569"/>
      <c r="F5" s="569"/>
      <c r="G5" s="569"/>
      <c r="H5" s="569"/>
      <c r="I5" s="569"/>
      <c r="J5" s="569"/>
      <c r="K5" s="569"/>
      <c r="L5" s="569"/>
      <c r="M5" s="569"/>
      <c r="N5" s="569"/>
      <c r="O5" s="569"/>
      <c r="P5" s="569"/>
      <c r="Q5" s="569"/>
      <c r="R5" s="569"/>
      <c r="S5" s="569"/>
      <c r="T5" s="569"/>
      <c r="U5" s="569"/>
      <c r="V5" s="61" t="s">
        <v>0</v>
      </c>
    </row>
    <row r="6" spans="1:22" ht="23.25">
      <c r="A6" s="567" t="s">
        <v>102</v>
      </c>
      <c r="B6" s="566"/>
      <c r="C6" s="566"/>
      <c r="D6" s="566"/>
      <c r="E6" s="566"/>
      <c r="F6" s="566"/>
      <c r="G6" s="566"/>
      <c r="H6" s="566"/>
      <c r="I6" s="566"/>
      <c r="J6" s="566"/>
      <c r="K6" s="566"/>
      <c r="L6" s="566"/>
      <c r="M6" s="566"/>
      <c r="N6" s="566"/>
      <c r="O6" s="566"/>
      <c r="P6" s="566"/>
      <c r="Q6" s="566"/>
      <c r="R6" s="566"/>
      <c r="S6" s="566"/>
      <c r="T6" s="566"/>
      <c r="U6" s="566"/>
      <c r="V6" s="61" t="s">
        <v>0</v>
      </c>
    </row>
    <row r="7" spans="1:22" ht="23.25">
      <c r="A7" s="567" t="s">
        <v>101</v>
      </c>
      <c r="B7" s="569"/>
      <c r="C7" s="569"/>
      <c r="D7" s="569"/>
      <c r="E7" s="569"/>
      <c r="F7" s="569"/>
      <c r="G7" s="569"/>
      <c r="H7" s="569"/>
      <c r="I7" s="569"/>
      <c r="J7" s="569"/>
      <c r="K7" s="569"/>
      <c r="L7" s="569"/>
      <c r="M7" s="569"/>
      <c r="N7" s="569"/>
      <c r="O7" s="569"/>
      <c r="P7" s="569"/>
      <c r="Q7" s="569"/>
      <c r="R7" s="569"/>
      <c r="S7" s="569"/>
      <c r="T7" s="569"/>
      <c r="U7" s="569"/>
      <c r="V7" s="61" t="s">
        <v>0</v>
      </c>
    </row>
    <row r="8" spans="1:22" ht="23.25">
      <c r="A8" s="592"/>
      <c r="B8" s="592"/>
      <c r="C8" s="592"/>
      <c r="D8" s="592"/>
      <c r="E8" s="592"/>
      <c r="F8" s="592"/>
      <c r="G8" s="592"/>
      <c r="H8" s="592"/>
      <c r="I8" s="592"/>
      <c r="J8" s="592"/>
      <c r="K8" s="592"/>
      <c r="L8" s="592"/>
      <c r="M8" s="592"/>
      <c r="N8" s="592"/>
      <c r="O8" s="592"/>
      <c r="P8" s="592"/>
      <c r="Q8" s="592"/>
      <c r="R8" s="592"/>
      <c r="S8" s="592"/>
      <c r="T8" s="592"/>
      <c r="U8" s="592"/>
      <c r="V8" s="61" t="s">
        <v>0</v>
      </c>
    </row>
    <row r="9" spans="1:22" ht="23.25">
      <c r="A9" s="592"/>
      <c r="B9" s="592"/>
      <c r="C9" s="592"/>
      <c r="D9" s="592"/>
      <c r="E9" s="592"/>
      <c r="F9" s="592"/>
      <c r="G9" s="592"/>
      <c r="H9" s="592"/>
      <c r="I9" s="592"/>
      <c r="J9" s="592"/>
      <c r="K9" s="592"/>
      <c r="L9" s="592"/>
      <c r="M9" s="592"/>
      <c r="N9" s="592"/>
      <c r="O9" s="592"/>
      <c r="P9" s="592"/>
      <c r="Q9" s="592"/>
      <c r="R9" s="592"/>
      <c r="S9" s="592"/>
      <c r="T9" s="592"/>
      <c r="U9" s="592"/>
      <c r="V9" s="61" t="s">
        <v>0</v>
      </c>
    </row>
    <row r="10" spans="1:22" ht="23.25">
      <c r="A10" s="592"/>
      <c r="B10" s="592"/>
      <c r="C10" s="592"/>
      <c r="D10" s="592"/>
      <c r="E10" s="592"/>
      <c r="F10" s="592"/>
      <c r="G10" s="592"/>
      <c r="H10" s="592"/>
      <c r="I10" s="592"/>
      <c r="J10" s="592"/>
      <c r="K10" s="592"/>
      <c r="L10" s="592"/>
      <c r="M10" s="592"/>
      <c r="N10" s="592"/>
      <c r="O10" s="592"/>
      <c r="P10" s="592"/>
      <c r="Q10" s="592"/>
      <c r="R10" s="592"/>
      <c r="S10" s="592"/>
      <c r="T10" s="592"/>
      <c r="U10" s="592"/>
      <c r="V10" s="61" t="s">
        <v>0</v>
      </c>
    </row>
    <row r="11" spans="1:22">
      <c r="A11" s="591"/>
      <c r="B11" s="591"/>
      <c r="C11" s="591"/>
      <c r="D11" s="591"/>
      <c r="E11" s="591"/>
      <c r="F11" s="591"/>
      <c r="G11" s="591"/>
      <c r="H11" s="591"/>
      <c r="I11" s="591"/>
      <c r="J11" s="591"/>
      <c r="K11" s="591"/>
      <c r="L11" s="591"/>
      <c r="M11" s="591"/>
      <c r="N11" s="591"/>
      <c r="O11" s="591"/>
      <c r="P11" s="591"/>
      <c r="Q11" s="591"/>
      <c r="R11" s="599"/>
      <c r="S11" s="596" t="s">
        <v>144</v>
      </c>
      <c r="T11" s="597"/>
      <c r="U11" s="598"/>
      <c r="V11" s="61" t="s">
        <v>0</v>
      </c>
    </row>
    <row r="12" spans="1:22">
      <c r="A12" s="591"/>
      <c r="B12" s="591"/>
      <c r="C12" s="591"/>
      <c r="D12" s="591"/>
      <c r="E12" s="591"/>
      <c r="F12" s="591"/>
      <c r="G12" s="591"/>
      <c r="H12" s="591"/>
      <c r="I12" s="591"/>
      <c r="J12" s="591"/>
      <c r="K12" s="591"/>
      <c r="L12" s="591"/>
      <c r="M12" s="591"/>
      <c r="N12" s="591"/>
      <c r="O12" s="591"/>
      <c r="P12" s="591"/>
      <c r="Q12" s="591"/>
      <c r="R12" s="599"/>
      <c r="S12" s="575" t="s">
        <v>12</v>
      </c>
      <c r="T12" s="595" t="s">
        <v>29</v>
      </c>
      <c r="U12" s="593" t="s">
        <v>119</v>
      </c>
      <c r="V12" s="61" t="s">
        <v>0</v>
      </c>
    </row>
    <row r="13" spans="1:22" ht="16.5" thickBot="1">
      <c r="A13" s="600"/>
      <c r="B13" s="600"/>
      <c r="C13" s="600"/>
      <c r="D13" s="600"/>
      <c r="E13" s="600"/>
      <c r="F13" s="600"/>
      <c r="G13" s="600"/>
      <c r="H13" s="600"/>
      <c r="I13" s="600"/>
      <c r="J13" s="600"/>
      <c r="K13" s="600"/>
      <c r="L13" s="600"/>
      <c r="M13" s="600"/>
      <c r="N13" s="600"/>
      <c r="O13" s="600"/>
      <c r="P13" s="600"/>
      <c r="Q13" s="600"/>
      <c r="R13" s="601"/>
      <c r="S13" s="576"/>
      <c r="T13" s="594"/>
      <c r="U13" s="594"/>
      <c r="V13" s="61" t="s">
        <v>0</v>
      </c>
    </row>
    <row r="14" spans="1:22">
      <c r="A14" s="577" t="s">
        <v>249</v>
      </c>
      <c r="B14" s="578"/>
      <c r="C14" s="578"/>
      <c r="D14" s="578"/>
      <c r="E14" s="578"/>
      <c r="F14" s="578"/>
      <c r="G14" s="578"/>
      <c r="H14" s="578"/>
      <c r="I14" s="578"/>
      <c r="J14" s="578"/>
      <c r="K14" s="578"/>
      <c r="L14" s="578"/>
      <c r="M14" s="578"/>
      <c r="N14" s="578"/>
      <c r="O14" s="578"/>
      <c r="P14" s="578"/>
      <c r="Q14" s="578"/>
      <c r="R14" s="578"/>
      <c r="S14" s="319">
        <v>5544</v>
      </c>
      <c r="T14" s="319">
        <v>5459</v>
      </c>
      <c r="U14" s="404">
        <v>1123511</v>
      </c>
      <c r="V14" s="61" t="s">
        <v>0</v>
      </c>
    </row>
    <row r="15" spans="1:22">
      <c r="A15" s="577" t="s">
        <v>265</v>
      </c>
      <c r="B15" s="578"/>
      <c r="C15" s="578"/>
      <c r="D15" s="578"/>
      <c r="E15" s="578"/>
      <c r="F15" s="578"/>
      <c r="G15" s="578"/>
      <c r="H15" s="578"/>
      <c r="I15" s="578"/>
      <c r="J15" s="578"/>
      <c r="K15" s="578"/>
      <c r="L15" s="578"/>
      <c r="M15" s="578"/>
      <c r="N15" s="578"/>
      <c r="O15" s="578"/>
      <c r="P15" s="578"/>
      <c r="Q15" s="578"/>
      <c r="R15" s="578"/>
      <c r="S15" s="319">
        <v>5544</v>
      </c>
      <c r="T15" s="319">
        <v>5459</v>
      </c>
      <c r="U15" s="320">
        <v>1174000</v>
      </c>
      <c r="V15" s="61" t="s">
        <v>0</v>
      </c>
    </row>
    <row r="16" spans="1:22" ht="18.75" customHeight="1">
      <c r="A16" s="573" t="s">
        <v>254</v>
      </c>
      <c r="B16" s="574"/>
      <c r="C16" s="574"/>
      <c r="D16" s="574"/>
      <c r="E16" s="574"/>
      <c r="F16" s="574"/>
      <c r="G16" s="574"/>
      <c r="H16" s="574"/>
      <c r="I16" s="574"/>
      <c r="J16" s="574"/>
      <c r="K16" s="574"/>
      <c r="L16" s="574"/>
      <c r="M16" s="574"/>
      <c r="N16" s="574"/>
      <c r="O16" s="574"/>
      <c r="P16" s="574"/>
      <c r="Q16" s="574"/>
      <c r="R16" s="574"/>
      <c r="S16" s="321">
        <v>0</v>
      </c>
      <c r="T16" s="321">
        <v>0</v>
      </c>
      <c r="U16" s="322">
        <v>-2200</v>
      </c>
      <c r="V16" s="61" t="s">
        <v>0</v>
      </c>
    </row>
    <row r="17" spans="1:23">
      <c r="A17" s="584" t="s">
        <v>264</v>
      </c>
      <c r="B17" s="585"/>
      <c r="C17" s="585"/>
      <c r="D17" s="585"/>
      <c r="E17" s="585"/>
      <c r="F17" s="585"/>
      <c r="G17" s="585"/>
      <c r="H17" s="585"/>
      <c r="I17" s="585"/>
      <c r="J17" s="585"/>
      <c r="K17" s="585"/>
      <c r="L17" s="585"/>
      <c r="M17" s="585"/>
      <c r="N17" s="585"/>
      <c r="O17" s="585"/>
      <c r="P17" s="585"/>
      <c r="Q17" s="585"/>
      <c r="R17" s="585"/>
      <c r="S17" s="108">
        <f>+S16+S15</f>
        <v>5544</v>
      </c>
      <c r="T17" s="108">
        <f>+T16+T15</f>
        <v>5459</v>
      </c>
      <c r="U17" s="67">
        <f>+U16+U15</f>
        <v>1171800</v>
      </c>
      <c r="V17" s="61" t="s">
        <v>0</v>
      </c>
    </row>
    <row r="18" spans="1:23">
      <c r="A18" s="586" t="s">
        <v>67</v>
      </c>
      <c r="B18" s="587"/>
      <c r="C18" s="587"/>
      <c r="D18" s="587"/>
      <c r="E18" s="587"/>
      <c r="F18" s="587"/>
      <c r="G18" s="587"/>
      <c r="H18" s="587"/>
      <c r="I18" s="587"/>
      <c r="J18" s="587"/>
      <c r="K18" s="587"/>
      <c r="L18" s="587"/>
      <c r="M18" s="587"/>
      <c r="N18" s="587"/>
      <c r="O18" s="587"/>
      <c r="P18" s="587"/>
      <c r="Q18" s="587"/>
      <c r="R18" s="587"/>
      <c r="S18" s="323"/>
      <c r="T18" s="323"/>
      <c r="U18" s="303"/>
      <c r="V18" s="61" t="s">
        <v>0</v>
      </c>
      <c r="W18" s="263"/>
    </row>
    <row r="19" spans="1:23">
      <c r="A19" s="544" t="s">
        <v>172</v>
      </c>
      <c r="B19" s="539"/>
      <c r="C19" s="539"/>
      <c r="D19" s="539"/>
      <c r="E19" s="539"/>
      <c r="F19" s="539"/>
      <c r="G19" s="539"/>
      <c r="H19" s="539"/>
      <c r="I19" s="539"/>
      <c r="J19" s="539"/>
      <c r="K19" s="539"/>
      <c r="L19" s="539"/>
      <c r="M19" s="539"/>
      <c r="N19" s="539"/>
      <c r="O19" s="539"/>
      <c r="P19" s="539"/>
      <c r="Q19" s="539"/>
      <c r="R19" s="539"/>
      <c r="S19" s="323">
        <v>0</v>
      </c>
      <c r="T19" s="323">
        <v>0</v>
      </c>
      <c r="U19" s="303">
        <v>2200</v>
      </c>
      <c r="V19" s="61" t="s">
        <v>0</v>
      </c>
    </row>
    <row r="20" spans="1:23">
      <c r="A20" s="542" t="s">
        <v>7</v>
      </c>
      <c r="B20" s="543"/>
      <c r="C20" s="543"/>
      <c r="D20" s="543"/>
      <c r="E20" s="543"/>
      <c r="F20" s="543"/>
      <c r="G20" s="543"/>
      <c r="H20" s="543"/>
      <c r="I20" s="543"/>
      <c r="J20" s="543"/>
      <c r="K20" s="543"/>
      <c r="L20" s="543"/>
      <c r="M20" s="543"/>
      <c r="N20" s="543"/>
      <c r="O20" s="543"/>
      <c r="P20" s="543"/>
      <c r="Q20" s="543"/>
      <c r="R20" s="543"/>
      <c r="S20" s="323"/>
      <c r="T20" s="323"/>
      <c r="U20" s="303"/>
      <c r="V20" s="61" t="s">
        <v>0</v>
      </c>
    </row>
    <row r="21" spans="1:23">
      <c r="A21" s="540" t="s">
        <v>21</v>
      </c>
      <c r="B21" s="541"/>
      <c r="C21" s="541"/>
      <c r="D21" s="541"/>
      <c r="E21" s="541"/>
      <c r="F21" s="541"/>
      <c r="G21" s="541"/>
      <c r="H21" s="541"/>
      <c r="I21" s="541"/>
      <c r="J21" s="541"/>
      <c r="K21" s="541"/>
      <c r="L21" s="541"/>
      <c r="M21" s="541"/>
      <c r="N21" s="541"/>
      <c r="O21" s="541"/>
      <c r="P21" s="541"/>
      <c r="Q21" s="541"/>
      <c r="R21" s="541"/>
      <c r="S21" s="323"/>
      <c r="T21" s="323"/>
      <c r="U21" s="303"/>
      <c r="V21" s="61" t="s">
        <v>0</v>
      </c>
      <c r="W21" s="263"/>
    </row>
    <row r="22" spans="1:23">
      <c r="A22" s="544" t="s">
        <v>173</v>
      </c>
      <c r="B22" s="539"/>
      <c r="C22" s="539"/>
      <c r="D22" s="539"/>
      <c r="E22" s="539"/>
      <c r="F22" s="539"/>
      <c r="G22" s="539"/>
      <c r="H22" s="539"/>
      <c r="I22" s="539"/>
      <c r="J22" s="539"/>
      <c r="K22" s="539"/>
      <c r="L22" s="539"/>
      <c r="M22" s="539"/>
      <c r="N22" s="539"/>
      <c r="O22" s="539"/>
      <c r="P22" s="539"/>
      <c r="Q22" s="539"/>
      <c r="R22" s="539"/>
      <c r="S22" s="323">
        <v>0</v>
      </c>
      <c r="T22" s="323">
        <v>0</v>
      </c>
      <c r="U22" s="303">
        <v>2755</v>
      </c>
      <c r="V22" s="61" t="s">
        <v>0</v>
      </c>
    </row>
    <row r="23" spans="1:23">
      <c r="A23" s="296" t="s">
        <v>174</v>
      </c>
      <c r="B23" s="295"/>
      <c r="C23" s="295"/>
      <c r="D23" s="295"/>
      <c r="E23" s="295"/>
      <c r="F23" s="295"/>
      <c r="G23" s="295"/>
      <c r="H23" s="295"/>
      <c r="I23" s="295"/>
      <c r="J23" s="295"/>
      <c r="K23" s="295"/>
      <c r="L23" s="295"/>
      <c r="M23" s="295"/>
      <c r="N23" s="295"/>
      <c r="O23" s="295"/>
      <c r="P23" s="295"/>
      <c r="Q23" s="295"/>
      <c r="R23" s="295"/>
      <c r="S23" s="323">
        <v>0</v>
      </c>
      <c r="T23" s="323">
        <v>0</v>
      </c>
      <c r="U23" s="303">
        <v>2774</v>
      </c>
      <c r="V23" s="61" t="s">
        <v>0</v>
      </c>
    </row>
    <row r="24" spans="1:23">
      <c r="A24" s="296" t="s">
        <v>175</v>
      </c>
      <c r="B24" s="295"/>
      <c r="C24" s="295"/>
      <c r="D24" s="295"/>
      <c r="E24" s="295"/>
      <c r="F24" s="295"/>
      <c r="G24" s="295"/>
      <c r="H24" s="295"/>
      <c r="I24" s="295"/>
      <c r="J24" s="295"/>
      <c r="K24" s="295"/>
      <c r="L24" s="295"/>
      <c r="M24" s="295"/>
      <c r="N24" s="295"/>
      <c r="O24" s="295"/>
      <c r="P24" s="295"/>
      <c r="Q24" s="295"/>
      <c r="R24" s="295"/>
      <c r="S24" s="323">
        <v>0</v>
      </c>
      <c r="T24" s="323">
        <v>0</v>
      </c>
      <c r="U24" s="303">
        <v>3700</v>
      </c>
      <c r="V24" s="61" t="s">
        <v>0</v>
      </c>
    </row>
    <row r="25" spans="1:23">
      <c r="A25" s="296" t="s">
        <v>176</v>
      </c>
      <c r="B25" s="295"/>
      <c r="C25" s="295"/>
      <c r="D25" s="295"/>
      <c r="E25" s="295"/>
      <c r="F25" s="295"/>
      <c r="G25" s="295"/>
      <c r="H25" s="295"/>
      <c r="I25" s="295"/>
      <c r="J25" s="295"/>
      <c r="K25" s="295"/>
      <c r="L25" s="295"/>
      <c r="M25" s="295"/>
      <c r="N25" s="295"/>
      <c r="O25" s="295"/>
      <c r="P25" s="295"/>
      <c r="Q25" s="295"/>
      <c r="R25" s="295"/>
      <c r="S25" s="323">
        <v>0</v>
      </c>
      <c r="T25" s="323">
        <v>0</v>
      </c>
      <c r="U25" s="303">
        <v>-100</v>
      </c>
      <c r="V25" s="61" t="s">
        <v>0</v>
      </c>
    </row>
    <row r="26" spans="1:23">
      <c r="A26" s="296" t="s">
        <v>177</v>
      </c>
      <c r="B26" s="295"/>
      <c r="C26" s="295"/>
      <c r="D26" s="295"/>
      <c r="E26" s="295"/>
      <c r="F26" s="295"/>
      <c r="G26" s="295"/>
      <c r="H26" s="295"/>
      <c r="I26" s="295"/>
      <c r="J26" s="295"/>
      <c r="K26" s="295"/>
      <c r="L26" s="295"/>
      <c r="M26" s="295"/>
      <c r="N26" s="295"/>
      <c r="O26" s="295"/>
      <c r="P26" s="295"/>
      <c r="Q26" s="295"/>
      <c r="R26" s="295"/>
      <c r="S26" s="323">
        <v>0</v>
      </c>
      <c r="T26" s="323">
        <v>0</v>
      </c>
      <c r="U26" s="303">
        <v>-8</v>
      </c>
      <c r="V26" s="61" t="s">
        <v>0</v>
      </c>
    </row>
    <row r="27" spans="1:23">
      <c r="A27" s="538" t="s">
        <v>250</v>
      </c>
      <c r="B27" s="539"/>
      <c r="C27" s="539"/>
      <c r="D27" s="539"/>
      <c r="E27" s="539"/>
      <c r="F27" s="539"/>
      <c r="G27" s="539"/>
      <c r="H27" s="539"/>
      <c r="I27" s="539"/>
      <c r="J27" s="539"/>
      <c r="K27" s="539"/>
      <c r="L27" s="539"/>
      <c r="M27" s="539"/>
      <c r="N27" s="539"/>
      <c r="O27" s="539"/>
      <c r="P27" s="539"/>
      <c r="Q27" s="539"/>
      <c r="R27" s="539"/>
      <c r="S27" s="323">
        <f>SUM(S22:S26)</f>
        <v>0</v>
      </c>
      <c r="T27" s="323">
        <f t="shared" ref="T27:U27" si="0">SUM(T22:T26)</f>
        <v>0</v>
      </c>
      <c r="U27" s="323">
        <f t="shared" si="0"/>
        <v>9121</v>
      </c>
      <c r="V27" s="61" t="s">
        <v>0</v>
      </c>
    </row>
    <row r="28" spans="1:23">
      <c r="A28" s="540" t="s">
        <v>153</v>
      </c>
      <c r="B28" s="541"/>
      <c r="C28" s="541"/>
      <c r="D28" s="541"/>
      <c r="E28" s="541"/>
      <c r="F28" s="541"/>
      <c r="G28" s="541"/>
      <c r="H28" s="541"/>
      <c r="I28" s="541"/>
      <c r="J28" s="541"/>
      <c r="K28" s="541"/>
      <c r="L28" s="541"/>
      <c r="M28" s="541"/>
      <c r="N28" s="541"/>
      <c r="O28" s="541"/>
      <c r="P28" s="541"/>
      <c r="Q28" s="541"/>
      <c r="R28" s="541"/>
      <c r="S28" s="323"/>
      <c r="T28" s="323"/>
      <c r="U28" s="303"/>
      <c r="V28" s="61" t="s">
        <v>0</v>
      </c>
      <c r="W28" s="263"/>
    </row>
    <row r="29" spans="1:23">
      <c r="A29" s="544" t="s">
        <v>92</v>
      </c>
      <c r="B29" s="539"/>
      <c r="C29" s="539"/>
      <c r="D29" s="539"/>
      <c r="E29" s="539"/>
      <c r="F29" s="539"/>
      <c r="G29" s="539"/>
      <c r="H29" s="539"/>
      <c r="I29" s="539"/>
      <c r="J29" s="539"/>
      <c r="K29" s="539"/>
      <c r="L29" s="539"/>
      <c r="M29" s="539"/>
      <c r="N29" s="539"/>
      <c r="O29" s="539"/>
      <c r="P29" s="539"/>
      <c r="Q29" s="539"/>
      <c r="R29" s="539"/>
      <c r="S29" s="323">
        <v>0</v>
      </c>
      <c r="T29" s="323">
        <v>0</v>
      </c>
      <c r="U29" s="303">
        <v>11204</v>
      </c>
      <c r="V29" s="61" t="s">
        <v>0</v>
      </c>
      <c r="W29" s="263"/>
    </row>
    <row r="30" spans="1:23">
      <c r="A30" s="579" t="s">
        <v>8</v>
      </c>
      <c r="B30" s="580"/>
      <c r="C30" s="580"/>
      <c r="D30" s="580"/>
      <c r="E30" s="580"/>
      <c r="F30" s="580"/>
      <c r="G30" s="580"/>
      <c r="H30" s="580"/>
      <c r="I30" s="580"/>
      <c r="J30" s="580"/>
      <c r="K30" s="580"/>
      <c r="L30" s="580"/>
      <c r="M30" s="580"/>
      <c r="N30" s="580"/>
      <c r="O30" s="580"/>
      <c r="P30" s="580"/>
      <c r="Q30" s="580"/>
      <c r="R30" s="580"/>
      <c r="S30" s="323">
        <v>0</v>
      </c>
      <c r="T30" s="323">
        <v>0</v>
      </c>
      <c r="U30" s="303">
        <v>16223</v>
      </c>
      <c r="V30" s="61" t="s">
        <v>0</v>
      </c>
      <c r="W30" s="263"/>
    </row>
    <row r="31" spans="1:23">
      <c r="A31" s="538" t="s">
        <v>93</v>
      </c>
      <c r="B31" s="539"/>
      <c r="C31" s="539"/>
      <c r="D31" s="539"/>
      <c r="E31" s="539"/>
      <c r="F31" s="539"/>
      <c r="G31" s="539"/>
      <c r="H31" s="539"/>
      <c r="I31" s="539"/>
      <c r="J31" s="539"/>
      <c r="K31" s="539"/>
      <c r="L31" s="539"/>
      <c r="M31" s="539"/>
      <c r="N31" s="539"/>
      <c r="O31" s="539"/>
      <c r="P31" s="539"/>
      <c r="Q31" s="539"/>
      <c r="R31" s="539"/>
      <c r="S31" s="323">
        <v>0</v>
      </c>
      <c r="T31" s="323">
        <v>0</v>
      </c>
      <c r="U31" s="303">
        <v>1200</v>
      </c>
      <c r="V31" s="61" t="s">
        <v>0</v>
      </c>
      <c r="W31" s="263"/>
    </row>
    <row r="32" spans="1:23">
      <c r="A32" s="538" t="s">
        <v>94</v>
      </c>
      <c r="B32" s="539"/>
      <c r="C32" s="539"/>
      <c r="D32" s="539"/>
      <c r="E32" s="539"/>
      <c r="F32" s="539"/>
      <c r="G32" s="539"/>
      <c r="H32" s="539"/>
      <c r="I32" s="539"/>
      <c r="J32" s="539"/>
      <c r="K32" s="539"/>
      <c r="L32" s="539"/>
      <c r="M32" s="539"/>
      <c r="N32" s="539"/>
      <c r="O32" s="539"/>
      <c r="P32" s="539"/>
      <c r="Q32" s="539"/>
      <c r="R32" s="539"/>
      <c r="S32" s="323">
        <v>0</v>
      </c>
      <c r="T32" s="323">
        <v>0</v>
      </c>
      <c r="U32" s="303">
        <v>60</v>
      </c>
      <c r="V32" s="61" t="s">
        <v>0</v>
      </c>
    </row>
    <row r="33" spans="1:22">
      <c r="A33" s="538" t="s">
        <v>113</v>
      </c>
      <c r="B33" s="539"/>
      <c r="C33" s="539"/>
      <c r="D33" s="539"/>
      <c r="E33" s="539"/>
      <c r="F33" s="539"/>
      <c r="G33" s="539"/>
      <c r="H33" s="539"/>
      <c r="I33" s="539"/>
      <c r="J33" s="539"/>
      <c r="K33" s="539"/>
      <c r="L33" s="539"/>
      <c r="M33" s="539"/>
      <c r="N33" s="539"/>
      <c r="O33" s="539"/>
      <c r="P33" s="539"/>
      <c r="Q33" s="539"/>
      <c r="R33" s="539"/>
      <c r="S33" s="323">
        <f>SUM(S29:S32)</f>
        <v>0</v>
      </c>
      <c r="T33" s="323">
        <f>SUM(T29:T32)</f>
        <v>0</v>
      </c>
      <c r="U33" s="323">
        <f>SUM(U29:U32)</f>
        <v>28687</v>
      </c>
      <c r="V33" s="61" t="s">
        <v>0</v>
      </c>
    </row>
    <row r="34" spans="1:22">
      <c r="A34" s="540" t="s">
        <v>23</v>
      </c>
      <c r="B34" s="541"/>
      <c r="C34" s="541"/>
      <c r="D34" s="541"/>
      <c r="E34" s="541"/>
      <c r="F34" s="541"/>
      <c r="G34" s="541"/>
      <c r="H34" s="541"/>
      <c r="I34" s="541"/>
      <c r="J34" s="541"/>
      <c r="K34" s="541"/>
      <c r="L34" s="541"/>
      <c r="M34" s="541"/>
      <c r="N34" s="541"/>
      <c r="O34" s="541"/>
      <c r="P34" s="541"/>
      <c r="Q34" s="541"/>
      <c r="R34" s="541"/>
      <c r="S34" s="323">
        <f>SUM(S27,S33)</f>
        <v>0</v>
      </c>
      <c r="T34" s="323">
        <f t="shared" ref="T34:U34" si="1">SUM(T27,T33)</f>
        <v>0</v>
      </c>
      <c r="U34" s="323">
        <f t="shared" si="1"/>
        <v>37808</v>
      </c>
      <c r="V34" s="61" t="s">
        <v>0</v>
      </c>
    </row>
    <row r="35" spans="1:22">
      <c r="A35" s="540" t="s">
        <v>22</v>
      </c>
      <c r="B35" s="541"/>
      <c r="C35" s="541"/>
      <c r="D35" s="541"/>
      <c r="E35" s="541"/>
      <c r="F35" s="541"/>
      <c r="G35" s="541"/>
      <c r="H35" s="541"/>
      <c r="I35" s="541"/>
      <c r="J35" s="541"/>
      <c r="K35" s="541"/>
      <c r="L35" s="541"/>
      <c r="M35" s="541"/>
      <c r="N35" s="541"/>
      <c r="O35" s="541"/>
      <c r="P35" s="541"/>
      <c r="Q35" s="541"/>
      <c r="R35" s="541"/>
      <c r="S35" s="323">
        <f>S34+S19</f>
        <v>0</v>
      </c>
      <c r="T35" s="323">
        <f>T34+T19</f>
        <v>0</v>
      </c>
      <c r="U35" s="323">
        <f>U34+U19</f>
        <v>40008</v>
      </c>
      <c r="V35" s="61" t="s">
        <v>0</v>
      </c>
    </row>
    <row r="36" spans="1:22">
      <c r="A36" s="581" t="s">
        <v>145</v>
      </c>
      <c r="B36" s="582"/>
      <c r="C36" s="582"/>
      <c r="D36" s="582"/>
      <c r="E36" s="582"/>
      <c r="F36" s="582"/>
      <c r="G36" s="582"/>
      <c r="H36" s="582"/>
      <c r="I36" s="582"/>
      <c r="J36" s="582"/>
      <c r="K36" s="582"/>
      <c r="L36" s="582"/>
      <c r="M36" s="582"/>
      <c r="N36" s="582"/>
      <c r="O36" s="582"/>
      <c r="P36" s="582"/>
      <c r="Q36" s="582"/>
      <c r="R36" s="583"/>
      <c r="S36" s="104">
        <f>+S35+S17</f>
        <v>5544</v>
      </c>
      <c r="T36" s="104">
        <f>+T35+T17</f>
        <v>5459</v>
      </c>
      <c r="U36" s="104">
        <f>+U35+U17</f>
        <v>1211808</v>
      </c>
      <c r="V36" s="61" t="s">
        <v>0</v>
      </c>
    </row>
    <row r="37" spans="1:22">
      <c r="A37" s="542" t="s">
        <v>68</v>
      </c>
      <c r="B37" s="543"/>
      <c r="C37" s="543"/>
      <c r="D37" s="543"/>
      <c r="E37" s="543"/>
      <c r="F37" s="543"/>
      <c r="G37" s="543"/>
      <c r="H37" s="543"/>
      <c r="I37" s="543"/>
      <c r="J37" s="543"/>
      <c r="K37" s="543"/>
      <c r="L37" s="543"/>
      <c r="M37" s="543"/>
      <c r="N37" s="543"/>
      <c r="O37" s="543"/>
      <c r="P37" s="543"/>
      <c r="Q37" s="543"/>
      <c r="R37" s="543"/>
      <c r="S37" s="323"/>
      <c r="T37" s="323"/>
      <c r="U37" s="303"/>
      <c r="V37" s="61" t="s">
        <v>0</v>
      </c>
    </row>
    <row r="38" spans="1:22">
      <c r="A38" s="540" t="s">
        <v>178</v>
      </c>
      <c r="B38" s="541"/>
      <c r="C38" s="541"/>
      <c r="D38" s="541"/>
      <c r="E38" s="541"/>
      <c r="F38" s="541"/>
      <c r="G38" s="541"/>
      <c r="H38" s="541"/>
      <c r="I38" s="541"/>
      <c r="J38" s="541"/>
      <c r="K38" s="541"/>
      <c r="L38" s="541"/>
      <c r="M38" s="541"/>
      <c r="N38" s="541"/>
      <c r="O38" s="541"/>
      <c r="P38" s="541"/>
      <c r="Q38" s="541"/>
      <c r="R38" s="541"/>
      <c r="S38" s="323"/>
      <c r="T38" s="323"/>
      <c r="U38" s="303"/>
      <c r="V38" s="61" t="s">
        <v>0</v>
      </c>
    </row>
    <row r="39" spans="1:22">
      <c r="A39" s="538" t="s">
        <v>179</v>
      </c>
      <c r="B39" s="539"/>
      <c r="C39" s="539"/>
      <c r="D39" s="539"/>
      <c r="E39" s="539"/>
      <c r="F39" s="539"/>
      <c r="G39" s="539"/>
      <c r="H39" s="539"/>
      <c r="I39" s="539"/>
      <c r="J39" s="539"/>
      <c r="K39" s="539"/>
      <c r="L39" s="539"/>
      <c r="M39" s="539"/>
      <c r="N39" s="539"/>
      <c r="O39" s="539"/>
      <c r="P39" s="539"/>
      <c r="Q39" s="539"/>
      <c r="R39" s="539"/>
      <c r="S39" s="323">
        <v>0</v>
      </c>
      <c r="T39" s="323">
        <v>0</v>
      </c>
      <c r="U39" s="303">
        <v>-1254</v>
      </c>
      <c r="V39" s="61" t="s">
        <v>0</v>
      </c>
    </row>
    <row r="40" spans="1:22">
      <c r="A40" s="538" t="s">
        <v>180</v>
      </c>
      <c r="B40" s="539"/>
      <c r="C40" s="539"/>
      <c r="D40" s="539"/>
      <c r="E40" s="539"/>
      <c r="F40" s="539"/>
      <c r="G40" s="539"/>
      <c r="H40" s="539"/>
      <c r="I40" s="539"/>
      <c r="J40" s="539"/>
      <c r="K40" s="539"/>
      <c r="L40" s="539"/>
      <c r="M40" s="539"/>
      <c r="N40" s="539"/>
      <c r="O40" s="539"/>
      <c r="P40" s="539"/>
      <c r="Q40" s="539"/>
      <c r="R40" s="539"/>
      <c r="S40" s="323">
        <v>0</v>
      </c>
      <c r="T40" s="323">
        <v>0</v>
      </c>
      <c r="U40" s="323">
        <f>-12066+5000</f>
        <v>-7066</v>
      </c>
      <c r="V40" s="61" t="s">
        <v>0</v>
      </c>
    </row>
    <row r="41" spans="1:22">
      <c r="A41" s="265" t="s">
        <v>148</v>
      </c>
      <c r="B41" s="295"/>
      <c r="C41" s="295"/>
      <c r="D41" s="295"/>
      <c r="E41" s="295"/>
      <c r="F41" s="295"/>
      <c r="G41" s="295"/>
      <c r="H41" s="295"/>
      <c r="I41" s="295"/>
      <c r="J41" s="295"/>
      <c r="K41" s="295"/>
      <c r="L41" s="295"/>
      <c r="M41" s="295"/>
      <c r="N41" s="295"/>
      <c r="O41" s="295"/>
      <c r="P41" s="295"/>
      <c r="Q41" s="295"/>
      <c r="R41" s="295"/>
      <c r="S41" s="324">
        <f>SUM(S39:S40)</f>
        <v>0</v>
      </c>
      <c r="T41" s="324">
        <f>SUM(T39:T40)</f>
        <v>0</v>
      </c>
      <c r="U41" s="324">
        <f>SUM(U39:U40)</f>
        <v>-8320</v>
      </c>
      <c r="V41" s="61" t="s">
        <v>0</v>
      </c>
    </row>
    <row r="42" spans="1:22" ht="18" customHeight="1">
      <c r="A42" s="540" t="s">
        <v>69</v>
      </c>
      <c r="B42" s="541"/>
      <c r="C42" s="541"/>
      <c r="D42" s="541"/>
      <c r="E42" s="541"/>
      <c r="F42" s="541"/>
      <c r="G42" s="541"/>
      <c r="H42" s="541"/>
      <c r="I42" s="541"/>
      <c r="J42" s="541"/>
      <c r="K42" s="541"/>
      <c r="L42" s="541"/>
      <c r="M42" s="541"/>
      <c r="N42" s="541"/>
      <c r="O42" s="541"/>
      <c r="P42" s="541"/>
      <c r="Q42" s="541"/>
      <c r="R42" s="541"/>
      <c r="S42" s="325">
        <f>+S41</f>
        <v>0</v>
      </c>
      <c r="T42" s="325">
        <f>+T41</f>
        <v>0</v>
      </c>
      <c r="U42" s="325">
        <f>+U41</f>
        <v>-8320</v>
      </c>
      <c r="V42" s="61" t="s">
        <v>0</v>
      </c>
    </row>
    <row r="43" spans="1:22" ht="18" customHeight="1">
      <c r="A43" s="551" t="s">
        <v>146</v>
      </c>
      <c r="B43" s="552"/>
      <c r="C43" s="552"/>
      <c r="D43" s="552"/>
      <c r="E43" s="552"/>
      <c r="F43" s="552"/>
      <c r="G43" s="552"/>
      <c r="H43" s="552"/>
      <c r="I43" s="552"/>
      <c r="J43" s="552"/>
      <c r="K43" s="552"/>
      <c r="L43" s="552"/>
      <c r="M43" s="552"/>
      <c r="N43" s="552"/>
      <c r="O43" s="552"/>
      <c r="P43" s="552"/>
      <c r="Q43" s="552"/>
      <c r="R43" s="553"/>
      <c r="S43" s="415">
        <f>S36+S42</f>
        <v>5544</v>
      </c>
      <c r="T43" s="415">
        <f>T36+T42</f>
        <v>5459</v>
      </c>
      <c r="U43" s="415">
        <f>U36+U42</f>
        <v>1203488</v>
      </c>
      <c r="V43" s="61" t="s">
        <v>0</v>
      </c>
    </row>
    <row r="44" spans="1:22" ht="18" customHeight="1">
      <c r="A44" s="346"/>
      <c r="B44" s="414" t="s">
        <v>252</v>
      </c>
      <c r="C44" s="348"/>
      <c r="D44" s="348"/>
      <c r="E44" s="348"/>
      <c r="F44" s="348"/>
      <c r="G44" s="348"/>
      <c r="H44" s="348"/>
      <c r="I44" s="348"/>
      <c r="J44" s="348"/>
      <c r="K44" s="348"/>
      <c r="L44" s="348"/>
      <c r="M44" s="348"/>
      <c r="N44" s="348"/>
      <c r="O44" s="348"/>
      <c r="P44" s="348"/>
      <c r="Q44" s="348"/>
      <c r="R44" s="348"/>
      <c r="S44" s="416">
        <v>0</v>
      </c>
      <c r="T44" s="416">
        <v>0</v>
      </c>
      <c r="U44" s="416">
        <v>-14400</v>
      </c>
      <c r="V44" s="61" t="s">
        <v>0</v>
      </c>
    </row>
    <row r="45" spans="1:22">
      <c r="A45" s="346" t="s">
        <v>263</v>
      </c>
      <c r="B45" s="347"/>
      <c r="C45" s="348"/>
      <c r="D45" s="348"/>
      <c r="E45" s="348"/>
      <c r="F45" s="348"/>
      <c r="G45" s="348"/>
      <c r="H45" s="348"/>
      <c r="I45" s="348"/>
      <c r="J45" s="348"/>
      <c r="K45" s="348"/>
      <c r="L45" s="348"/>
      <c r="M45" s="348"/>
      <c r="N45" s="348"/>
      <c r="O45" s="348"/>
      <c r="P45" s="348"/>
      <c r="Q45" s="348"/>
      <c r="R45" s="348"/>
      <c r="S45" s="415">
        <f>SUM(S43:S44)</f>
        <v>5544</v>
      </c>
      <c r="T45" s="415">
        <f>SUM(T43:T44)</f>
        <v>5459</v>
      </c>
      <c r="U45" s="415">
        <f>SUM(U43:U44)</f>
        <v>1189088</v>
      </c>
      <c r="V45" s="61" t="s">
        <v>0</v>
      </c>
    </row>
    <row r="46" spans="1:22" ht="18" customHeight="1">
      <c r="A46" s="570" t="s">
        <v>253</v>
      </c>
      <c r="B46" s="571"/>
      <c r="C46" s="571"/>
      <c r="D46" s="571"/>
      <c r="E46" s="571"/>
      <c r="F46" s="571"/>
      <c r="G46" s="571"/>
      <c r="H46" s="571"/>
      <c r="I46" s="571"/>
      <c r="J46" s="571"/>
      <c r="K46" s="571"/>
      <c r="L46" s="571"/>
      <c r="M46" s="571"/>
      <c r="N46" s="571"/>
      <c r="O46" s="571"/>
      <c r="P46" s="571"/>
      <c r="Q46" s="571"/>
      <c r="R46" s="571"/>
      <c r="S46" s="338">
        <f>+S43-S15</f>
        <v>0</v>
      </c>
      <c r="T46" s="338">
        <f t="shared" ref="T46:U46" si="2">+T43-T15</f>
        <v>0</v>
      </c>
      <c r="U46" s="338">
        <f t="shared" si="2"/>
        <v>29488</v>
      </c>
      <c r="V46" s="61" t="s">
        <v>0</v>
      </c>
    </row>
    <row r="47" spans="1:22" ht="37.5" customHeight="1">
      <c r="A47" s="572" t="s">
        <v>302</v>
      </c>
      <c r="B47" s="572"/>
      <c r="C47" s="572"/>
      <c r="D47" s="572"/>
      <c r="E47" s="572"/>
      <c r="F47" s="572"/>
      <c r="G47" s="572"/>
      <c r="H47" s="572"/>
      <c r="I47" s="572"/>
      <c r="J47" s="572"/>
      <c r="K47" s="572"/>
      <c r="L47" s="572"/>
      <c r="M47" s="572"/>
      <c r="N47" s="572"/>
      <c r="O47" s="572"/>
      <c r="P47" s="572"/>
      <c r="Q47" s="572"/>
      <c r="R47" s="572"/>
      <c r="S47" s="572"/>
      <c r="T47" s="572"/>
      <c r="U47" s="572"/>
      <c r="V47" s="61" t="s">
        <v>0</v>
      </c>
    </row>
    <row r="48" spans="1:22" ht="18" customHeight="1">
      <c r="V48" s="61" t="s">
        <v>0</v>
      </c>
    </row>
    <row r="49" spans="1:22" ht="18" customHeight="1">
      <c r="V49" s="61" t="s">
        <v>0</v>
      </c>
    </row>
    <row r="50" spans="1:22" ht="18" customHeight="1">
      <c r="V50" s="61" t="s">
        <v>0</v>
      </c>
    </row>
    <row r="51" spans="1:22" ht="18" customHeight="1">
      <c r="V51" s="61" t="s">
        <v>0</v>
      </c>
    </row>
    <row r="52" spans="1:22" ht="18" customHeight="1">
      <c r="V52" s="61" t="s">
        <v>0</v>
      </c>
    </row>
    <row r="53" spans="1:22" ht="22.5">
      <c r="A53" s="565" t="s">
        <v>110</v>
      </c>
      <c r="B53" s="566"/>
      <c r="C53" s="566"/>
      <c r="D53" s="566"/>
      <c r="E53" s="566"/>
      <c r="F53" s="566"/>
      <c r="G53" s="566"/>
      <c r="H53" s="566"/>
      <c r="I53" s="566"/>
      <c r="J53" s="566"/>
      <c r="K53" s="566"/>
      <c r="L53" s="566"/>
      <c r="M53" s="566"/>
      <c r="N53" s="566"/>
      <c r="O53" s="566"/>
      <c r="P53" s="566"/>
      <c r="Q53" s="566"/>
      <c r="R53" s="566"/>
      <c r="S53" s="566"/>
      <c r="T53" s="566"/>
      <c r="U53" s="566"/>
      <c r="V53" s="61" t="s">
        <v>0</v>
      </c>
    </row>
    <row r="54" spans="1:22" ht="23.25">
      <c r="A54" s="567" t="str">
        <f>A5</f>
        <v>United States Marshals Service</v>
      </c>
      <c r="B54" s="568"/>
      <c r="C54" s="568"/>
      <c r="D54" s="568"/>
      <c r="E54" s="568"/>
      <c r="F54" s="568"/>
      <c r="G54" s="568"/>
      <c r="H54" s="568"/>
      <c r="I54" s="568"/>
      <c r="J54" s="568"/>
      <c r="K54" s="568"/>
      <c r="L54" s="568"/>
      <c r="M54" s="568"/>
      <c r="N54" s="568"/>
      <c r="O54" s="568"/>
      <c r="P54" s="568"/>
      <c r="Q54" s="568"/>
      <c r="R54" s="568"/>
      <c r="S54" s="568"/>
      <c r="T54" s="568"/>
      <c r="U54" s="568"/>
      <c r="V54" s="61" t="s">
        <v>0</v>
      </c>
    </row>
    <row r="55" spans="1:22" ht="23.25">
      <c r="A55" s="567" t="s">
        <v>102</v>
      </c>
      <c r="B55" s="566"/>
      <c r="C55" s="566"/>
      <c r="D55" s="566"/>
      <c r="E55" s="566"/>
      <c r="F55" s="566"/>
      <c r="G55" s="566"/>
      <c r="H55" s="566"/>
      <c r="I55" s="566"/>
      <c r="J55" s="566"/>
      <c r="K55" s="566"/>
      <c r="L55" s="566"/>
      <c r="M55" s="566"/>
      <c r="N55" s="566"/>
      <c r="O55" s="566"/>
      <c r="P55" s="566"/>
      <c r="Q55" s="566"/>
      <c r="R55" s="566"/>
      <c r="S55" s="566"/>
      <c r="T55" s="566"/>
      <c r="U55" s="566"/>
      <c r="V55" s="61" t="s">
        <v>0</v>
      </c>
    </row>
    <row r="56" spans="1:22" ht="23.25">
      <c r="A56" s="567" t="s">
        <v>101</v>
      </c>
      <c r="B56" s="569"/>
      <c r="C56" s="569"/>
      <c r="D56" s="569"/>
      <c r="E56" s="569"/>
      <c r="F56" s="569"/>
      <c r="G56" s="569"/>
      <c r="H56" s="569"/>
      <c r="I56" s="569"/>
      <c r="J56" s="569"/>
      <c r="K56" s="569"/>
      <c r="L56" s="569"/>
      <c r="M56" s="569"/>
      <c r="N56" s="569"/>
      <c r="O56" s="569"/>
      <c r="P56" s="569"/>
      <c r="Q56" s="569"/>
      <c r="R56" s="569"/>
      <c r="S56" s="569"/>
      <c r="T56" s="569"/>
      <c r="U56" s="569"/>
      <c r="V56" s="61" t="s">
        <v>0</v>
      </c>
    </row>
    <row r="57" spans="1:22" ht="18" customHeight="1">
      <c r="V57" s="61" t="s">
        <v>0</v>
      </c>
    </row>
    <row r="58" spans="1:22" ht="18" customHeight="1">
      <c r="V58" s="61" t="s">
        <v>0</v>
      </c>
    </row>
    <row r="59" spans="1:22" ht="18" customHeight="1">
      <c r="V59" s="61" t="s">
        <v>0</v>
      </c>
    </row>
    <row r="60" spans="1:22" ht="18" customHeight="1">
      <c r="V60" s="61" t="s">
        <v>0</v>
      </c>
    </row>
    <row r="61" spans="1:22" ht="18" customHeight="1">
      <c r="A61" s="39"/>
      <c r="B61" s="39"/>
      <c r="C61" s="39"/>
      <c r="D61" s="40"/>
      <c r="E61" s="40"/>
      <c r="F61" s="40"/>
      <c r="G61" s="40"/>
      <c r="H61" s="40"/>
      <c r="I61" s="40"/>
      <c r="J61" s="40"/>
      <c r="K61" s="40"/>
      <c r="L61" s="40"/>
      <c r="M61" s="40"/>
      <c r="N61" s="40"/>
      <c r="O61" s="40"/>
      <c r="P61" s="40"/>
      <c r="Q61" s="40"/>
      <c r="R61" s="40"/>
      <c r="S61" s="40"/>
      <c r="T61" s="40"/>
      <c r="U61" s="40"/>
      <c r="V61" s="61" t="s">
        <v>0</v>
      </c>
    </row>
    <row r="62" spans="1:22" ht="22.5" customHeight="1">
      <c r="A62" s="554" t="s">
        <v>116</v>
      </c>
      <c r="B62" s="555"/>
      <c r="C62" s="555"/>
      <c r="D62" s="545" t="s">
        <v>156</v>
      </c>
      <c r="E62" s="546"/>
      <c r="F62" s="547"/>
      <c r="G62" s="545" t="s">
        <v>268</v>
      </c>
      <c r="H62" s="560"/>
      <c r="I62" s="561"/>
      <c r="J62" s="545" t="s">
        <v>258</v>
      </c>
      <c r="K62" s="546"/>
      <c r="L62" s="547"/>
      <c r="M62" s="545" t="s">
        <v>257</v>
      </c>
      <c r="N62" s="546"/>
      <c r="O62" s="547"/>
      <c r="P62" s="545" t="s">
        <v>256</v>
      </c>
      <c r="Q62" s="546"/>
      <c r="R62" s="546"/>
      <c r="S62" s="545" t="s">
        <v>267</v>
      </c>
      <c r="T62" s="546"/>
      <c r="U62" s="547"/>
      <c r="V62" s="61" t="s">
        <v>0</v>
      </c>
    </row>
    <row r="63" spans="1:22" ht="49.5" customHeight="1">
      <c r="A63" s="556"/>
      <c r="B63" s="557"/>
      <c r="C63" s="557"/>
      <c r="D63" s="548"/>
      <c r="E63" s="549"/>
      <c r="F63" s="550"/>
      <c r="G63" s="562"/>
      <c r="H63" s="563"/>
      <c r="I63" s="564"/>
      <c r="J63" s="548"/>
      <c r="K63" s="549"/>
      <c r="L63" s="550"/>
      <c r="M63" s="548"/>
      <c r="N63" s="549"/>
      <c r="O63" s="550"/>
      <c r="P63" s="548"/>
      <c r="Q63" s="549"/>
      <c r="R63" s="549"/>
      <c r="S63" s="548"/>
      <c r="T63" s="549"/>
      <c r="U63" s="550"/>
      <c r="V63" s="61" t="s">
        <v>0</v>
      </c>
    </row>
    <row r="64" spans="1:22" ht="16.5" thickBot="1">
      <c r="A64" s="558"/>
      <c r="B64" s="559"/>
      <c r="C64" s="559"/>
      <c r="D64" s="143" t="s">
        <v>117</v>
      </c>
      <c r="E64" s="144" t="s">
        <v>29</v>
      </c>
      <c r="F64" s="145" t="s">
        <v>119</v>
      </c>
      <c r="G64" s="143" t="s">
        <v>117</v>
      </c>
      <c r="H64" s="144" t="s">
        <v>29</v>
      </c>
      <c r="I64" s="145" t="s">
        <v>119</v>
      </c>
      <c r="J64" s="143" t="s">
        <v>117</v>
      </c>
      <c r="K64" s="144" t="s">
        <v>29</v>
      </c>
      <c r="L64" s="145" t="s">
        <v>119</v>
      </c>
      <c r="M64" s="143" t="s">
        <v>117</v>
      </c>
      <c r="N64" s="144" t="s">
        <v>29</v>
      </c>
      <c r="O64" s="145" t="s">
        <v>119</v>
      </c>
      <c r="P64" s="143" t="s">
        <v>117</v>
      </c>
      <c r="Q64" s="144" t="s">
        <v>29</v>
      </c>
      <c r="R64" s="145" t="s">
        <v>119</v>
      </c>
      <c r="S64" s="146" t="s">
        <v>117</v>
      </c>
      <c r="T64" s="144" t="s">
        <v>29</v>
      </c>
      <c r="U64" s="147" t="s">
        <v>119</v>
      </c>
      <c r="V64" s="61" t="s">
        <v>0</v>
      </c>
    </row>
    <row r="65" spans="1:22">
      <c r="A65" s="299"/>
      <c r="B65" s="300" t="s">
        <v>167</v>
      </c>
      <c r="C65" s="300"/>
      <c r="D65" s="301">
        <v>2222</v>
      </c>
      <c r="E65" s="302">
        <v>2189</v>
      </c>
      <c r="F65" s="302">
        <v>436873</v>
      </c>
      <c r="G65" s="301">
        <v>2222</v>
      </c>
      <c r="H65" s="302">
        <v>2189</v>
      </c>
      <c r="I65" s="302">
        <v>454888</v>
      </c>
      <c r="J65" s="301">
        <v>0</v>
      </c>
      <c r="K65" s="302">
        <v>0</v>
      </c>
      <c r="L65" s="302">
        <v>13121</v>
      </c>
      <c r="M65" s="301">
        <f>+G65+J65</f>
        <v>2222</v>
      </c>
      <c r="N65" s="302">
        <f t="shared" ref="N65:O69" si="3">+H65+K65</f>
        <v>2189</v>
      </c>
      <c r="O65" s="302">
        <f t="shared" si="3"/>
        <v>468009</v>
      </c>
      <c r="P65" s="301">
        <v>0</v>
      </c>
      <c r="Q65" s="302">
        <v>0</v>
      </c>
      <c r="R65" s="302">
        <v>-2020</v>
      </c>
      <c r="S65" s="301">
        <f>+M65+P65</f>
        <v>2222</v>
      </c>
      <c r="T65" s="302">
        <f t="shared" ref="T65:U65" si="4">+N65+Q65</f>
        <v>2189</v>
      </c>
      <c r="U65" s="303">
        <f t="shared" si="4"/>
        <v>465989</v>
      </c>
      <c r="V65" s="61" t="s">
        <v>0</v>
      </c>
    </row>
    <row r="66" spans="1:22">
      <c r="A66" s="299"/>
      <c r="B66" s="300" t="s">
        <v>168</v>
      </c>
      <c r="C66" s="300"/>
      <c r="D66" s="304">
        <v>1744</v>
      </c>
      <c r="E66" s="305">
        <v>1717</v>
      </c>
      <c r="F66" s="305">
        <v>380389</v>
      </c>
      <c r="G66" s="304">
        <v>1744</v>
      </c>
      <c r="H66" s="305">
        <v>1717</v>
      </c>
      <c r="I66" s="305">
        <v>397254</v>
      </c>
      <c r="J66" s="304">
        <v>0</v>
      </c>
      <c r="K66" s="305">
        <v>0</v>
      </c>
      <c r="L66" s="305">
        <v>10359</v>
      </c>
      <c r="M66" s="304">
        <f t="shared" ref="M66:M69" si="5">+G66+J66</f>
        <v>1744</v>
      </c>
      <c r="N66" s="305">
        <f t="shared" si="3"/>
        <v>1717</v>
      </c>
      <c r="O66" s="305">
        <f t="shared" si="3"/>
        <v>407613</v>
      </c>
      <c r="P66" s="304">
        <v>0</v>
      </c>
      <c r="Q66" s="305">
        <v>0</v>
      </c>
      <c r="R66" s="305">
        <v>-2230</v>
      </c>
      <c r="S66" s="304">
        <f t="shared" ref="S66:S69" si="6">+M66+P66</f>
        <v>1744</v>
      </c>
      <c r="T66" s="305">
        <f t="shared" ref="T66:T69" si="7">+N66+Q66</f>
        <v>1717</v>
      </c>
      <c r="U66" s="306">
        <f t="shared" ref="U66:U69" si="8">+O66+R66</f>
        <v>405383</v>
      </c>
      <c r="V66" s="61" t="s">
        <v>0</v>
      </c>
    </row>
    <row r="67" spans="1:22">
      <c r="A67" s="299"/>
      <c r="B67" s="307" t="s">
        <v>169</v>
      </c>
      <c r="C67" s="307"/>
      <c r="D67" s="304">
        <v>1194</v>
      </c>
      <c r="E67" s="305">
        <v>1178</v>
      </c>
      <c r="F67" s="305">
        <v>234963</v>
      </c>
      <c r="G67" s="304">
        <v>1194</v>
      </c>
      <c r="H67" s="305">
        <v>1178</v>
      </c>
      <c r="I67" s="305">
        <v>249802</v>
      </c>
      <c r="J67" s="304">
        <v>0</v>
      </c>
      <c r="K67" s="305">
        <v>0</v>
      </c>
      <c r="L67" s="305">
        <v>7050</v>
      </c>
      <c r="M67" s="304">
        <f t="shared" si="5"/>
        <v>1194</v>
      </c>
      <c r="N67" s="305">
        <f t="shared" si="3"/>
        <v>1178</v>
      </c>
      <c r="O67" s="305">
        <f t="shared" si="3"/>
        <v>256852</v>
      </c>
      <c r="P67" s="304">
        <v>0</v>
      </c>
      <c r="Q67" s="305">
        <v>0</v>
      </c>
      <c r="R67" s="305">
        <v>-3123</v>
      </c>
      <c r="S67" s="304">
        <f t="shared" si="6"/>
        <v>1194</v>
      </c>
      <c r="T67" s="305">
        <f t="shared" si="7"/>
        <v>1178</v>
      </c>
      <c r="U67" s="306">
        <f t="shared" si="8"/>
        <v>253729</v>
      </c>
      <c r="V67" s="61" t="s">
        <v>0</v>
      </c>
    </row>
    <row r="68" spans="1:22">
      <c r="A68" s="299"/>
      <c r="B68" s="307" t="s">
        <v>170</v>
      </c>
      <c r="C68" s="307"/>
      <c r="D68" s="304">
        <v>207</v>
      </c>
      <c r="E68" s="305">
        <v>203</v>
      </c>
      <c r="F68" s="305">
        <v>34099</v>
      </c>
      <c r="G68" s="304">
        <v>207</v>
      </c>
      <c r="H68" s="305">
        <v>203</v>
      </c>
      <c r="I68" s="305">
        <v>34509</v>
      </c>
      <c r="J68" s="304">
        <v>0</v>
      </c>
      <c r="K68" s="305">
        <v>0</v>
      </c>
      <c r="L68" s="305">
        <v>1222</v>
      </c>
      <c r="M68" s="304">
        <f t="shared" si="5"/>
        <v>207</v>
      </c>
      <c r="N68" s="305">
        <f t="shared" si="3"/>
        <v>203</v>
      </c>
      <c r="O68" s="305">
        <f t="shared" si="3"/>
        <v>35731</v>
      </c>
      <c r="P68" s="304">
        <v>0</v>
      </c>
      <c r="Q68" s="305">
        <v>0</v>
      </c>
      <c r="R68" s="305">
        <v>-185</v>
      </c>
      <c r="S68" s="304">
        <f t="shared" si="6"/>
        <v>207</v>
      </c>
      <c r="T68" s="305">
        <f t="shared" si="7"/>
        <v>203</v>
      </c>
      <c r="U68" s="306">
        <f t="shared" si="8"/>
        <v>35546</v>
      </c>
      <c r="V68" s="61" t="s">
        <v>0</v>
      </c>
    </row>
    <row r="69" spans="1:22" ht="17.25" customHeight="1">
      <c r="A69" s="299"/>
      <c r="B69" s="307" t="s">
        <v>171</v>
      </c>
      <c r="C69" s="307"/>
      <c r="D69" s="304">
        <v>177</v>
      </c>
      <c r="E69" s="305">
        <v>172</v>
      </c>
      <c r="F69" s="305">
        <v>37187</v>
      </c>
      <c r="G69" s="304">
        <v>177</v>
      </c>
      <c r="H69" s="305">
        <v>172</v>
      </c>
      <c r="I69" s="305">
        <v>37547</v>
      </c>
      <c r="J69" s="304">
        <v>0</v>
      </c>
      <c r="K69" s="305">
        <v>0</v>
      </c>
      <c r="L69" s="305">
        <v>6056</v>
      </c>
      <c r="M69" s="304">
        <f t="shared" si="5"/>
        <v>177</v>
      </c>
      <c r="N69" s="305">
        <f t="shared" si="3"/>
        <v>172</v>
      </c>
      <c r="O69" s="305">
        <f t="shared" si="3"/>
        <v>43603</v>
      </c>
      <c r="P69" s="304">
        <v>0</v>
      </c>
      <c r="Q69" s="305">
        <v>0</v>
      </c>
      <c r="R69" s="305">
        <v>-762</v>
      </c>
      <c r="S69" s="304">
        <f t="shared" si="6"/>
        <v>177</v>
      </c>
      <c r="T69" s="305">
        <f t="shared" si="7"/>
        <v>172</v>
      </c>
      <c r="U69" s="306">
        <f t="shared" si="8"/>
        <v>42841</v>
      </c>
      <c r="V69" s="61" t="s">
        <v>0</v>
      </c>
    </row>
    <row r="70" spans="1:22">
      <c r="A70" s="136"/>
      <c r="B70" s="137"/>
      <c r="C70" s="137" t="s">
        <v>30</v>
      </c>
      <c r="D70" s="318">
        <f>SUM(D65:D69)</f>
        <v>5544</v>
      </c>
      <c r="E70" s="177">
        <f>SUM(E65:E69)</f>
        <v>5459</v>
      </c>
      <c r="F70" s="112">
        <f>SUM(F65:F69)</f>
        <v>1123511</v>
      </c>
      <c r="G70" s="318">
        <f t="shared" ref="G70:S70" si="9">SUM(G65:G69)</f>
        <v>5544</v>
      </c>
      <c r="H70" s="177">
        <f t="shared" si="9"/>
        <v>5459</v>
      </c>
      <c r="I70" s="112">
        <f t="shared" si="9"/>
        <v>1174000</v>
      </c>
      <c r="J70" s="318">
        <f t="shared" si="9"/>
        <v>0</v>
      </c>
      <c r="K70" s="177">
        <f t="shared" si="9"/>
        <v>0</v>
      </c>
      <c r="L70" s="112">
        <f t="shared" si="9"/>
        <v>37808</v>
      </c>
      <c r="M70" s="318">
        <f t="shared" si="9"/>
        <v>5544</v>
      </c>
      <c r="N70" s="177">
        <f t="shared" si="9"/>
        <v>5459</v>
      </c>
      <c r="O70" s="112">
        <f t="shared" si="9"/>
        <v>1211808</v>
      </c>
      <c r="P70" s="318">
        <f t="shared" si="9"/>
        <v>0</v>
      </c>
      <c r="Q70" s="177">
        <f t="shared" si="9"/>
        <v>0</v>
      </c>
      <c r="R70" s="178">
        <f t="shared" si="9"/>
        <v>-8320</v>
      </c>
      <c r="S70" s="318">
        <f t="shared" si="9"/>
        <v>5544</v>
      </c>
      <c r="T70" s="177">
        <f>SUM(T65:T69)</f>
        <v>5459</v>
      </c>
      <c r="U70" s="113">
        <f>SUM(U65:U69)</f>
        <v>1203488</v>
      </c>
      <c r="V70" s="61" t="s">
        <v>0</v>
      </c>
    </row>
    <row r="71" spans="1:22" s="354" customFormat="1">
      <c r="A71" s="349"/>
      <c r="B71" s="350" t="s">
        <v>252</v>
      </c>
      <c r="C71" s="351"/>
      <c r="D71" s="352"/>
      <c r="E71" s="353"/>
      <c r="F71" s="489">
        <v>0</v>
      </c>
      <c r="G71" s="352"/>
      <c r="H71" s="353"/>
      <c r="I71" s="488">
        <v>-2200</v>
      </c>
      <c r="J71" s="352"/>
      <c r="K71" s="353"/>
      <c r="L71" s="489">
        <v>2200</v>
      </c>
      <c r="M71" s="352"/>
      <c r="N71" s="353"/>
      <c r="O71" s="489">
        <f>+I71+L71</f>
        <v>0</v>
      </c>
      <c r="P71" s="352"/>
      <c r="Q71" s="353"/>
      <c r="R71" s="488">
        <v>-14400</v>
      </c>
      <c r="S71" s="352"/>
      <c r="T71" s="353"/>
      <c r="U71" s="417">
        <f>+O71+R71</f>
        <v>-14400</v>
      </c>
      <c r="V71" s="61" t="s">
        <v>0</v>
      </c>
    </row>
    <row r="72" spans="1:22" s="354" customFormat="1" ht="35.25" customHeight="1">
      <c r="A72" s="349"/>
      <c r="B72" s="350"/>
      <c r="C72" s="492" t="s">
        <v>266</v>
      </c>
      <c r="D72" s="355">
        <f t="shared" ref="D72:U72" si="10">SUM(D70:D71)</f>
        <v>5544</v>
      </c>
      <c r="E72" s="356">
        <f t="shared" si="10"/>
        <v>5459</v>
      </c>
      <c r="F72" s="357">
        <f t="shared" si="10"/>
        <v>1123511</v>
      </c>
      <c r="G72" s="355">
        <f t="shared" si="10"/>
        <v>5544</v>
      </c>
      <c r="H72" s="356">
        <f t="shared" si="10"/>
        <v>5459</v>
      </c>
      <c r="I72" s="357">
        <f t="shared" si="10"/>
        <v>1171800</v>
      </c>
      <c r="J72" s="355">
        <f t="shared" si="10"/>
        <v>0</v>
      </c>
      <c r="K72" s="356">
        <f t="shared" si="10"/>
        <v>0</v>
      </c>
      <c r="L72" s="357">
        <f t="shared" si="10"/>
        <v>40008</v>
      </c>
      <c r="M72" s="355">
        <f t="shared" si="10"/>
        <v>5544</v>
      </c>
      <c r="N72" s="356">
        <f t="shared" si="10"/>
        <v>5459</v>
      </c>
      <c r="O72" s="357">
        <f t="shared" si="10"/>
        <v>1211808</v>
      </c>
      <c r="P72" s="355">
        <f t="shared" si="10"/>
        <v>0</v>
      </c>
      <c r="Q72" s="356">
        <f t="shared" si="10"/>
        <v>0</v>
      </c>
      <c r="R72" s="358">
        <f t="shared" si="10"/>
        <v>-22720</v>
      </c>
      <c r="S72" s="355">
        <f t="shared" si="10"/>
        <v>5544</v>
      </c>
      <c r="T72" s="356">
        <f t="shared" si="10"/>
        <v>5459</v>
      </c>
      <c r="U72" s="418">
        <f t="shared" si="10"/>
        <v>1189088</v>
      </c>
      <c r="V72" s="61" t="s">
        <v>0</v>
      </c>
    </row>
    <row r="73" spans="1:22" ht="17.25" customHeight="1">
      <c r="A73" s="138"/>
      <c r="B73" s="532"/>
      <c r="C73" s="533"/>
      <c r="D73" s="148"/>
      <c r="E73" s="149"/>
      <c r="F73" s="4"/>
      <c r="G73" s="150"/>
      <c r="H73" s="151"/>
      <c r="I73" s="151"/>
      <c r="J73" s="150"/>
      <c r="K73" s="151"/>
      <c r="L73" s="151"/>
      <c r="M73" s="150"/>
      <c r="N73" s="151"/>
      <c r="O73" s="151"/>
      <c r="P73" s="150"/>
      <c r="Q73" s="151"/>
      <c r="R73" s="151"/>
      <c r="S73" s="150"/>
      <c r="T73" s="155"/>
      <c r="U73" s="195"/>
      <c r="V73" s="61" t="s">
        <v>0</v>
      </c>
    </row>
    <row r="74" spans="1:22">
      <c r="A74" s="136"/>
      <c r="B74" s="534" t="s">
        <v>184</v>
      </c>
      <c r="C74" s="535"/>
      <c r="D74" s="308"/>
      <c r="E74" s="309">
        <v>355</v>
      </c>
      <c r="F74" s="310"/>
      <c r="G74" s="308"/>
      <c r="H74" s="309">
        <v>418</v>
      </c>
      <c r="I74" s="309"/>
      <c r="J74" s="308"/>
      <c r="K74" s="309">
        <v>6</v>
      </c>
      <c r="L74" s="309"/>
      <c r="M74" s="308"/>
      <c r="N74" s="309">
        <f>SUM(H74:M74)</f>
        <v>424</v>
      </c>
      <c r="O74" s="309"/>
      <c r="P74" s="308"/>
      <c r="Q74" s="309">
        <v>-1</v>
      </c>
      <c r="R74" s="309"/>
      <c r="S74" s="308"/>
      <c r="T74" s="309">
        <f>+N74+Q74</f>
        <v>423</v>
      </c>
      <c r="U74" s="311"/>
      <c r="V74" s="61" t="s">
        <v>0</v>
      </c>
    </row>
    <row r="75" spans="1:22">
      <c r="A75" s="134"/>
      <c r="B75" s="527" t="s">
        <v>106</v>
      </c>
      <c r="C75" s="528"/>
      <c r="D75" s="301"/>
      <c r="E75" s="302">
        <f>+E70+E74</f>
        <v>5814</v>
      </c>
      <c r="F75" s="312"/>
      <c r="G75" s="301"/>
      <c r="H75" s="302">
        <f>+H70+H74</f>
        <v>5877</v>
      </c>
      <c r="I75" s="302"/>
      <c r="J75" s="301"/>
      <c r="K75" s="302">
        <f>+K70+K74</f>
        <v>6</v>
      </c>
      <c r="L75" s="302"/>
      <c r="M75" s="301"/>
      <c r="N75" s="302">
        <f>+N70+N74</f>
        <v>5883</v>
      </c>
      <c r="O75" s="302"/>
      <c r="P75" s="301"/>
      <c r="Q75" s="302">
        <f>+Q70+Q74</f>
        <v>-1</v>
      </c>
      <c r="R75" s="302"/>
      <c r="S75" s="301"/>
      <c r="T75" s="302">
        <f>+T70+T74</f>
        <v>5882</v>
      </c>
      <c r="U75" s="303"/>
      <c r="V75" s="61" t="s">
        <v>0</v>
      </c>
    </row>
    <row r="76" spans="1:22">
      <c r="A76" s="139"/>
      <c r="B76" s="536"/>
      <c r="C76" s="537"/>
      <c r="D76" s="313"/>
      <c r="E76" s="314"/>
      <c r="F76" s="263"/>
      <c r="G76" s="313"/>
      <c r="H76" s="314"/>
      <c r="I76" s="314"/>
      <c r="J76" s="313"/>
      <c r="K76" s="314"/>
      <c r="L76" s="314"/>
      <c r="M76" s="313"/>
      <c r="N76" s="314"/>
      <c r="O76" s="314"/>
      <c r="P76" s="313"/>
      <c r="Q76" s="314"/>
      <c r="R76" s="314"/>
      <c r="S76" s="313"/>
      <c r="T76" s="315"/>
      <c r="U76" s="316"/>
      <c r="V76" s="61" t="s">
        <v>0</v>
      </c>
    </row>
    <row r="77" spans="1:22">
      <c r="A77" s="134"/>
      <c r="B77" s="527" t="s">
        <v>104</v>
      </c>
      <c r="C77" s="528"/>
      <c r="D77" s="301"/>
      <c r="E77" s="302"/>
      <c r="F77" s="312"/>
      <c r="G77" s="301"/>
      <c r="H77" s="302"/>
      <c r="I77" s="302"/>
      <c r="J77" s="301"/>
      <c r="K77" s="302"/>
      <c r="L77" s="302"/>
      <c r="M77" s="301"/>
      <c r="N77" s="302"/>
      <c r="O77" s="302"/>
      <c r="P77" s="301"/>
      <c r="Q77" s="302"/>
      <c r="R77" s="302"/>
      <c r="S77" s="301"/>
      <c r="T77" s="302"/>
      <c r="U77" s="303"/>
      <c r="V77" s="61" t="s">
        <v>0</v>
      </c>
    </row>
    <row r="78" spans="1:22">
      <c r="A78" s="134"/>
      <c r="B78" s="140"/>
      <c r="C78" s="135" t="s">
        <v>35</v>
      </c>
      <c r="D78" s="301"/>
      <c r="E78" s="302">
        <v>639</v>
      </c>
      <c r="F78" s="312"/>
      <c r="G78" s="301"/>
      <c r="H78" s="302">
        <v>639</v>
      </c>
      <c r="I78" s="302"/>
      <c r="J78" s="301"/>
      <c r="K78" s="302">
        <v>0</v>
      </c>
      <c r="L78" s="302"/>
      <c r="M78" s="301"/>
      <c r="N78" s="302">
        <f>SUM(H78:M78)</f>
        <v>639</v>
      </c>
      <c r="O78" s="302"/>
      <c r="P78" s="301"/>
      <c r="Q78" s="302">
        <v>0</v>
      </c>
      <c r="R78" s="302"/>
      <c r="S78" s="301"/>
      <c r="T78" s="302">
        <f>+N78+Q78</f>
        <v>639</v>
      </c>
      <c r="U78" s="303"/>
      <c r="V78" s="61" t="s">
        <v>0</v>
      </c>
    </row>
    <row r="79" spans="1:22">
      <c r="A79" s="136"/>
      <c r="B79" s="141"/>
      <c r="C79" s="142" t="s">
        <v>66</v>
      </c>
      <c r="D79" s="308"/>
      <c r="E79" s="309">
        <v>207</v>
      </c>
      <c r="F79" s="310"/>
      <c r="G79" s="308"/>
      <c r="H79" s="309">
        <v>207</v>
      </c>
      <c r="I79" s="309"/>
      <c r="J79" s="308"/>
      <c r="K79" s="309">
        <v>0</v>
      </c>
      <c r="L79" s="309"/>
      <c r="M79" s="308"/>
      <c r="N79" s="309">
        <f>SUM(H79:M79)</f>
        <v>207</v>
      </c>
      <c r="O79" s="309"/>
      <c r="P79" s="308"/>
      <c r="Q79" s="309">
        <v>0</v>
      </c>
      <c r="R79" s="309"/>
      <c r="S79" s="308"/>
      <c r="T79" s="309">
        <f>+N79+Q79</f>
        <v>207</v>
      </c>
      <c r="U79" s="311"/>
      <c r="V79" s="61" t="s">
        <v>0</v>
      </c>
    </row>
    <row r="80" spans="1:22">
      <c r="A80" s="136"/>
      <c r="B80" s="529" t="s">
        <v>105</v>
      </c>
      <c r="C80" s="530"/>
      <c r="D80" s="308"/>
      <c r="E80" s="309">
        <f>E79+E78+E75</f>
        <v>6660</v>
      </c>
      <c r="F80" s="310"/>
      <c r="G80" s="308"/>
      <c r="H80" s="309">
        <f>H79+H78+H75</f>
        <v>6723</v>
      </c>
      <c r="I80" s="309"/>
      <c r="J80" s="308"/>
      <c r="K80" s="309">
        <f>K79+K78+K75</f>
        <v>6</v>
      </c>
      <c r="L80" s="309"/>
      <c r="M80" s="308"/>
      <c r="N80" s="309">
        <f>N79+N78+N75</f>
        <v>6729</v>
      </c>
      <c r="O80" s="309"/>
      <c r="P80" s="308"/>
      <c r="Q80" s="309">
        <f>Q79+Q78+Q75</f>
        <v>-1</v>
      </c>
      <c r="R80" s="309"/>
      <c r="S80" s="308"/>
      <c r="T80" s="309">
        <f>T79+T78+T75</f>
        <v>6728</v>
      </c>
      <c r="U80" s="311"/>
      <c r="V80" s="61" t="s">
        <v>0</v>
      </c>
    </row>
    <row r="81" spans="1:22" ht="15.75" customHeight="1">
      <c r="A81" s="523" t="s">
        <v>304</v>
      </c>
      <c r="B81" s="523"/>
      <c r="C81" s="523"/>
      <c r="D81" s="523"/>
      <c r="E81" s="523"/>
      <c r="F81" s="523"/>
      <c r="G81" s="523"/>
      <c r="H81" s="523"/>
      <c r="I81" s="523"/>
      <c r="J81" s="523"/>
      <c r="K81" s="523"/>
      <c r="L81" s="523"/>
      <c r="M81" s="523"/>
      <c r="N81" s="523"/>
      <c r="O81" s="523"/>
      <c r="P81" s="523"/>
      <c r="Q81" s="523"/>
      <c r="R81" s="523"/>
      <c r="S81" s="523"/>
      <c r="T81" s="523"/>
      <c r="U81" s="523"/>
      <c r="V81" s="61" t="s">
        <v>15</v>
      </c>
    </row>
    <row r="82" spans="1:22" s="241" customFormat="1" ht="30" customHeight="1">
      <c r="A82" s="531"/>
      <c r="B82" s="531"/>
      <c r="C82" s="531"/>
      <c r="D82" s="531"/>
      <c r="E82" s="531"/>
      <c r="F82" s="531"/>
      <c r="G82" s="531"/>
      <c r="H82" s="531"/>
      <c r="I82" s="531"/>
      <c r="J82" s="531"/>
      <c r="K82" s="531"/>
      <c r="L82" s="531"/>
      <c r="M82" s="531"/>
      <c r="N82" s="531"/>
      <c r="O82" s="531"/>
      <c r="P82" s="531"/>
      <c r="Q82" s="531"/>
      <c r="R82" s="531"/>
      <c r="S82" s="531"/>
      <c r="T82" s="42"/>
      <c r="U82" s="42"/>
      <c r="V82" s="242"/>
    </row>
    <row r="83" spans="1:22">
      <c r="T83" s="29"/>
      <c r="U83" s="29"/>
    </row>
    <row r="84" spans="1:22">
      <c r="K84" s="46"/>
    </row>
  </sheetData>
  <customSheetViews>
    <customSheetView guid="{3118AF25-8423-420A-806A-487665220C68}" scale="65" showPageBreaks="1" showGridLines="0" outlineSymbols="0" fitToPage="1" printArea="1" view="pageBreakPreview" topLeftCell="A50">
      <selection activeCell="W80" sqref="W80"/>
      <rowBreaks count="1" manualBreakCount="1">
        <brk id="47" max="23" man="1"/>
      </rowBreaks>
      <pageMargins left="0.5" right="0.4" top="0.5" bottom="0.25" header="0" footer="0"/>
      <printOptions horizontalCentered="1"/>
      <pageSetup scale="55" firstPageNumber="8" fitToHeight="0" orientation="landscape" useFirstPageNumber="1" r:id="rId1"/>
      <headerFooter alignWithMargins="0">
        <oddFooter>&amp;C&amp;"Times New Roman,Regular"Exhibit B - Summary of Requirements</oddFooter>
      </headerFooter>
    </customSheetView>
    <customSheetView guid="{56C0A34E-45B4-448B-85E5-70B3A8E63333}" scale="65" showPageBreaks="1" showGridLines="0" outlineSymbols="0" fitToPage="1" printArea="1" view="pageBreakPreview" topLeftCell="A6">
      <selection activeCell="X34" sqref="X34"/>
      <rowBreaks count="1" manualBreakCount="1">
        <brk id="49" max="23" man="1"/>
      </rowBreaks>
      <pageMargins left="0.5" right="0.4" top="0.5" bottom="0.25" header="0" footer="0"/>
      <printOptions horizontalCentered="1"/>
      <pageSetup scale="55" firstPageNumber="8" fitToHeight="0" orientation="landscape" useFirstPageNumber="1" r:id="rId2"/>
      <headerFooter alignWithMargins="0">
        <oddFooter>&amp;C&amp;"Times New Roman,Regular"Exhibit B - Summary of Requirements</oddFooter>
      </headerFooter>
    </customSheetView>
    <customSheetView guid="{4148B88B-8ED7-4FDE-9459-DEB244AD0552}" scale="65" showPageBreaks="1" showGridLines="0" outlineSymbols="0" fitToPage="1" printArea="1" view="pageBreakPreview" topLeftCell="C7">
      <selection activeCell="A38" sqref="A38:U38"/>
      <rowBreaks count="1" manualBreakCount="1">
        <brk id="47" max="23" man="1"/>
      </rowBreaks>
      <pageMargins left="0.5" right="0.4" top="0.5" bottom="0.25" header="0" footer="0"/>
      <printOptions horizontalCentered="1"/>
      <pageSetup scale="55" firstPageNumber="8" fitToHeight="0" orientation="landscape" useFirstPageNumber="1" r:id="rId3"/>
      <headerFooter alignWithMargins="0">
        <oddFooter>&amp;C&amp;"Times New Roman,Regular"Exhibit B - Summary of Requirements</oddFooter>
      </headerFooter>
    </customSheetView>
    <customSheetView guid="{12C66D54-5067-4346-818B-6EAB1C8A9183}" scale="65" showPageBreaks="1" showGridLines="0" outlineSymbols="0" fitToPage="1" printArea="1" view="pageBreakPreview">
      <selection activeCell="A21" sqref="A21:U21"/>
      <rowBreaks count="1" manualBreakCount="1">
        <brk id="47" max="23" man="1"/>
      </rowBreaks>
      <pageMargins left="0.5" right="0.4" top="0.5" bottom="0.25" header="0" footer="0"/>
      <printOptions horizontalCentered="1"/>
      <pageSetup scale="55" firstPageNumber="8" fitToHeight="0" orientation="landscape" useFirstPageNumber="1" r:id="rId4"/>
      <headerFooter alignWithMargins="0">
        <oddFooter>&amp;C&amp;"Times New Roman,Regular"Exhibit B - Summary of Requirements</oddFooter>
      </headerFooter>
    </customSheetView>
  </customSheetViews>
  <mergeCells count="60">
    <mergeCell ref="A1:U1"/>
    <mergeCell ref="A14:R14"/>
    <mergeCell ref="A2:U2"/>
    <mergeCell ref="A3:U3"/>
    <mergeCell ref="A8:U8"/>
    <mergeCell ref="A9:U9"/>
    <mergeCell ref="U12:U13"/>
    <mergeCell ref="T12:T13"/>
    <mergeCell ref="A4:U4"/>
    <mergeCell ref="A5:U5"/>
    <mergeCell ref="A6:U6"/>
    <mergeCell ref="A7:U7"/>
    <mergeCell ref="S11:U11"/>
    <mergeCell ref="A10:U10"/>
    <mergeCell ref="A11:R13"/>
    <mergeCell ref="A16:R16"/>
    <mergeCell ref="S12:S13"/>
    <mergeCell ref="A15:R15"/>
    <mergeCell ref="A38:R38"/>
    <mergeCell ref="A22:R22"/>
    <mergeCell ref="A30:R30"/>
    <mergeCell ref="A37:R37"/>
    <mergeCell ref="A34:R34"/>
    <mergeCell ref="A36:R36"/>
    <mergeCell ref="A33:R33"/>
    <mergeCell ref="A17:R17"/>
    <mergeCell ref="A18:R18"/>
    <mergeCell ref="A19:R19"/>
    <mergeCell ref="A27:R27"/>
    <mergeCell ref="S62:U63"/>
    <mergeCell ref="D62:F63"/>
    <mergeCell ref="A43:R43"/>
    <mergeCell ref="A42:R42"/>
    <mergeCell ref="A62:C64"/>
    <mergeCell ref="G62:I63"/>
    <mergeCell ref="J62:L63"/>
    <mergeCell ref="M62:O63"/>
    <mergeCell ref="P62:R63"/>
    <mergeCell ref="A53:U53"/>
    <mergeCell ref="A54:U54"/>
    <mergeCell ref="A55:U55"/>
    <mergeCell ref="A56:U56"/>
    <mergeCell ref="A46:R46"/>
    <mergeCell ref="A47:U47"/>
    <mergeCell ref="A40:R40"/>
    <mergeCell ref="A35:R35"/>
    <mergeCell ref="A20:R20"/>
    <mergeCell ref="A28:R28"/>
    <mergeCell ref="A29:R29"/>
    <mergeCell ref="A21:R21"/>
    <mergeCell ref="A39:R39"/>
    <mergeCell ref="A31:R31"/>
    <mergeCell ref="A32:R32"/>
    <mergeCell ref="B77:C77"/>
    <mergeCell ref="B80:C80"/>
    <mergeCell ref="A82:S82"/>
    <mergeCell ref="B73:C73"/>
    <mergeCell ref="B74:C74"/>
    <mergeCell ref="B76:C76"/>
    <mergeCell ref="B75:C75"/>
  </mergeCells>
  <phoneticPr fontId="0" type="noConversion"/>
  <printOptions horizontalCentered="1"/>
  <pageMargins left="0.5" right="0.4" top="0.5" bottom="0.25" header="0" footer="0"/>
  <pageSetup scale="59" firstPageNumber="8" fitToHeight="0" orientation="landscape" useFirstPageNumber="1" r:id="rId5"/>
  <headerFooter alignWithMargins="0">
    <oddFooter>&amp;C&amp;"Times New Roman,Regular"Exhibit B - Summary of Requirements - Salaries and Expenses</oddFooter>
  </headerFooter>
  <rowBreaks count="1" manualBreakCount="1">
    <brk id="47" max="20" man="1"/>
  </rowBreaks>
</worksheet>
</file>

<file path=xl/worksheets/sheet3.xml><?xml version="1.0" encoding="utf-8"?>
<worksheet xmlns="http://schemas.openxmlformats.org/spreadsheetml/2006/main" xmlns:r="http://schemas.openxmlformats.org/officeDocument/2006/relationships">
  <sheetPr>
    <pageSetUpPr fitToPage="1"/>
  </sheetPr>
  <dimension ref="A1:V48"/>
  <sheetViews>
    <sheetView showGridLines="0" showOutlineSymbols="0" view="pageBreakPreview" zoomScale="65" zoomScaleNormal="75" zoomScaleSheetLayoutView="65" workbookViewId="0">
      <selection activeCell="X35" sqref="X35"/>
    </sheetView>
  </sheetViews>
  <sheetFormatPr defaultColWidth="8.88671875" defaultRowHeight="15.75"/>
  <cols>
    <col min="1" max="2" width="2.5546875" style="4" customWidth="1"/>
    <col min="3" max="3" width="25" style="4" customWidth="1"/>
    <col min="4" max="5" width="7.6640625" style="7" bestFit="1" customWidth="1"/>
    <col min="6" max="6" width="11" style="7" bestFit="1" customWidth="1"/>
    <col min="7" max="8" width="7.6640625" style="7" bestFit="1" customWidth="1"/>
    <col min="9" max="9" width="11.77734375" style="7" bestFit="1" customWidth="1"/>
    <col min="10" max="10" width="4.77734375" style="7" bestFit="1" customWidth="1"/>
    <col min="11" max="11" width="4.21875" style="7" bestFit="1" customWidth="1"/>
    <col min="12" max="12" width="9.33203125" style="7" bestFit="1" customWidth="1"/>
    <col min="13" max="14" width="7.6640625" style="7" bestFit="1" customWidth="1"/>
    <col min="15" max="15" width="11.44140625" style="7" bestFit="1" customWidth="1"/>
    <col min="16" max="16" width="4.77734375" style="7" bestFit="1" customWidth="1"/>
    <col min="17" max="17" width="4.21875" style="7" bestFit="1" customWidth="1"/>
    <col min="18" max="18" width="9.21875" style="7" bestFit="1" customWidth="1"/>
    <col min="19" max="19" width="9.5546875" style="7" customWidth="1"/>
    <col min="20" max="20" width="9.77734375" style="7" bestFit="1" customWidth="1"/>
    <col min="21" max="21" width="13.21875" style="7" bestFit="1" customWidth="1"/>
    <col min="22" max="22" width="6.5546875" style="62" customWidth="1"/>
    <col min="23" max="23" width="7.6640625" style="4" customWidth="1"/>
    <col min="24" max="16384" width="8.88671875" style="4"/>
  </cols>
  <sheetData>
    <row r="1" spans="1:22" ht="20.25">
      <c r="A1" s="588" t="s">
        <v>139</v>
      </c>
      <c r="B1" s="589"/>
      <c r="C1" s="589"/>
      <c r="D1" s="589"/>
      <c r="E1" s="589"/>
      <c r="F1" s="589"/>
      <c r="G1" s="589"/>
      <c r="H1" s="589"/>
      <c r="I1" s="589"/>
      <c r="J1" s="589"/>
      <c r="K1" s="589"/>
      <c r="L1" s="589"/>
      <c r="M1" s="589"/>
      <c r="N1" s="589"/>
      <c r="O1" s="589"/>
      <c r="P1" s="589"/>
      <c r="Q1" s="589"/>
      <c r="R1" s="589"/>
      <c r="S1" s="589"/>
      <c r="T1" s="589"/>
      <c r="U1" s="589"/>
      <c r="V1" s="61" t="s">
        <v>0</v>
      </c>
    </row>
    <row r="2" spans="1:22">
      <c r="A2" s="590"/>
      <c r="B2" s="590"/>
      <c r="C2" s="590"/>
      <c r="D2" s="590"/>
      <c r="E2" s="590"/>
      <c r="F2" s="590"/>
      <c r="G2" s="590"/>
      <c r="H2" s="590"/>
      <c r="I2" s="590"/>
      <c r="J2" s="590"/>
      <c r="K2" s="590"/>
      <c r="L2" s="590"/>
      <c r="M2" s="590"/>
      <c r="N2" s="590"/>
      <c r="O2" s="590"/>
      <c r="P2" s="590"/>
      <c r="Q2" s="590"/>
      <c r="R2" s="590"/>
      <c r="S2" s="590"/>
      <c r="T2" s="590"/>
      <c r="U2" s="590"/>
      <c r="V2" s="61" t="s">
        <v>0</v>
      </c>
    </row>
    <row r="3" spans="1:22">
      <c r="A3" s="591"/>
      <c r="B3" s="591"/>
      <c r="C3" s="591"/>
      <c r="D3" s="591"/>
      <c r="E3" s="591"/>
      <c r="F3" s="591"/>
      <c r="G3" s="591"/>
      <c r="H3" s="591"/>
      <c r="I3" s="591"/>
      <c r="J3" s="591"/>
      <c r="K3" s="591"/>
      <c r="L3" s="591"/>
      <c r="M3" s="591"/>
      <c r="N3" s="591"/>
      <c r="O3" s="591"/>
      <c r="P3" s="591"/>
      <c r="Q3" s="591"/>
      <c r="R3" s="591"/>
      <c r="S3" s="591"/>
      <c r="T3" s="591"/>
      <c r="U3" s="591"/>
      <c r="V3" s="61" t="s">
        <v>0</v>
      </c>
    </row>
    <row r="4" spans="1:22" ht="22.5">
      <c r="A4" s="565" t="s">
        <v>110</v>
      </c>
      <c r="B4" s="566"/>
      <c r="C4" s="566"/>
      <c r="D4" s="566"/>
      <c r="E4" s="566"/>
      <c r="F4" s="566"/>
      <c r="G4" s="566"/>
      <c r="H4" s="566"/>
      <c r="I4" s="566"/>
      <c r="J4" s="566"/>
      <c r="K4" s="566"/>
      <c r="L4" s="566"/>
      <c r="M4" s="566"/>
      <c r="N4" s="566"/>
      <c r="O4" s="566"/>
      <c r="P4" s="566"/>
      <c r="Q4" s="566"/>
      <c r="R4" s="566"/>
      <c r="S4" s="566"/>
      <c r="T4" s="566"/>
      <c r="U4" s="566"/>
      <c r="V4" s="61" t="s">
        <v>0</v>
      </c>
    </row>
    <row r="5" spans="1:22" ht="23.25">
      <c r="A5" s="567" t="s">
        <v>182</v>
      </c>
      <c r="B5" s="569"/>
      <c r="C5" s="569"/>
      <c r="D5" s="569"/>
      <c r="E5" s="569"/>
      <c r="F5" s="569"/>
      <c r="G5" s="569"/>
      <c r="H5" s="569"/>
      <c r="I5" s="569"/>
      <c r="J5" s="569"/>
      <c r="K5" s="569"/>
      <c r="L5" s="569"/>
      <c r="M5" s="569"/>
      <c r="N5" s="569"/>
      <c r="O5" s="569"/>
      <c r="P5" s="569"/>
      <c r="Q5" s="569"/>
      <c r="R5" s="569"/>
      <c r="S5" s="569"/>
      <c r="T5" s="569"/>
      <c r="U5" s="569"/>
      <c r="V5" s="61" t="s">
        <v>0</v>
      </c>
    </row>
    <row r="6" spans="1:22" ht="23.25">
      <c r="A6" s="567" t="s">
        <v>209</v>
      </c>
      <c r="B6" s="566"/>
      <c r="C6" s="566"/>
      <c r="D6" s="566"/>
      <c r="E6" s="566"/>
      <c r="F6" s="566"/>
      <c r="G6" s="566"/>
      <c r="H6" s="566"/>
      <c r="I6" s="566"/>
      <c r="J6" s="566"/>
      <c r="K6" s="566"/>
      <c r="L6" s="566"/>
      <c r="M6" s="566"/>
      <c r="N6" s="566"/>
      <c r="O6" s="566"/>
      <c r="P6" s="566"/>
      <c r="Q6" s="566"/>
      <c r="R6" s="566"/>
      <c r="S6" s="566"/>
      <c r="T6" s="566"/>
      <c r="U6" s="566"/>
      <c r="V6" s="61" t="s">
        <v>0</v>
      </c>
    </row>
    <row r="7" spans="1:22" ht="23.25">
      <c r="A7" s="567" t="s">
        <v>101</v>
      </c>
      <c r="B7" s="569"/>
      <c r="C7" s="569"/>
      <c r="D7" s="569"/>
      <c r="E7" s="569"/>
      <c r="F7" s="569"/>
      <c r="G7" s="569"/>
      <c r="H7" s="569"/>
      <c r="I7" s="569"/>
      <c r="J7" s="569"/>
      <c r="K7" s="569"/>
      <c r="L7" s="569"/>
      <c r="M7" s="569"/>
      <c r="N7" s="569"/>
      <c r="O7" s="569"/>
      <c r="P7" s="569"/>
      <c r="Q7" s="569"/>
      <c r="R7" s="569"/>
      <c r="S7" s="569"/>
      <c r="T7" s="569"/>
      <c r="U7" s="569"/>
      <c r="V7" s="61" t="s">
        <v>0</v>
      </c>
    </row>
    <row r="8" spans="1:22" ht="23.25">
      <c r="A8" s="592"/>
      <c r="B8" s="592"/>
      <c r="C8" s="592"/>
      <c r="D8" s="592"/>
      <c r="E8" s="592"/>
      <c r="F8" s="592"/>
      <c r="G8" s="592"/>
      <c r="H8" s="592"/>
      <c r="I8" s="592"/>
      <c r="J8" s="592"/>
      <c r="K8" s="592"/>
      <c r="L8" s="592"/>
      <c r="M8" s="592"/>
      <c r="N8" s="592"/>
      <c r="O8" s="592"/>
      <c r="P8" s="592"/>
      <c r="Q8" s="592"/>
      <c r="R8" s="592"/>
      <c r="S8" s="592"/>
      <c r="T8" s="592"/>
      <c r="U8" s="592"/>
      <c r="V8" s="61" t="s">
        <v>0</v>
      </c>
    </row>
    <row r="9" spans="1:22" ht="23.25">
      <c r="A9" s="592"/>
      <c r="B9" s="592"/>
      <c r="C9" s="592"/>
      <c r="D9" s="592"/>
      <c r="E9" s="592"/>
      <c r="F9" s="592"/>
      <c r="G9" s="592"/>
      <c r="H9" s="592"/>
      <c r="I9" s="592"/>
      <c r="J9" s="592"/>
      <c r="K9" s="592"/>
      <c r="L9" s="592"/>
      <c r="M9" s="592"/>
      <c r="N9" s="592"/>
      <c r="O9" s="592"/>
      <c r="P9" s="592"/>
      <c r="Q9" s="592"/>
      <c r="R9" s="592"/>
      <c r="S9" s="592"/>
      <c r="T9" s="592"/>
      <c r="U9" s="592"/>
      <c r="V9" s="61" t="s">
        <v>0</v>
      </c>
    </row>
    <row r="10" spans="1:22" ht="23.25">
      <c r="A10" s="592"/>
      <c r="B10" s="592"/>
      <c r="C10" s="592"/>
      <c r="D10" s="592"/>
      <c r="E10" s="592"/>
      <c r="F10" s="592"/>
      <c r="G10" s="592"/>
      <c r="H10" s="592"/>
      <c r="I10" s="592"/>
      <c r="J10" s="592"/>
      <c r="K10" s="592"/>
      <c r="L10" s="592"/>
      <c r="M10" s="592"/>
      <c r="N10" s="592"/>
      <c r="O10" s="592"/>
      <c r="P10" s="592"/>
      <c r="Q10" s="592"/>
      <c r="R10" s="592"/>
      <c r="S10" s="592"/>
      <c r="T10" s="592"/>
      <c r="U10" s="592"/>
      <c r="V10" s="61" t="s">
        <v>0</v>
      </c>
    </row>
    <row r="11" spans="1:22">
      <c r="A11" s="591"/>
      <c r="B11" s="591"/>
      <c r="C11" s="591"/>
      <c r="D11" s="591"/>
      <c r="E11" s="591"/>
      <c r="F11" s="591"/>
      <c r="G11" s="591"/>
      <c r="H11" s="591"/>
      <c r="I11" s="591"/>
      <c r="J11" s="591"/>
      <c r="K11" s="591"/>
      <c r="L11" s="591"/>
      <c r="M11" s="591"/>
      <c r="N11" s="591"/>
      <c r="O11" s="591"/>
      <c r="P11" s="591"/>
      <c r="Q11" s="591"/>
      <c r="R11" s="599"/>
      <c r="S11" s="596" t="s">
        <v>144</v>
      </c>
      <c r="T11" s="597"/>
      <c r="U11" s="598"/>
      <c r="V11" s="61" t="s">
        <v>0</v>
      </c>
    </row>
    <row r="12" spans="1:22">
      <c r="A12" s="591"/>
      <c r="B12" s="591"/>
      <c r="C12" s="591"/>
      <c r="D12" s="591"/>
      <c r="E12" s="591"/>
      <c r="F12" s="591"/>
      <c r="G12" s="591"/>
      <c r="H12" s="591"/>
      <c r="I12" s="591"/>
      <c r="J12" s="591"/>
      <c r="K12" s="591"/>
      <c r="L12" s="591"/>
      <c r="M12" s="591"/>
      <c r="N12" s="591"/>
      <c r="O12" s="591"/>
      <c r="P12" s="591"/>
      <c r="Q12" s="591"/>
      <c r="R12" s="599"/>
      <c r="S12" s="575" t="s">
        <v>12</v>
      </c>
      <c r="T12" s="595" t="s">
        <v>29</v>
      </c>
      <c r="U12" s="593" t="s">
        <v>119</v>
      </c>
      <c r="V12" s="61" t="s">
        <v>0</v>
      </c>
    </row>
    <row r="13" spans="1:22" ht="16.5" thickBot="1">
      <c r="A13" s="600"/>
      <c r="B13" s="600"/>
      <c r="C13" s="600"/>
      <c r="D13" s="600"/>
      <c r="E13" s="600"/>
      <c r="F13" s="600"/>
      <c r="G13" s="600"/>
      <c r="H13" s="600"/>
      <c r="I13" s="600"/>
      <c r="J13" s="600"/>
      <c r="K13" s="600"/>
      <c r="L13" s="600"/>
      <c r="M13" s="600"/>
      <c r="N13" s="600"/>
      <c r="O13" s="600"/>
      <c r="P13" s="600"/>
      <c r="Q13" s="600"/>
      <c r="R13" s="601"/>
      <c r="S13" s="576"/>
      <c r="T13" s="594"/>
      <c r="U13" s="594"/>
      <c r="V13" s="61" t="s">
        <v>0</v>
      </c>
    </row>
    <row r="14" spans="1:22">
      <c r="A14" s="577" t="s">
        <v>249</v>
      </c>
      <c r="B14" s="578"/>
      <c r="C14" s="578"/>
      <c r="D14" s="578"/>
      <c r="E14" s="578"/>
      <c r="F14" s="578"/>
      <c r="G14" s="578"/>
      <c r="H14" s="578"/>
      <c r="I14" s="578"/>
      <c r="J14" s="578"/>
      <c r="K14" s="578"/>
      <c r="L14" s="578"/>
      <c r="M14" s="578"/>
      <c r="N14" s="578"/>
      <c r="O14" s="578"/>
      <c r="P14" s="578"/>
      <c r="Q14" s="578"/>
      <c r="R14" s="578"/>
      <c r="S14" s="319">
        <v>0</v>
      </c>
      <c r="T14" s="319">
        <v>0</v>
      </c>
      <c r="U14" s="404">
        <v>16592</v>
      </c>
      <c r="V14" s="61" t="s">
        <v>0</v>
      </c>
    </row>
    <row r="15" spans="1:22">
      <c r="A15" s="577" t="s">
        <v>274</v>
      </c>
      <c r="B15" s="578"/>
      <c r="C15" s="578"/>
      <c r="D15" s="578"/>
      <c r="E15" s="578"/>
      <c r="F15" s="578"/>
      <c r="G15" s="578"/>
      <c r="H15" s="578"/>
      <c r="I15" s="578"/>
      <c r="J15" s="578"/>
      <c r="K15" s="578"/>
      <c r="L15" s="578"/>
      <c r="M15" s="578"/>
      <c r="N15" s="578"/>
      <c r="O15" s="578"/>
      <c r="P15" s="578"/>
      <c r="Q15" s="578"/>
      <c r="R15" s="578"/>
      <c r="S15" s="319">
        <v>0</v>
      </c>
      <c r="T15" s="319">
        <v>0</v>
      </c>
      <c r="U15" s="320">
        <v>15000</v>
      </c>
      <c r="V15" s="61" t="s">
        <v>0</v>
      </c>
    </row>
    <row r="16" spans="1:22" ht="18.75" customHeight="1">
      <c r="A16" s="573"/>
      <c r="B16" s="602"/>
      <c r="C16" s="602"/>
      <c r="D16" s="602"/>
      <c r="E16" s="602"/>
      <c r="F16" s="602"/>
      <c r="G16" s="602"/>
      <c r="H16" s="602"/>
      <c r="I16" s="602"/>
      <c r="J16" s="602"/>
      <c r="K16" s="602"/>
      <c r="L16" s="602"/>
      <c r="M16" s="602"/>
      <c r="N16" s="602"/>
      <c r="O16" s="602"/>
      <c r="P16" s="602"/>
      <c r="Q16" s="602"/>
      <c r="R16" s="603"/>
      <c r="S16" s="321"/>
      <c r="T16" s="321"/>
      <c r="U16" s="322"/>
      <c r="V16" s="61"/>
    </row>
    <row r="17" spans="1:22">
      <c r="A17" s="542" t="s">
        <v>7</v>
      </c>
      <c r="B17" s="543"/>
      <c r="C17" s="543"/>
      <c r="D17" s="543"/>
      <c r="E17" s="543"/>
      <c r="F17" s="543"/>
      <c r="G17" s="543"/>
      <c r="H17" s="543"/>
      <c r="I17" s="543"/>
      <c r="J17" s="543"/>
      <c r="K17" s="543"/>
      <c r="L17" s="543"/>
      <c r="M17" s="543"/>
      <c r="N17" s="543"/>
      <c r="O17" s="543"/>
      <c r="P17" s="543"/>
      <c r="Q17" s="543"/>
      <c r="R17" s="543"/>
      <c r="S17" s="323"/>
      <c r="T17" s="323"/>
      <c r="U17" s="303"/>
      <c r="V17" s="61" t="s">
        <v>0</v>
      </c>
    </row>
    <row r="18" spans="1:22">
      <c r="A18" s="540" t="s">
        <v>23</v>
      </c>
      <c r="B18" s="541"/>
      <c r="C18" s="541"/>
      <c r="D18" s="541"/>
      <c r="E18" s="541"/>
      <c r="F18" s="541"/>
      <c r="G18" s="541"/>
      <c r="H18" s="541"/>
      <c r="I18" s="541"/>
      <c r="J18" s="541"/>
      <c r="K18" s="541"/>
      <c r="L18" s="541"/>
      <c r="M18" s="541"/>
      <c r="N18" s="541"/>
      <c r="O18" s="541"/>
      <c r="P18" s="541"/>
      <c r="Q18" s="541"/>
      <c r="R18" s="541"/>
      <c r="S18" s="323">
        <v>0</v>
      </c>
      <c r="T18" s="323">
        <v>0</v>
      </c>
      <c r="U18" s="323">
        <v>0</v>
      </c>
      <c r="V18" s="61" t="s">
        <v>0</v>
      </c>
    </row>
    <row r="19" spans="1:22">
      <c r="A19" s="584" t="s">
        <v>145</v>
      </c>
      <c r="B19" s="585"/>
      <c r="C19" s="585"/>
      <c r="D19" s="585"/>
      <c r="E19" s="585"/>
      <c r="F19" s="585"/>
      <c r="G19" s="585"/>
      <c r="H19" s="585"/>
      <c r="I19" s="585"/>
      <c r="J19" s="585"/>
      <c r="K19" s="585"/>
      <c r="L19" s="585"/>
      <c r="M19" s="585"/>
      <c r="N19" s="585"/>
      <c r="O19" s="585"/>
      <c r="P19" s="585"/>
      <c r="Q19" s="585"/>
      <c r="R19" s="585"/>
      <c r="S19" s="108">
        <f>SUM(S15:S18)</f>
        <v>0</v>
      </c>
      <c r="T19" s="108">
        <f t="shared" ref="T19:U19" si="0">SUM(T15:T18)</f>
        <v>0</v>
      </c>
      <c r="U19" s="108">
        <f t="shared" si="0"/>
        <v>15000</v>
      </c>
      <c r="V19" s="61" t="s">
        <v>0</v>
      </c>
    </row>
    <row r="20" spans="1:22">
      <c r="A20" s="542" t="s">
        <v>68</v>
      </c>
      <c r="B20" s="543"/>
      <c r="C20" s="543"/>
      <c r="D20" s="543"/>
      <c r="E20" s="543"/>
      <c r="F20" s="543"/>
      <c r="G20" s="543"/>
      <c r="H20" s="543"/>
      <c r="I20" s="543"/>
      <c r="J20" s="543"/>
      <c r="K20" s="543"/>
      <c r="L20" s="543"/>
      <c r="M20" s="543"/>
      <c r="N20" s="543"/>
      <c r="O20" s="543"/>
      <c r="P20" s="543"/>
      <c r="Q20" s="543"/>
      <c r="R20" s="543"/>
      <c r="S20" s="323"/>
      <c r="T20" s="323"/>
      <c r="U20" s="303"/>
      <c r="V20" s="61" t="s">
        <v>0</v>
      </c>
    </row>
    <row r="21" spans="1:22">
      <c r="A21" s="540" t="s">
        <v>210</v>
      </c>
      <c r="B21" s="541"/>
      <c r="C21" s="541"/>
      <c r="D21" s="541"/>
      <c r="E21" s="541"/>
      <c r="F21" s="541"/>
      <c r="G21" s="541"/>
      <c r="H21" s="541"/>
      <c r="I21" s="541"/>
      <c r="J21" s="541"/>
      <c r="K21" s="541"/>
      <c r="L21" s="541"/>
      <c r="M21" s="541"/>
      <c r="N21" s="541"/>
      <c r="O21" s="541"/>
      <c r="P21" s="541"/>
      <c r="Q21" s="541"/>
      <c r="R21" s="541"/>
      <c r="S21" s="323">
        <v>0</v>
      </c>
      <c r="T21" s="323">
        <v>0</v>
      </c>
      <c r="U21" s="303">
        <v>-5000</v>
      </c>
      <c r="V21" s="61" t="s">
        <v>0</v>
      </c>
    </row>
    <row r="22" spans="1:22" ht="18" customHeight="1">
      <c r="A22" s="540" t="s">
        <v>69</v>
      </c>
      <c r="B22" s="541"/>
      <c r="C22" s="541"/>
      <c r="D22" s="541"/>
      <c r="E22" s="541"/>
      <c r="F22" s="541"/>
      <c r="G22" s="541"/>
      <c r="H22" s="541"/>
      <c r="I22" s="541"/>
      <c r="J22" s="541"/>
      <c r="K22" s="541"/>
      <c r="L22" s="541"/>
      <c r="M22" s="541"/>
      <c r="N22" s="541"/>
      <c r="O22" s="541"/>
      <c r="P22" s="541"/>
      <c r="Q22" s="541"/>
      <c r="R22" s="541"/>
      <c r="S22" s="325">
        <f>+S21</f>
        <v>0</v>
      </c>
      <c r="T22" s="325">
        <f>+T21</f>
        <v>0</v>
      </c>
      <c r="U22" s="325">
        <f>+U21</f>
        <v>-5000</v>
      </c>
      <c r="V22" s="61" t="s">
        <v>0</v>
      </c>
    </row>
    <row r="23" spans="1:22" ht="18" customHeight="1">
      <c r="A23" s="551" t="s">
        <v>146</v>
      </c>
      <c r="B23" s="552"/>
      <c r="C23" s="552"/>
      <c r="D23" s="552"/>
      <c r="E23" s="552"/>
      <c r="F23" s="552"/>
      <c r="G23" s="552"/>
      <c r="H23" s="552"/>
      <c r="I23" s="552"/>
      <c r="J23" s="552"/>
      <c r="K23" s="552"/>
      <c r="L23" s="552"/>
      <c r="M23" s="552"/>
      <c r="N23" s="552"/>
      <c r="O23" s="552"/>
      <c r="P23" s="552"/>
      <c r="Q23" s="552"/>
      <c r="R23" s="553"/>
      <c r="S23" s="415">
        <f>S19+S22</f>
        <v>0</v>
      </c>
      <c r="T23" s="415">
        <f>T19+T22</f>
        <v>0</v>
      </c>
      <c r="U23" s="415">
        <f>U19+U22</f>
        <v>10000</v>
      </c>
      <c r="V23" s="61" t="s">
        <v>0</v>
      </c>
    </row>
    <row r="24" spans="1:22" ht="18" customHeight="1">
      <c r="A24" s="570" t="s">
        <v>147</v>
      </c>
      <c r="B24" s="571"/>
      <c r="C24" s="571"/>
      <c r="D24" s="571"/>
      <c r="E24" s="571"/>
      <c r="F24" s="571"/>
      <c r="G24" s="571"/>
      <c r="H24" s="571"/>
      <c r="I24" s="571"/>
      <c r="J24" s="571"/>
      <c r="K24" s="571"/>
      <c r="L24" s="571"/>
      <c r="M24" s="571"/>
      <c r="N24" s="571"/>
      <c r="O24" s="571"/>
      <c r="P24" s="571"/>
      <c r="Q24" s="571"/>
      <c r="R24" s="571"/>
      <c r="S24" s="335">
        <f>+S23-S15</f>
        <v>0</v>
      </c>
      <c r="T24" s="335">
        <f t="shared" ref="T24:U24" si="1">+T23-T15</f>
        <v>0</v>
      </c>
      <c r="U24" s="335">
        <f t="shared" si="1"/>
        <v>-5000</v>
      </c>
      <c r="V24" s="61" t="s">
        <v>0</v>
      </c>
    </row>
    <row r="25" spans="1:22" ht="18" customHeight="1">
      <c r="V25" s="61" t="s">
        <v>0</v>
      </c>
    </row>
    <row r="26" spans="1:22" ht="18" customHeight="1">
      <c r="V26" s="61" t="s">
        <v>0</v>
      </c>
    </row>
    <row r="27" spans="1:22" ht="18" customHeight="1">
      <c r="V27" s="61" t="s">
        <v>0</v>
      </c>
    </row>
    <row r="28" spans="1:22" ht="18" customHeight="1">
      <c r="V28" s="61" t="s">
        <v>0</v>
      </c>
    </row>
    <row r="29" spans="1:22" ht="18" customHeight="1">
      <c r="V29" s="61" t="s">
        <v>0</v>
      </c>
    </row>
    <row r="30" spans="1:22" ht="18" customHeight="1">
      <c r="V30" s="61" t="s">
        <v>0</v>
      </c>
    </row>
    <row r="31" spans="1:22" ht="22.5">
      <c r="A31" s="565" t="s">
        <v>110</v>
      </c>
      <c r="B31" s="566"/>
      <c r="C31" s="566"/>
      <c r="D31" s="566"/>
      <c r="E31" s="566"/>
      <c r="F31" s="566"/>
      <c r="G31" s="566"/>
      <c r="H31" s="566"/>
      <c r="I31" s="566"/>
      <c r="J31" s="566"/>
      <c r="K31" s="566"/>
      <c r="L31" s="566"/>
      <c r="M31" s="566"/>
      <c r="N31" s="566"/>
      <c r="O31" s="566"/>
      <c r="P31" s="566"/>
      <c r="Q31" s="566"/>
      <c r="R31" s="566"/>
      <c r="S31" s="566"/>
      <c r="T31" s="566"/>
      <c r="U31" s="566"/>
      <c r="V31" s="61" t="s">
        <v>0</v>
      </c>
    </row>
    <row r="32" spans="1:22" ht="23.25">
      <c r="A32" s="567" t="str">
        <f>A5</f>
        <v>United States Marshals Service</v>
      </c>
      <c r="B32" s="568"/>
      <c r="C32" s="568"/>
      <c r="D32" s="568"/>
      <c r="E32" s="568"/>
      <c r="F32" s="568"/>
      <c r="G32" s="568"/>
      <c r="H32" s="568"/>
      <c r="I32" s="568"/>
      <c r="J32" s="568"/>
      <c r="K32" s="568"/>
      <c r="L32" s="568"/>
      <c r="M32" s="568"/>
      <c r="N32" s="568"/>
      <c r="O32" s="568"/>
      <c r="P32" s="568"/>
      <c r="Q32" s="568"/>
      <c r="R32" s="568"/>
      <c r="S32" s="568"/>
      <c r="T32" s="568"/>
      <c r="U32" s="568"/>
      <c r="V32" s="61" t="s">
        <v>0</v>
      </c>
    </row>
    <row r="33" spans="1:22" ht="23.25">
      <c r="A33" s="567" t="str">
        <f>+A6</f>
        <v>Construction</v>
      </c>
      <c r="B33" s="566"/>
      <c r="C33" s="566"/>
      <c r="D33" s="566"/>
      <c r="E33" s="566"/>
      <c r="F33" s="566"/>
      <c r="G33" s="566"/>
      <c r="H33" s="566"/>
      <c r="I33" s="566"/>
      <c r="J33" s="566"/>
      <c r="K33" s="566"/>
      <c r="L33" s="566"/>
      <c r="M33" s="566"/>
      <c r="N33" s="566"/>
      <c r="O33" s="566"/>
      <c r="P33" s="566"/>
      <c r="Q33" s="566"/>
      <c r="R33" s="566"/>
      <c r="S33" s="566"/>
      <c r="T33" s="566"/>
      <c r="U33" s="566"/>
      <c r="V33" s="61" t="s">
        <v>0</v>
      </c>
    </row>
    <row r="34" spans="1:22" ht="23.25">
      <c r="A34" s="567" t="s">
        <v>101</v>
      </c>
      <c r="B34" s="569"/>
      <c r="C34" s="569"/>
      <c r="D34" s="569"/>
      <c r="E34" s="569"/>
      <c r="F34" s="569"/>
      <c r="G34" s="569"/>
      <c r="H34" s="569"/>
      <c r="I34" s="569"/>
      <c r="J34" s="569"/>
      <c r="K34" s="569"/>
      <c r="L34" s="569"/>
      <c r="M34" s="569"/>
      <c r="N34" s="569"/>
      <c r="O34" s="569"/>
      <c r="P34" s="569"/>
      <c r="Q34" s="569"/>
      <c r="R34" s="569"/>
      <c r="S34" s="569"/>
      <c r="T34" s="569"/>
      <c r="U34" s="569"/>
      <c r="V34" s="61" t="s">
        <v>0</v>
      </c>
    </row>
    <row r="35" spans="1:22" ht="18" customHeight="1">
      <c r="V35" s="61" t="s">
        <v>0</v>
      </c>
    </row>
    <row r="36" spans="1:22" ht="18" customHeight="1">
      <c r="V36" s="61" t="s">
        <v>0</v>
      </c>
    </row>
    <row r="37" spans="1:22" ht="18" customHeight="1">
      <c r="V37" s="61" t="s">
        <v>0</v>
      </c>
    </row>
    <row r="38" spans="1:22" ht="18" customHeight="1">
      <c r="V38" s="61" t="s">
        <v>0</v>
      </c>
    </row>
    <row r="39" spans="1:22" ht="18" customHeight="1">
      <c r="A39" s="39"/>
      <c r="B39" s="39"/>
      <c r="C39" s="39"/>
      <c r="D39" s="40"/>
      <c r="E39" s="40"/>
      <c r="F39" s="40"/>
      <c r="G39" s="40"/>
      <c r="H39" s="40"/>
      <c r="I39" s="40"/>
      <c r="J39" s="40"/>
      <c r="K39" s="40"/>
      <c r="L39" s="40"/>
      <c r="M39" s="40"/>
      <c r="N39" s="40"/>
      <c r="O39" s="40"/>
      <c r="P39" s="40"/>
      <c r="Q39" s="40"/>
      <c r="R39" s="40"/>
      <c r="S39" s="40"/>
      <c r="T39" s="40"/>
      <c r="U39" s="40"/>
      <c r="V39" s="61" t="s">
        <v>0</v>
      </c>
    </row>
    <row r="40" spans="1:22" ht="22.5" customHeight="1">
      <c r="A40" s="554" t="s">
        <v>116</v>
      </c>
      <c r="B40" s="555"/>
      <c r="C40" s="555"/>
      <c r="D40" s="545" t="s">
        <v>156</v>
      </c>
      <c r="E40" s="546"/>
      <c r="F40" s="547"/>
      <c r="G40" s="545" t="s">
        <v>268</v>
      </c>
      <c r="H40" s="560"/>
      <c r="I40" s="561"/>
      <c r="J40" s="545" t="s">
        <v>258</v>
      </c>
      <c r="K40" s="546"/>
      <c r="L40" s="547"/>
      <c r="M40" s="545" t="s">
        <v>257</v>
      </c>
      <c r="N40" s="546"/>
      <c r="O40" s="547"/>
      <c r="P40" s="545" t="s">
        <v>256</v>
      </c>
      <c r="Q40" s="546"/>
      <c r="R40" s="546"/>
      <c r="S40" s="545" t="s">
        <v>267</v>
      </c>
      <c r="T40" s="546"/>
      <c r="U40" s="547"/>
      <c r="V40" s="61" t="s">
        <v>0</v>
      </c>
    </row>
    <row r="41" spans="1:22" ht="51.75" customHeight="1">
      <c r="A41" s="556"/>
      <c r="B41" s="557"/>
      <c r="C41" s="557"/>
      <c r="D41" s="548"/>
      <c r="E41" s="549"/>
      <c r="F41" s="550"/>
      <c r="G41" s="562"/>
      <c r="H41" s="563"/>
      <c r="I41" s="564"/>
      <c r="J41" s="548"/>
      <c r="K41" s="549"/>
      <c r="L41" s="550"/>
      <c r="M41" s="548"/>
      <c r="N41" s="549"/>
      <c r="O41" s="550"/>
      <c r="P41" s="548"/>
      <c r="Q41" s="549"/>
      <c r="R41" s="549"/>
      <c r="S41" s="548"/>
      <c r="T41" s="549"/>
      <c r="U41" s="550"/>
      <c r="V41" s="61" t="s">
        <v>0</v>
      </c>
    </row>
    <row r="42" spans="1:22" ht="16.5" thickBot="1">
      <c r="A42" s="558"/>
      <c r="B42" s="559"/>
      <c r="C42" s="559"/>
      <c r="D42" s="143" t="s">
        <v>117</v>
      </c>
      <c r="E42" s="144" t="s">
        <v>29</v>
      </c>
      <c r="F42" s="145" t="s">
        <v>119</v>
      </c>
      <c r="G42" s="143" t="s">
        <v>117</v>
      </c>
      <c r="H42" s="144" t="s">
        <v>29</v>
      </c>
      <c r="I42" s="145" t="s">
        <v>119</v>
      </c>
      <c r="J42" s="143" t="s">
        <v>117</v>
      </c>
      <c r="K42" s="144" t="s">
        <v>29</v>
      </c>
      <c r="L42" s="145" t="s">
        <v>119</v>
      </c>
      <c r="M42" s="143" t="s">
        <v>117</v>
      </c>
      <c r="N42" s="144" t="s">
        <v>29</v>
      </c>
      <c r="O42" s="145" t="s">
        <v>119</v>
      </c>
      <c r="P42" s="143" t="s">
        <v>117</v>
      </c>
      <c r="Q42" s="144" t="s">
        <v>29</v>
      </c>
      <c r="R42" s="145" t="s">
        <v>119</v>
      </c>
      <c r="S42" s="146" t="s">
        <v>117</v>
      </c>
      <c r="T42" s="144" t="s">
        <v>29</v>
      </c>
      <c r="U42" s="147" t="s">
        <v>119</v>
      </c>
      <c r="V42" s="61" t="s">
        <v>0</v>
      </c>
    </row>
    <row r="43" spans="1:22">
      <c r="A43" s="299"/>
      <c r="B43" s="300" t="s">
        <v>209</v>
      </c>
      <c r="C43" s="300"/>
      <c r="D43" s="301">
        <v>0</v>
      </c>
      <c r="E43" s="302">
        <v>0</v>
      </c>
      <c r="F43" s="302">
        <v>16592</v>
      </c>
      <c r="G43" s="301">
        <v>0</v>
      </c>
      <c r="H43" s="302">
        <v>0</v>
      </c>
      <c r="I43" s="302">
        <v>15000</v>
      </c>
      <c r="J43" s="301">
        <v>0</v>
      </c>
      <c r="K43" s="302">
        <v>0</v>
      </c>
      <c r="L43" s="302">
        <v>0</v>
      </c>
      <c r="M43" s="301">
        <f>+G43+J43</f>
        <v>0</v>
      </c>
      <c r="N43" s="302">
        <f t="shared" ref="N43:O43" si="2">+H43+K43</f>
        <v>0</v>
      </c>
      <c r="O43" s="302">
        <f t="shared" si="2"/>
        <v>15000</v>
      </c>
      <c r="P43" s="301">
        <v>0</v>
      </c>
      <c r="Q43" s="302">
        <v>0</v>
      </c>
      <c r="R43" s="302">
        <v>-5000</v>
      </c>
      <c r="S43" s="301">
        <f>+M43+P43</f>
        <v>0</v>
      </c>
      <c r="T43" s="302">
        <f t="shared" ref="T43:U43" si="3">+N43+Q43</f>
        <v>0</v>
      </c>
      <c r="U43" s="303">
        <f t="shared" si="3"/>
        <v>10000</v>
      </c>
      <c r="V43" s="61" t="s">
        <v>0</v>
      </c>
    </row>
    <row r="44" spans="1:22">
      <c r="A44" s="136"/>
      <c r="B44" s="137"/>
      <c r="C44" s="137" t="s">
        <v>30</v>
      </c>
      <c r="D44" s="318">
        <f t="shared" ref="D44:U44" si="4">SUM(D43:D43)</f>
        <v>0</v>
      </c>
      <c r="E44" s="177">
        <f t="shared" si="4"/>
        <v>0</v>
      </c>
      <c r="F44" s="112">
        <f t="shared" si="4"/>
        <v>16592</v>
      </c>
      <c r="G44" s="318">
        <f t="shared" si="4"/>
        <v>0</v>
      </c>
      <c r="H44" s="177">
        <f t="shared" si="4"/>
        <v>0</v>
      </c>
      <c r="I44" s="112">
        <f t="shared" si="4"/>
        <v>15000</v>
      </c>
      <c r="J44" s="318">
        <f t="shared" si="4"/>
        <v>0</v>
      </c>
      <c r="K44" s="177">
        <f t="shared" si="4"/>
        <v>0</v>
      </c>
      <c r="L44" s="112">
        <f t="shared" si="4"/>
        <v>0</v>
      </c>
      <c r="M44" s="318">
        <f t="shared" si="4"/>
        <v>0</v>
      </c>
      <c r="N44" s="177">
        <f t="shared" si="4"/>
        <v>0</v>
      </c>
      <c r="O44" s="112">
        <f t="shared" si="4"/>
        <v>15000</v>
      </c>
      <c r="P44" s="318">
        <f t="shared" si="4"/>
        <v>0</v>
      </c>
      <c r="Q44" s="177">
        <f t="shared" si="4"/>
        <v>0</v>
      </c>
      <c r="R44" s="178">
        <f t="shared" si="4"/>
        <v>-5000</v>
      </c>
      <c r="S44" s="318">
        <f t="shared" si="4"/>
        <v>0</v>
      </c>
      <c r="T44" s="177">
        <f t="shared" si="4"/>
        <v>0</v>
      </c>
      <c r="U44" s="113">
        <f t="shared" si="4"/>
        <v>10000</v>
      </c>
      <c r="V44" s="61" t="s">
        <v>15</v>
      </c>
    </row>
    <row r="45" spans="1:22">
      <c r="C45" s="5"/>
    </row>
    <row r="46" spans="1:22" s="241" customFormat="1" ht="30" customHeight="1">
      <c r="A46" s="531"/>
      <c r="B46" s="531"/>
      <c r="C46" s="531"/>
      <c r="D46" s="531"/>
      <c r="E46" s="531"/>
      <c r="F46" s="531"/>
      <c r="G46" s="531"/>
      <c r="H46" s="531"/>
      <c r="I46" s="531"/>
      <c r="J46" s="531"/>
      <c r="K46" s="531"/>
      <c r="L46" s="531"/>
      <c r="M46" s="531"/>
      <c r="N46" s="531"/>
      <c r="O46" s="531"/>
      <c r="P46" s="531"/>
      <c r="Q46" s="531"/>
      <c r="R46" s="531"/>
      <c r="S46" s="531"/>
      <c r="T46" s="42"/>
      <c r="U46" s="42"/>
      <c r="V46" s="242"/>
    </row>
    <row r="47" spans="1:22">
      <c r="T47" s="29"/>
      <c r="U47" s="29"/>
    </row>
    <row r="48" spans="1:22">
      <c r="K48" s="46"/>
    </row>
  </sheetData>
  <mergeCells count="38">
    <mergeCell ref="A46:S46"/>
    <mergeCell ref="P40:R41"/>
    <mergeCell ref="S40:U41"/>
    <mergeCell ref="A24:R24"/>
    <mergeCell ref="A31:U31"/>
    <mergeCell ref="A32:U32"/>
    <mergeCell ref="A33:U33"/>
    <mergeCell ref="A34:U34"/>
    <mergeCell ref="A40:C42"/>
    <mergeCell ref="D40:F41"/>
    <mergeCell ref="G40:I41"/>
    <mergeCell ref="J40:L41"/>
    <mergeCell ref="M40:O41"/>
    <mergeCell ref="A21:R21"/>
    <mergeCell ref="A22:R22"/>
    <mergeCell ref="A23:R23"/>
    <mergeCell ref="A18:R18"/>
    <mergeCell ref="A19:R19"/>
    <mergeCell ref="A17:R17"/>
    <mergeCell ref="A14:R14"/>
    <mergeCell ref="A15:R15"/>
    <mergeCell ref="A16:R16"/>
    <mergeCell ref="A20:R20"/>
    <mergeCell ref="A7:U7"/>
    <mergeCell ref="A8:U8"/>
    <mergeCell ref="A9:U9"/>
    <mergeCell ref="A10:U10"/>
    <mergeCell ref="A11:R13"/>
    <mergeCell ref="S11:U11"/>
    <mergeCell ref="S12:S13"/>
    <mergeCell ref="T12:T13"/>
    <mergeCell ref="U12:U13"/>
    <mergeCell ref="A6:U6"/>
    <mergeCell ref="A1:U1"/>
    <mergeCell ref="A2:U2"/>
    <mergeCell ref="A3:U3"/>
    <mergeCell ref="A4:U4"/>
    <mergeCell ref="A5:U5"/>
  </mergeCells>
  <printOptions horizontalCentered="1"/>
  <pageMargins left="0.5" right="0.4" top="0.5" bottom="0.25" header="0" footer="0"/>
  <pageSetup scale="60" firstPageNumber="8" fitToHeight="0" orientation="landscape" useFirstPageNumber="1" r:id="rId1"/>
  <headerFooter alignWithMargins="0">
    <oddFooter>&amp;C&amp;"Times New Roman,Regular"Exhibit B - Summary of Requirements - Construction</oddFooter>
  </headerFooter>
</worksheet>
</file>

<file path=xl/worksheets/sheet4.xml><?xml version="1.0" encoding="utf-8"?>
<worksheet xmlns="http://schemas.openxmlformats.org/spreadsheetml/2006/main" xmlns:r="http://schemas.openxmlformats.org/officeDocument/2006/relationships">
  <sheetPr codeName="Sheet6">
    <pageSetUpPr fitToPage="1"/>
  </sheetPr>
  <dimension ref="A1:I34"/>
  <sheetViews>
    <sheetView view="pageBreakPreview" zoomScale="75" zoomScaleNormal="75" zoomScaleSheetLayoutView="75" workbookViewId="0">
      <selection activeCell="K25" sqref="K25"/>
    </sheetView>
  </sheetViews>
  <sheetFormatPr defaultColWidth="7.21875" defaultRowHeight="12.75"/>
  <cols>
    <col min="1" max="1" width="18.88671875" style="22" customWidth="1"/>
    <col min="2" max="2" width="15.88671875" style="22" customWidth="1"/>
    <col min="3" max="7" width="12.88671875" style="22" customWidth="1"/>
    <col min="8" max="8" width="11.33203125" style="22" customWidth="1"/>
    <col min="9" max="9" width="8.88671875" style="64" customWidth="1"/>
    <col min="10" max="16384" width="7.21875" style="22"/>
  </cols>
  <sheetData>
    <row r="1" spans="1:9" ht="20.25">
      <c r="A1" s="617" t="s">
        <v>140</v>
      </c>
      <c r="B1" s="618"/>
      <c r="C1" s="618"/>
      <c r="D1" s="618"/>
      <c r="E1" s="618"/>
      <c r="F1" s="618"/>
      <c r="G1" s="618"/>
      <c r="H1" s="618"/>
      <c r="I1" s="63" t="s">
        <v>0</v>
      </c>
    </row>
    <row r="2" spans="1:9" ht="20.25">
      <c r="A2" s="619"/>
      <c r="B2" s="619"/>
      <c r="C2" s="619"/>
      <c r="D2" s="619"/>
      <c r="E2" s="619"/>
      <c r="F2" s="619"/>
      <c r="G2" s="619"/>
      <c r="H2" s="619"/>
      <c r="I2" s="63" t="s">
        <v>0</v>
      </c>
    </row>
    <row r="3" spans="1:9">
      <c r="A3" s="620"/>
      <c r="B3" s="620"/>
      <c r="C3" s="620"/>
      <c r="D3" s="620"/>
      <c r="E3" s="620"/>
      <c r="F3" s="620"/>
      <c r="G3" s="620"/>
      <c r="H3" s="620"/>
      <c r="I3" s="63" t="s">
        <v>0</v>
      </c>
    </row>
    <row r="4" spans="1:9" ht="23.25">
      <c r="A4" s="609" t="s">
        <v>155</v>
      </c>
      <c r="B4" s="610"/>
      <c r="C4" s="610"/>
      <c r="D4" s="610"/>
      <c r="E4" s="610"/>
      <c r="F4" s="610"/>
      <c r="G4" s="610"/>
      <c r="H4" s="610"/>
      <c r="I4" s="63" t="s">
        <v>0</v>
      </c>
    </row>
    <row r="5" spans="1:9" ht="23.25">
      <c r="A5" s="611" t="str">
        <f>'B. Summary of Requirements_SE '!A54</f>
        <v>United States Marshals Service</v>
      </c>
      <c r="B5" s="612"/>
      <c r="C5" s="612"/>
      <c r="D5" s="612"/>
      <c r="E5" s="612"/>
      <c r="F5" s="612"/>
      <c r="G5" s="612"/>
      <c r="H5" s="612"/>
      <c r="I5" s="63" t="s">
        <v>0</v>
      </c>
    </row>
    <row r="6" spans="1:9" ht="23.25">
      <c r="A6" s="611" t="str">
        <f>'B. Summary of Requirements_SE '!A55</f>
        <v>Salaries and Expenses</v>
      </c>
      <c r="B6" s="612"/>
      <c r="C6" s="612"/>
      <c r="D6" s="612"/>
      <c r="E6" s="612"/>
      <c r="F6" s="612"/>
      <c r="G6" s="612"/>
      <c r="H6" s="612"/>
      <c r="I6" s="63" t="s">
        <v>0</v>
      </c>
    </row>
    <row r="7" spans="1:9" ht="23.25">
      <c r="A7" s="613" t="s">
        <v>101</v>
      </c>
      <c r="B7" s="610"/>
      <c r="C7" s="610"/>
      <c r="D7" s="610"/>
      <c r="E7" s="610"/>
      <c r="F7" s="610"/>
      <c r="G7" s="610"/>
      <c r="H7" s="610"/>
      <c r="I7" s="63" t="s">
        <v>0</v>
      </c>
    </row>
    <row r="8" spans="1:9">
      <c r="A8" s="614"/>
      <c r="B8" s="614"/>
      <c r="C8" s="614"/>
      <c r="D8" s="614"/>
      <c r="E8" s="614"/>
      <c r="F8" s="614"/>
      <c r="G8" s="614"/>
      <c r="H8" s="614"/>
      <c r="I8" s="63" t="s">
        <v>0</v>
      </c>
    </row>
    <row r="9" spans="1:9">
      <c r="A9" s="616"/>
      <c r="B9" s="616"/>
      <c r="C9" s="616"/>
      <c r="D9" s="616"/>
      <c r="E9" s="616"/>
      <c r="F9" s="616"/>
      <c r="G9" s="616"/>
      <c r="H9" s="616"/>
      <c r="I9" s="63" t="s">
        <v>0</v>
      </c>
    </row>
    <row r="10" spans="1:9" ht="72.75" customHeight="1">
      <c r="A10" s="605" t="s">
        <v>6</v>
      </c>
      <c r="B10" s="607" t="s">
        <v>13</v>
      </c>
      <c r="C10" s="326" t="s">
        <v>167</v>
      </c>
      <c r="D10" s="326" t="s">
        <v>168</v>
      </c>
      <c r="E10" s="326" t="s">
        <v>169</v>
      </c>
      <c r="F10" s="326" t="s">
        <v>170</v>
      </c>
      <c r="G10" s="326" t="s">
        <v>171</v>
      </c>
      <c r="H10" s="607" t="s">
        <v>103</v>
      </c>
      <c r="I10" s="63" t="s">
        <v>0</v>
      </c>
    </row>
    <row r="11" spans="1:9" ht="18.75" customHeight="1">
      <c r="A11" s="606"/>
      <c r="B11" s="608"/>
      <c r="C11" s="23" t="s">
        <v>119</v>
      </c>
      <c r="D11" s="23" t="s">
        <v>119</v>
      </c>
      <c r="E11" s="23" t="s">
        <v>119</v>
      </c>
      <c r="F11" s="23" t="s">
        <v>119</v>
      </c>
      <c r="G11" s="23" t="s">
        <v>119</v>
      </c>
      <c r="H11" s="608"/>
      <c r="I11" s="63" t="s">
        <v>0</v>
      </c>
    </row>
    <row r="12" spans="1:9" ht="18.75" customHeight="1">
      <c r="A12" s="35"/>
      <c r="B12" s="36"/>
      <c r="C12" s="327"/>
      <c r="D12" s="327"/>
      <c r="E12" s="327"/>
      <c r="F12" s="327"/>
      <c r="G12" s="327"/>
      <c r="H12" s="327"/>
      <c r="I12" s="63" t="s">
        <v>0</v>
      </c>
    </row>
    <row r="13" spans="1:9" ht="18.75" customHeight="1">
      <c r="A13" s="35" t="s">
        <v>179</v>
      </c>
      <c r="B13" s="37" t="s">
        <v>181</v>
      </c>
      <c r="C13" s="327">
        <v>-186</v>
      </c>
      <c r="D13" s="327">
        <v>-204</v>
      </c>
      <c r="E13" s="327">
        <v>-635</v>
      </c>
      <c r="F13" s="327">
        <v>-10</v>
      </c>
      <c r="G13" s="327">
        <v>-219</v>
      </c>
      <c r="H13" s="327">
        <f>+C13+D13+E13+F13+G13</f>
        <v>-1254</v>
      </c>
      <c r="I13" s="63" t="s">
        <v>0</v>
      </c>
    </row>
    <row r="14" spans="1:9" ht="18.75" customHeight="1">
      <c r="A14" s="37" t="s">
        <v>180</v>
      </c>
      <c r="B14" s="37" t="s">
        <v>181</v>
      </c>
      <c r="C14" s="327">
        <v>-1834</v>
      </c>
      <c r="D14" s="327">
        <v>-2026</v>
      </c>
      <c r="E14" s="327">
        <v>-2488</v>
      </c>
      <c r="F14" s="327">
        <v>-175</v>
      </c>
      <c r="G14" s="327">
        <v>-543</v>
      </c>
      <c r="H14" s="327">
        <f>+C14+D14+E14+F14+G14</f>
        <v>-7066</v>
      </c>
      <c r="I14" s="63" t="s">
        <v>0</v>
      </c>
    </row>
    <row r="15" spans="1:9" ht="18.75" customHeight="1">
      <c r="A15" s="27"/>
      <c r="B15" s="38"/>
      <c r="C15" s="69"/>
      <c r="D15" s="69"/>
      <c r="E15" s="69"/>
      <c r="F15" s="69"/>
      <c r="G15" s="69"/>
      <c r="H15" s="70"/>
      <c r="I15" s="63" t="s">
        <v>0</v>
      </c>
    </row>
    <row r="16" spans="1:9" ht="18.75" customHeight="1">
      <c r="A16" s="94" t="s">
        <v>103</v>
      </c>
      <c r="B16" s="405"/>
      <c r="C16" s="96">
        <f t="shared" ref="C16:H16" si="0">SUM(C12:C15)</f>
        <v>-2020</v>
      </c>
      <c r="D16" s="96">
        <f t="shared" si="0"/>
        <v>-2230</v>
      </c>
      <c r="E16" s="96">
        <f t="shared" si="0"/>
        <v>-3123</v>
      </c>
      <c r="F16" s="96">
        <f t="shared" si="0"/>
        <v>-185</v>
      </c>
      <c r="G16" s="95">
        <f t="shared" si="0"/>
        <v>-762</v>
      </c>
      <c r="H16" s="96">
        <f t="shared" si="0"/>
        <v>-8320</v>
      </c>
      <c r="I16" s="63" t="s">
        <v>0</v>
      </c>
    </row>
    <row r="17" spans="1:9" ht="18.75" customHeight="1">
      <c r="A17" s="264"/>
      <c r="B17" s="28"/>
      <c r="C17" s="24"/>
      <c r="D17" s="24"/>
      <c r="E17" s="24"/>
      <c r="F17" s="24"/>
      <c r="G17" s="24"/>
      <c r="H17" s="24"/>
      <c r="I17" s="63" t="s">
        <v>0</v>
      </c>
    </row>
    <row r="18" spans="1:9" ht="18.75" customHeight="1">
      <c r="A18" s="264"/>
      <c r="B18" s="28"/>
      <c r="C18" s="24"/>
      <c r="D18" s="24"/>
      <c r="E18" s="24"/>
      <c r="F18" s="24"/>
      <c r="G18" s="24"/>
      <c r="H18" s="24"/>
      <c r="I18" s="63" t="s">
        <v>0</v>
      </c>
    </row>
    <row r="19" spans="1:9" ht="23.25">
      <c r="A19" s="609" t="s">
        <v>155</v>
      </c>
      <c r="B19" s="610"/>
      <c r="C19" s="610"/>
      <c r="D19" s="610"/>
      <c r="E19" s="610"/>
      <c r="F19" s="610"/>
      <c r="G19" s="610"/>
      <c r="H19" s="610"/>
      <c r="I19" s="63" t="s">
        <v>0</v>
      </c>
    </row>
    <row r="20" spans="1:9" ht="23.25">
      <c r="A20" s="611" t="str">
        <f>+'B. Summary of Requirements_Cons'!A32:U32</f>
        <v>United States Marshals Service</v>
      </c>
      <c r="B20" s="612"/>
      <c r="C20" s="612"/>
      <c r="D20" s="612"/>
      <c r="E20" s="612"/>
      <c r="F20" s="612"/>
      <c r="G20" s="612"/>
      <c r="H20" s="612"/>
      <c r="I20" s="63" t="s">
        <v>0</v>
      </c>
    </row>
    <row r="21" spans="1:9" ht="23.25">
      <c r="A21" s="611" t="str">
        <f>+'B. Summary of Requirements_Cons'!A33:U33</f>
        <v>Construction</v>
      </c>
      <c r="B21" s="612"/>
      <c r="C21" s="612"/>
      <c r="D21" s="612"/>
      <c r="E21" s="612"/>
      <c r="F21" s="612"/>
      <c r="G21" s="612"/>
      <c r="H21" s="612"/>
      <c r="I21" s="63" t="s">
        <v>0</v>
      </c>
    </row>
    <row r="22" spans="1:9" ht="23.25">
      <c r="A22" s="613" t="s">
        <v>101</v>
      </c>
      <c r="B22" s="610"/>
      <c r="C22" s="610"/>
      <c r="D22" s="610"/>
      <c r="E22" s="610"/>
      <c r="F22" s="610"/>
      <c r="G22" s="610"/>
      <c r="H22" s="610"/>
      <c r="I22" s="63" t="s">
        <v>0</v>
      </c>
    </row>
    <row r="23" spans="1:9">
      <c r="A23" s="614"/>
      <c r="B23" s="614"/>
      <c r="C23" s="614"/>
      <c r="D23" s="614"/>
      <c r="E23" s="614"/>
      <c r="F23" s="614"/>
      <c r="G23" s="614"/>
      <c r="H23" s="614"/>
      <c r="I23" s="63" t="s">
        <v>0</v>
      </c>
    </row>
    <row r="24" spans="1:9">
      <c r="A24" s="615"/>
      <c r="B24" s="615"/>
      <c r="C24" s="615"/>
      <c r="D24" s="615"/>
      <c r="E24" s="615"/>
      <c r="F24" s="615"/>
      <c r="G24" s="615"/>
      <c r="H24" s="615"/>
      <c r="I24" s="63" t="s">
        <v>0</v>
      </c>
    </row>
    <row r="25" spans="1:9" ht="72.75" customHeight="1">
      <c r="A25" s="605" t="s">
        <v>6</v>
      </c>
      <c r="B25" s="607" t="s">
        <v>13</v>
      </c>
      <c r="C25" s="326" t="s">
        <v>209</v>
      </c>
      <c r="D25" s="607" t="s">
        <v>103</v>
      </c>
      <c r="E25" s="24"/>
      <c r="F25" s="24"/>
      <c r="G25" s="24"/>
      <c r="H25" s="24"/>
      <c r="I25" s="63" t="s">
        <v>0</v>
      </c>
    </row>
    <row r="26" spans="1:9" ht="18.75" customHeight="1">
      <c r="A26" s="606"/>
      <c r="B26" s="608"/>
      <c r="C26" s="23" t="s">
        <v>119</v>
      </c>
      <c r="D26" s="608"/>
      <c r="E26" s="24"/>
      <c r="F26" s="24"/>
      <c r="G26" s="24"/>
      <c r="H26" s="24"/>
      <c r="I26" s="63" t="s">
        <v>0</v>
      </c>
    </row>
    <row r="27" spans="1:9" ht="18.75" customHeight="1">
      <c r="A27" s="35"/>
      <c r="B27" s="36"/>
      <c r="C27" s="327"/>
      <c r="D27" s="327"/>
      <c r="E27" s="24"/>
      <c r="F27" s="24"/>
      <c r="G27" s="24"/>
      <c r="H27" s="24"/>
      <c r="I27" s="63" t="s">
        <v>0</v>
      </c>
    </row>
    <row r="28" spans="1:9" ht="18.75" customHeight="1">
      <c r="A28" s="35" t="s">
        <v>209</v>
      </c>
      <c r="B28" s="37" t="s">
        <v>209</v>
      </c>
      <c r="C28" s="327">
        <v>-5000</v>
      </c>
      <c r="D28" s="327">
        <f>+C28</f>
        <v>-5000</v>
      </c>
      <c r="E28" s="24"/>
      <c r="F28" s="24"/>
      <c r="G28" s="24"/>
      <c r="H28" s="24"/>
      <c r="I28" s="63" t="s">
        <v>0</v>
      </c>
    </row>
    <row r="29" spans="1:9" ht="18.75" customHeight="1">
      <c r="A29" s="27"/>
      <c r="B29" s="38"/>
      <c r="C29" s="69"/>
      <c r="D29" s="69"/>
      <c r="E29" s="24"/>
      <c r="F29" s="24"/>
      <c r="G29" s="24"/>
      <c r="H29" s="24"/>
      <c r="I29" s="63" t="s">
        <v>0</v>
      </c>
    </row>
    <row r="30" spans="1:9" ht="18.75" customHeight="1">
      <c r="A30" s="94" t="s">
        <v>211</v>
      </c>
      <c r="B30" s="405"/>
      <c r="C30" s="96">
        <f>SUM(C27:C29)</f>
        <v>-5000</v>
      </c>
      <c r="D30" s="96">
        <f>SUM(D27:D29)</f>
        <v>-5000</v>
      </c>
      <c r="E30" s="24"/>
      <c r="F30" s="24"/>
      <c r="G30" s="24"/>
      <c r="H30" s="24"/>
      <c r="I30" s="63" t="s">
        <v>15</v>
      </c>
    </row>
    <row r="31" spans="1:9" ht="18.75" customHeight="1">
      <c r="A31" s="264"/>
      <c r="B31" s="28"/>
      <c r="C31" s="24"/>
      <c r="D31" s="24"/>
      <c r="E31" s="24"/>
      <c r="F31" s="24"/>
      <c r="G31" s="24"/>
      <c r="H31" s="24"/>
      <c r="I31" s="63"/>
    </row>
    <row r="32" spans="1:9" ht="15">
      <c r="A32" s="604"/>
      <c r="B32" s="604"/>
      <c r="C32" s="604"/>
      <c r="D32" s="604"/>
    </row>
    <row r="33" spans="1:8" ht="15" customHeight="1">
      <c r="A33" s="43"/>
      <c r="B33" s="44"/>
      <c r="C33" s="44"/>
      <c r="D33" s="44"/>
      <c r="H33" s="48"/>
    </row>
    <row r="34" spans="1:8">
      <c r="A34" s="44"/>
      <c r="B34" s="44"/>
      <c r="C34" s="44"/>
      <c r="D34" s="44"/>
    </row>
  </sheetData>
  <customSheetViews>
    <customSheetView guid="{3118AF25-8423-420A-806A-487665220C68}" scale="75" showPageBreaks="1" fitToPage="1" printArea="1" view="pageBreakPreview">
      <selection activeCell="D16" sqref="D16"/>
      <pageMargins left="0.75" right="0.75" top="1" bottom="1" header="0.5" footer="0.5"/>
      <printOptions horizontalCentered="1"/>
      <pageSetup scale="69" orientation="landscape" r:id="rId1"/>
      <headerFooter alignWithMargins="0">
        <oddFooter>&amp;C&amp;"Times New Roman,Regular"Exhibit C - Program Increases/Offsets By Decision Unit</oddFooter>
      </headerFooter>
    </customSheetView>
    <customSheetView guid="{56C0A34E-45B4-448B-85E5-70B3A8E63333}" scale="75" showPageBreaks="1" fitToPage="1" printArea="1" view="pageBreakPreview">
      <selection activeCell="J27" sqref="J27"/>
      <pageMargins left="0.75" right="0.75" top="1" bottom="1" header="0.5" footer="0.5"/>
      <printOptions horizontalCentered="1"/>
      <pageSetup scale="69" orientation="landscape" r:id="rId2"/>
      <headerFooter alignWithMargins="0">
        <oddFooter>&amp;C&amp;"Times New Roman,Regular"Exhibit C - Program Increases/Offsets By Decision Unit</oddFooter>
      </headerFooter>
    </customSheetView>
    <customSheetView guid="{4148B88B-8ED7-4FDE-9459-DEB244AD0552}" scale="75" showPageBreaks="1" fitToPage="1" printArea="1" view="pageBreakPreview">
      <selection activeCell="A6" sqref="A6:S6"/>
      <pageMargins left="0.75" right="0.75" top="1" bottom="1" header="0.5" footer="0.5"/>
      <printOptions horizontalCentered="1"/>
      <pageSetup scale="69" orientation="landscape" r:id="rId3"/>
      <headerFooter alignWithMargins="0">
        <oddFooter>&amp;C&amp;"Times New Roman,Regular"Exhibit C - Program Increases/Offsets By Decision Unit</oddFooter>
      </headerFooter>
    </customSheetView>
    <customSheetView guid="{12C66D54-5067-4346-818B-6EAB1C8A9183}" scale="75" showPageBreaks="1" fitToPage="1" printArea="1" view="pageBreakPreview">
      <selection activeCell="A6" sqref="A6:S6"/>
      <pageMargins left="0.75" right="0.75" top="1" bottom="1" header="0.5" footer="0.5"/>
      <printOptions horizontalCentered="1"/>
      <pageSetup scale="69" orientation="landscape" r:id="rId4"/>
      <headerFooter alignWithMargins="0">
        <oddFooter>&amp;C&amp;"Times New Roman,Regular"Exhibit C - Program Increases/Offsets By Decision Unit</oddFooter>
      </headerFooter>
    </customSheetView>
  </customSheetViews>
  <mergeCells count="22">
    <mergeCell ref="A8:H8"/>
    <mergeCell ref="A9:H9"/>
    <mergeCell ref="H10:H11"/>
    <mergeCell ref="A1:H1"/>
    <mergeCell ref="A4:H4"/>
    <mergeCell ref="A5:H5"/>
    <mergeCell ref="A7:H7"/>
    <mergeCell ref="A2:H2"/>
    <mergeCell ref="A3:H3"/>
    <mergeCell ref="A6:H6"/>
    <mergeCell ref="A32:D32"/>
    <mergeCell ref="A10:A11"/>
    <mergeCell ref="B10:B11"/>
    <mergeCell ref="A19:H19"/>
    <mergeCell ref="A20:H20"/>
    <mergeCell ref="A22:H22"/>
    <mergeCell ref="A23:H23"/>
    <mergeCell ref="A24:H24"/>
    <mergeCell ref="A25:A26"/>
    <mergeCell ref="B25:B26"/>
    <mergeCell ref="A21:H21"/>
    <mergeCell ref="D25:D26"/>
  </mergeCells>
  <phoneticPr fontId="20" type="noConversion"/>
  <printOptions horizontalCentered="1"/>
  <pageMargins left="0.5" right="0.5" top="1" bottom="0.75" header="0.5" footer="0.25"/>
  <pageSetup scale="72" orientation="landscape" r:id="rId5"/>
  <headerFooter alignWithMargins="0">
    <oddFooter>&amp;C&amp;"Times New Roman,Regular"Exhibit C - Program Increases/Offsets By Decision Unit</oddFooter>
  </headerFooter>
</worksheet>
</file>

<file path=xl/worksheets/sheet5.xml><?xml version="1.0" encoding="utf-8"?>
<worksheet xmlns="http://schemas.openxmlformats.org/spreadsheetml/2006/main" xmlns:r="http://schemas.openxmlformats.org/officeDocument/2006/relationships">
  <sheetPr codeName="Sheet9">
    <pageSetUpPr fitToPage="1"/>
  </sheetPr>
  <dimension ref="A1:R51"/>
  <sheetViews>
    <sheetView view="pageBreakPreview" zoomScale="70" zoomScaleNormal="70" zoomScaleSheetLayoutView="70" workbookViewId="0">
      <selection activeCell="U27" sqref="U27"/>
    </sheetView>
  </sheetViews>
  <sheetFormatPr defaultColWidth="8.88671875" defaultRowHeight="12.75"/>
  <cols>
    <col min="1" max="1" width="53.88671875" style="202" customWidth="1"/>
    <col min="2" max="2" width="1.21875" style="202" customWidth="1"/>
    <col min="3" max="3" width="10.77734375" style="202" customWidth="1"/>
    <col min="4" max="4" width="11" style="202" customWidth="1"/>
    <col min="5" max="5" width="1.21875" style="202" customWidth="1"/>
    <col min="6" max="7" width="11.21875" style="202" customWidth="1"/>
    <col min="8" max="8" width="1.21875" style="202" customWidth="1"/>
    <col min="9" max="13" width="10.77734375" style="202" customWidth="1"/>
    <col min="14" max="14" width="12.33203125" style="202" customWidth="1"/>
    <col min="15" max="15" width="1.88671875" style="202" customWidth="1"/>
    <col min="16" max="16384" width="8.88671875" style="202"/>
  </cols>
  <sheetData>
    <row r="1" spans="1:18" ht="20.25">
      <c r="A1" s="645" t="s">
        <v>141</v>
      </c>
      <c r="B1" s="646"/>
      <c r="C1" s="646"/>
      <c r="D1" s="646"/>
      <c r="E1" s="646"/>
      <c r="F1" s="646"/>
      <c r="G1" s="646"/>
      <c r="H1" s="646"/>
      <c r="I1" s="646"/>
      <c r="J1" s="646"/>
      <c r="K1" s="646"/>
      <c r="L1" s="646"/>
      <c r="M1" s="646"/>
      <c r="N1" s="646"/>
      <c r="O1" s="200" t="s">
        <v>0</v>
      </c>
      <c r="P1" s="201"/>
      <c r="Q1" s="201"/>
    </row>
    <row r="2" spans="1:18" ht="19.149999999999999" customHeight="1">
      <c r="A2" s="203"/>
      <c r="O2" s="200" t="s">
        <v>0</v>
      </c>
      <c r="R2" s="200"/>
    </row>
    <row r="3" spans="1:18" ht="15.75">
      <c r="A3" s="639" t="s">
        <v>125</v>
      </c>
      <c r="B3" s="640"/>
      <c r="C3" s="640"/>
      <c r="D3" s="640"/>
      <c r="E3" s="640"/>
      <c r="F3" s="640"/>
      <c r="G3" s="640"/>
      <c r="H3" s="640"/>
      <c r="I3" s="640"/>
      <c r="J3" s="640"/>
      <c r="K3" s="640"/>
      <c r="L3" s="640"/>
      <c r="M3" s="640"/>
      <c r="N3" s="640"/>
      <c r="O3" s="200" t="s">
        <v>0</v>
      </c>
      <c r="P3" s="34"/>
      <c r="Q3" s="34"/>
      <c r="R3" s="200"/>
    </row>
    <row r="4" spans="1:18" ht="15.75">
      <c r="A4" s="641" t="str">
        <f>'B. Summary of Requirements_SE '!A5:U5</f>
        <v>United States Marshals Service</v>
      </c>
      <c r="B4" s="640"/>
      <c r="C4" s="640"/>
      <c r="D4" s="640"/>
      <c r="E4" s="640"/>
      <c r="F4" s="640"/>
      <c r="G4" s="640"/>
      <c r="H4" s="640"/>
      <c r="I4" s="640"/>
      <c r="J4" s="640"/>
      <c r="K4" s="640"/>
      <c r="L4" s="640"/>
      <c r="M4" s="640"/>
      <c r="N4" s="640"/>
      <c r="O4" s="200" t="s">
        <v>0</v>
      </c>
      <c r="P4" s="32"/>
      <c r="Q4" s="32"/>
    </row>
    <row r="5" spans="1:18" ht="15">
      <c r="A5" s="642" t="s">
        <v>101</v>
      </c>
      <c r="B5" s="640"/>
      <c r="C5" s="640"/>
      <c r="D5" s="640"/>
      <c r="E5" s="640"/>
      <c r="F5" s="640"/>
      <c r="G5" s="640"/>
      <c r="H5" s="640"/>
      <c r="I5" s="640"/>
      <c r="J5" s="640"/>
      <c r="K5" s="640"/>
      <c r="L5" s="640"/>
      <c r="M5" s="640"/>
      <c r="N5" s="640"/>
      <c r="O5" s="200" t="s">
        <v>0</v>
      </c>
      <c r="P5" s="34"/>
      <c r="Q5" s="34"/>
      <c r="R5" s="200"/>
    </row>
    <row r="6" spans="1:18">
      <c r="O6" s="200" t="s">
        <v>0</v>
      </c>
      <c r="R6" s="200"/>
    </row>
    <row r="7" spans="1:18" ht="13.5" thickBot="1">
      <c r="O7" s="200" t="s">
        <v>0</v>
      </c>
      <c r="R7" s="200"/>
    </row>
    <row r="8" spans="1:18" ht="27.75" customHeight="1">
      <c r="A8" s="204"/>
      <c r="B8" s="205"/>
      <c r="C8" s="625" t="s">
        <v>156</v>
      </c>
      <c r="D8" s="626"/>
      <c r="E8" s="206"/>
      <c r="F8" s="625" t="s">
        <v>268</v>
      </c>
      <c r="G8" s="626"/>
      <c r="H8" s="206"/>
      <c r="I8" s="631" t="s">
        <v>257</v>
      </c>
      <c r="J8" s="626"/>
      <c r="K8" s="647">
        <v>2013</v>
      </c>
      <c r="L8" s="633"/>
      <c r="M8" s="631" t="s">
        <v>267</v>
      </c>
      <c r="N8" s="634"/>
      <c r="O8" s="200" t="s">
        <v>0</v>
      </c>
      <c r="Q8" s="207"/>
      <c r="R8" s="200"/>
    </row>
    <row r="9" spans="1:18" ht="26.25" customHeight="1">
      <c r="A9" s="204"/>
      <c r="B9" s="205"/>
      <c r="C9" s="627"/>
      <c r="D9" s="628"/>
      <c r="E9" s="206"/>
      <c r="F9" s="629"/>
      <c r="G9" s="630"/>
      <c r="H9" s="206"/>
      <c r="I9" s="629"/>
      <c r="J9" s="630"/>
      <c r="K9" s="637" t="s">
        <v>269</v>
      </c>
      <c r="L9" s="638"/>
      <c r="M9" s="635"/>
      <c r="N9" s="636"/>
      <c r="O9" s="200" t="s">
        <v>0</v>
      </c>
      <c r="Q9" s="207"/>
      <c r="R9" s="200"/>
    </row>
    <row r="10" spans="1:18" ht="13.5" customHeight="1">
      <c r="A10" s="621" t="s">
        <v>126</v>
      </c>
      <c r="B10" s="205"/>
      <c r="C10" s="208"/>
      <c r="D10" s="209"/>
      <c r="E10" s="210"/>
      <c r="F10" s="208"/>
      <c r="G10" s="209"/>
      <c r="H10" s="210"/>
      <c r="I10" s="208"/>
      <c r="J10" s="209"/>
      <c r="K10" s="211"/>
      <c r="L10" s="209"/>
      <c r="M10" s="208"/>
      <c r="N10" s="209"/>
      <c r="O10" s="200" t="s">
        <v>0</v>
      </c>
      <c r="Q10" s="211"/>
      <c r="R10" s="200"/>
    </row>
    <row r="11" spans="1:18" ht="26.25" customHeight="1">
      <c r="A11" s="622"/>
      <c r="B11" s="205"/>
      <c r="C11" s="212" t="s">
        <v>127</v>
      </c>
      <c r="D11" s="213" t="s">
        <v>128</v>
      </c>
      <c r="E11" s="210"/>
      <c r="F11" s="212" t="s">
        <v>127</v>
      </c>
      <c r="G11" s="213" t="s">
        <v>128</v>
      </c>
      <c r="H11" s="210"/>
      <c r="I11" s="212" t="s">
        <v>127</v>
      </c>
      <c r="J11" s="213" t="s">
        <v>128</v>
      </c>
      <c r="K11" s="212" t="s">
        <v>127</v>
      </c>
      <c r="L11" s="213" t="s">
        <v>128</v>
      </c>
      <c r="M11" s="212" t="s">
        <v>127</v>
      </c>
      <c r="N11" s="213" t="s">
        <v>128</v>
      </c>
      <c r="O11" s="200" t="s">
        <v>0</v>
      </c>
      <c r="Q11" s="214"/>
      <c r="R11" s="200"/>
    </row>
    <row r="12" spans="1:18">
      <c r="A12" s="215"/>
      <c r="B12" s="205"/>
      <c r="C12" s="365"/>
      <c r="D12" s="366"/>
      <c r="E12" s="367"/>
      <c r="F12" s="365"/>
      <c r="G12" s="366"/>
      <c r="H12" s="367"/>
      <c r="I12" s="365"/>
      <c r="J12" s="366"/>
      <c r="K12" s="368"/>
      <c r="L12" s="366"/>
      <c r="M12" s="365"/>
      <c r="N12" s="366"/>
      <c r="O12" s="200" t="s">
        <v>0</v>
      </c>
      <c r="Q12" s="216"/>
      <c r="R12" s="200"/>
    </row>
    <row r="13" spans="1:18" ht="25.5">
      <c r="A13" s="286" t="s">
        <v>163</v>
      </c>
      <c r="B13" s="205"/>
      <c r="C13" s="365"/>
      <c r="D13" s="493"/>
      <c r="E13" s="367"/>
      <c r="F13" s="365"/>
      <c r="G13" s="493"/>
      <c r="H13" s="367"/>
      <c r="I13" s="365"/>
      <c r="J13" s="493"/>
      <c r="K13" s="365"/>
      <c r="L13" s="493"/>
      <c r="M13" s="365"/>
      <c r="N13" s="493"/>
      <c r="O13" s="200" t="s">
        <v>0</v>
      </c>
      <c r="Q13" s="218"/>
      <c r="R13" s="200"/>
    </row>
    <row r="14" spans="1:18">
      <c r="A14" s="288" t="s">
        <v>129</v>
      </c>
      <c r="B14" s="205"/>
      <c r="C14" s="365">
        <f>385+2+8</f>
        <v>395</v>
      </c>
      <c r="D14" s="493">
        <f>105898+325+739+1064</f>
        <v>108026</v>
      </c>
      <c r="E14" s="367"/>
      <c r="F14" s="365">
        <f>391+2</f>
        <v>393</v>
      </c>
      <c r="G14" s="493">
        <f>103942+325+739</f>
        <v>105006</v>
      </c>
      <c r="H14" s="367"/>
      <c r="I14" s="365">
        <f>391+2</f>
        <v>393</v>
      </c>
      <c r="J14" s="366">
        <f>+G14+((F14*128)*0.005)</f>
        <v>105257.52</v>
      </c>
      <c r="K14" s="365">
        <v>0</v>
      </c>
      <c r="L14" s="493">
        <f>103942+325+730-J14</f>
        <v>-260.52000000000407</v>
      </c>
      <c r="M14" s="365">
        <f>+I14+K14</f>
        <v>393</v>
      </c>
      <c r="N14" s="366">
        <f>+J14+L14</f>
        <v>104997</v>
      </c>
      <c r="O14" s="200" t="s">
        <v>0</v>
      </c>
      <c r="Q14" s="218"/>
      <c r="R14" s="200"/>
    </row>
    <row r="15" spans="1:18">
      <c r="A15" s="289" t="s">
        <v>130</v>
      </c>
      <c r="B15" s="217"/>
      <c r="C15" s="494">
        <f>SUM(C14:C14)</f>
        <v>395</v>
      </c>
      <c r="D15" s="495">
        <f>SUM(D14:D14)</f>
        <v>108026</v>
      </c>
      <c r="E15" s="496"/>
      <c r="F15" s="494">
        <f>SUM(F14:F14)</f>
        <v>393</v>
      </c>
      <c r="G15" s="495">
        <f>SUM(G14:G14)</f>
        <v>105006</v>
      </c>
      <c r="H15" s="497"/>
      <c r="I15" s="494">
        <f t="shared" ref="I15:N15" si="0">SUM(I14:I14)</f>
        <v>393</v>
      </c>
      <c r="J15" s="495">
        <f t="shared" si="0"/>
        <v>105257.52</v>
      </c>
      <c r="K15" s="494">
        <f t="shared" si="0"/>
        <v>0</v>
      </c>
      <c r="L15" s="495">
        <f t="shared" si="0"/>
        <v>-260.52000000000407</v>
      </c>
      <c r="M15" s="494">
        <f t="shared" si="0"/>
        <v>393</v>
      </c>
      <c r="N15" s="495">
        <f t="shared" si="0"/>
        <v>104997</v>
      </c>
      <c r="O15" s="200" t="s">
        <v>0</v>
      </c>
      <c r="Q15" s="218"/>
      <c r="R15" s="200"/>
    </row>
    <row r="16" spans="1:18" ht="13.5" customHeight="1">
      <c r="A16" s="290"/>
      <c r="B16" s="205"/>
      <c r="C16" s="365"/>
      <c r="D16" s="366"/>
      <c r="E16" s="373"/>
      <c r="F16" s="365"/>
      <c r="G16" s="366"/>
      <c r="H16" s="373"/>
      <c r="I16" s="365"/>
      <c r="J16" s="366"/>
      <c r="K16" s="365"/>
      <c r="L16" s="366"/>
      <c r="M16" s="365"/>
      <c r="N16" s="366"/>
      <c r="O16" s="200" t="s">
        <v>0</v>
      </c>
      <c r="Q16" s="219"/>
      <c r="R16" s="200"/>
    </row>
    <row r="17" spans="1:18" s="221" customFormat="1" ht="25.5">
      <c r="A17" s="286" t="s">
        <v>164</v>
      </c>
      <c r="B17" s="205"/>
      <c r="C17" s="365"/>
      <c r="D17" s="366"/>
      <c r="E17" s="374"/>
      <c r="F17" s="365"/>
      <c r="G17" s="366"/>
      <c r="H17" s="374"/>
      <c r="I17" s="365"/>
      <c r="J17" s="366"/>
      <c r="K17" s="365"/>
      <c r="L17" s="366"/>
      <c r="M17" s="365"/>
      <c r="N17" s="366"/>
      <c r="O17" s="200" t="s">
        <v>0</v>
      </c>
      <c r="P17" s="202"/>
      <c r="Q17" s="220"/>
      <c r="R17" s="200"/>
    </row>
    <row r="18" spans="1:18">
      <c r="A18" s="288" t="s">
        <v>157</v>
      </c>
      <c r="B18" s="205"/>
      <c r="C18" s="365">
        <f>443-132-29+1</f>
        <v>283</v>
      </c>
      <c r="D18" s="366">
        <f>139547-33161-4264</f>
        <v>102122</v>
      </c>
      <c r="E18" s="374"/>
      <c r="F18" s="365">
        <f>443-132-29</f>
        <v>282</v>
      </c>
      <c r="G18" s="366">
        <f>145745-33669-4880</f>
        <v>107196</v>
      </c>
      <c r="H18" s="374"/>
      <c r="I18" s="365">
        <v>282</v>
      </c>
      <c r="J18" s="366">
        <f>+G18+((F18*128)*0.005)</f>
        <v>107376.48</v>
      </c>
      <c r="K18" s="365">
        <v>0</v>
      </c>
      <c r="L18" s="366">
        <f>144960-33535-4885-J18</f>
        <v>-836.47999999999593</v>
      </c>
      <c r="M18" s="365">
        <f>+I18+K18</f>
        <v>282</v>
      </c>
      <c r="N18" s="366">
        <f>+J18+L18</f>
        <v>106540</v>
      </c>
      <c r="O18" s="200" t="s">
        <v>0</v>
      </c>
      <c r="Q18" s="216"/>
      <c r="R18" s="200"/>
    </row>
    <row r="19" spans="1:18" ht="25.5">
      <c r="A19" s="287" t="s">
        <v>159</v>
      </c>
      <c r="B19" s="205"/>
      <c r="C19" s="365">
        <v>161</v>
      </c>
      <c r="D19" s="366">
        <v>37425</v>
      </c>
      <c r="E19" s="374"/>
      <c r="F19" s="365">
        <v>161</v>
      </c>
      <c r="G19" s="366">
        <v>38549</v>
      </c>
      <c r="H19" s="374"/>
      <c r="I19" s="365">
        <v>161</v>
      </c>
      <c r="J19" s="366">
        <f>+G19+((I19*128)*0.005)</f>
        <v>38652.04</v>
      </c>
      <c r="K19" s="365">
        <v>0</v>
      </c>
      <c r="L19" s="366">
        <f>38419-J19</f>
        <v>-233.04000000000087</v>
      </c>
      <c r="M19" s="365">
        <f t="shared" ref="M19:N20" si="1">+I19+K19</f>
        <v>161</v>
      </c>
      <c r="N19" s="366">
        <f t="shared" si="1"/>
        <v>38419</v>
      </c>
      <c r="O19" s="200" t="s">
        <v>0</v>
      </c>
      <c r="Q19" s="216"/>
      <c r="R19" s="200"/>
    </row>
    <row r="20" spans="1:18" ht="25.5">
      <c r="A20" s="287" t="s">
        <v>158</v>
      </c>
      <c r="B20" s="205"/>
      <c r="C20" s="365">
        <f>1163+8+42</f>
        <v>1213</v>
      </c>
      <c r="D20" s="366">
        <v>245333</v>
      </c>
      <c r="E20" s="374"/>
      <c r="F20" s="365">
        <f>1139+8+43</f>
        <v>1190</v>
      </c>
      <c r="G20" s="366">
        <v>248880</v>
      </c>
      <c r="H20" s="374"/>
      <c r="I20" s="365">
        <f>1139+8+43</f>
        <v>1190</v>
      </c>
      <c r="J20" s="366">
        <f>+G20+(((1190-8-43)*128)*0.005)</f>
        <v>249608.95999999999</v>
      </c>
      <c r="K20" s="365">
        <v>-1</v>
      </c>
      <c r="L20" s="366">
        <f>250828-J20</f>
        <v>1219.0400000000081</v>
      </c>
      <c r="M20" s="365">
        <f t="shared" si="1"/>
        <v>1189</v>
      </c>
      <c r="N20" s="366">
        <f t="shared" si="1"/>
        <v>250828</v>
      </c>
      <c r="O20" s="200" t="s">
        <v>0</v>
      </c>
      <c r="Q20" s="216"/>
      <c r="R20" s="200"/>
    </row>
    <row r="21" spans="1:18">
      <c r="A21" s="289" t="s">
        <v>131</v>
      </c>
      <c r="B21" s="217"/>
      <c r="C21" s="494">
        <f>SUM(C18:C20)</f>
        <v>1657</v>
      </c>
      <c r="D21" s="495">
        <f>SUM(D18:D20)</f>
        <v>384880</v>
      </c>
      <c r="E21" s="498"/>
      <c r="F21" s="494">
        <f>SUM(F18:F20)</f>
        <v>1633</v>
      </c>
      <c r="G21" s="495">
        <f>SUM(G18:G20)</f>
        <v>394625</v>
      </c>
      <c r="H21" s="499"/>
      <c r="I21" s="494">
        <f t="shared" ref="I21:N21" si="2">SUM(I18:I20)</f>
        <v>1633</v>
      </c>
      <c r="J21" s="495">
        <f t="shared" si="2"/>
        <v>395637.48</v>
      </c>
      <c r="K21" s="494">
        <f t="shared" si="2"/>
        <v>-1</v>
      </c>
      <c r="L21" s="495">
        <f t="shared" si="2"/>
        <v>149.52000000001135</v>
      </c>
      <c r="M21" s="494">
        <f t="shared" si="2"/>
        <v>1632</v>
      </c>
      <c r="N21" s="495">
        <f t="shared" si="2"/>
        <v>395787</v>
      </c>
      <c r="O21" s="200" t="s">
        <v>0</v>
      </c>
      <c r="Q21" s="216"/>
      <c r="R21" s="200"/>
    </row>
    <row r="22" spans="1:18">
      <c r="A22" s="290"/>
      <c r="B22" s="205"/>
      <c r="C22" s="365"/>
      <c r="D22" s="366"/>
      <c r="E22" s="375"/>
      <c r="F22" s="365"/>
      <c r="G22" s="366"/>
      <c r="H22" s="375"/>
      <c r="I22" s="365"/>
      <c r="J22" s="366"/>
      <c r="K22" s="365"/>
      <c r="L22" s="366"/>
      <c r="M22" s="365"/>
      <c r="N22" s="366"/>
      <c r="O22" s="200" t="s">
        <v>0</v>
      </c>
      <c r="Q22" s="216"/>
      <c r="R22" s="200"/>
    </row>
    <row r="23" spans="1:18" ht="38.25">
      <c r="A23" s="286" t="s">
        <v>165</v>
      </c>
      <c r="B23" s="205"/>
      <c r="C23" s="365"/>
      <c r="D23" s="366"/>
      <c r="E23" s="367"/>
      <c r="F23" s="365"/>
      <c r="G23" s="366"/>
      <c r="H23" s="367"/>
      <c r="I23" s="365"/>
      <c r="J23" s="366"/>
      <c r="K23" s="365"/>
      <c r="L23" s="366"/>
      <c r="M23" s="365"/>
      <c r="N23" s="366"/>
      <c r="O23" s="200" t="s">
        <v>0</v>
      </c>
      <c r="Q23" s="216"/>
      <c r="R23" s="200"/>
    </row>
    <row r="24" spans="1:18" ht="25.5">
      <c r="A24" s="287" t="s">
        <v>160</v>
      </c>
      <c r="B24" s="205"/>
      <c r="C24" s="365">
        <f>31+1294</f>
        <v>1325</v>
      </c>
      <c r="D24" s="366">
        <f>15804+189565</f>
        <v>205369</v>
      </c>
      <c r="E24" s="367"/>
      <c r="F24" s="365">
        <f>21+1294</f>
        <v>1315</v>
      </c>
      <c r="G24" s="366">
        <f>15069+214350</f>
        <v>229419</v>
      </c>
      <c r="H24" s="367"/>
      <c r="I24" s="365">
        <f>21+1294</f>
        <v>1315</v>
      </c>
      <c r="J24" s="366">
        <f>+G24+((I24*128)*0.005)</f>
        <v>230260.6</v>
      </c>
      <c r="K24" s="365">
        <v>0</v>
      </c>
      <c r="L24" s="366">
        <f>14845+214676-J24</f>
        <v>-739.60000000000582</v>
      </c>
      <c r="M24" s="365">
        <f>+I24+K24</f>
        <v>1315</v>
      </c>
      <c r="N24" s="366">
        <f>+J24+L24</f>
        <v>229521</v>
      </c>
      <c r="O24" s="200" t="s">
        <v>0</v>
      </c>
      <c r="Q24" s="216"/>
      <c r="R24" s="200"/>
    </row>
    <row r="25" spans="1:18" ht="38.25">
      <c r="A25" s="287" t="s">
        <v>161</v>
      </c>
      <c r="B25" s="205"/>
      <c r="C25" s="365">
        <f>5814-SUM(C15,C21,C24,C26)</f>
        <v>1259</v>
      </c>
      <c r="D25" s="366">
        <f>1123511-SUM(D15,D21,D24,D26)</f>
        <v>190273</v>
      </c>
      <c r="E25" s="367"/>
      <c r="F25" s="365">
        <f>5814-SUM(F15,F21,F24,F26)</f>
        <v>1295</v>
      </c>
      <c r="G25" s="366">
        <f>1174000-SUM(G15,G21,G24,G26)</f>
        <v>195148</v>
      </c>
      <c r="H25" s="367"/>
      <c r="I25" s="365">
        <f>5883-SUM(I15,I21,I24,I26)</f>
        <v>1364</v>
      </c>
      <c r="J25" s="366">
        <f>1209608-SUM(J15,J21,J24,J26)</f>
        <v>221600.40000000002</v>
      </c>
      <c r="K25" s="365">
        <f>-1-SUM(K15,K21,K24,K26)</f>
        <v>0</v>
      </c>
      <c r="L25" s="366">
        <f>-8320-SUM(L15,L21,L24,L26)</f>
        <v>-516.40000000000146</v>
      </c>
      <c r="M25" s="365">
        <f t="shared" ref="M25:N26" si="3">+I25+K25</f>
        <v>1364</v>
      </c>
      <c r="N25" s="366">
        <f t="shared" si="3"/>
        <v>221084.00000000003</v>
      </c>
      <c r="O25" s="200" t="s">
        <v>0</v>
      </c>
      <c r="P25" s="216"/>
      <c r="Q25" s="216"/>
      <c r="R25" s="200"/>
    </row>
    <row r="26" spans="1:18" ht="38.25">
      <c r="A26" s="287" t="s">
        <v>162</v>
      </c>
      <c r="B26" s="205"/>
      <c r="C26" s="365">
        <v>1178</v>
      </c>
      <c r="D26" s="366">
        <v>234963</v>
      </c>
      <c r="E26" s="367"/>
      <c r="F26" s="365">
        <v>1178</v>
      </c>
      <c r="G26" s="366">
        <v>249802</v>
      </c>
      <c r="H26" s="367"/>
      <c r="I26" s="365">
        <v>1178</v>
      </c>
      <c r="J26" s="366">
        <v>256852</v>
      </c>
      <c r="K26" s="365">
        <v>0</v>
      </c>
      <c r="L26" s="366">
        <f>249899-J26</f>
        <v>-6953</v>
      </c>
      <c r="M26" s="365">
        <f t="shared" si="3"/>
        <v>1178</v>
      </c>
      <c r="N26" s="366">
        <f t="shared" si="3"/>
        <v>249899</v>
      </c>
      <c r="O26" s="200" t="s">
        <v>0</v>
      </c>
      <c r="P26" s="220"/>
      <c r="Q26" s="220"/>
      <c r="R26" s="200"/>
    </row>
    <row r="27" spans="1:18">
      <c r="A27" s="289" t="s">
        <v>132</v>
      </c>
      <c r="B27" s="217"/>
      <c r="C27" s="494">
        <f>SUM(C24:C26)</f>
        <v>3762</v>
      </c>
      <c r="D27" s="495">
        <f>SUM(D24:D26)</f>
        <v>630605</v>
      </c>
      <c r="E27" s="496"/>
      <c r="F27" s="494">
        <f>SUM(F24:F26)</f>
        <v>3788</v>
      </c>
      <c r="G27" s="495">
        <f>SUM(G24:G26)</f>
        <v>674369</v>
      </c>
      <c r="H27" s="497"/>
      <c r="I27" s="494">
        <f t="shared" ref="I27:N27" si="4">SUM(I24:I26)</f>
        <v>3857</v>
      </c>
      <c r="J27" s="495">
        <f t="shared" si="4"/>
        <v>708713</v>
      </c>
      <c r="K27" s="494">
        <f t="shared" si="4"/>
        <v>0</v>
      </c>
      <c r="L27" s="495">
        <f t="shared" si="4"/>
        <v>-8209.0000000000073</v>
      </c>
      <c r="M27" s="494">
        <f t="shared" si="4"/>
        <v>3857</v>
      </c>
      <c r="N27" s="495">
        <f t="shared" si="4"/>
        <v>700504</v>
      </c>
      <c r="O27" s="200" t="s">
        <v>0</v>
      </c>
      <c r="P27" s="216"/>
      <c r="Q27" s="216"/>
      <c r="R27" s="200"/>
    </row>
    <row r="28" spans="1:18" ht="19.5" customHeight="1" thickBot="1">
      <c r="A28" s="205"/>
      <c r="B28" s="205"/>
      <c r="C28" s="375"/>
      <c r="D28" s="375"/>
      <c r="E28" s="375"/>
      <c r="F28" s="375"/>
      <c r="G28" s="375"/>
      <c r="H28" s="375"/>
      <c r="I28" s="375"/>
      <c r="J28" s="375"/>
      <c r="K28" s="376"/>
      <c r="L28" s="375"/>
      <c r="M28" s="375"/>
      <c r="N28" s="375"/>
      <c r="O28" s="200" t="s">
        <v>0</v>
      </c>
      <c r="P28" s="216"/>
      <c r="Q28" s="216"/>
      <c r="R28" s="200"/>
    </row>
    <row r="29" spans="1:18">
      <c r="A29" s="501" t="s">
        <v>133</v>
      </c>
      <c r="B29" s="228"/>
      <c r="C29" s="504">
        <f>C15+C21+C27</f>
        <v>5814</v>
      </c>
      <c r="D29" s="505">
        <f>D15+D21+D27</f>
        <v>1123511</v>
      </c>
      <c r="E29" s="503"/>
      <c r="F29" s="504">
        <f>F15+F21+F27</f>
        <v>5814</v>
      </c>
      <c r="G29" s="505">
        <f>G15+G21+G27</f>
        <v>1174000</v>
      </c>
      <c r="H29" s="378"/>
      <c r="I29" s="504">
        <f t="shared" ref="I29:N29" si="5">I15+I21+I27</f>
        <v>5883</v>
      </c>
      <c r="J29" s="505">
        <f t="shared" si="5"/>
        <v>1209608</v>
      </c>
      <c r="K29" s="504">
        <f t="shared" si="5"/>
        <v>-1</v>
      </c>
      <c r="L29" s="505">
        <f t="shared" si="5"/>
        <v>-8320</v>
      </c>
      <c r="M29" s="504">
        <f t="shared" si="5"/>
        <v>5882</v>
      </c>
      <c r="N29" s="505">
        <f t="shared" si="5"/>
        <v>1201288</v>
      </c>
      <c r="O29" s="200" t="s">
        <v>0</v>
      </c>
      <c r="P29" s="216"/>
      <c r="Q29" s="216"/>
      <c r="R29" s="200"/>
    </row>
    <row r="30" spans="1:18">
      <c r="A30" s="512" t="s">
        <v>252</v>
      </c>
      <c r="B30" s="228"/>
      <c r="C30" s="508"/>
      <c r="D30" s="511">
        <f>D16+D22+D28</f>
        <v>0</v>
      </c>
      <c r="E30" s="509"/>
      <c r="F30" s="508"/>
      <c r="G30" s="511">
        <v>-2200</v>
      </c>
      <c r="H30" s="510"/>
      <c r="I30" s="508"/>
      <c r="J30" s="511">
        <v>2200</v>
      </c>
      <c r="K30" s="508"/>
      <c r="L30" s="511">
        <v>-14400</v>
      </c>
      <c r="M30" s="508"/>
      <c r="N30" s="511">
        <f>+J30+L30</f>
        <v>-12200</v>
      </c>
      <c r="O30" s="200" t="s">
        <v>0</v>
      </c>
      <c r="P30" s="216"/>
      <c r="Q30" s="216"/>
      <c r="R30" s="200"/>
    </row>
    <row r="31" spans="1:18" ht="13.5" thickBot="1">
      <c r="A31" s="502" t="s">
        <v>275</v>
      </c>
      <c r="B31" s="228"/>
      <c r="C31" s="506">
        <f>SUM(C29:C30)</f>
        <v>5814</v>
      </c>
      <c r="D31" s="507">
        <f>SUM(D29:D30)</f>
        <v>1123511</v>
      </c>
      <c r="E31" s="503"/>
      <c r="F31" s="506">
        <f>SUM(F29:F30)</f>
        <v>5814</v>
      </c>
      <c r="G31" s="507">
        <f>SUM(G29:G30)</f>
        <v>1171800</v>
      </c>
      <c r="H31" s="378"/>
      <c r="I31" s="506">
        <f t="shared" ref="I31:N31" si="6">SUM(I29:I30)</f>
        <v>5883</v>
      </c>
      <c r="J31" s="507">
        <f t="shared" si="6"/>
        <v>1211808</v>
      </c>
      <c r="K31" s="506">
        <f t="shared" si="6"/>
        <v>-1</v>
      </c>
      <c r="L31" s="507">
        <f t="shared" si="6"/>
        <v>-22720</v>
      </c>
      <c r="M31" s="506">
        <f t="shared" si="6"/>
        <v>5882</v>
      </c>
      <c r="N31" s="507">
        <f t="shared" si="6"/>
        <v>1189088</v>
      </c>
      <c r="O31" s="200" t="s">
        <v>0</v>
      </c>
      <c r="P31" s="216"/>
      <c r="Q31" s="216"/>
      <c r="R31" s="200"/>
    </row>
    <row r="32" spans="1:18" ht="15.75" customHeight="1">
      <c r="A32" s="623" t="s">
        <v>270</v>
      </c>
      <c r="B32" s="624"/>
      <c r="C32" s="624"/>
      <c r="D32" s="624"/>
      <c r="E32" s="624"/>
      <c r="F32" s="624"/>
      <c r="G32" s="624"/>
      <c r="H32" s="624"/>
      <c r="I32" s="624"/>
      <c r="J32" s="624"/>
      <c r="K32" s="624"/>
      <c r="L32" s="624"/>
      <c r="M32" s="624"/>
      <c r="N32" s="226"/>
      <c r="O32" s="200" t="s">
        <v>0</v>
      </c>
      <c r="P32" s="227"/>
      <c r="Q32" s="227"/>
      <c r="R32" s="200"/>
    </row>
    <row r="33" spans="1:18">
      <c r="A33" s="228"/>
      <c r="B33" s="228"/>
      <c r="C33" s="224"/>
      <c r="D33" s="225"/>
      <c r="E33" s="228"/>
      <c r="F33" s="224"/>
      <c r="G33" s="225"/>
      <c r="H33" s="228"/>
      <c r="I33" s="224"/>
      <c r="J33" s="225"/>
      <c r="K33" s="226"/>
      <c r="L33" s="226"/>
      <c r="M33" s="226"/>
      <c r="N33" s="226"/>
      <c r="O33" s="200" t="s">
        <v>0</v>
      </c>
      <c r="P33" s="227"/>
      <c r="Q33" s="227"/>
      <c r="R33" s="200"/>
    </row>
    <row r="34" spans="1:18">
      <c r="A34" s="228"/>
      <c r="B34" s="228"/>
      <c r="C34" s="224"/>
      <c r="D34" s="225"/>
      <c r="E34" s="228"/>
      <c r="F34" s="224"/>
      <c r="G34" s="225"/>
      <c r="H34" s="228"/>
      <c r="I34" s="224"/>
      <c r="J34" s="225"/>
      <c r="K34" s="226"/>
      <c r="L34" s="226"/>
      <c r="M34" s="226"/>
      <c r="N34" s="226"/>
      <c r="O34" s="200" t="s">
        <v>0</v>
      </c>
      <c r="P34" s="227"/>
      <c r="Q34" s="227"/>
      <c r="R34" s="200"/>
    </row>
    <row r="35" spans="1:18" ht="15.75">
      <c r="A35" s="639" t="s">
        <v>125</v>
      </c>
      <c r="B35" s="640"/>
      <c r="C35" s="640"/>
      <c r="D35" s="640"/>
      <c r="E35" s="640"/>
      <c r="F35" s="640"/>
      <c r="G35" s="640"/>
      <c r="H35" s="640"/>
      <c r="I35" s="640"/>
      <c r="J35" s="640"/>
      <c r="K35" s="640"/>
      <c r="L35" s="640"/>
      <c r="M35" s="640"/>
      <c r="N35" s="640"/>
      <c r="O35" s="200" t="s">
        <v>0</v>
      </c>
      <c r="P35" s="227"/>
      <c r="Q35" s="227"/>
      <c r="R35" s="200"/>
    </row>
    <row r="36" spans="1:18" ht="15.75">
      <c r="A36" s="641" t="str">
        <f>'B. Summary of Requirements_Cons'!A32:U32</f>
        <v>United States Marshals Service</v>
      </c>
      <c r="B36" s="640"/>
      <c r="C36" s="640"/>
      <c r="D36" s="640"/>
      <c r="E36" s="640"/>
      <c r="F36" s="640"/>
      <c r="G36" s="640"/>
      <c r="H36" s="640"/>
      <c r="I36" s="640"/>
      <c r="J36" s="640"/>
      <c r="K36" s="640"/>
      <c r="L36" s="640"/>
      <c r="M36" s="640"/>
      <c r="N36" s="640"/>
      <c r="O36" s="200" t="s">
        <v>0</v>
      </c>
      <c r="P36" s="227"/>
      <c r="Q36" s="227"/>
      <c r="R36" s="200"/>
    </row>
    <row r="37" spans="1:18" ht="15.75">
      <c r="A37" s="643" t="str">
        <f>'B. Summary of Requirements_Cons'!A33:U33</f>
        <v>Construction</v>
      </c>
      <c r="B37" s="644"/>
      <c r="C37" s="644"/>
      <c r="D37" s="644"/>
      <c r="E37" s="644"/>
      <c r="F37" s="644"/>
      <c r="G37" s="644"/>
      <c r="H37" s="644"/>
      <c r="I37" s="644"/>
      <c r="J37" s="644"/>
      <c r="K37" s="644"/>
      <c r="L37" s="644"/>
      <c r="M37" s="644"/>
      <c r="N37" s="644"/>
      <c r="O37" s="200" t="s">
        <v>0</v>
      </c>
      <c r="P37" s="227"/>
      <c r="Q37" s="227"/>
      <c r="R37" s="200"/>
    </row>
    <row r="38" spans="1:18" ht="15">
      <c r="A38" s="642" t="s">
        <v>101</v>
      </c>
      <c r="B38" s="640"/>
      <c r="C38" s="640"/>
      <c r="D38" s="640"/>
      <c r="E38" s="640"/>
      <c r="F38" s="640"/>
      <c r="G38" s="640"/>
      <c r="H38" s="640"/>
      <c r="I38" s="640"/>
      <c r="J38" s="640"/>
      <c r="K38" s="640"/>
      <c r="L38" s="640"/>
      <c r="M38" s="640"/>
      <c r="N38" s="640"/>
      <c r="O38" s="200" t="s">
        <v>0</v>
      </c>
      <c r="P38" s="227"/>
      <c r="Q38" s="227"/>
      <c r="R38" s="200"/>
    </row>
    <row r="39" spans="1:18" ht="13.5" thickBot="1">
      <c r="A39" s="228"/>
      <c r="B39" s="228"/>
      <c r="C39" s="224"/>
      <c r="D39" s="225"/>
      <c r="E39" s="228"/>
      <c r="F39" s="224"/>
      <c r="G39" s="225"/>
      <c r="H39" s="228"/>
      <c r="I39" s="224"/>
      <c r="J39" s="225"/>
      <c r="K39" s="226"/>
      <c r="L39" s="226"/>
      <c r="M39" s="226"/>
      <c r="N39" s="226"/>
      <c r="O39" s="200" t="s">
        <v>0</v>
      </c>
      <c r="P39" s="227"/>
      <c r="Q39" s="227"/>
      <c r="R39" s="200"/>
    </row>
    <row r="40" spans="1:18" ht="27" customHeight="1">
      <c r="A40" s="204"/>
      <c r="B40" s="205"/>
      <c r="C40" s="625" t="s">
        <v>156</v>
      </c>
      <c r="D40" s="626"/>
      <c r="E40" s="206"/>
      <c r="F40" s="625" t="s">
        <v>268</v>
      </c>
      <c r="G40" s="626"/>
      <c r="H40" s="206"/>
      <c r="I40" s="631" t="s">
        <v>257</v>
      </c>
      <c r="J40" s="626"/>
      <c r="K40" s="632">
        <v>2013</v>
      </c>
      <c r="L40" s="633"/>
      <c r="M40" s="631" t="s">
        <v>267</v>
      </c>
      <c r="N40" s="634"/>
      <c r="O40" s="200" t="s">
        <v>0</v>
      </c>
      <c r="P40" s="227"/>
      <c r="Q40" s="227"/>
      <c r="R40" s="200"/>
    </row>
    <row r="41" spans="1:18" ht="27" customHeight="1">
      <c r="A41" s="205"/>
      <c r="B41" s="205"/>
      <c r="C41" s="627"/>
      <c r="D41" s="628"/>
      <c r="E41" s="206"/>
      <c r="F41" s="629"/>
      <c r="G41" s="630"/>
      <c r="H41" s="206"/>
      <c r="I41" s="629"/>
      <c r="J41" s="630"/>
      <c r="K41" s="637" t="s">
        <v>269</v>
      </c>
      <c r="L41" s="638"/>
      <c r="M41" s="635"/>
      <c r="N41" s="636"/>
      <c r="O41" s="200" t="s">
        <v>0</v>
      </c>
      <c r="P41" s="227"/>
      <c r="Q41" s="227"/>
      <c r="R41" s="200"/>
    </row>
    <row r="42" spans="1:18">
      <c r="A42" s="621" t="s">
        <v>126</v>
      </c>
      <c r="B42" s="205"/>
      <c r="C42" s="208"/>
      <c r="D42" s="209"/>
      <c r="E42" s="210"/>
      <c r="F42" s="208"/>
      <c r="G42" s="209"/>
      <c r="H42" s="210"/>
      <c r="I42" s="208"/>
      <c r="J42" s="209"/>
      <c r="K42" s="211"/>
      <c r="L42" s="209"/>
      <c r="M42" s="208"/>
      <c r="N42" s="209"/>
      <c r="O42" s="200" t="s">
        <v>0</v>
      </c>
      <c r="P42" s="227"/>
      <c r="Q42" s="227"/>
      <c r="R42" s="200"/>
    </row>
    <row r="43" spans="1:18" ht="25.5">
      <c r="A43" s="622"/>
      <c r="B43" s="205"/>
      <c r="C43" s="212" t="s">
        <v>127</v>
      </c>
      <c r="D43" s="213" t="s">
        <v>128</v>
      </c>
      <c r="E43" s="210"/>
      <c r="F43" s="212" t="s">
        <v>127</v>
      </c>
      <c r="G43" s="213" t="s">
        <v>128</v>
      </c>
      <c r="H43" s="210"/>
      <c r="I43" s="212" t="s">
        <v>127</v>
      </c>
      <c r="J43" s="213" t="s">
        <v>128</v>
      </c>
      <c r="K43" s="212" t="s">
        <v>127</v>
      </c>
      <c r="L43" s="213" t="s">
        <v>128</v>
      </c>
      <c r="M43" s="212" t="s">
        <v>127</v>
      </c>
      <c r="N43" s="213" t="s">
        <v>128</v>
      </c>
      <c r="O43" s="200" t="s">
        <v>0</v>
      </c>
      <c r="P43" s="227"/>
      <c r="Q43" s="227"/>
      <c r="R43" s="200"/>
    </row>
    <row r="44" spans="1:18" ht="38.25">
      <c r="A44" s="286" t="s">
        <v>165</v>
      </c>
      <c r="B44" s="228"/>
      <c r="C44" s="478"/>
      <c r="D44" s="479"/>
      <c r="E44" s="228"/>
      <c r="F44" s="478"/>
      <c r="G44" s="479"/>
      <c r="H44" s="228"/>
      <c r="I44" s="478"/>
      <c r="J44" s="479"/>
      <c r="K44" s="480"/>
      <c r="L44" s="481"/>
      <c r="M44" s="480"/>
      <c r="N44" s="481"/>
      <c r="O44" s="200" t="s">
        <v>0</v>
      </c>
      <c r="P44" s="227"/>
      <c r="Q44" s="227"/>
      <c r="R44" s="200"/>
    </row>
    <row r="45" spans="1:18" ht="38.25">
      <c r="A45" s="287" t="s">
        <v>161</v>
      </c>
      <c r="B45" s="228"/>
      <c r="C45" s="482">
        <v>0</v>
      </c>
      <c r="D45" s="483">
        <v>16592</v>
      </c>
      <c r="E45" s="484"/>
      <c r="F45" s="482">
        <v>0</v>
      </c>
      <c r="G45" s="483">
        <v>15000</v>
      </c>
      <c r="H45" s="485"/>
      <c r="I45" s="482">
        <v>0</v>
      </c>
      <c r="J45" s="483">
        <v>15000</v>
      </c>
      <c r="K45" s="482">
        <v>0</v>
      </c>
      <c r="L45" s="483">
        <v>-5000</v>
      </c>
      <c r="M45" s="365">
        <f>+I45+K45</f>
        <v>0</v>
      </c>
      <c r="N45" s="366">
        <f>+J45+L45</f>
        <v>10000</v>
      </c>
      <c r="O45" s="200" t="s">
        <v>0</v>
      </c>
      <c r="P45" s="227"/>
      <c r="Q45" s="227"/>
      <c r="R45" s="200"/>
    </row>
    <row r="46" spans="1:18">
      <c r="A46" s="289" t="s">
        <v>132</v>
      </c>
      <c r="B46" s="477"/>
      <c r="C46" s="369">
        <f>SUM(C42:C45)</f>
        <v>0</v>
      </c>
      <c r="D46" s="370">
        <f>SUM(D42:D45)</f>
        <v>16592</v>
      </c>
      <c r="E46" s="371"/>
      <c r="F46" s="369">
        <f>SUM(F42:F45)</f>
        <v>0</v>
      </c>
      <c r="G46" s="370">
        <f>SUM(G42:G45)</f>
        <v>15000</v>
      </c>
      <c r="H46" s="372"/>
      <c r="I46" s="369">
        <f t="shared" ref="I46:N46" si="7">SUM(I42:I45)</f>
        <v>0</v>
      </c>
      <c r="J46" s="370">
        <f t="shared" si="7"/>
        <v>15000</v>
      </c>
      <c r="K46" s="369">
        <f t="shared" si="7"/>
        <v>0</v>
      </c>
      <c r="L46" s="370">
        <f t="shared" si="7"/>
        <v>-5000</v>
      </c>
      <c r="M46" s="369">
        <f t="shared" si="7"/>
        <v>0</v>
      </c>
      <c r="N46" s="370">
        <f t="shared" si="7"/>
        <v>10000</v>
      </c>
      <c r="O46" s="200" t="s">
        <v>0</v>
      </c>
      <c r="P46" s="227"/>
      <c r="Q46" s="227"/>
      <c r="R46" s="200"/>
    </row>
    <row r="47" spans="1:18" ht="13.5" thickBot="1">
      <c r="A47" s="205"/>
      <c r="B47" s="205"/>
      <c r="C47" s="375"/>
      <c r="D47" s="375"/>
      <c r="E47" s="375"/>
      <c r="F47" s="375"/>
      <c r="G47" s="375"/>
      <c r="H47" s="375"/>
      <c r="I47" s="375"/>
      <c r="J47" s="375"/>
      <c r="K47" s="376"/>
      <c r="L47" s="375"/>
      <c r="M47" s="375"/>
      <c r="N47" s="375"/>
      <c r="O47" s="200" t="s">
        <v>0</v>
      </c>
      <c r="P47" s="227"/>
      <c r="Q47" s="227"/>
      <c r="R47" s="200"/>
    </row>
    <row r="48" spans="1:18" ht="13.5" thickBot="1">
      <c r="A48" s="222" t="s">
        <v>133</v>
      </c>
      <c r="B48" s="223"/>
      <c r="C48" s="377">
        <f>C28+C39+C46</f>
        <v>0</v>
      </c>
      <c r="D48" s="500">
        <f>D28+D39+D46</f>
        <v>16592</v>
      </c>
      <c r="E48" s="378"/>
      <c r="F48" s="377">
        <f>F28+F39+F46</f>
        <v>0</v>
      </c>
      <c r="G48" s="500">
        <f>G28+G39+G46</f>
        <v>15000</v>
      </c>
      <c r="H48" s="378"/>
      <c r="I48" s="377">
        <f t="shared" ref="I48:N48" si="8">I28+I39+I46</f>
        <v>0</v>
      </c>
      <c r="J48" s="500">
        <f t="shared" si="8"/>
        <v>15000</v>
      </c>
      <c r="K48" s="377">
        <f t="shared" si="8"/>
        <v>0</v>
      </c>
      <c r="L48" s="500">
        <f t="shared" si="8"/>
        <v>-5000</v>
      </c>
      <c r="M48" s="377">
        <f t="shared" si="8"/>
        <v>0</v>
      </c>
      <c r="N48" s="500">
        <f t="shared" si="8"/>
        <v>10000</v>
      </c>
      <c r="O48" s="200" t="s">
        <v>15</v>
      </c>
      <c r="P48" s="227"/>
      <c r="Q48" s="227"/>
      <c r="R48" s="200"/>
    </row>
    <row r="49" spans="1:18">
      <c r="A49" s="228"/>
      <c r="B49" s="228"/>
      <c r="C49" s="224"/>
      <c r="D49" s="225"/>
      <c r="E49" s="228"/>
      <c r="F49" s="224"/>
      <c r="G49" s="225"/>
      <c r="H49" s="228"/>
      <c r="I49" s="224"/>
      <c r="J49" s="225"/>
      <c r="K49" s="226"/>
      <c r="L49" s="226"/>
      <c r="M49" s="226"/>
      <c r="N49" s="226"/>
      <c r="O49" s="226"/>
      <c r="P49" s="227"/>
      <c r="Q49" s="227"/>
      <c r="R49" s="200"/>
    </row>
    <row r="50" spans="1:18">
      <c r="A50" s="228"/>
      <c r="B50" s="228"/>
      <c r="C50" s="224"/>
      <c r="D50" s="225"/>
      <c r="E50" s="228"/>
      <c r="F50" s="224"/>
      <c r="G50" s="225"/>
      <c r="H50" s="228"/>
      <c r="I50" s="224"/>
      <c r="J50" s="225"/>
      <c r="K50" s="226"/>
      <c r="L50" s="226"/>
      <c r="M50" s="226"/>
      <c r="N50" s="226"/>
      <c r="O50" s="226"/>
      <c r="P50" s="227"/>
      <c r="Q50" s="227"/>
      <c r="R50" s="200"/>
    </row>
    <row r="51" spans="1:18">
      <c r="A51" s="228"/>
      <c r="B51" s="228"/>
      <c r="C51" s="224"/>
      <c r="D51" s="225"/>
      <c r="E51" s="228"/>
      <c r="F51" s="224"/>
      <c r="G51" s="225"/>
      <c r="H51" s="228"/>
      <c r="I51" s="224"/>
      <c r="J51" s="225"/>
      <c r="K51" s="226"/>
      <c r="L51" s="226"/>
      <c r="M51" s="226"/>
      <c r="N51" s="226"/>
      <c r="O51" s="226"/>
      <c r="P51" s="227"/>
      <c r="Q51" s="227"/>
      <c r="R51" s="200"/>
    </row>
  </sheetData>
  <customSheetViews>
    <customSheetView guid="{3118AF25-8423-420A-806A-487665220C68}" scale="75" showPageBreaks="1" printArea="1" hiddenRows="1" view="pageBreakPreview" topLeftCell="A8">
      <selection activeCell="P43" sqref="P43"/>
      <pageMargins left="0.75" right="0.75" top="1" bottom="0.79" header="0.5" footer="0.5"/>
      <printOptions horizontalCentered="1"/>
      <pageSetup scale="54" orientation="landscape" r:id="rId1"/>
      <headerFooter alignWithMargins="0">
        <oddFooter>&amp;C&amp;"Times New Roman,Regular"Exhibit D - Resources by DOJ Strategic Goals &amp; Strategic Objectives</oddFooter>
      </headerFooter>
    </customSheetView>
    <customSheetView guid="{56C0A34E-45B4-448B-85E5-70B3A8E63333}" scale="75" showPageBreaks="1" printArea="1" hiddenRows="1" view="pageBreakPreview" topLeftCell="A7">
      <selection activeCell="F11" sqref="F11"/>
      <pageMargins left="0.75" right="0.75" top="1" bottom="0.79" header="0.5" footer="0.5"/>
      <printOptions horizontalCentered="1"/>
      <pageSetup scale="54" orientation="landscape" r:id="rId2"/>
      <headerFooter alignWithMargins="0">
        <oddFooter>&amp;C&amp;"Times New Roman,Regular"Exhibit D - Resources by DOJ Strategic Goals &amp; Strategic Objectives</oddFooter>
      </headerFooter>
    </customSheetView>
    <customSheetView guid="{4148B88B-8ED7-4FDE-9459-DEB244AD0552}" scale="75" showPageBreaks="1" printArea="1" hiddenRows="1" view="pageBreakPreview">
      <selection activeCell="D45" sqref="D45"/>
      <pageMargins left="0.75" right="0.75" top="1" bottom="0.79" header="0.5" footer="0.5"/>
      <printOptions horizontalCentered="1"/>
      <pageSetup scale="54" orientation="landscape" r:id="rId3"/>
      <headerFooter alignWithMargins="0">
        <oddFooter>&amp;C&amp;"Times New Roman,Regular"Exhibit D - Resources by DOJ Strategic Goals &amp; Strategic Objectives</oddFooter>
      </headerFooter>
    </customSheetView>
    <customSheetView guid="{12C66D54-5067-4346-818B-6EAB1C8A9183}" scale="70" showPageBreaks="1" printArea="1" hiddenRows="1" view="pageBreakPreview">
      <selection activeCell="J23" sqref="J23"/>
      <pageMargins left="0.75" right="0.75" top="1" bottom="0.79" header="0.5" footer="0.5"/>
      <printOptions horizontalCentered="1"/>
      <pageSetup scale="54" orientation="landscape" r:id="rId4"/>
      <headerFooter alignWithMargins="0">
        <oddFooter>&amp;C&amp;"Times New Roman,Regular"Exhibit D - Resources by DOJ Strategic Goals &amp; Strategic Objectives</oddFooter>
      </headerFooter>
    </customSheetView>
  </customSheetViews>
  <mergeCells count="23">
    <mergeCell ref="A10:A11"/>
    <mergeCell ref="F8:G9"/>
    <mergeCell ref="M8:N9"/>
    <mergeCell ref="K8:L8"/>
    <mergeCell ref="I8:J9"/>
    <mergeCell ref="A1:N1"/>
    <mergeCell ref="A3:N3"/>
    <mergeCell ref="A4:N4"/>
    <mergeCell ref="A5:N5"/>
    <mergeCell ref="C8:D9"/>
    <mergeCell ref="K9:L9"/>
    <mergeCell ref="A42:A43"/>
    <mergeCell ref="A32:M32"/>
    <mergeCell ref="C40:D41"/>
    <mergeCell ref="F40:G41"/>
    <mergeCell ref="I40:J41"/>
    <mergeCell ref="K40:L40"/>
    <mergeCell ref="M40:N41"/>
    <mergeCell ref="K41:L41"/>
    <mergeCell ref="A35:N35"/>
    <mergeCell ref="A36:N36"/>
    <mergeCell ref="A38:N38"/>
    <mergeCell ref="A37:N37"/>
  </mergeCells>
  <printOptions horizontalCentered="1"/>
  <pageMargins left="0.5" right="0.5" top="1" bottom="0.75" header="0.5" footer="0.5"/>
  <pageSetup scale="52" orientation="landscape" r:id="rId5"/>
  <headerFooter alignWithMargins="0">
    <oddFooter>&amp;C&amp;"Times New Roman,Regular"Exhibit D - Resources by DOJ Strategic Goals &amp; Strategic Objectives</oddFooter>
  </headerFooter>
</worksheet>
</file>

<file path=xl/worksheets/sheet6.xml><?xml version="1.0" encoding="utf-8"?>
<worksheet xmlns="http://schemas.openxmlformats.org/spreadsheetml/2006/main" xmlns:r="http://schemas.openxmlformats.org/officeDocument/2006/relationships">
  <sheetPr codeName="Sheet10"/>
  <dimension ref="A1:W56"/>
  <sheetViews>
    <sheetView view="pageBreakPreview" zoomScaleNormal="75" zoomScaleSheetLayoutView="100" workbookViewId="0">
      <selection sqref="A1:I1"/>
    </sheetView>
  </sheetViews>
  <sheetFormatPr defaultRowHeight="15"/>
  <cols>
    <col min="1" max="1" width="33.44140625" customWidth="1"/>
    <col min="2" max="2" width="9.5546875" customWidth="1"/>
    <col min="3" max="3" width="13.109375" customWidth="1"/>
    <col min="4" max="4" width="10.33203125" customWidth="1"/>
    <col min="5" max="5" width="9.5546875" customWidth="1"/>
    <col min="6" max="6" width="16.77734375" customWidth="1"/>
    <col min="7" max="7" width="7.6640625" style="25" customWidth="1"/>
    <col min="8" max="8" width="7.77734375" style="25" customWidth="1"/>
    <col min="9" max="9" width="12.109375" style="25" customWidth="1"/>
  </cols>
  <sheetData>
    <row r="1" spans="1:23" ht="20.25">
      <c r="A1" s="650" t="s">
        <v>142</v>
      </c>
      <c r="B1" s="651"/>
      <c r="C1" s="651"/>
      <c r="D1" s="651"/>
      <c r="E1" s="651"/>
      <c r="F1" s="651"/>
      <c r="G1" s="651"/>
      <c r="H1" s="651"/>
      <c r="I1" s="651"/>
      <c r="J1" s="50" t="s">
        <v>0</v>
      </c>
    </row>
    <row r="2" spans="1:23" ht="15.75">
      <c r="A2" s="652" t="s">
        <v>118</v>
      </c>
      <c r="B2" s="652"/>
      <c r="C2" s="652"/>
      <c r="D2" s="652"/>
      <c r="E2" s="652"/>
      <c r="F2" s="652"/>
      <c r="G2" s="652"/>
      <c r="H2" s="652"/>
      <c r="I2" s="653"/>
      <c r="J2" s="50" t="s">
        <v>0</v>
      </c>
    </row>
    <row r="3" spans="1:23" ht="15" customHeight="1">
      <c r="A3" s="639" t="s">
        <v>91</v>
      </c>
      <c r="B3" s="640"/>
      <c r="C3" s="640"/>
      <c r="D3" s="640"/>
      <c r="E3" s="640"/>
      <c r="F3" s="640"/>
      <c r="G3" s="640"/>
      <c r="H3" s="640"/>
      <c r="I3" s="640"/>
      <c r="J3" s="50" t="s">
        <v>0</v>
      </c>
      <c r="K3" s="32"/>
      <c r="L3" s="32"/>
      <c r="M3" s="32"/>
      <c r="N3" s="32"/>
      <c r="O3" s="32"/>
      <c r="P3" s="32"/>
      <c r="Q3" s="32"/>
      <c r="R3" s="32"/>
      <c r="S3" s="32"/>
      <c r="T3" s="32"/>
      <c r="U3" s="32"/>
      <c r="V3" s="32"/>
      <c r="W3" s="32"/>
    </row>
    <row r="4" spans="1:23" ht="15.75">
      <c r="A4" s="641" t="str">
        <f>+'B. Summary of Requirements_SE '!A5</f>
        <v>United States Marshals Service</v>
      </c>
      <c r="B4" s="640"/>
      <c r="C4" s="640"/>
      <c r="D4" s="640"/>
      <c r="E4" s="640"/>
      <c r="F4" s="640"/>
      <c r="G4" s="640"/>
      <c r="H4" s="640"/>
      <c r="I4" s="640"/>
      <c r="J4" s="50" t="s">
        <v>0</v>
      </c>
      <c r="K4" s="34"/>
      <c r="L4" s="32"/>
      <c r="M4" s="32"/>
      <c r="N4" s="32"/>
      <c r="O4" s="32"/>
      <c r="P4" s="32"/>
      <c r="Q4" s="32"/>
      <c r="R4" s="32"/>
      <c r="S4" s="32"/>
      <c r="T4" s="32"/>
      <c r="U4" s="32"/>
      <c r="V4" s="32"/>
      <c r="W4" s="32"/>
    </row>
    <row r="5" spans="1:23">
      <c r="A5" s="654"/>
      <c r="B5" s="654"/>
      <c r="C5" s="654"/>
      <c r="D5" s="654"/>
      <c r="E5" s="654"/>
      <c r="F5" s="654"/>
      <c r="G5" s="654"/>
      <c r="H5" s="654"/>
      <c r="I5" s="654"/>
      <c r="J5" s="50" t="s">
        <v>0</v>
      </c>
      <c r="K5" s="33"/>
      <c r="L5" s="32"/>
      <c r="M5" s="32"/>
      <c r="N5" s="32"/>
      <c r="O5" s="32"/>
      <c r="P5" s="32"/>
      <c r="Q5" s="32"/>
      <c r="R5" s="32"/>
      <c r="S5" s="32"/>
      <c r="T5" s="32"/>
      <c r="U5" s="32"/>
      <c r="V5" s="32"/>
      <c r="W5" s="32"/>
    </row>
    <row r="6" spans="1:23">
      <c r="A6" s="654"/>
      <c r="B6" s="654"/>
      <c r="C6" s="654"/>
      <c r="D6" s="654"/>
      <c r="E6" s="654"/>
      <c r="F6" s="654"/>
      <c r="G6" s="654"/>
      <c r="H6" s="654"/>
      <c r="I6" s="654"/>
      <c r="J6" s="50" t="s">
        <v>0</v>
      </c>
      <c r="K6" s="33"/>
      <c r="L6" s="32"/>
      <c r="M6" s="32"/>
      <c r="N6" s="32"/>
      <c r="O6" s="32"/>
      <c r="P6" s="32"/>
      <c r="Q6" s="32"/>
      <c r="R6" s="32"/>
      <c r="S6" s="32"/>
      <c r="T6" s="32"/>
      <c r="U6" s="32"/>
      <c r="V6" s="32"/>
      <c r="W6" s="32"/>
    </row>
    <row r="7" spans="1:23">
      <c r="A7" s="168"/>
      <c r="B7" s="32"/>
      <c r="C7" s="32"/>
      <c r="D7" s="32"/>
      <c r="E7" s="32"/>
      <c r="F7" s="32"/>
      <c r="G7" s="164" t="s">
        <v>95</v>
      </c>
      <c r="H7" s="164" t="s">
        <v>29</v>
      </c>
      <c r="I7" s="164" t="s">
        <v>119</v>
      </c>
      <c r="J7" s="50" t="s">
        <v>0</v>
      </c>
      <c r="K7" s="33"/>
      <c r="L7" s="32"/>
      <c r="M7" s="32"/>
      <c r="N7" s="32"/>
      <c r="O7" s="32"/>
      <c r="P7" s="32"/>
      <c r="Q7" s="32"/>
      <c r="R7" s="32"/>
      <c r="S7" s="32"/>
      <c r="T7" s="32"/>
      <c r="U7" s="32"/>
      <c r="V7" s="32"/>
      <c r="W7" s="32"/>
    </row>
    <row r="8" spans="1:23" s="486" customFormat="1">
      <c r="A8" s="655" t="s">
        <v>67</v>
      </c>
      <c r="B8" s="640"/>
      <c r="C8" s="640"/>
      <c r="D8" s="640" t="s">
        <v>67</v>
      </c>
      <c r="E8" s="640"/>
      <c r="F8" s="640"/>
      <c r="G8" s="640"/>
      <c r="H8" s="640"/>
      <c r="I8" s="640"/>
      <c r="J8" s="50" t="s">
        <v>0</v>
      </c>
      <c r="K8" s="33"/>
      <c r="L8" s="487"/>
      <c r="M8" s="487"/>
      <c r="N8" s="487"/>
      <c r="O8" s="487"/>
      <c r="P8" s="487"/>
      <c r="Q8" s="487"/>
      <c r="R8" s="487"/>
      <c r="S8" s="487"/>
      <c r="T8" s="487"/>
      <c r="U8" s="487"/>
      <c r="V8" s="487"/>
      <c r="W8" s="487"/>
    </row>
    <row r="9" spans="1:23" s="486" customFormat="1">
      <c r="A9" s="33"/>
      <c r="B9" s="33"/>
      <c r="C9" s="33"/>
      <c r="D9" s="33"/>
      <c r="E9" s="33"/>
      <c r="F9" s="33"/>
      <c r="G9" s="164"/>
      <c r="H9" s="164"/>
      <c r="I9" s="164"/>
      <c r="J9" s="50" t="s">
        <v>0</v>
      </c>
      <c r="K9" s="33"/>
      <c r="L9" s="487"/>
      <c r="M9" s="487"/>
      <c r="N9" s="487"/>
      <c r="O9" s="487"/>
      <c r="P9" s="487"/>
      <c r="Q9" s="487"/>
      <c r="R9" s="487"/>
      <c r="S9" s="487"/>
      <c r="T9" s="487"/>
      <c r="U9" s="487"/>
      <c r="V9" s="487"/>
      <c r="W9" s="487"/>
    </row>
    <row r="10" spans="1:23" s="486" customFormat="1">
      <c r="A10" s="656" t="s">
        <v>172</v>
      </c>
      <c r="B10" s="656"/>
      <c r="C10" s="656"/>
      <c r="D10" s="656"/>
      <c r="E10" s="656"/>
      <c r="F10" s="656"/>
      <c r="G10" s="471">
        <v>0</v>
      </c>
      <c r="H10" s="471">
        <v>0</v>
      </c>
      <c r="I10" s="490">
        <v>2200</v>
      </c>
      <c r="J10" s="50" t="s">
        <v>0</v>
      </c>
      <c r="K10" s="33"/>
      <c r="L10" s="487"/>
      <c r="M10" s="487"/>
      <c r="N10" s="487"/>
      <c r="O10" s="487"/>
      <c r="P10" s="487"/>
      <c r="Q10" s="487"/>
      <c r="R10" s="487"/>
      <c r="S10" s="487"/>
      <c r="T10" s="487"/>
      <c r="U10" s="487"/>
      <c r="V10" s="487"/>
      <c r="W10" s="487"/>
    </row>
    <row r="11" spans="1:23">
      <c r="A11" s="655" t="s">
        <v>33</v>
      </c>
      <c r="B11" s="640"/>
      <c r="C11" s="640"/>
      <c r="D11" s="640"/>
      <c r="E11" s="640"/>
      <c r="F11" s="640"/>
      <c r="G11" s="640"/>
      <c r="H11" s="640"/>
      <c r="I11" s="640"/>
      <c r="J11" s="50" t="s">
        <v>0</v>
      </c>
      <c r="K11" s="33"/>
      <c r="L11" s="33"/>
      <c r="M11" s="33"/>
    </row>
    <row r="12" spans="1:23">
      <c r="A12" s="33"/>
      <c r="B12" s="33"/>
      <c r="C12" s="33"/>
      <c r="D12" s="33"/>
      <c r="E12" s="33"/>
      <c r="F12" s="33"/>
      <c r="G12" s="164"/>
      <c r="H12" s="164"/>
      <c r="I12" s="164"/>
      <c r="J12" s="50" t="s">
        <v>0</v>
      </c>
      <c r="K12" s="33"/>
    </row>
    <row r="13" spans="1:23" s="99" customFormat="1" ht="33.75" customHeight="1">
      <c r="A13" s="656" t="s">
        <v>229</v>
      </c>
      <c r="B13" s="656"/>
      <c r="C13" s="656"/>
      <c r="D13" s="656"/>
      <c r="E13" s="656"/>
      <c r="F13" s="656"/>
      <c r="G13" s="166">
        <v>0</v>
      </c>
      <c r="H13" s="166">
        <v>0</v>
      </c>
      <c r="I13" s="468">
        <v>2755</v>
      </c>
      <c r="J13" s="50" t="s">
        <v>0</v>
      </c>
      <c r="K13" s="33"/>
    </row>
    <row r="14" spans="1:23" s="99" customFormat="1">
      <c r="A14" s="470"/>
      <c r="B14" s="470"/>
      <c r="C14" s="470"/>
      <c r="D14" s="470"/>
      <c r="E14" s="470"/>
      <c r="F14" s="470"/>
      <c r="G14" s="166"/>
      <c r="H14" s="166"/>
      <c r="I14" s="468"/>
      <c r="J14" s="50" t="s">
        <v>0</v>
      </c>
      <c r="K14" s="33"/>
    </row>
    <row r="15" spans="1:23" s="99" customFormat="1" ht="33" customHeight="1">
      <c r="A15" s="657" t="s">
        <v>230</v>
      </c>
      <c r="B15" s="657"/>
      <c r="C15" s="657"/>
      <c r="D15" s="657"/>
      <c r="E15" s="657"/>
      <c r="F15" s="657"/>
      <c r="G15" s="166">
        <v>0</v>
      </c>
      <c r="H15" s="166">
        <v>0</v>
      </c>
      <c r="I15" s="468">
        <v>2774</v>
      </c>
      <c r="J15" s="50" t="s">
        <v>0</v>
      </c>
      <c r="K15" s="33"/>
    </row>
    <row r="16" spans="1:23" s="99" customFormat="1">
      <c r="A16" s="470"/>
      <c r="B16" s="470"/>
      <c r="C16" s="470"/>
      <c r="D16" s="470"/>
      <c r="E16" s="470"/>
      <c r="F16" s="470"/>
      <c r="G16" s="166"/>
      <c r="H16" s="166"/>
      <c r="I16" s="468"/>
      <c r="J16" s="50" t="s">
        <v>0</v>
      </c>
      <c r="K16" s="33"/>
    </row>
    <row r="17" spans="1:11" s="99" customFormat="1" ht="46.5" customHeight="1">
      <c r="A17" s="658" t="s">
        <v>233</v>
      </c>
      <c r="B17" s="658"/>
      <c r="C17" s="658"/>
      <c r="D17" s="658"/>
      <c r="E17" s="658"/>
      <c r="F17" s="658"/>
      <c r="G17" s="166">
        <v>0</v>
      </c>
      <c r="H17" s="166">
        <v>0</v>
      </c>
      <c r="I17" s="468">
        <v>3700</v>
      </c>
      <c r="J17" s="50" t="s">
        <v>0</v>
      </c>
      <c r="K17" s="33"/>
    </row>
    <row r="18" spans="1:11" s="99" customFormat="1">
      <c r="A18" s="470"/>
      <c r="B18" s="470"/>
      <c r="C18" s="470"/>
      <c r="D18" s="470"/>
      <c r="E18" s="470"/>
      <c r="F18" s="470"/>
      <c r="G18" s="166"/>
      <c r="H18" s="166"/>
      <c r="I18" s="468"/>
      <c r="J18" s="50" t="s">
        <v>0</v>
      </c>
      <c r="K18" s="33"/>
    </row>
    <row r="19" spans="1:11" s="99" customFormat="1" ht="46.5" customHeight="1">
      <c r="A19" s="659" t="s">
        <v>231</v>
      </c>
      <c r="B19" s="659"/>
      <c r="C19" s="659"/>
      <c r="D19" s="659"/>
      <c r="E19" s="659"/>
      <c r="F19" s="659"/>
      <c r="G19" s="166">
        <v>0</v>
      </c>
      <c r="H19" s="166">
        <v>0</v>
      </c>
      <c r="I19" s="468">
        <v>-100</v>
      </c>
      <c r="J19" s="50" t="s">
        <v>0</v>
      </c>
      <c r="K19" s="33"/>
    </row>
    <row r="20" spans="1:11" s="99" customFormat="1">
      <c r="A20" s="33"/>
      <c r="B20" s="33"/>
      <c r="C20" s="33"/>
      <c r="D20" s="33"/>
      <c r="E20" s="33"/>
      <c r="F20" s="33"/>
      <c r="G20" s="166"/>
      <c r="H20" s="166"/>
      <c r="I20" s="468"/>
      <c r="J20" s="50" t="s">
        <v>0</v>
      </c>
      <c r="K20" s="33"/>
    </row>
    <row r="21" spans="1:11" s="99" customFormat="1" ht="46.5" customHeight="1">
      <c r="A21" s="659" t="s">
        <v>232</v>
      </c>
      <c r="B21" s="659"/>
      <c r="C21" s="659"/>
      <c r="D21" s="659"/>
      <c r="E21" s="659"/>
      <c r="F21" s="659"/>
      <c r="G21" s="166">
        <v>0</v>
      </c>
      <c r="H21" s="166">
        <v>0</v>
      </c>
      <c r="I21" s="468">
        <v>-8</v>
      </c>
      <c r="J21" s="50" t="s">
        <v>0</v>
      </c>
      <c r="K21" s="33"/>
    </row>
    <row r="22" spans="1:11" s="99" customFormat="1" ht="15.75" customHeight="1">
      <c r="A22" s="162"/>
      <c r="B22" s="162"/>
      <c r="C22" s="162"/>
      <c r="D22" s="162"/>
      <c r="E22" s="162"/>
      <c r="F22" s="165" t="s">
        <v>228</v>
      </c>
      <c r="G22" s="471">
        <f>SUM(G13:G21)</f>
        <v>0</v>
      </c>
      <c r="H22" s="471">
        <f>SUM(H13:H21)</f>
        <v>0</v>
      </c>
      <c r="I22" s="472">
        <f>SUM(I13:I21)</f>
        <v>9121</v>
      </c>
      <c r="J22" s="50" t="s">
        <v>0</v>
      </c>
      <c r="K22" s="33"/>
    </row>
    <row r="23" spans="1:11" s="99" customFormat="1" ht="15" customHeight="1">
      <c r="A23" s="100"/>
      <c r="B23" s="100"/>
      <c r="C23" s="100"/>
      <c r="D23" s="100"/>
      <c r="E23" s="100"/>
      <c r="F23" s="100"/>
      <c r="G23" s="164" t="s">
        <v>95</v>
      </c>
      <c r="H23" s="164" t="s">
        <v>29</v>
      </c>
      <c r="I23" s="164" t="s">
        <v>119</v>
      </c>
      <c r="J23" s="50" t="s">
        <v>0</v>
      </c>
      <c r="K23" s="33"/>
    </row>
    <row r="24" spans="1:11" s="99" customFormat="1">
      <c r="A24" s="648" t="s">
        <v>120</v>
      </c>
      <c r="B24" s="649"/>
      <c r="C24" s="649"/>
      <c r="D24" s="649"/>
      <c r="E24" s="649"/>
      <c r="F24" s="649"/>
      <c r="G24" s="649"/>
      <c r="H24" s="649"/>
      <c r="I24" s="649"/>
      <c r="J24" s="50" t="s">
        <v>0</v>
      </c>
      <c r="K24" s="33"/>
    </row>
    <row r="25" spans="1:11" s="99" customFormat="1">
      <c r="A25" s="291"/>
      <c r="B25" s="292"/>
      <c r="C25" s="292"/>
      <c r="D25" s="292"/>
      <c r="E25" s="292"/>
      <c r="F25" s="292"/>
      <c r="G25" s="292"/>
      <c r="H25" s="292"/>
      <c r="I25" s="292"/>
      <c r="J25" s="50" t="s">
        <v>0</v>
      </c>
      <c r="K25" s="33"/>
    </row>
    <row r="26" spans="1:11" s="99" customFormat="1" ht="26.25" customHeight="1">
      <c r="A26" s="660" t="s">
        <v>227</v>
      </c>
      <c r="B26" s="660"/>
      <c r="C26" s="660"/>
      <c r="D26" s="660"/>
      <c r="E26" s="660"/>
      <c r="F26" s="660"/>
      <c r="G26" s="293">
        <v>0</v>
      </c>
      <c r="H26" s="293">
        <v>0</v>
      </c>
      <c r="I26" s="468">
        <v>2134</v>
      </c>
      <c r="J26" s="50" t="s">
        <v>0</v>
      </c>
      <c r="K26" s="33"/>
    </row>
    <row r="27" spans="1:11" s="99" customFormat="1" ht="15" customHeight="1">
      <c r="A27" s="266"/>
      <c r="B27" s="266"/>
      <c r="C27" s="266"/>
      <c r="D27" s="266"/>
      <c r="E27" s="266"/>
      <c r="F27" s="266"/>
      <c r="G27" s="266"/>
      <c r="H27" s="266"/>
      <c r="I27" s="266"/>
      <c r="J27" s="50" t="s">
        <v>0</v>
      </c>
      <c r="K27" s="33"/>
    </row>
    <row r="28" spans="1:11" s="99" customFormat="1" ht="33" customHeight="1">
      <c r="A28" s="668" t="s">
        <v>237</v>
      </c>
      <c r="B28" s="666"/>
      <c r="C28" s="666"/>
      <c r="D28" s="666"/>
      <c r="E28" s="666"/>
      <c r="F28" s="666"/>
      <c r="G28" s="420">
        <v>0</v>
      </c>
      <c r="H28" s="420">
        <v>0</v>
      </c>
      <c r="I28" s="468">
        <v>2354</v>
      </c>
      <c r="J28" s="50" t="s">
        <v>0</v>
      </c>
      <c r="K28" s="33"/>
    </row>
    <row r="29" spans="1:11" s="99" customFormat="1" ht="15" customHeight="1">
      <c r="A29" s="161"/>
      <c r="B29" s="161"/>
      <c r="C29" s="161"/>
      <c r="D29" s="161"/>
      <c r="E29" s="161"/>
      <c r="F29" s="161"/>
      <c r="G29" s="420"/>
      <c r="H29" s="420"/>
      <c r="I29" s="468"/>
      <c r="J29" s="50" t="s">
        <v>0</v>
      </c>
      <c r="K29" s="33"/>
    </row>
    <row r="30" spans="1:11" s="99" customFormat="1" ht="34.5" customHeight="1">
      <c r="A30" s="669" t="s">
        <v>235</v>
      </c>
      <c r="B30" s="662"/>
      <c r="C30" s="662"/>
      <c r="D30" s="662"/>
      <c r="E30" s="662"/>
      <c r="F30" s="662"/>
      <c r="G30" s="420">
        <v>0</v>
      </c>
      <c r="H30" s="420">
        <v>0</v>
      </c>
      <c r="I30" s="468">
        <v>682</v>
      </c>
      <c r="J30" s="50" t="s">
        <v>0</v>
      </c>
      <c r="K30" s="33"/>
    </row>
    <row r="31" spans="1:11" s="99" customFormat="1" ht="11.25" customHeight="1">
      <c r="A31" s="161"/>
      <c r="B31" s="161"/>
      <c r="C31" s="161"/>
      <c r="D31" s="161"/>
      <c r="E31" s="161"/>
      <c r="F31" s="161"/>
      <c r="G31" s="420"/>
      <c r="H31" s="420"/>
      <c r="I31" s="468"/>
      <c r="J31" s="50" t="s">
        <v>0</v>
      </c>
      <c r="K31" s="33"/>
    </row>
    <row r="32" spans="1:11" s="99" customFormat="1" ht="69" customHeight="1">
      <c r="A32" s="663" t="s">
        <v>241</v>
      </c>
      <c r="B32" s="664"/>
      <c r="C32" s="664"/>
      <c r="D32" s="664"/>
      <c r="E32" s="664"/>
      <c r="F32" s="664"/>
      <c r="G32" s="420">
        <v>0</v>
      </c>
      <c r="H32" s="420">
        <v>0</v>
      </c>
      <c r="I32" s="468">
        <v>1963</v>
      </c>
      <c r="J32" s="50" t="s">
        <v>0</v>
      </c>
      <c r="K32" s="33"/>
    </row>
    <row r="33" spans="1:11" s="99" customFormat="1" ht="11.25" customHeight="1">
      <c r="A33" s="161"/>
      <c r="B33" s="161"/>
      <c r="C33" s="161"/>
      <c r="D33" s="161"/>
      <c r="E33" s="161"/>
      <c r="F33" s="161"/>
      <c r="G33" s="420"/>
      <c r="H33" s="420"/>
      <c r="I33" s="468"/>
      <c r="J33" s="50" t="s">
        <v>0</v>
      </c>
      <c r="K33" s="33"/>
    </row>
    <row r="34" spans="1:11" s="99" customFormat="1" ht="33.75" customHeight="1">
      <c r="A34" s="667" t="s">
        <v>236</v>
      </c>
      <c r="B34" s="662"/>
      <c r="C34" s="662"/>
      <c r="D34" s="662"/>
      <c r="E34" s="662"/>
      <c r="F34" s="662"/>
      <c r="G34" s="420">
        <v>0</v>
      </c>
      <c r="H34" s="420">
        <v>0</v>
      </c>
      <c r="I34" s="468">
        <v>2590</v>
      </c>
      <c r="J34" s="50" t="s">
        <v>0</v>
      </c>
      <c r="K34" s="33"/>
    </row>
    <row r="35" spans="1:11" s="99" customFormat="1" ht="15" customHeight="1">
      <c r="A35" s="98"/>
      <c r="B35" s="98"/>
      <c r="C35" s="98"/>
      <c r="D35" s="98"/>
      <c r="E35" s="98"/>
      <c r="F35" s="98"/>
      <c r="G35" s="420"/>
      <c r="H35" s="420"/>
      <c r="I35" s="468"/>
      <c r="J35" s="50" t="s">
        <v>0</v>
      </c>
      <c r="K35" s="33"/>
    </row>
    <row r="36" spans="1:11" s="99" customFormat="1" ht="42.75" customHeight="1">
      <c r="A36" s="665" t="s">
        <v>234</v>
      </c>
      <c r="B36" s="666"/>
      <c r="C36" s="666"/>
      <c r="D36" s="666"/>
      <c r="E36" s="666"/>
      <c r="F36" s="666"/>
      <c r="G36" s="420">
        <v>0</v>
      </c>
      <c r="H36" s="420">
        <v>0</v>
      </c>
      <c r="I36" s="468">
        <v>1481</v>
      </c>
      <c r="J36" s="50" t="s">
        <v>0</v>
      </c>
      <c r="K36" s="33"/>
    </row>
    <row r="37" spans="1:11" s="99" customFormat="1" ht="15" customHeight="1">
      <c r="A37" s="162"/>
      <c r="B37" s="162"/>
      <c r="C37" s="162"/>
      <c r="D37" s="162"/>
      <c r="E37" s="162"/>
      <c r="F37" s="162"/>
      <c r="G37" s="420"/>
      <c r="H37" s="420"/>
      <c r="I37" s="468"/>
      <c r="J37" s="50" t="s">
        <v>0</v>
      </c>
      <c r="K37" s="33"/>
    </row>
    <row r="38" spans="1:11" s="99" customFormat="1" ht="57" customHeight="1">
      <c r="A38" s="661" t="s">
        <v>238</v>
      </c>
      <c r="B38" s="662"/>
      <c r="C38" s="662"/>
      <c r="D38" s="662"/>
      <c r="E38" s="662"/>
      <c r="F38" s="662"/>
      <c r="G38" s="420">
        <v>0</v>
      </c>
      <c r="H38" s="420">
        <v>0</v>
      </c>
      <c r="I38" s="468">
        <v>10396</v>
      </c>
      <c r="J38" s="50" t="s">
        <v>0</v>
      </c>
      <c r="K38" s="33"/>
    </row>
    <row r="39" spans="1:11" s="99" customFormat="1" ht="15" customHeight="1">
      <c r="A39" s="162"/>
      <c r="B39" s="162"/>
      <c r="C39" s="162"/>
      <c r="D39" s="162"/>
      <c r="E39" s="162"/>
      <c r="F39" s="162"/>
      <c r="G39" s="420"/>
      <c r="H39" s="420"/>
      <c r="I39" s="468"/>
      <c r="J39" s="50" t="s">
        <v>0</v>
      </c>
      <c r="K39" s="33"/>
    </row>
    <row r="40" spans="1:11" s="99" customFormat="1" ht="35.25" customHeight="1">
      <c r="A40" s="670" t="s">
        <v>245</v>
      </c>
      <c r="B40" s="662"/>
      <c r="C40" s="662"/>
      <c r="D40" s="662"/>
      <c r="E40" s="662"/>
      <c r="F40" s="662"/>
      <c r="G40" s="420">
        <v>0</v>
      </c>
      <c r="H40" s="420">
        <v>0</v>
      </c>
      <c r="I40" s="468">
        <v>5827</v>
      </c>
      <c r="J40" s="50" t="s">
        <v>0</v>
      </c>
      <c r="K40" s="33"/>
    </row>
    <row r="41" spans="1:11" s="99" customFormat="1" ht="15" customHeight="1">
      <c r="A41" s="473"/>
      <c r="B41" s="474"/>
      <c r="C41" s="474"/>
      <c r="D41" s="474"/>
      <c r="E41" s="474"/>
      <c r="F41" s="474"/>
      <c r="G41" s="469"/>
      <c r="H41" s="469"/>
      <c r="I41" s="467"/>
      <c r="J41" s="50" t="s">
        <v>0</v>
      </c>
      <c r="K41" s="33"/>
    </row>
    <row r="42" spans="1:11" s="99" customFormat="1" ht="41.25" customHeight="1">
      <c r="A42" s="661" t="s">
        <v>240</v>
      </c>
      <c r="B42" s="662"/>
      <c r="C42" s="662"/>
      <c r="D42" s="662"/>
      <c r="E42" s="662"/>
      <c r="F42" s="662"/>
      <c r="G42" s="420">
        <v>0</v>
      </c>
      <c r="H42" s="420">
        <v>0</v>
      </c>
      <c r="I42" s="468">
        <v>1200</v>
      </c>
      <c r="J42" s="50" t="s">
        <v>0</v>
      </c>
      <c r="K42" s="33"/>
    </row>
    <row r="43" spans="1:11" s="99" customFormat="1" ht="15" customHeight="1">
      <c r="A43" s="162"/>
      <c r="B43" s="162"/>
      <c r="C43" s="162"/>
      <c r="D43" s="162"/>
      <c r="E43" s="162"/>
      <c r="F43" s="162"/>
      <c r="G43" s="164" t="s">
        <v>95</v>
      </c>
      <c r="H43" s="164" t="s">
        <v>29</v>
      </c>
      <c r="I43" s="164" t="s">
        <v>119</v>
      </c>
      <c r="J43" s="50" t="s">
        <v>0</v>
      </c>
      <c r="K43" s="33"/>
    </row>
    <row r="44" spans="1:11" s="99" customFormat="1" ht="15" customHeight="1">
      <c r="A44" s="162"/>
      <c r="B44" s="162"/>
      <c r="C44" s="162"/>
      <c r="D44" s="162"/>
      <c r="E44" s="162"/>
      <c r="F44" s="162"/>
      <c r="G44" s="164"/>
      <c r="H44" s="164"/>
      <c r="I44" s="164"/>
      <c r="J44" s="50" t="s">
        <v>0</v>
      </c>
      <c r="K44" s="33"/>
    </row>
    <row r="45" spans="1:11" s="99" customFormat="1" ht="42" customHeight="1">
      <c r="A45" s="667" t="s">
        <v>239</v>
      </c>
      <c r="B45" s="662"/>
      <c r="C45" s="662"/>
      <c r="D45" s="662"/>
      <c r="E45" s="662"/>
      <c r="F45" s="662"/>
      <c r="G45" s="420">
        <v>0</v>
      </c>
      <c r="H45" s="420">
        <v>0</v>
      </c>
      <c r="I45" s="468">
        <v>24</v>
      </c>
      <c r="J45" s="50" t="s">
        <v>0</v>
      </c>
      <c r="K45" s="33"/>
    </row>
    <row r="46" spans="1:11" s="99" customFormat="1" ht="15" customHeight="1">
      <c r="A46" s="473"/>
      <c r="B46" s="474"/>
      <c r="C46" s="474"/>
      <c r="D46" s="474"/>
      <c r="E46" s="474"/>
      <c r="F46" s="474"/>
      <c r="G46" s="469"/>
      <c r="H46" s="469"/>
      <c r="I46" s="467"/>
      <c r="J46" s="50" t="s">
        <v>0</v>
      </c>
      <c r="K46" s="33"/>
    </row>
    <row r="47" spans="1:11" s="99" customFormat="1" ht="34.5" customHeight="1">
      <c r="A47" s="661" t="s">
        <v>20</v>
      </c>
      <c r="B47" s="662"/>
      <c r="C47" s="662"/>
      <c r="D47" s="662"/>
      <c r="E47" s="662"/>
      <c r="F47" s="662"/>
      <c r="G47" s="420">
        <v>0</v>
      </c>
      <c r="H47" s="420">
        <v>0</v>
      </c>
      <c r="I47" s="468">
        <v>104</v>
      </c>
      <c r="J47" s="50" t="s">
        <v>0</v>
      </c>
      <c r="K47" s="33"/>
    </row>
    <row r="48" spans="1:11" s="99" customFormat="1" ht="15.75" customHeight="1">
      <c r="A48" s="162"/>
      <c r="B48" s="162"/>
      <c r="C48" s="162"/>
      <c r="D48" s="162"/>
      <c r="E48" s="162"/>
      <c r="F48" s="165" t="s">
        <v>96</v>
      </c>
      <c r="G48" s="471">
        <f>SUM(G27:G47)</f>
        <v>0</v>
      </c>
      <c r="H48" s="471">
        <f>SUM(H27:H47)</f>
        <v>0</v>
      </c>
      <c r="I48" s="472">
        <f>SUM(I26:I47)</f>
        <v>28755</v>
      </c>
      <c r="J48" s="50" t="s">
        <v>0</v>
      </c>
      <c r="K48" s="33"/>
    </row>
    <row r="49" spans="1:11" s="99" customFormat="1">
      <c r="A49" s="648" t="s">
        <v>98</v>
      </c>
      <c r="B49" s="648"/>
      <c r="C49" s="648"/>
      <c r="D49" s="648"/>
      <c r="E49" s="648"/>
      <c r="F49" s="648"/>
      <c r="G49" s="648"/>
      <c r="H49" s="648"/>
      <c r="I49" s="648"/>
      <c r="J49" s="50" t="s">
        <v>0</v>
      </c>
      <c r="K49" s="33"/>
    </row>
    <row r="50" spans="1:11" s="99" customFormat="1">
      <c r="A50" s="419"/>
      <c r="B50" s="419"/>
      <c r="C50" s="419"/>
      <c r="D50" s="419"/>
      <c r="E50" s="419"/>
      <c r="F50" s="419"/>
      <c r="G50" s="419"/>
      <c r="H50" s="419"/>
      <c r="I50" s="419"/>
      <c r="J50" s="50" t="s">
        <v>0</v>
      </c>
      <c r="K50" s="33"/>
    </row>
    <row r="51" spans="1:11" s="99" customFormat="1" ht="60" customHeight="1">
      <c r="A51" s="661" t="s">
        <v>244</v>
      </c>
      <c r="B51" s="662"/>
      <c r="C51" s="662"/>
      <c r="D51" s="662"/>
      <c r="E51" s="662"/>
      <c r="F51" s="662"/>
      <c r="G51" s="420">
        <v>0</v>
      </c>
      <c r="H51" s="420">
        <v>0</v>
      </c>
      <c r="I51" s="468">
        <v>-68</v>
      </c>
      <c r="J51" s="50" t="s">
        <v>0</v>
      </c>
      <c r="K51" s="33"/>
    </row>
    <row r="52" spans="1:11" s="99" customFormat="1" ht="14.25" customHeight="1">
      <c r="A52" s="98"/>
      <c r="B52" s="160"/>
      <c r="C52" s="160"/>
      <c r="D52" s="160"/>
      <c r="E52" s="160"/>
      <c r="F52" s="165" t="s">
        <v>97</v>
      </c>
      <c r="G52" s="165">
        <f>+G51</f>
        <v>0</v>
      </c>
      <c r="H52" s="165">
        <f>+H51</f>
        <v>0</v>
      </c>
      <c r="I52" s="475">
        <f>+I51</f>
        <v>-68</v>
      </c>
      <c r="J52" s="50" t="s">
        <v>0</v>
      </c>
      <c r="K52" s="100"/>
    </row>
    <row r="53" spans="1:11" s="99" customFormat="1" ht="14.25" customHeight="1">
      <c r="B53" s="160"/>
      <c r="C53" s="160"/>
      <c r="D53" s="160"/>
      <c r="E53" s="160"/>
      <c r="F53" s="165"/>
      <c r="G53" s="101"/>
      <c r="H53" s="101"/>
      <c r="I53" s="101"/>
      <c r="J53" s="50" t="s">
        <v>0</v>
      </c>
      <c r="K53" s="100"/>
    </row>
    <row r="54" spans="1:11" s="99" customFormat="1" ht="14.25" customHeight="1">
      <c r="B54" s="160"/>
      <c r="C54" s="160"/>
      <c r="D54" s="160"/>
      <c r="E54" s="160"/>
      <c r="G54" s="101"/>
      <c r="H54" s="101"/>
      <c r="I54" s="101"/>
      <c r="J54" s="50" t="s">
        <v>0</v>
      </c>
      <c r="K54" s="100"/>
    </row>
    <row r="55" spans="1:11" s="99" customFormat="1" ht="30.75" customHeight="1">
      <c r="B55" s="160"/>
      <c r="C55" s="160"/>
      <c r="D55" s="160"/>
      <c r="E55" s="160"/>
      <c r="F55" s="165" t="s">
        <v>251</v>
      </c>
      <c r="G55" s="165">
        <f>G10+G22+G52+G48</f>
        <v>0</v>
      </c>
      <c r="H55" s="165">
        <f>H10+H22+H52+H48</f>
        <v>0</v>
      </c>
      <c r="I55" s="476">
        <f>I10+I22+I52+I48</f>
        <v>40008</v>
      </c>
      <c r="J55" s="50" t="s">
        <v>15</v>
      </c>
      <c r="K55" s="100"/>
    </row>
    <row r="56" spans="1:11" s="99" customFormat="1" ht="18.75" customHeight="1">
      <c r="A56" s="240"/>
      <c r="B56" s="163"/>
      <c r="C56" s="163"/>
      <c r="D56" s="163"/>
      <c r="E56" s="163"/>
      <c r="F56" s="163"/>
      <c r="G56" s="167"/>
      <c r="H56" s="167"/>
      <c r="I56" s="167"/>
      <c r="K56" s="100"/>
    </row>
  </sheetData>
  <customSheetViews>
    <customSheetView guid="{3118AF25-8423-420A-806A-487665220C68}" showPageBreaks="1" printArea="1" view="pageBreakPreview" topLeftCell="A55">
      <selection activeCell="I71" sqref="I71"/>
      <rowBreaks count="2" manualBreakCount="2">
        <brk id="34" max="8" man="1"/>
        <brk id="55" max="8" man="1"/>
      </rowBreaks>
      <pageMargins left="0.75" right="0.75" top="1" bottom="1" header="0.5" footer="0.5"/>
      <pageSetup scale="67" fitToHeight="3" orientation="landscape" r:id="rId1"/>
      <headerFooter alignWithMargins="0">
        <oddFooter>&amp;C&amp;"Times New Roman,Regular"&amp;11Exhibit E - Justification for Base Adjustments</oddFooter>
      </headerFooter>
    </customSheetView>
    <customSheetView guid="{56C0A34E-45B4-448B-85E5-70B3A8E63333}" showPageBreaks="1" printArea="1" view="pageBreakPreview" topLeftCell="A55">
      <selection activeCell="F64" sqref="F64"/>
      <rowBreaks count="2" manualBreakCount="2">
        <brk id="36" max="8" man="1"/>
        <brk id="57" max="8" man="1"/>
      </rowBreaks>
      <pageMargins left="0.75" right="0.75" top="1" bottom="1" header="0.5" footer="0.5"/>
      <pageSetup scale="67" fitToHeight="3" orientation="landscape" r:id="rId2"/>
      <headerFooter alignWithMargins="0">
        <oddFooter>&amp;C&amp;"Times New Roman,Regular"&amp;11Exhibit E - Justification for Base Adjustments</oddFooter>
      </headerFooter>
    </customSheetView>
    <customSheetView guid="{4148B88B-8ED7-4FDE-9459-DEB244AD0552}" showPageBreaks="1" printArea="1" view="pageBreakPreview">
      <selection activeCell="F64" sqref="F64"/>
      <rowBreaks count="2" manualBreakCount="2">
        <brk id="36" max="8" man="1"/>
        <brk id="57" max="8" man="1"/>
      </rowBreaks>
      <pageMargins left="0.75" right="0.75" top="1" bottom="1" header="0.5" footer="0.5"/>
      <pageSetup scale="67" fitToHeight="3" orientation="landscape" r:id="rId3"/>
      <headerFooter alignWithMargins="0">
        <oddFooter>&amp;C&amp;"Times New Roman,Regular"&amp;11Exhibit E - Justification for Base Adjustments</oddFooter>
      </headerFooter>
    </customSheetView>
    <customSheetView guid="{12C66D54-5067-4346-818B-6EAB1C8A9183}" showPageBreaks="1" printArea="1" view="pageBreakPreview">
      <selection activeCell="F15" sqref="A15:F15"/>
      <rowBreaks count="2" manualBreakCount="2">
        <brk id="36" max="8" man="1"/>
        <brk id="57" max="8" man="1"/>
      </rowBreaks>
      <pageMargins left="0.75" right="0.75" top="1" bottom="1" header="0.5" footer="0.5"/>
      <pageSetup scale="67" fitToHeight="3" orientation="landscape" r:id="rId4"/>
      <headerFooter alignWithMargins="0">
        <oddFooter>&amp;C&amp;"Times New Roman,Regular"&amp;11Exhibit E - Justification for Base Adjustments</oddFooter>
      </headerFooter>
    </customSheetView>
  </customSheetViews>
  <mergeCells count="28">
    <mergeCell ref="A26:F26"/>
    <mergeCell ref="A42:F42"/>
    <mergeCell ref="A47:F47"/>
    <mergeCell ref="A51:F51"/>
    <mergeCell ref="A49:I49"/>
    <mergeCell ref="A32:F32"/>
    <mergeCell ref="A36:F36"/>
    <mergeCell ref="A34:F34"/>
    <mergeCell ref="A28:F28"/>
    <mergeCell ref="A45:F45"/>
    <mergeCell ref="A30:F30"/>
    <mergeCell ref="A38:F38"/>
    <mergeCell ref="A40:F40"/>
    <mergeCell ref="A24:I24"/>
    <mergeCell ref="A1:I1"/>
    <mergeCell ref="A3:I3"/>
    <mergeCell ref="A4:I4"/>
    <mergeCell ref="A2:I2"/>
    <mergeCell ref="A5:I5"/>
    <mergeCell ref="A6:I6"/>
    <mergeCell ref="A11:I11"/>
    <mergeCell ref="A13:F13"/>
    <mergeCell ref="A15:F15"/>
    <mergeCell ref="A17:F17"/>
    <mergeCell ref="A19:F19"/>
    <mergeCell ref="A21:F21"/>
    <mergeCell ref="A8:I8"/>
    <mergeCell ref="A10:F10"/>
  </mergeCells>
  <phoneticPr fontId="0" type="noConversion"/>
  <printOptions horizontalCentered="1"/>
  <pageMargins left="0.5" right="0.5" top="1" bottom="0.75" header="0.5" footer="0.5"/>
  <pageSetup scale="88" fitToHeight="3" orientation="landscape" r:id="rId5"/>
  <headerFooter alignWithMargins="0">
    <oddFooter>&amp;C&amp;"Times New Roman,Regular"&amp;11Exhibit E - Justification for Base Adjustments</oddFooter>
  </headerFooter>
  <rowBreaks count="2" manualBreakCount="2">
    <brk id="22" max="8" man="1"/>
    <brk id="42" max="8" man="1"/>
  </rowBreaks>
</worksheet>
</file>

<file path=xl/worksheets/sheet7.xml><?xml version="1.0" encoding="utf-8"?>
<worksheet xmlns="http://schemas.openxmlformats.org/spreadsheetml/2006/main" xmlns:r="http://schemas.openxmlformats.org/officeDocument/2006/relationships">
  <sheetPr codeName="Sheet11">
    <pageSetUpPr fitToPage="1"/>
  </sheetPr>
  <dimension ref="A1:AC50"/>
  <sheetViews>
    <sheetView showGridLines="0" showOutlineSymbols="0" view="pageBreakPreview" zoomScale="75" zoomScaleNormal="75" zoomScaleSheetLayoutView="75" workbookViewId="0">
      <selection activeCell="A6" sqref="A6:O6"/>
    </sheetView>
  </sheetViews>
  <sheetFormatPr defaultColWidth="8.88671875" defaultRowHeight="15.75"/>
  <cols>
    <col min="1" max="1" width="27.77734375" style="8" customWidth="1"/>
    <col min="2" max="2" width="7.5546875" style="8" bestFit="1" customWidth="1"/>
    <col min="3" max="3" width="6.77734375" style="8" customWidth="1"/>
    <col min="4" max="4" width="10.88671875" style="8" bestFit="1" customWidth="1"/>
    <col min="5" max="5" width="5.77734375" style="8" customWidth="1"/>
    <col min="6" max="6" width="5.6640625" style="8" customWidth="1"/>
    <col min="7" max="7" width="7.77734375" style="8" customWidth="1"/>
    <col min="8" max="8" width="5.5546875" style="8" customWidth="1"/>
    <col min="9" max="9" width="5.6640625" style="8" customWidth="1"/>
    <col min="10" max="10" width="7.77734375" style="8" customWidth="1"/>
    <col min="11" max="11" width="8.77734375" style="8" customWidth="1"/>
    <col min="12" max="12" width="10" style="8" customWidth="1"/>
    <col min="13" max="13" width="7.5546875" style="8" bestFit="1" customWidth="1"/>
    <col min="14" max="14" width="6.77734375" style="8" customWidth="1"/>
    <col min="15" max="15" width="10.88671875" style="8" bestFit="1" customWidth="1"/>
    <col min="16" max="16" width="1" style="60" customWidth="1"/>
    <col min="17" max="16384" width="8.88671875" style="8"/>
  </cols>
  <sheetData>
    <row r="1" spans="1:16" ht="20.25">
      <c r="A1" s="617" t="s">
        <v>149</v>
      </c>
      <c r="B1" s="618"/>
      <c r="C1" s="618"/>
      <c r="D1" s="618"/>
      <c r="E1" s="618"/>
      <c r="F1" s="618"/>
      <c r="G1" s="618"/>
      <c r="H1" s="618"/>
      <c r="I1" s="618"/>
      <c r="J1" s="618"/>
      <c r="K1" s="618"/>
      <c r="L1" s="618"/>
      <c r="M1" s="618"/>
      <c r="N1" s="618"/>
      <c r="O1" s="618"/>
      <c r="P1" s="59" t="s">
        <v>0</v>
      </c>
    </row>
    <row r="2" spans="1:16" ht="16.5" customHeight="1">
      <c r="A2" s="699"/>
      <c r="B2" s="699"/>
      <c r="C2" s="699"/>
      <c r="D2" s="699"/>
      <c r="E2" s="699"/>
      <c r="F2" s="699"/>
      <c r="G2" s="699"/>
      <c r="H2" s="699"/>
      <c r="I2" s="699"/>
      <c r="J2" s="699"/>
      <c r="K2" s="699"/>
      <c r="L2" s="699"/>
      <c r="M2" s="699"/>
      <c r="N2" s="699"/>
      <c r="O2" s="699"/>
      <c r="P2" s="59" t="s">
        <v>0</v>
      </c>
    </row>
    <row r="3" spans="1:16" ht="16.5" customHeight="1">
      <c r="A3" s="690" t="s">
        <v>134</v>
      </c>
      <c r="B3" s="697"/>
      <c r="C3" s="697"/>
      <c r="D3" s="697"/>
      <c r="E3" s="697"/>
      <c r="F3" s="697"/>
      <c r="G3" s="697"/>
      <c r="H3" s="697"/>
      <c r="I3" s="697"/>
      <c r="J3" s="697"/>
      <c r="K3" s="697"/>
      <c r="L3" s="697"/>
      <c r="M3" s="697"/>
      <c r="N3" s="697"/>
      <c r="O3" s="697"/>
      <c r="P3" s="59" t="s">
        <v>0</v>
      </c>
    </row>
    <row r="4" spans="1:16" ht="16.5" customHeight="1">
      <c r="A4" s="692" t="str">
        <f>+'B. Summary of Requirements_SE '!A5</f>
        <v>United States Marshals Service</v>
      </c>
      <c r="B4" s="698"/>
      <c r="C4" s="698"/>
      <c r="D4" s="698"/>
      <c r="E4" s="698"/>
      <c r="F4" s="698"/>
      <c r="G4" s="698"/>
      <c r="H4" s="698"/>
      <c r="I4" s="698"/>
      <c r="J4" s="698"/>
      <c r="K4" s="698"/>
      <c r="L4" s="698"/>
      <c r="M4" s="698"/>
      <c r="N4" s="698"/>
      <c r="O4" s="698"/>
      <c r="P4" s="59" t="s">
        <v>0</v>
      </c>
    </row>
    <row r="5" spans="1:16" ht="16.5" customHeight="1">
      <c r="A5" s="692" t="str">
        <f>+'B. Summary of Requirements_SE '!A6</f>
        <v>Salaries and Expenses</v>
      </c>
      <c r="B5" s="697"/>
      <c r="C5" s="697"/>
      <c r="D5" s="697"/>
      <c r="E5" s="697"/>
      <c r="F5" s="697"/>
      <c r="G5" s="697"/>
      <c r="H5" s="697"/>
      <c r="I5" s="697"/>
      <c r="J5" s="697"/>
      <c r="K5" s="697"/>
      <c r="L5" s="697"/>
      <c r="M5" s="697"/>
      <c r="N5" s="697"/>
      <c r="O5" s="697"/>
      <c r="P5" s="59" t="s">
        <v>0</v>
      </c>
    </row>
    <row r="6" spans="1:16" ht="16.5" customHeight="1">
      <c r="A6" s="694" t="s">
        <v>101</v>
      </c>
      <c r="B6" s="698"/>
      <c r="C6" s="698"/>
      <c r="D6" s="698"/>
      <c r="E6" s="698"/>
      <c r="F6" s="698"/>
      <c r="G6" s="698"/>
      <c r="H6" s="698"/>
      <c r="I6" s="698"/>
      <c r="J6" s="698"/>
      <c r="K6" s="698"/>
      <c r="L6" s="698"/>
      <c r="M6" s="698"/>
      <c r="N6" s="698"/>
      <c r="O6" s="698"/>
      <c r="P6" s="59" t="s">
        <v>0</v>
      </c>
    </row>
    <row r="7" spans="1:16" ht="16.5" customHeight="1">
      <c r="A7" s="699"/>
      <c r="B7" s="699"/>
      <c r="C7" s="699"/>
      <c r="D7" s="699"/>
      <c r="E7" s="699"/>
      <c r="F7" s="699"/>
      <c r="G7" s="699"/>
      <c r="H7" s="699"/>
      <c r="I7" s="699"/>
      <c r="J7" s="699"/>
      <c r="K7" s="699"/>
      <c r="L7" s="699"/>
      <c r="M7" s="699"/>
      <c r="N7" s="699"/>
      <c r="O7" s="699"/>
      <c r="P7" s="59" t="s">
        <v>0</v>
      </c>
    </row>
    <row r="8" spans="1:16" ht="16.5" customHeight="1">
      <c r="A8" s="700"/>
      <c r="B8" s="700"/>
      <c r="C8" s="700"/>
      <c r="D8" s="700"/>
      <c r="E8" s="700"/>
      <c r="F8" s="700"/>
      <c r="G8" s="700"/>
      <c r="H8" s="700"/>
      <c r="I8" s="700"/>
      <c r="J8" s="700"/>
      <c r="K8" s="700"/>
      <c r="L8" s="700"/>
      <c r="M8" s="700"/>
      <c r="N8" s="700"/>
      <c r="O8" s="700"/>
      <c r="P8" s="59" t="s">
        <v>0</v>
      </c>
    </row>
    <row r="9" spans="1:16" ht="16.5" customHeight="1">
      <c r="A9" s="687" t="s">
        <v>25</v>
      </c>
      <c r="B9" s="672" t="s">
        <v>272</v>
      </c>
      <c r="C9" s="673"/>
      <c r="D9" s="674"/>
      <c r="E9" s="681" t="s">
        <v>111</v>
      </c>
      <c r="F9" s="682"/>
      <c r="G9" s="683"/>
      <c r="H9" s="672" t="s">
        <v>14</v>
      </c>
      <c r="I9" s="673"/>
      <c r="J9" s="673"/>
      <c r="K9" s="679" t="s">
        <v>135</v>
      </c>
      <c r="L9" s="679" t="s">
        <v>136</v>
      </c>
      <c r="M9" s="672" t="s">
        <v>259</v>
      </c>
      <c r="N9" s="673"/>
      <c r="O9" s="674"/>
      <c r="P9" s="59" t="s">
        <v>0</v>
      </c>
    </row>
    <row r="10" spans="1:16" ht="32.25" customHeight="1">
      <c r="A10" s="688"/>
      <c r="B10" s="675"/>
      <c r="C10" s="676"/>
      <c r="D10" s="677"/>
      <c r="E10" s="684"/>
      <c r="F10" s="685"/>
      <c r="G10" s="686"/>
      <c r="H10" s="675"/>
      <c r="I10" s="676"/>
      <c r="J10" s="676"/>
      <c r="K10" s="680"/>
      <c r="L10" s="680"/>
      <c r="M10" s="675"/>
      <c r="N10" s="676"/>
      <c r="O10" s="677"/>
      <c r="P10" s="59" t="s">
        <v>0</v>
      </c>
    </row>
    <row r="11" spans="1:16" ht="16.5" customHeight="1" thickBot="1">
      <c r="A11" s="689"/>
      <c r="B11" s="170" t="s">
        <v>117</v>
      </c>
      <c r="C11" s="171" t="s">
        <v>29</v>
      </c>
      <c r="D11" s="171" t="s">
        <v>119</v>
      </c>
      <c r="E11" s="170" t="s">
        <v>117</v>
      </c>
      <c r="F11" s="171" t="s">
        <v>29</v>
      </c>
      <c r="G11" s="171" t="s">
        <v>119</v>
      </c>
      <c r="H11" s="170" t="s">
        <v>117</v>
      </c>
      <c r="I11" s="171" t="s">
        <v>29</v>
      </c>
      <c r="J11" s="171" t="s">
        <v>119</v>
      </c>
      <c r="K11" s="249" t="s">
        <v>119</v>
      </c>
      <c r="L11" s="250" t="s">
        <v>119</v>
      </c>
      <c r="M11" s="170" t="s">
        <v>117</v>
      </c>
      <c r="N11" s="171" t="s">
        <v>29</v>
      </c>
      <c r="O11" s="172" t="s">
        <v>119</v>
      </c>
      <c r="P11" s="59" t="s">
        <v>0</v>
      </c>
    </row>
    <row r="12" spans="1:16" ht="16.5" customHeight="1">
      <c r="A12" s="328" t="s">
        <v>167</v>
      </c>
      <c r="B12" s="301">
        <v>2222</v>
      </c>
      <c r="C12" s="302">
        <v>2189</v>
      </c>
      <c r="D12" s="302">
        <v>436873</v>
      </c>
      <c r="E12" s="329">
        <v>0</v>
      </c>
      <c r="F12" s="330">
        <v>0</v>
      </c>
      <c r="G12" s="330">
        <v>0</v>
      </c>
      <c r="H12" s="301">
        <v>0</v>
      </c>
      <c r="I12" s="302">
        <v>0</v>
      </c>
      <c r="J12" s="302">
        <v>1225</v>
      </c>
      <c r="K12" s="323">
        <f>19475+19734</f>
        <v>39209</v>
      </c>
      <c r="L12" s="302">
        <v>5191</v>
      </c>
      <c r="M12" s="301">
        <f>B12+E12+H12</f>
        <v>2222</v>
      </c>
      <c r="N12" s="302">
        <f>C12+F12+I12</f>
        <v>2189</v>
      </c>
      <c r="O12" s="303">
        <f>D12+G12+J12+K12+L12</f>
        <v>482498</v>
      </c>
      <c r="P12" s="59" t="s">
        <v>0</v>
      </c>
    </row>
    <row r="13" spans="1:16" ht="16.5" customHeight="1">
      <c r="A13" s="331" t="s">
        <v>168</v>
      </c>
      <c r="B13" s="301">
        <v>1744</v>
      </c>
      <c r="C13" s="302">
        <v>1717</v>
      </c>
      <c r="D13" s="302">
        <v>380389</v>
      </c>
      <c r="E13" s="329">
        <v>0</v>
      </c>
      <c r="F13" s="330">
        <v>0</v>
      </c>
      <c r="G13" s="330">
        <v>0</v>
      </c>
      <c r="H13" s="301">
        <v>0</v>
      </c>
      <c r="I13" s="302">
        <v>0</v>
      </c>
      <c r="J13" s="302">
        <v>1439</v>
      </c>
      <c r="K13" s="323">
        <f>7400+930</f>
        <v>8330</v>
      </c>
      <c r="L13" s="302">
        <v>0</v>
      </c>
      <c r="M13" s="301">
        <f t="shared" ref="M13:N16" si="0">B13+E13+H13</f>
        <v>1744</v>
      </c>
      <c r="N13" s="302">
        <f t="shared" si="0"/>
        <v>1717</v>
      </c>
      <c r="O13" s="303">
        <f>D13+G13+J13+K13+L13</f>
        <v>390158</v>
      </c>
      <c r="P13" s="59" t="s">
        <v>0</v>
      </c>
    </row>
    <row r="14" spans="1:16" ht="16.5" customHeight="1">
      <c r="A14" s="331" t="s">
        <v>183</v>
      </c>
      <c r="B14" s="301">
        <v>1194</v>
      </c>
      <c r="C14" s="302">
        <v>1178</v>
      </c>
      <c r="D14" s="302">
        <v>234963</v>
      </c>
      <c r="E14" s="329">
        <v>0</v>
      </c>
      <c r="F14" s="330">
        <v>0</v>
      </c>
      <c r="G14" s="330">
        <v>0</v>
      </c>
      <c r="H14" s="301">
        <v>0</v>
      </c>
      <c r="I14" s="302">
        <v>0</v>
      </c>
      <c r="J14" s="302">
        <v>0</v>
      </c>
      <c r="K14" s="323">
        <v>2554</v>
      </c>
      <c r="L14" s="302">
        <v>0</v>
      </c>
      <c r="M14" s="301">
        <f t="shared" si="0"/>
        <v>1194</v>
      </c>
      <c r="N14" s="302">
        <f t="shared" si="0"/>
        <v>1178</v>
      </c>
      <c r="O14" s="303">
        <f>D14+G14+J14+K14+L14</f>
        <v>237517</v>
      </c>
      <c r="P14" s="59" t="s">
        <v>0</v>
      </c>
    </row>
    <row r="15" spans="1:16" ht="16.5" customHeight="1">
      <c r="A15" s="331" t="s">
        <v>170</v>
      </c>
      <c r="B15" s="301">
        <v>207</v>
      </c>
      <c r="C15" s="302">
        <v>203</v>
      </c>
      <c r="D15" s="302">
        <v>34099</v>
      </c>
      <c r="E15" s="329">
        <v>0</v>
      </c>
      <c r="F15" s="330">
        <v>0</v>
      </c>
      <c r="G15" s="330">
        <v>0</v>
      </c>
      <c r="H15" s="301">
        <v>0</v>
      </c>
      <c r="I15" s="302">
        <v>0</v>
      </c>
      <c r="J15" s="302">
        <v>0</v>
      </c>
      <c r="K15" s="323">
        <v>0</v>
      </c>
      <c r="L15" s="302">
        <v>0</v>
      </c>
      <c r="M15" s="301">
        <f t="shared" si="0"/>
        <v>207</v>
      </c>
      <c r="N15" s="302">
        <f t="shared" si="0"/>
        <v>203</v>
      </c>
      <c r="O15" s="303">
        <f t="shared" ref="O15:O16" si="1">D15+G15+J15+K15+L15</f>
        <v>34099</v>
      </c>
      <c r="P15" s="59" t="s">
        <v>0</v>
      </c>
    </row>
    <row r="16" spans="1:16" ht="16.5" customHeight="1">
      <c r="A16" s="332" t="s">
        <v>171</v>
      </c>
      <c r="B16" s="421">
        <v>177</v>
      </c>
      <c r="C16" s="422">
        <v>172</v>
      </c>
      <c r="D16" s="422">
        <v>37187</v>
      </c>
      <c r="E16" s="421">
        <v>0</v>
      </c>
      <c r="F16" s="422">
        <v>0</v>
      </c>
      <c r="G16" s="422">
        <v>0</v>
      </c>
      <c r="H16" s="421">
        <v>0</v>
      </c>
      <c r="I16" s="422">
        <v>0</v>
      </c>
      <c r="J16" s="422">
        <f>4040-966-2517+3300</f>
        <v>3857</v>
      </c>
      <c r="K16" s="423">
        <f>222+3976</f>
        <v>4198</v>
      </c>
      <c r="L16" s="422">
        <v>78</v>
      </c>
      <c r="M16" s="424">
        <f t="shared" si="0"/>
        <v>177</v>
      </c>
      <c r="N16" s="425">
        <f t="shared" si="0"/>
        <v>172</v>
      </c>
      <c r="O16" s="426">
        <f t="shared" si="1"/>
        <v>45320</v>
      </c>
      <c r="P16" s="59" t="s">
        <v>0</v>
      </c>
    </row>
    <row r="17" spans="1:29" ht="16.5" customHeight="1">
      <c r="A17" s="412" t="s">
        <v>123</v>
      </c>
      <c r="B17" s="176">
        <f t="shared" ref="B17:O17" si="2">SUM(B12:B16)</f>
        <v>5544</v>
      </c>
      <c r="C17" s="177">
        <f t="shared" si="2"/>
        <v>5459</v>
      </c>
      <c r="D17" s="178">
        <f>SUM(D12:D16)</f>
        <v>1123511</v>
      </c>
      <c r="E17" s="176">
        <f t="shared" si="2"/>
        <v>0</v>
      </c>
      <c r="F17" s="177">
        <f t="shared" si="2"/>
        <v>0</v>
      </c>
      <c r="G17" s="178">
        <f t="shared" si="2"/>
        <v>0</v>
      </c>
      <c r="H17" s="176">
        <f t="shared" si="2"/>
        <v>0</v>
      </c>
      <c r="I17" s="177">
        <f t="shared" si="2"/>
        <v>0</v>
      </c>
      <c r="J17" s="178">
        <f t="shared" si="2"/>
        <v>6521</v>
      </c>
      <c r="K17" s="246">
        <f t="shared" si="2"/>
        <v>54291</v>
      </c>
      <c r="L17" s="178">
        <f t="shared" si="2"/>
        <v>5269</v>
      </c>
      <c r="M17" s="176">
        <f t="shared" si="2"/>
        <v>5544</v>
      </c>
      <c r="N17" s="177">
        <f t="shared" si="2"/>
        <v>5459</v>
      </c>
      <c r="O17" s="179">
        <f t="shared" si="2"/>
        <v>1189592</v>
      </c>
      <c r="P17" s="59" t="s">
        <v>0</v>
      </c>
    </row>
    <row r="18" spans="1:29" ht="16.5" customHeight="1">
      <c r="A18" s="294" t="s">
        <v>306</v>
      </c>
      <c r="B18" s="308" t="s">
        <v>118</v>
      </c>
      <c r="C18" s="309">
        <v>355</v>
      </c>
      <c r="D18" s="309"/>
      <c r="E18" s="308"/>
      <c r="F18" s="309">
        <v>0</v>
      </c>
      <c r="G18" s="309"/>
      <c r="H18" s="308"/>
      <c r="I18" s="309">
        <v>0</v>
      </c>
      <c r="J18" s="309"/>
      <c r="K18" s="335"/>
      <c r="L18" s="309"/>
      <c r="M18" s="308"/>
      <c r="N18" s="309">
        <f>C18+F18+I18</f>
        <v>355</v>
      </c>
      <c r="O18" s="311"/>
      <c r="P18" s="59" t="s">
        <v>0</v>
      </c>
      <c r="Q18" s="9"/>
      <c r="R18" s="9"/>
      <c r="S18" s="9"/>
      <c r="T18" s="9"/>
      <c r="U18" s="9"/>
      <c r="V18" s="9"/>
      <c r="W18" s="9"/>
      <c r="X18" s="9"/>
      <c r="Y18" s="9"/>
      <c r="Z18" s="9"/>
      <c r="AA18" s="9"/>
      <c r="AB18" s="9"/>
      <c r="AC18" s="9"/>
    </row>
    <row r="19" spans="1:29" ht="16.5" customHeight="1">
      <c r="A19" s="294" t="s">
        <v>106</v>
      </c>
      <c r="B19" s="336"/>
      <c r="C19" s="337">
        <f>SUM(C17:C18)</f>
        <v>5814</v>
      </c>
      <c r="D19" s="337"/>
      <c r="E19" s="336"/>
      <c r="F19" s="337">
        <f>+F17+F18</f>
        <v>0</v>
      </c>
      <c r="G19" s="337"/>
      <c r="H19" s="336"/>
      <c r="I19" s="337">
        <f>+I17+I18</f>
        <v>0</v>
      </c>
      <c r="J19" s="337"/>
      <c r="K19" s="338"/>
      <c r="L19" s="337"/>
      <c r="M19" s="336"/>
      <c r="N19" s="337">
        <f>SUM(N17:N18)</f>
        <v>5814</v>
      </c>
      <c r="O19" s="339"/>
      <c r="P19" s="59" t="s">
        <v>0</v>
      </c>
    </row>
    <row r="20" spans="1:29" ht="16.5" customHeight="1">
      <c r="A20" s="340" t="s">
        <v>107</v>
      </c>
      <c r="B20" s="301"/>
      <c r="C20" s="302"/>
      <c r="D20" s="302"/>
      <c r="E20" s="301"/>
      <c r="F20" s="302"/>
      <c r="G20" s="302"/>
      <c r="H20" s="301"/>
      <c r="I20" s="302"/>
      <c r="J20" s="302"/>
      <c r="K20" s="323"/>
      <c r="L20" s="302"/>
      <c r="M20" s="301"/>
      <c r="N20" s="302"/>
      <c r="O20" s="303"/>
      <c r="P20" s="59" t="s">
        <v>0</v>
      </c>
    </row>
    <row r="21" spans="1:29" ht="16.5" customHeight="1">
      <c r="A21" s="341" t="s">
        <v>35</v>
      </c>
      <c r="B21" s="301"/>
      <c r="C21" s="302">
        <v>639</v>
      </c>
      <c r="D21" s="302"/>
      <c r="E21" s="301"/>
      <c r="F21" s="302">
        <v>0</v>
      </c>
      <c r="G21" s="302"/>
      <c r="H21" s="301"/>
      <c r="I21" s="302">
        <v>0</v>
      </c>
      <c r="J21" s="302"/>
      <c r="K21" s="323"/>
      <c r="L21" s="302"/>
      <c r="M21" s="301"/>
      <c r="N21" s="302">
        <f>C21+F21+I21</f>
        <v>639</v>
      </c>
      <c r="O21" s="303"/>
      <c r="P21" s="59" t="s">
        <v>0</v>
      </c>
    </row>
    <row r="22" spans="1:29" ht="16.5" customHeight="1">
      <c r="A22" s="342" t="s">
        <v>66</v>
      </c>
      <c r="B22" s="308"/>
      <c r="C22" s="309">
        <v>207</v>
      </c>
      <c r="D22" s="309"/>
      <c r="E22" s="308"/>
      <c r="F22" s="309">
        <v>0</v>
      </c>
      <c r="G22" s="309"/>
      <c r="H22" s="308"/>
      <c r="I22" s="309">
        <v>0</v>
      </c>
      <c r="J22" s="309"/>
      <c r="K22" s="335"/>
      <c r="L22" s="309"/>
      <c r="M22" s="308"/>
      <c r="N22" s="309">
        <f>C22+F22+I22</f>
        <v>207</v>
      </c>
      <c r="O22" s="311"/>
      <c r="P22" s="59" t="s">
        <v>0</v>
      </c>
    </row>
    <row r="23" spans="1:29" ht="16.5" customHeight="1">
      <c r="A23" s="294" t="s">
        <v>108</v>
      </c>
      <c r="B23" s="308"/>
      <c r="C23" s="309">
        <f>C22+C21+C19</f>
        <v>6660</v>
      </c>
      <c r="D23" s="343"/>
      <c r="E23" s="308"/>
      <c r="F23" s="309">
        <f>F22+F21+F19</f>
        <v>0</v>
      </c>
      <c r="G23" s="343"/>
      <c r="H23" s="308"/>
      <c r="I23" s="309">
        <f>I22+I21+I19</f>
        <v>0</v>
      </c>
      <c r="J23" s="343"/>
      <c r="K23" s="344"/>
      <c r="L23" s="343"/>
      <c r="M23" s="308"/>
      <c r="N23" s="309">
        <f>N22+N21+N19</f>
        <v>6660</v>
      </c>
      <c r="O23" s="345"/>
      <c r="P23" s="59" t="s">
        <v>0</v>
      </c>
    </row>
    <row r="24" spans="1:29" s="19" customFormat="1" ht="16.5" customHeight="1">
      <c r="A24" s="1"/>
      <c r="C24" s="1"/>
      <c r="D24" s="1"/>
      <c r="E24" s="1"/>
      <c r="F24" s="1"/>
      <c r="G24" s="1"/>
      <c r="H24" s="1"/>
      <c r="I24" s="1"/>
      <c r="J24" s="1"/>
      <c r="K24" s="1"/>
      <c r="L24" s="1"/>
      <c r="M24" s="1"/>
      <c r="N24" s="1"/>
      <c r="O24" s="1"/>
      <c r="P24" s="59" t="s">
        <v>0</v>
      </c>
      <c r="Q24" s="8"/>
    </row>
    <row r="25" spans="1:29" s="19" customFormat="1" ht="68.25" customHeight="1">
      <c r="A25" s="671" t="s">
        <v>187</v>
      </c>
      <c r="B25" s="671"/>
      <c r="C25" s="671"/>
      <c r="D25" s="671"/>
      <c r="E25" s="671"/>
      <c r="F25" s="671"/>
      <c r="G25" s="671"/>
      <c r="H25" s="671"/>
      <c r="I25" s="671"/>
      <c r="J25" s="671"/>
      <c r="K25" s="671"/>
      <c r="L25" s="671"/>
      <c r="M25" s="671"/>
      <c r="N25" s="671"/>
      <c r="O25" s="671"/>
      <c r="P25" s="59" t="s">
        <v>0</v>
      </c>
      <c r="Q25" s="8"/>
    </row>
    <row r="26" spans="1:29" s="19" customFormat="1" ht="16.5" customHeight="1">
      <c r="A26" s="1"/>
      <c r="C26" s="1"/>
      <c r="D26" s="1"/>
      <c r="E26" s="1"/>
      <c r="F26" s="1"/>
      <c r="G26" s="1"/>
      <c r="H26" s="1"/>
      <c r="I26" s="1"/>
      <c r="J26" s="1"/>
      <c r="K26" s="1"/>
      <c r="L26" s="1"/>
      <c r="M26" s="1"/>
      <c r="N26" s="1"/>
      <c r="O26" s="1"/>
      <c r="P26" s="59" t="s">
        <v>0</v>
      </c>
      <c r="Q26" s="8"/>
    </row>
    <row r="27" spans="1:29" s="19" customFormat="1" ht="49.5" customHeight="1">
      <c r="A27" s="671" t="s">
        <v>185</v>
      </c>
      <c r="B27" s="671"/>
      <c r="C27" s="671"/>
      <c r="D27" s="671"/>
      <c r="E27" s="671"/>
      <c r="F27" s="671"/>
      <c r="G27" s="671"/>
      <c r="H27" s="671"/>
      <c r="I27" s="671"/>
      <c r="J27" s="671"/>
      <c r="K27" s="671"/>
      <c r="L27" s="671"/>
      <c r="M27" s="671"/>
      <c r="N27" s="671"/>
      <c r="O27" s="671"/>
      <c r="P27" s="59" t="s">
        <v>0</v>
      </c>
      <c r="Q27" s="8"/>
    </row>
    <row r="28" spans="1:29" s="19" customFormat="1" ht="16.5" customHeight="1">
      <c r="A28" s="1"/>
      <c r="B28" s="297"/>
      <c r="C28" s="297"/>
      <c r="D28" s="297"/>
      <c r="E28" s="297"/>
      <c r="F28" s="297"/>
      <c r="G28" s="297"/>
      <c r="H28" s="297"/>
      <c r="I28" s="297"/>
      <c r="J28" s="297"/>
      <c r="K28" s="297"/>
      <c r="L28" s="297"/>
      <c r="M28" s="1"/>
      <c r="N28" s="1"/>
      <c r="O28" s="1"/>
      <c r="P28" s="59" t="s">
        <v>0</v>
      </c>
      <c r="Q28" s="8"/>
    </row>
    <row r="29" spans="1:29" s="19" customFormat="1" ht="16.5" customHeight="1">
      <c r="A29" s="671" t="s">
        <v>186</v>
      </c>
      <c r="B29" s="671"/>
      <c r="C29" s="671"/>
      <c r="D29" s="671"/>
      <c r="E29" s="671"/>
      <c r="F29" s="671"/>
      <c r="G29" s="671"/>
      <c r="H29" s="671"/>
      <c r="I29" s="671"/>
      <c r="J29" s="671"/>
      <c r="K29" s="671"/>
      <c r="L29" s="671"/>
      <c r="M29" s="671"/>
      <c r="N29" s="671"/>
      <c r="O29" s="671"/>
      <c r="P29" s="59" t="s">
        <v>0</v>
      </c>
      <c r="Q29" s="8"/>
    </row>
    <row r="30" spans="1:29" ht="16.5" customHeight="1">
      <c r="A30" s="26"/>
      <c r="B30" s="26"/>
      <c r="C30" s="26"/>
      <c r="D30" s="26"/>
      <c r="E30" s="26"/>
      <c r="F30" s="26"/>
      <c r="G30" s="26"/>
      <c r="H30" s="1"/>
      <c r="I30" s="1"/>
      <c r="J30" s="1"/>
      <c r="K30" s="1"/>
      <c r="L30" s="1"/>
      <c r="M30" s="1"/>
      <c r="N30" s="1"/>
      <c r="O30" s="1"/>
      <c r="P30" s="59" t="s">
        <v>0</v>
      </c>
    </row>
    <row r="31" spans="1:29" s="19" customFormat="1" ht="16.5" customHeight="1">
      <c r="A31" s="690" t="s">
        <v>134</v>
      </c>
      <c r="B31" s="691"/>
      <c r="C31" s="691"/>
      <c r="D31" s="691"/>
      <c r="E31" s="691"/>
      <c r="F31" s="691"/>
      <c r="G31" s="691"/>
      <c r="H31" s="691"/>
      <c r="I31" s="691"/>
      <c r="J31" s="691"/>
      <c r="K31" s="691"/>
      <c r="L31" s="691"/>
      <c r="M31" s="691"/>
      <c r="N31" s="691"/>
      <c r="O31" s="691"/>
      <c r="P31" s="406" t="s">
        <v>0</v>
      </c>
    </row>
    <row r="32" spans="1:29" s="19" customFormat="1" ht="16.5" customHeight="1">
      <c r="A32" s="692" t="s">
        <v>182</v>
      </c>
      <c r="B32" s="693"/>
      <c r="C32" s="693"/>
      <c r="D32" s="693"/>
      <c r="E32" s="693"/>
      <c r="F32" s="693"/>
      <c r="G32" s="693"/>
      <c r="H32" s="693"/>
      <c r="I32" s="693"/>
      <c r="J32" s="693"/>
      <c r="K32" s="693"/>
      <c r="L32" s="693"/>
      <c r="M32" s="693"/>
      <c r="N32" s="693"/>
      <c r="O32" s="693"/>
      <c r="P32" s="406" t="s">
        <v>0</v>
      </c>
    </row>
    <row r="33" spans="1:20" s="19" customFormat="1" ht="16.5" customHeight="1">
      <c r="A33" s="692" t="str">
        <f>+'B. Summary of Requirements_Cons'!A6:U6</f>
        <v>Construction</v>
      </c>
      <c r="B33" s="691"/>
      <c r="C33" s="691"/>
      <c r="D33" s="691"/>
      <c r="E33" s="691"/>
      <c r="F33" s="691"/>
      <c r="G33" s="691"/>
      <c r="H33" s="691"/>
      <c r="I33" s="691"/>
      <c r="J33" s="691"/>
      <c r="K33" s="691"/>
      <c r="L33" s="691"/>
      <c r="M33" s="691"/>
      <c r="N33" s="691"/>
      <c r="O33" s="691"/>
      <c r="P33" s="406" t="s">
        <v>0</v>
      </c>
    </row>
    <row r="34" spans="1:20" s="19" customFormat="1" ht="16.5" customHeight="1">
      <c r="A34" s="694" t="s">
        <v>101</v>
      </c>
      <c r="B34" s="693"/>
      <c r="C34" s="693"/>
      <c r="D34" s="693"/>
      <c r="E34" s="693"/>
      <c r="F34" s="693"/>
      <c r="G34" s="693"/>
      <c r="H34" s="693"/>
      <c r="I34" s="693"/>
      <c r="J34" s="693"/>
      <c r="K34" s="693"/>
      <c r="L34" s="693"/>
      <c r="M34" s="693"/>
      <c r="N34" s="693"/>
      <c r="O34" s="693"/>
      <c r="P34" s="406" t="s">
        <v>0</v>
      </c>
    </row>
    <row r="35" spans="1:20" s="19" customFormat="1" ht="16.5" customHeight="1">
      <c r="A35" s="695"/>
      <c r="B35" s="695"/>
      <c r="C35" s="695"/>
      <c r="D35" s="695"/>
      <c r="E35" s="695"/>
      <c r="F35" s="695"/>
      <c r="G35" s="695"/>
      <c r="H35" s="695"/>
      <c r="I35" s="695"/>
      <c r="J35" s="695"/>
      <c r="K35" s="695"/>
      <c r="L35" s="695"/>
      <c r="M35" s="695"/>
      <c r="N35" s="695"/>
      <c r="O35" s="695"/>
      <c r="P35" s="406" t="s">
        <v>0</v>
      </c>
    </row>
    <row r="36" spans="1:20" s="19" customFormat="1" ht="16.5" customHeight="1">
      <c r="A36" s="701"/>
      <c r="B36" s="701"/>
      <c r="C36" s="701"/>
      <c r="D36" s="701"/>
      <c r="E36" s="701"/>
      <c r="F36" s="701"/>
      <c r="G36" s="701"/>
      <c r="H36" s="701"/>
      <c r="I36" s="701"/>
      <c r="J36" s="701"/>
      <c r="K36" s="701"/>
      <c r="L36" s="701"/>
      <c r="M36" s="701"/>
      <c r="N36" s="701"/>
      <c r="O36" s="701"/>
      <c r="P36" s="406" t="s">
        <v>0</v>
      </c>
    </row>
    <row r="37" spans="1:20" s="19" customFormat="1" ht="16.5" customHeight="1">
      <c r="A37" s="687" t="s">
        <v>25</v>
      </c>
      <c r="B37" s="672" t="s">
        <v>272</v>
      </c>
      <c r="C37" s="673"/>
      <c r="D37" s="674"/>
      <c r="E37" s="681" t="s">
        <v>111</v>
      </c>
      <c r="F37" s="702"/>
      <c r="G37" s="703"/>
      <c r="H37" s="672" t="s">
        <v>14</v>
      </c>
      <c r="I37" s="707"/>
      <c r="J37" s="707"/>
      <c r="K37" s="679" t="s">
        <v>135</v>
      </c>
      <c r="L37" s="679" t="s">
        <v>136</v>
      </c>
      <c r="M37" s="672" t="s">
        <v>259</v>
      </c>
      <c r="N37" s="707"/>
      <c r="O37" s="710"/>
      <c r="P37" s="406" t="s">
        <v>0</v>
      </c>
    </row>
    <row r="38" spans="1:20" s="19" customFormat="1" ht="30.75" customHeight="1">
      <c r="A38" s="688"/>
      <c r="B38" s="675"/>
      <c r="C38" s="676"/>
      <c r="D38" s="677"/>
      <c r="E38" s="704"/>
      <c r="F38" s="705"/>
      <c r="G38" s="706"/>
      <c r="H38" s="708"/>
      <c r="I38" s="709"/>
      <c r="J38" s="709"/>
      <c r="K38" s="680"/>
      <c r="L38" s="680"/>
      <c r="M38" s="708"/>
      <c r="N38" s="709"/>
      <c r="O38" s="711"/>
      <c r="P38" s="406" t="s">
        <v>0</v>
      </c>
    </row>
    <row r="39" spans="1:20" s="19" customFormat="1" ht="16.5" customHeight="1" thickBot="1">
      <c r="A39" s="689"/>
      <c r="B39" s="170" t="s">
        <v>117</v>
      </c>
      <c r="C39" s="171" t="s">
        <v>29</v>
      </c>
      <c r="D39" s="171" t="s">
        <v>119</v>
      </c>
      <c r="E39" s="170" t="s">
        <v>117</v>
      </c>
      <c r="F39" s="171" t="s">
        <v>29</v>
      </c>
      <c r="G39" s="171" t="s">
        <v>119</v>
      </c>
      <c r="H39" s="170" t="s">
        <v>117</v>
      </c>
      <c r="I39" s="171" t="s">
        <v>29</v>
      </c>
      <c r="J39" s="171" t="s">
        <v>119</v>
      </c>
      <c r="K39" s="249" t="s">
        <v>119</v>
      </c>
      <c r="L39" s="250" t="s">
        <v>119</v>
      </c>
      <c r="M39" s="170" t="s">
        <v>117</v>
      </c>
      <c r="N39" s="171" t="s">
        <v>29</v>
      </c>
      <c r="O39" s="172" t="s">
        <v>119</v>
      </c>
      <c r="P39" s="406" t="s">
        <v>0</v>
      </c>
    </row>
    <row r="40" spans="1:20" s="19" customFormat="1" ht="16.5" customHeight="1">
      <c r="A40" s="407" t="s">
        <v>209</v>
      </c>
      <c r="B40" s="408">
        <v>0</v>
      </c>
      <c r="C40" s="409">
        <v>0</v>
      </c>
      <c r="D40" s="409">
        <v>16592</v>
      </c>
      <c r="E40" s="408">
        <v>0</v>
      </c>
      <c r="F40" s="409">
        <v>0</v>
      </c>
      <c r="G40" s="409">
        <v>0</v>
      </c>
      <c r="H40" s="408">
        <v>0</v>
      </c>
      <c r="I40" s="409">
        <v>0</v>
      </c>
      <c r="J40" s="409">
        <v>0</v>
      </c>
      <c r="K40" s="410">
        <f>2054+8000</f>
        <v>10054</v>
      </c>
      <c r="L40" s="409">
        <v>1782</v>
      </c>
      <c r="M40" s="408">
        <f t="shared" ref="M40:N40" si="3">B40+E40+H40</f>
        <v>0</v>
      </c>
      <c r="N40" s="409">
        <f t="shared" si="3"/>
        <v>0</v>
      </c>
      <c r="O40" s="411">
        <f>D40+G40+J40+K40+L40</f>
        <v>28428</v>
      </c>
      <c r="P40" s="406" t="s">
        <v>0</v>
      </c>
    </row>
    <row r="41" spans="1:20" s="19" customFormat="1" ht="16.5" customHeight="1">
      <c r="A41" s="412" t="s">
        <v>123</v>
      </c>
      <c r="B41" s="176">
        <f t="shared" ref="B41:O41" si="4">SUM(B40:B40)</f>
        <v>0</v>
      </c>
      <c r="C41" s="177">
        <f t="shared" si="4"/>
        <v>0</v>
      </c>
      <c r="D41" s="178">
        <f t="shared" si="4"/>
        <v>16592</v>
      </c>
      <c r="E41" s="176">
        <f t="shared" si="4"/>
        <v>0</v>
      </c>
      <c r="F41" s="177">
        <f t="shared" si="4"/>
        <v>0</v>
      </c>
      <c r="G41" s="178">
        <f t="shared" si="4"/>
        <v>0</v>
      </c>
      <c r="H41" s="176">
        <f t="shared" si="4"/>
        <v>0</v>
      </c>
      <c r="I41" s="177">
        <f t="shared" si="4"/>
        <v>0</v>
      </c>
      <c r="J41" s="178">
        <f t="shared" si="4"/>
        <v>0</v>
      </c>
      <c r="K41" s="246">
        <f t="shared" si="4"/>
        <v>10054</v>
      </c>
      <c r="L41" s="178">
        <f t="shared" si="4"/>
        <v>1782</v>
      </c>
      <c r="M41" s="176">
        <f t="shared" si="4"/>
        <v>0</v>
      </c>
      <c r="N41" s="177">
        <f t="shared" si="4"/>
        <v>0</v>
      </c>
      <c r="O41" s="179">
        <f t="shared" si="4"/>
        <v>28428</v>
      </c>
      <c r="P41" s="406" t="s">
        <v>0</v>
      </c>
    </row>
    <row r="42" spans="1:20" s="19" customFormat="1" ht="16.5" customHeight="1">
      <c r="B42" s="1"/>
      <c r="C42" s="1"/>
      <c r="D42" s="1"/>
      <c r="E42" s="1"/>
      <c r="F42" s="1"/>
      <c r="G42" s="1"/>
      <c r="H42" s="1"/>
      <c r="I42" s="1"/>
      <c r="J42" s="1"/>
      <c r="K42" s="1"/>
      <c r="L42" s="1"/>
      <c r="M42" s="1"/>
      <c r="N42" s="1"/>
      <c r="O42" s="1"/>
      <c r="P42" s="406" t="s">
        <v>0</v>
      </c>
    </row>
    <row r="43" spans="1:20" s="19" customFormat="1" ht="30.75" customHeight="1">
      <c r="A43" s="696" t="s">
        <v>225</v>
      </c>
      <c r="B43" s="696"/>
      <c r="C43" s="696"/>
      <c r="D43" s="696"/>
      <c r="E43" s="696"/>
      <c r="F43" s="696"/>
      <c r="G43" s="696"/>
      <c r="H43" s="696"/>
      <c r="I43" s="696"/>
      <c r="J43" s="696"/>
      <c r="K43" s="696"/>
      <c r="L43" s="696"/>
      <c r="M43" s="696"/>
      <c r="N43" s="696"/>
      <c r="O43" s="696"/>
      <c r="P43" s="406" t="s">
        <v>0</v>
      </c>
      <c r="R43" s="1"/>
      <c r="S43" s="1"/>
      <c r="T43" s="382"/>
    </row>
    <row r="44" spans="1:20" s="19" customFormat="1">
      <c r="A44" s="1"/>
      <c r="C44" s="1"/>
      <c r="D44" s="1"/>
      <c r="E44" s="1"/>
      <c r="F44" s="1"/>
      <c r="G44" s="1"/>
      <c r="H44" s="1"/>
      <c r="I44" s="1"/>
      <c r="J44" s="2"/>
      <c r="K44" s="1"/>
      <c r="L44" s="1"/>
      <c r="M44" s="1"/>
      <c r="N44" s="1"/>
      <c r="O44" s="1"/>
      <c r="P44" s="406" t="s">
        <v>0</v>
      </c>
      <c r="R44" s="1"/>
      <c r="S44" s="1"/>
      <c r="T44" s="382"/>
    </row>
    <row r="45" spans="1:20" s="19" customFormat="1" ht="14.45" customHeight="1">
      <c r="A45" s="696" t="s">
        <v>212</v>
      </c>
      <c r="B45" s="696"/>
      <c r="C45" s="696"/>
      <c r="D45" s="696"/>
      <c r="E45" s="696"/>
      <c r="F45" s="696"/>
      <c r="G45" s="696"/>
      <c r="H45" s="696"/>
      <c r="I45" s="696"/>
      <c r="J45" s="696"/>
      <c r="K45" s="696"/>
      <c r="L45" s="696"/>
      <c r="M45" s="696"/>
      <c r="N45" s="696"/>
      <c r="O45" s="696"/>
      <c r="P45" s="406" t="s">
        <v>0</v>
      </c>
      <c r="R45" s="1"/>
      <c r="S45" s="1"/>
      <c r="T45" s="382"/>
    </row>
    <row r="46" spans="1:20" s="19" customFormat="1" ht="16.5" customHeight="1">
      <c r="A46" s="26"/>
      <c r="B46" s="26"/>
      <c r="C46" s="26"/>
      <c r="D46" s="26"/>
      <c r="E46" s="26"/>
      <c r="F46" s="26"/>
      <c r="G46" s="26"/>
      <c r="H46" s="1"/>
      <c r="I46" s="1"/>
      <c r="J46" s="1"/>
      <c r="K46" s="1"/>
      <c r="L46" s="1"/>
      <c r="M46" s="1"/>
      <c r="N46" s="1"/>
      <c r="O46" s="1"/>
      <c r="P46" s="413" t="s">
        <v>15</v>
      </c>
    </row>
    <row r="47" spans="1:20" ht="16.5" customHeight="1">
      <c r="A47" s="678"/>
      <c r="B47" s="624"/>
      <c r="C47" s="624"/>
      <c r="D47" s="624"/>
      <c r="E47" s="624"/>
      <c r="F47" s="624"/>
      <c r="G47" s="624"/>
      <c r="H47" s="624"/>
      <c r="I47" s="624"/>
      <c r="J47" s="624"/>
      <c r="K47" s="624"/>
      <c r="L47" s="624"/>
      <c r="M47" s="624"/>
      <c r="N47" s="624"/>
      <c r="O47" s="624"/>
      <c r="P47" s="19"/>
    </row>
    <row r="48" spans="1:20" ht="16.5" customHeight="1"/>
    <row r="49" ht="16.5" customHeight="1"/>
    <row r="50" ht="16.5" customHeight="1"/>
  </sheetData>
  <customSheetViews>
    <customSheetView guid="{3118AF25-8423-420A-806A-487665220C68}" scale="75" showPageBreaks="1" showGridLines="0" outlineSymbols="0" fitToPage="1" printArea="1" view="pageBreakPreview">
      <selection activeCell="N22" sqref="N22"/>
      <pageMargins left="0.5" right="0.5" top="0.5" bottom="0.55000000000000004" header="0" footer="0"/>
      <printOptions horizontalCentered="1"/>
      <pageSetup scale="79" firstPageNumber="2" orientation="landscape" useFirstPageNumber="1" horizontalDpi="300" verticalDpi="300" r:id="rId1"/>
      <headerFooter alignWithMargins="0">
        <oddFooter>&amp;C&amp;"Times New Roman,Regular"Exhibit F - Crosswalk of 2011 Availability</oddFooter>
      </headerFooter>
    </customSheetView>
    <customSheetView guid="{56C0A34E-45B4-448B-85E5-70B3A8E63333}" scale="75" showPageBreaks="1" showGridLines="0" outlineSymbols="0" fitToPage="1" printArea="1" view="pageBreakPreview">
      <selection activeCell="S30" sqref="S30"/>
      <pageMargins left="0.5" right="0.5" top="0.5" bottom="0.55000000000000004" header="0" footer="0"/>
      <printOptions horizontalCentered="1"/>
      <pageSetup scale="68" firstPageNumber="2" orientation="landscape" useFirstPageNumber="1" horizontalDpi="300" verticalDpi="300" r:id="rId2"/>
      <headerFooter alignWithMargins="0">
        <oddFooter>&amp;C&amp;"Times New Roman,Regular"Exhibit F - Crosswalk of 2011 Availability</oddFooter>
      </headerFooter>
    </customSheetView>
    <customSheetView guid="{4148B88B-8ED7-4FDE-9459-DEB244AD0552}" scale="75" showPageBreaks="1" showGridLines="0" outlineSymbols="0" fitToPage="1" printArea="1" hiddenColumns="1" view="pageBreakPreview">
      <selection activeCell="L12" sqref="L12"/>
      <pageMargins left="0.5" right="0.5" top="0.5" bottom="0.55000000000000004" header="0" footer="0"/>
      <printOptions horizontalCentered="1"/>
      <pageSetup scale="79" firstPageNumber="2" orientation="landscape" useFirstPageNumber="1" horizontalDpi="300" verticalDpi="300" r:id="rId3"/>
      <headerFooter alignWithMargins="0">
        <oddFooter>&amp;C&amp;"Times New Roman,Regular"Exhibit F - Crosswalk of 2011 Availability</oddFooter>
      </headerFooter>
    </customSheetView>
    <customSheetView guid="{12C66D54-5067-4346-818B-6EAB1C8A9183}" scale="75" showPageBreaks="1" showGridLines="0" outlineSymbols="0" fitToPage="1" printArea="1" view="pageBreakPreview">
      <selection activeCell="A36" sqref="A36:O36"/>
      <pageMargins left="0.5" right="0.5" top="0.5" bottom="0.55000000000000004" header="0" footer="0"/>
      <printOptions horizontalCentered="1"/>
      <pageSetup scale="79" firstPageNumber="2" orientation="landscape" useFirstPageNumber="1" horizontalDpi="300" verticalDpi="300" r:id="rId4"/>
      <headerFooter alignWithMargins="0">
        <oddFooter>&amp;C&amp;"Times New Roman,Regular"Exhibit F - Crosswalk of 2011 Availability</oddFooter>
      </headerFooter>
    </customSheetView>
  </customSheetViews>
  <mergeCells count="34">
    <mergeCell ref="A45:O45"/>
    <mergeCell ref="A36:O36"/>
    <mergeCell ref="A37:A39"/>
    <mergeCell ref="B37:D38"/>
    <mergeCell ref="E37:G38"/>
    <mergeCell ref="H37:J38"/>
    <mergeCell ref="K37:K38"/>
    <mergeCell ref="L37:L38"/>
    <mergeCell ref="M37:O38"/>
    <mergeCell ref="A1:O1"/>
    <mergeCell ref="A3:O3"/>
    <mergeCell ref="A4:O4"/>
    <mergeCell ref="A5:O5"/>
    <mergeCell ref="A27:O27"/>
    <mergeCell ref="A7:O7"/>
    <mergeCell ref="A8:O8"/>
    <mergeCell ref="A2:O2"/>
    <mergeCell ref="A6:O6"/>
    <mergeCell ref="A29:O29"/>
    <mergeCell ref="M9:O10"/>
    <mergeCell ref="A47:O47"/>
    <mergeCell ref="H9:J10"/>
    <mergeCell ref="K9:K10"/>
    <mergeCell ref="L9:L10"/>
    <mergeCell ref="E9:G10"/>
    <mergeCell ref="B9:D10"/>
    <mergeCell ref="A9:A11"/>
    <mergeCell ref="A25:O25"/>
    <mergeCell ref="A31:O31"/>
    <mergeCell ref="A32:O32"/>
    <mergeCell ref="A33:O33"/>
    <mergeCell ref="A34:O34"/>
    <mergeCell ref="A35:O35"/>
    <mergeCell ref="A43:O43"/>
  </mergeCells>
  <phoneticPr fontId="0" type="noConversion"/>
  <printOptions horizontalCentered="1"/>
  <pageMargins left="0.5" right="0.5" top="0.5" bottom="0.55000000000000004" header="0" footer="0"/>
  <pageSetup scale="61" firstPageNumber="2" orientation="landscape" useFirstPageNumber="1" r:id="rId5"/>
  <headerFooter alignWithMargins="0">
    <oddFooter>&amp;C&amp;"Times New Roman,Regular"Exhibit F - Crosswalk of 2011 Availability</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T49"/>
  <sheetViews>
    <sheetView view="pageBreakPreview" zoomScale="75" zoomScaleNormal="100" zoomScaleSheetLayoutView="75" workbookViewId="0">
      <selection activeCell="A25" sqref="A25:Q25"/>
    </sheetView>
  </sheetViews>
  <sheetFormatPr defaultRowHeight="15.75"/>
  <cols>
    <col min="1" max="1" width="35.21875" customWidth="1"/>
    <col min="4" max="4" width="9.5546875" bestFit="1" customWidth="1"/>
    <col min="8" max="8" width="8.88671875" hidden="1" customWidth="1"/>
    <col min="9" max="9" width="8.88671875" style="229" hidden="1" customWidth="1"/>
    <col min="10" max="10" width="8.88671875" hidden="1" customWidth="1"/>
    <col min="14" max="14" width="9.44140625" style="8" customWidth="1"/>
    <col min="15" max="15" width="10" style="8" customWidth="1"/>
    <col min="18" max="18" width="10.77734375" customWidth="1"/>
  </cols>
  <sheetData>
    <row r="1" spans="1:20" ht="20.25">
      <c r="A1" s="617" t="s">
        <v>166</v>
      </c>
      <c r="B1" s="618"/>
      <c r="C1" s="618"/>
      <c r="D1" s="618"/>
      <c r="E1" s="618"/>
      <c r="F1" s="618"/>
      <c r="G1" s="618"/>
      <c r="H1" s="618"/>
      <c r="I1" s="618"/>
      <c r="J1" s="618"/>
      <c r="K1" s="618"/>
      <c r="L1" s="618"/>
      <c r="M1" s="618"/>
      <c r="N1" s="618"/>
      <c r="O1" s="618"/>
      <c r="P1" s="618"/>
      <c r="Q1" s="618"/>
      <c r="R1" s="618"/>
      <c r="S1" s="59" t="s">
        <v>0</v>
      </c>
      <c r="T1" s="8"/>
    </row>
    <row r="2" spans="1:20">
      <c r="A2" s="699"/>
      <c r="B2" s="699"/>
      <c r="C2" s="699"/>
      <c r="D2" s="699"/>
      <c r="E2" s="699"/>
      <c r="F2" s="699"/>
      <c r="G2" s="699"/>
      <c r="H2" s="699"/>
      <c r="I2" s="699"/>
      <c r="J2" s="699"/>
      <c r="K2" s="699"/>
      <c r="L2" s="699"/>
      <c r="M2" s="699"/>
      <c r="N2" s="699"/>
      <c r="O2" s="699"/>
      <c r="P2" s="699"/>
      <c r="Q2" s="699"/>
      <c r="R2" s="699"/>
      <c r="S2" s="59" t="s">
        <v>0</v>
      </c>
      <c r="T2" s="8"/>
    </row>
    <row r="3" spans="1:20" ht="18.75">
      <c r="A3" s="690" t="s">
        <v>150</v>
      </c>
      <c r="B3" s="697"/>
      <c r="C3" s="697"/>
      <c r="D3" s="697"/>
      <c r="E3" s="697"/>
      <c r="F3" s="697"/>
      <c r="G3" s="697"/>
      <c r="H3" s="697"/>
      <c r="I3" s="697"/>
      <c r="J3" s="697"/>
      <c r="K3" s="697"/>
      <c r="L3" s="697"/>
      <c r="M3" s="697"/>
      <c r="N3" s="697"/>
      <c r="O3" s="697"/>
      <c r="P3" s="697"/>
      <c r="Q3" s="697"/>
      <c r="R3" s="697"/>
      <c r="S3" s="59" t="s">
        <v>0</v>
      </c>
      <c r="T3" s="8"/>
    </row>
    <row r="4" spans="1:20" ht="16.5">
      <c r="A4" s="692" t="str">
        <f>+'B. Summary of Requirements_SE '!A5</f>
        <v>United States Marshals Service</v>
      </c>
      <c r="B4" s="698"/>
      <c r="C4" s="698"/>
      <c r="D4" s="698"/>
      <c r="E4" s="698"/>
      <c r="F4" s="698"/>
      <c r="G4" s="698"/>
      <c r="H4" s="698"/>
      <c r="I4" s="698"/>
      <c r="J4" s="698"/>
      <c r="K4" s="698"/>
      <c r="L4" s="698"/>
      <c r="M4" s="698"/>
      <c r="N4" s="698"/>
      <c r="O4" s="698"/>
      <c r="P4" s="698"/>
      <c r="Q4" s="698"/>
      <c r="R4" s="698"/>
      <c r="S4" s="59" t="s">
        <v>0</v>
      </c>
      <c r="T4" s="8"/>
    </row>
    <row r="5" spans="1:20" ht="16.5">
      <c r="A5" s="692" t="str">
        <f>+'B. Summary of Requirements_SE '!A6</f>
        <v>Salaries and Expenses</v>
      </c>
      <c r="B5" s="697"/>
      <c r="C5" s="697"/>
      <c r="D5" s="697"/>
      <c r="E5" s="697"/>
      <c r="F5" s="697"/>
      <c r="G5" s="697"/>
      <c r="H5" s="697"/>
      <c r="I5" s="697"/>
      <c r="J5" s="697"/>
      <c r="K5" s="697"/>
      <c r="L5" s="697"/>
      <c r="M5" s="697"/>
      <c r="N5" s="697"/>
      <c r="O5" s="697"/>
      <c r="P5" s="697"/>
      <c r="Q5" s="697"/>
      <c r="R5" s="697"/>
      <c r="S5" s="59" t="s">
        <v>0</v>
      </c>
      <c r="T5" s="8"/>
    </row>
    <row r="6" spans="1:20">
      <c r="A6" s="694" t="s">
        <v>101</v>
      </c>
      <c r="B6" s="698"/>
      <c r="C6" s="698"/>
      <c r="D6" s="698"/>
      <c r="E6" s="698"/>
      <c r="F6" s="698"/>
      <c r="G6" s="698"/>
      <c r="H6" s="698"/>
      <c r="I6" s="698"/>
      <c r="J6" s="698"/>
      <c r="K6" s="698"/>
      <c r="L6" s="698"/>
      <c r="M6" s="698"/>
      <c r="N6" s="698"/>
      <c r="O6" s="698"/>
      <c r="P6" s="698"/>
      <c r="Q6" s="698"/>
      <c r="R6" s="698"/>
      <c r="S6" s="59" t="s">
        <v>0</v>
      </c>
      <c r="T6" s="8"/>
    </row>
    <row r="7" spans="1:20">
      <c r="A7" s="699"/>
      <c r="B7" s="699"/>
      <c r="C7" s="699"/>
      <c r="D7" s="699"/>
      <c r="E7" s="699"/>
      <c r="F7" s="699"/>
      <c r="G7" s="699"/>
      <c r="H7" s="699"/>
      <c r="I7" s="699"/>
      <c r="J7" s="699"/>
      <c r="K7" s="699"/>
      <c r="L7" s="699"/>
      <c r="M7" s="699"/>
      <c r="N7" s="699"/>
      <c r="O7" s="699"/>
      <c r="P7" s="699"/>
      <c r="Q7" s="699"/>
      <c r="R7" s="699"/>
      <c r="S7" s="59" t="s">
        <v>0</v>
      </c>
      <c r="T7" s="8"/>
    </row>
    <row r="8" spans="1:20">
      <c r="A8" s="700"/>
      <c r="B8" s="700"/>
      <c r="C8" s="700"/>
      <c r="D8" s="700"/>
      <c r="E8" s="700"/>
      <c r="F8" s="700"/>
      <c r="G8" s="700"/>
      <c r="H8" s="700"/>
      <c r="I8" s="700"/>
      <c r="J8" s="700"/>
      <c r="K8" s="700"/>
      <c r="L8" s="700"/>
      <c r="M8" s="700"/>
      <c r="N8" s="700"/>
      <c r="O8" s="700"/>
      <c r="P8" s="700"/>
      <c r="Q8" s="700"/>
      <c r="R8" s="700"/>
      <c r="S8" s="59" t="s">
        <v>0</v>
      </c>
      <c r="T8" s="8"/>
    </row>
    <row r="9" spans="1:20" ht="15.75" customHeight="1">
      <c r="A9" s="687" t="s">
        <v>25</v>
      </c>
      <c r="B9" s="672" t="s">
        <v>273</v>
      </c>
      <c r="C9" s="673"/>
      <c r="D9" s="674"/>
      <c r="E9" s="681" t="s">
        <v>111</v>
      </c>
      <c r="F9" s="682"/>
      <c r="G9" s="683"/>
      <c r="H9" s="681" t="s">
        <v>112</v>
      </c>
      <c r="I9" s="682"/>
      <c r="J9" s="683"/>
      <c r="K9" s="672" t="s">
        <v>14</v>
      </c>
      <c r="L9" s="673"/>
      <c r="M9" s="674"/>
      <c r="N9" s="679" t="s">
        <v>135</v>
      </c>
      <c r="O9" s="712" t="s">
        <v>136</v>
      </c>
      <c r="P9" s="672" t="s">
        <v>260</v>
      </c>
      <c r="Q9" s="673"/>
      <c r="R9" s="674"/>
      <c r="S9" s="59" t="s">
        <v>0</v>
      </c>
      <c r="T9" s="8"/>
    </row>
    <row r="10" spans="1:20" ht="33" customHeight="1">
      <c r="A10" s="688"/>
      <c r="B10" s="675"/>
      <c r="C10" s="676"/>
      <c r="D10" s="677"/>
      <c r="E10" s="684"/>
      <c r="F10" s="685"/>
      <c r="G10" s="686"/>
      <c r="H10" s="684"/>
      <c r="I10" s="685"/>
      <c r="J10" s="686"/>
      <c r="K10" s="675"/>
      <c r="L10" s="676"/>
      <c r="M10" s="677"/>
      <c r="N10" s="680"/>
      <c r="O10" s="713"/>
      <c r="P10" s="675"/>
      <c r="Q10" s="676"/>
      <c r="R10" s="677"/>
      <c r="S10" s="59" t="s">
        <v>0</v>
      </c>
      <c r="T10" s="8"/>
    </row>
    <row r="11" spans="1:20" ht="16.5" thickBot="1">
      <c r="A11" s="689"/>
      <c r="B11" s="170" t="s">
        <v>117</v>
      </c>
      <c r="C11" s="171" t="s">
        <v>29</v>
      </c>
      <c r="D11" s="171" t="s">
        <v>119</v>
      </c>
      <c r="E11" s="170" t="s">
        <v>117</v>
      </c>
      <c r="F11" s="171" t="s">
        <v>29</v>
      </c>
      <c r="G11" s="171" t="s">
        <v>119</v>
      </c>
      <c r="H11" s="170" t="s">
        <v>117</v>
      </c>
      <c r="I11" s="171" t="s">
        <v>29</v>
      </c>
      <c r="J11" s="171" t="s">
        <v>119</v>
      </c>
      <c r="K11" s="170" t="s">
        <v>117</v>
      </c>
      <c r="L11" s="171" t="s">
        <v>29</v>
      </c>
      <c r="M11" s="171" t="s">
        <v>119</v>
      </c>
      <c r="N11" s="249" t="s">
        <v>119</v>
      </c>
      <c r="O11" s="250" t="s">
        <v>119</v>
      </c>
      <c r="P11" s="170" t="s">
        <v>117</v>
      </c>
      <c r="Q11" s="171" t="s">
        <v>29</v>
      </c>
      <c r="R11" s="172" t="s">
        <v>119</v>
      </c>
      <c r="S11" s="59" t="s">
        <v>0</v>
      </c>
      <c r="T11" s="8"/>
    </row>
    <row r="12" spans="1:20">
      <c r="A12" s="173" t="s">
        <v>167</v>
      </c>
      <c r="B12" s="154">
        <v>2222</v>
      </c>
      <c r="C12" s="111">
        <v>2189</v>
      </c>
      <c r="D12" s="111">
        <v>454888</v>
      </c>
      <c r="E12" s="154">
        <v>0</v>
      </c>
      <c r="F12" s="111">
        <v>0</v>
      </c>
      <c r="G12" s="111">
        <v>0</v>
      </c>
      <c r="H12" s="154"/>
      <c r="I12" s="111"/>
      <c r="J12" s="111"/>
      <c r="K12" s="154">
        <v>0</v>
      </c>
      <c r="L12" s="111">
        <v>0</v>
      </c>
      <c r="M12" s="111">
        <v>3000</v>
      </c>
      <c r="N12" s="65">
        <v>9525</v>
      </c>
      <c r="O12" s="111">
        <f>1300-O13</f>
        <v>1282</v>
      </c>
      <c r="P12" s="154">
        <f t="shared" ref="P12:Q16" si="0">B12+E12+H12+K12</f>
        <v>2222</v>
      </c>
      <c r="Q12" s="111">
        <f t="shared" si="0"/>
        <v>2189</v>
      </c>
      <c r="R12" s="66">
        <f>D12+G12+J12+M12+N12+O12</f>
        <v>468695</v>
      </c>
      <c r="S12" s="59" t="s">
        <v>0</v>
      </c>
      <c r="T12" s="8"/>
    </row>
    <row r="13" spans="1:20">
      <c r="A13" s="174" t="s">
        <v>168</v>
      </c>
      <c r="B13" s="154">
        <v>1744</v>
      </c>
      <c r="C13" s="111">
        <v>1717</v>
      </c>
      <c r="D13" s="111">
        <v>397254</v>
      </c>
      <c r="E13" s="154">
        <v>0</v>
      </c>
      <c r="F13" s="111">
        <v>0</v>
      </c>
      <c r="G13" s="111">
        <v>0</v>
      </c>
      <c r="H13" s="154"/>
      <c r="I13" s="111"/>
      <c r="J13" s="111"/>
      <c r="K13" s="154">
        <v>0</v>
      </c>
      <c r="L13" s="111">
        <v>0</v>
      </c>
      <c r="M13" s="111">
        <v>4</v>
      </c>
      <c r="N13" s="65">
        <v>1123</v>
      </c>
      <c r="O13" s="111">
        <v>18</v>
      </c>
      <c r="P13" s="154">
        <f t="shared" si="0"/>
        <v>1744</v>
      </c>
      <c r="Q13" s="111">
        <f t="shared" si="0"/>
        <v>1717</v>
      </c>
      <c r="R13" s="66">
        <f>D13+G13+J13+M13+N13+O13</f>
        <v>398399</v>
      </c>
      <c r="S13" s="59" t="s">
        <v>0</v>
      </c>
      <c r="T13" s="8"/>
    </row>
    <row r="14" spans="1:20" s="298" customFormat="1">
      <c r="A14" s="174" t="s">
        <v>183</v>
      </c>
      <c r="B14" s="154">
        <v>1194</v>
      </c>
      <c r="C14" s="111">
        <v>1178</v>
      </c>
      <c r="D14" s="111">
        <v>249802</v>
      </c>
      <c r="E14" s="154">
        <v>0</v>
      </c>
      <c r="F14" s="111">
        <v>0</v>
      </c>
      <c r="G14" s="111">
        <v>-2200</v>
      </c>
      <c r="H14" s="154"/>
      <c r="I14" s="111"/>
      <c r="J14" s="111"/>
      <c r="K14" s="154">
        <v>0</v>
      </c>
      <c r="L14" s="111">
        <v>0</v>
      </c>
      <c r="M14" s="111">
        <v>0</v>
      </c>
      <c r="N14" s="65">
        <v>0</v>
      </c>
      <c r="O14" s="111">
        <v>0</v>
      </c>
      <c r="P14" s="154">
        <f t="shared" si="0"/>
        <v>1194</v>
      </c>
      <c r="Q14" s="111">
        <f t="shared" si="0"/>
        <v>1178</v>
      </c>
      <c r="R14" s="66">
        <f>D14+G14+J14+M14+N14+O14</f>
        <v>247602</v>
      </c>
      <c r="S14" s="59" t="s">
        <v>0</v>
      </c>
      <c r="T14" s="8"/>
    </row>
    <row r="15" spans="1:20">
      <c r="A15" s="174" t="s">
        <v>170</v>
      </c>
      <c r="B15" s="154">
        <v>207</v>
      </c>
      <c r="C15" s="111">
        <v>203</v>
      </c>
      <c r="D15" s="111">
        <v>34509</v>
      </c>
      <c r="E15" s="154">
        <v>0</v>
      </c>
      <c r="F15" s="111">
        <v>0</v>
      </c>
      <c r="G15" s="111">
        <v>0</v>
      </c>
      <c r="H15" s="154"/>
      <c r="I15" s="111"/>
      <c r="J15" s="111"/>
      <c r="K15" s="154">
        <v>0</v>
      </c>
      <c r="L15" s="111">
        <v>0</v>
      </c>
      <c r="M15" s="111">
        <v>0</v>
      </c>
      <c r="N15" s="65">
        <v>0</v>
      </c>
      <c r="O15" s="111">
        <v>0</v>
      </c>
      <c r="P15" s="154">
        <f t="shared" si="0"/>
        <v>207</v>
      </c>
      <c r="Q15" s="111">
        <f t="shared" si="0"/>
        <v>203</v>
      </c>
      <c r="R15" s="66">
        <f>D15+G15+J15+M15+N15+O15</f>
        <v>34509</v>
      </c>
      <c r="S15" s="59" t="s">
        <v>0</v>
      </c>
      <c r="T15" s="8"/>
    </row>
    <row r="16" spans="1:20">
      <c r="A16" s="175" t="s">
        <v>171</v>
      </c>
      <c r="B16" s="427">
        <v>177</v>
      </c>
      <c r="C16" s="428">
        <v>172</v>
      </c>
      <c r="D16" s="428">
        <v>37547</v>
      </c>
      <c r="E16" s="427">
        <v>0</v>
      </c>
      <c r="F16" s="428">
        <v>0</v>
      </c>
      <c r="G16" s="428">
        <v>0</v>
      </c>
      <c r="H16" s="427"/>
      <c r="I16" s="428"/>
      <c r="J16" s="428"/>
      <c r="K16" s="427">
        <v>0</v>
      </c>
      <c r="L16" s="428">
        <v>0</v>
      </c>
      <c r="M16" s="428">
        <v>-2517</v>
      </c>
      <c r="N16" s="429">
        <v>3300</v>
      </c>
      <c r="O16" s="428">
        <v>0</v>
      </c>
      <c r="P16" s="427">
        <f t="shared" si="0"/>
        <v>177</v>
      </c>
      <c r="Q16" s="428">
        <f t="shared" si="0"/>
        <v>172</v>
      </c>
      <c r="R16" s="430">
        <f>D16+G16+J16+M16+N16+O16</f>
        <v>38330</v>
      </c>
      <c r="S16" s="59" t="s">
        <v>0</v>
      </c>
      <c r="T16" s="8"/>
    </row>
    <row r="17" spans="1:20">
      <c r="A17" s="412" t="s">
        <v>123</v>
      </c>
      <c r="B17" s="176">
        <f t="shared" ref="B17:R17" si="1">SUM(B12:B16)</f>
        <v>5544</v>
      </c>
      <c r="C17" s="177">
        <f t="shared" si="1"/>
        <v>5459</v>
      </c>
      <c r="D17" s="178">
        <f>SUM(D12:D16)</f>
        <v>1174000</v>
      </c>
      <c r="E17" s="176">
        <f t="shared" si="1"/>
        <v>0</v>
      </c>
      <c r="F17" s="177">
        <f t="shared" si="1"/>
        <v>0</v>
      </c>
      <c r="G17" s="178">
        <f t="shared" si="1"/>
        <v>-2200</v>
      </c>
      <c r="H17" s="176">
        <f t="shared" si="1"/>
        <v>0</v>
      </c>
      <c r="I17" s="177">
        <f>SUM(I12:I16)</f>
        <v>0</v>
      </c>
      <c r="J17" s="178">
        <f t="shared" si="1"/>
        <v>0</v>
      </c>
      <c r="K17" s="176">
        <f t="shared" si="1"/>
        <v>0</v>
      </c>
      <c r="L17" s="177">
        <f t="shared" si="1"/>
        <v>0</v>
      </c>
      <c r="M17" s="178">
        <f t="shared" si="1"/>
        <v>487</v>
      </c>
      <c r="N17" s="246">
        <f t="shared" si="1"/>
        <v>13948</v>
      </c>
      <c r="O17" s="178">
        <f t="shared" si="1"/>
        <v>1300</v>
      </c>
      <c r="P17" s="176">
        <f t="shared" si="1"/>
        <v>5544</v>
      </c>
      <c r="Q17" s="177">
        <f>SUM(Q12:Q16)</f>
        <v>5459</v>
      </c>
      <c r="R17" s="179">
        <f t="shared" si="1"/>
        <v>1187535</v>
      </c>
      <c r="S17" s="59" t="s">
        <v>0</v>
      </c>
      <c r="T17" s="8"/>
    </row>
    <row r="18" spans="1:20">
      <c r="A18" s="522" t="s">
        <v>184</v>
      </c>
      <c r="B18" s="152" t="s">
        <v>118</v>
      </c>
      <c r="C18" s="153">
        <v>418</v>
      </c>
      <c r="D18" s="153"/>
      <c r="E18" s="152"/>
      <c r="F18" s="153">
        <v>0</v>
      </c>
      <c r="G18" s="153"/>
      <c r="H18" s="152"/>
      <c r="I18" s="153"/>
      <c r="J18" s="153"/>
      <c r="K18" s="152"/>
      <c r="L18" s="153">
        <v>0</v>
      </c>
      <c r="M18" s="153"/>
      <c r="N18" s="68"/>
      <c r="O18" s="153"/>
      <c r="P18" s="152"/>
      <c r="Q18" s="153">
        <f>C18+F18+I18+L18</f>
        <v>418</v>
      </c>
      <c r="R18" s="180"/>
      <c r="S18" s="59" t="s">
        <v>0</v>
      </c>
      <c r="T18" s="9"/>
    </row>
    <row r="19" spans="1:20">
      <c r="A19" s="169" t="s">
        <v>106</v>
      </c>
      <c r="B19" s="181"/>
      <c r="C19" s="182">
        <f>SUM(C17:C18)</f>
        <v>5877</v>
      </c>
      <c r="D19" s="182"/>
      <c r="E19" s="181"/>
      <c r="F19" s="182">
        <f>+F17+F18</f>
        <v>0</v>
      </c>
      <c r="G19" s="182"/>
      <c r="H19" s="181"/>
      <c r="I19" s="182">
        <f>+I17+I18</f>
        <v>0</v>
      </c>
      <c r="J19" s="182"/>
      <c r="K19" s="181"/>
      <c r="L19" s="182">
        <f>+L17+L18</f>
        <v>0</v>
      </c>
      <c r="M19" s="182"/>
      <c r="N19" s="247"/>
      <c r="O19" s="182"/>
      <c r="P19" s="181"/>
      <c r="Q19" s="182">
        <f>SUM(Q17:Q18)</f>
        <v>5877</v>
      </c>
      <c r="R19" s="183"/>
      <c r="S19" s="59" t="s">
        <v>0</v>
      </c>
      <c r="T19" s="8"/>
    </row>
    <row r="20" spans="1:20">
      <c r="A20" s="184" t="s">
        <v>107</v>
      </c>
      <c r="B20" s="154"/>
      <c r="C20" s="111"/>
      <c r="D20" s="111"/>
      <c r="E20" s="154"/>
      <c r="F20" s="111"/>
      <c r="G20" s="111"/>
      <c r="H20" s="154"/>
      <c r="I20" s="111"/>
      <c r="J20" s="111"/>
      <c r="K20" s="154"/>
      <c r="L20" s="111"/>
      <c r="M20" s="111"/>
      <c r="N20" s="65"/>
      <c r="O20" s="111"/>
      <c r="P20" s="154"/>
      <c r="Q20" s="111"/>
      <c r="R20" s="66"/>
      <c r="S20" s="59" t="s">
        <v>0</v>
      </c>
      <c r="T20" s="8"/>
    </row>
    <row r="21" spans="1:20">
      <c r="A21" s="185" t="s">
        <v>35</v>
      </c>
      <c r="B21" s="154"/>
      <c r="C21" s="111">
        <v>639</v>
      </c>
      <c r="D21" s="111"/>
      <c r="E21" s="154"/>
      <c r="F21" s="111">
        <v>0</v>
      </c>
      <c r="G21" s="111"/>
      <c r="H21" s="154"/>
      <c r="I21" s="111">
        <v>0</v>
      </c>
      <c r="J21" s="111"/>
      <c r="K21" s="154"/>
      <c r="L21" s="111">
        <v>0</v>
      </c>
      <c r="M21" s="111"/>
      <c r="N21" s="65"/>
      <c r="O21" s="111"/>
      <c r="P21" s="154"/>
      <c r="Q21" s="111">
        <f>C21+F21+I21+L21</f>
        <v>639</v>
      </c>
      <c r="R21" s="66"/>
      <c r="S21" s="59" t="s">
        <v>0</v>
      </c>
      <c r="T21" s="8"/>
    </row>
    <row r="22" spans="1:20">
      <c r="A22" s="186" t="s">
        <v>66</v>
      </c>
      <c r="B22" s="152"/>
      <c r="C22" s="153">
        <v>207</v>
      </c>
      <c r="D22" s="153"/>
      <c r="E22" s="152"/>
      <c r="F22" s="153">
        <v>0</v>
      </c>
      <c r="G22" s="153"/>
      <c r="H22" s="152"/>
      <c r="I22" s="153">
        <v>0</v>
      </c>
      <c r="J22" s="153"/>
      <c r="K22" s="152"/>
      <c r="L22" s="153">
        <v>0</v>
      </c>
      <c r="M22" s="153"/>
      <c r="N22" s="68"/>
      <c r="O22" s="153"/>
      <c r="P22" s="152"/>
      <c r="Q22" s="153">
        <f>C22+F22+I22+L22</f>
        <v>207</v>
      </c>
      <c r="R22" s="180"/>
      <c r="S22" s="59" t="s">
        <v>0</v>
      </c>
      <c r="T22" s="8"/>
    </row>
    <row r="23" spans="1:20">
      <c r="A23" s="169" t="s">
        <v>108</v>
      </c>
      <c r="B23" s="152"/>
      <c r="C23" s="153">
        <f>C22+C21+C19</f>
        <v>6723</v>
      </c>
      <c r="D23" s="187"/>
      <c r="E23" s="152"/>
      <c r="F23" s="153">
        <f>F22+F21+F19</f>
        <v>0</v>
      </c>
      <c r="G23" s="187"/>
      <c r="H23" s="152"/>
      <c r="I23" s="153">
        <f>I22+I21+I19</f>
        <v>0</v>
      </c>
      <c r="J23" s="187"/>
      <c r="K23" s="152"/>
      <c r="L23" s="153">
        <f>L22+L21+L19</f>
        <v>0</v>
      </c>
      <c r="M23" s="187"/>
      <c r="N23" s="248"/>
      <c r="O23" s="187"/>
      <c r="P23" s="152"/>
      <c r="Q23" s="153">
        <f>Q22+Q21+Q19</f>
        <v>6723</v>
      </c>
      <c r="R23" s="188"/>
      <c r="S23" s="59" t="s">
        <v>0</v>
      </c>
      <c r="T23" s="8"/>
    </row>
    <row r="24" spans="1:20">
      <c r="A24" s="524" t="s">
        <v>303</v>
      </c>
      <c r="B24" s="1"/>
      <c r="C24" s="1"/>
      <c r="D24" s="1"/>
      <c r="E24" s="1"/>
      <c r="F24" s="1"/>
      <c r="G24" s="1"/>
      <c r="H24" s="1"/>
      <c r="I24" s="1"/>
      <c r="J24" s="1"/>
      <c r="K24" s="1"/>
      <c r="L24" s="1"/>
      <c r="M24" s="1"/>
      <c r="N24" s="1"/>
      <c r="O24" s="1"/>
      <c r="P24" s="1"/>
      <c r="Q24" s="1"/>
      <c r="R24" s="1"/>
      <c r="S24" s="59" t="s">
        <v>0</v>
      </c>
      <c r="T24" s="8"/>
    </row>
    <row r="25" spans="1:20" s="19" customFormat="1" ht="38.25" customHeight="1">
      <c r="A25" s="671" t="s">
        <v>247</v>
      </c>
      <c r="B25" s="671"/>
      <c r="C25" s="671"/>
      <c r="D25" s="671"/>
      <c r="E25" s="671"/>
      <c r="F25" s="671"/>
      <c r="G25" s="671"/>
      <c r="H25" s="671"/>
      <c r="I25" s="671"/>
      <c r="J25" s="671"/>
      <c r="K25" s="671"/>
      <c r="L25" s="671"/>
      <c r="M25" s="671"/>
      <c r="N25" s="671"/>
      <c r="O25" s="671"/>
      <c r="P25" s="671"/>
      <c r="Q25" s="671"/>
      <c r="S25" s="59" t="s">
        <v>0</v>
      </c>
    </row>
    <row r="26" spans="1:20" s="19" customFormat="1" ht="16.5" customHeight="1">
      <c r="A26" s="1"/>
      <c r="C26" s="1"/>
      <c r="D26" s="1"/>
      <c r="E26" s="1"/>
      <c r="F26" s="1"/>
      <c r="G26" s="1"/>
      <c r="H26" s="1"/>
      <c r="I26" s="1"/>
      <c r="J26" s="1"/>
      <c r="K26" s="1"/>
      <c r="L26" s="1"/>
      <c r="M26" s="1"/>
      <c r="N26" s="1"/>
      <c r="O26" s="1"/>
      <c r="P26" s="59" t="s">
        <v>0</v>
      </c>
      <c r="Q26" s="8"/>
      <c r="S26" s="59" t="s">
        <v>0</v>
      </c>
    </row>
    <row r="27" spans="1:20" s="19" customFormat="1" ht="36.75" customHeight="1">
      <c r="A27" s="671" t="s">
        <v>242</v>
      </c>
      <c r="B27" s="671"/>
      <c r="C27" s="671"/>
      <c r="D27" s="671"/>
      <c r="E27" s="671"/>
      <c r="F27" s="671"/>
      <c r="G27" s="671"/>
      <c r="H27" s="671"/>
      <c r="I27" s="671"/>
      <c r="J27" s="671"/>
      <c r="K27" s="671"/>
      <c r="L27" s="671"/>
      <c r="M27" s="671"/>
      <c r="N27" s="671"/>
      <c r="O27" s="671"/>
      <c r="P27" s="671" t="s">
        <v>0</v>
      </c>
      <c r="Q27" s="671"/>
      <c r="S27" s="59" t="s">
        <v>0</v>
      </c>
    </row>
    <row r="28" spans="1:20" s="19" customFormat="1" ht="16.5" customHeight="1">
      <c r="A28" s="1"/>
      <c r="B28" s="402"/>
      <c r="C28" s="402"/>
      <c r="D28" s="402"/>
      <c r="E28" s="402"/>
      <c r="F28" s="402"/>
      <c r="G28" s="402"/>
      <c r="H28" s="402"/>
      <c r="I28" s="402"/>
      <c r="J28" s="402"/>
      <c r="K28" s="402"/>
      <c r="L28" s="402"/>
      <c r="M28" s="1"/>
      <c r="N28" s="1"/>
      <c r="O28" s="1"/>
      <c r="P28" s="59" t="s">
        <v>0</v>
      </c>
      <c r="Q28" s="8"/>
      <c r="S28" s="59" t="s">
        <v>0</v>
      </c>
    </row>
    <row r="29" spans="1:20" s="19" customFormat="1" ht="34.5" customHeight="1">
      <c r="A29" s="671" t="s">
        <v>248</v>
      </c>
      <c r="B29" s="671"/>
      <c r="C29" s="671"/>
      <c r="D29" s="671"/>
      <c r="E29" s="671"/>
      <c r="F29" s="671"/>
      <c r="G29" s="671"/>
      <c r="H29" s="671"/>
      <c r="I29" s="671"/>
      <c r="J29" s="671"/>
      <c r="K29" s="671"/>
      <c r="L29" s="671"/>
      <c r="M29" s="671"/>
      <c r="N29" s="671"/>
      <c r="O29" s="671"/>
      <c r="P29" s="671" t="s">
        <v>0</v>
      </c>
      <c r="Q29" s="671"/>
      <c r="S29" s="59" t="s">
        <v>0</v>
      </c>
    </row>
    <row r="30" spans="1:20" s="401" customFormat="1">
      <c r="A30" s="8"/>
      <c r="B30" s="1"/>
      <c r="C30" s="1"/>
      <c r="D30" s="1"/>
      <c r="E30" s="1"/>
      <c r="F30" s="1"/>
      <c r="G30" s="1"/>
      <c r="H30" s="1"/>
      <c r="I30" s="1"/>
      <c r="J30" s="1"/>
      <c r="K30" s="1"/>
      <c r="L30" s="1"/>
      <c r="M30" s="1"/>
      <c r="N30" s="1"/>
      <c r="O30" s="1"/>
      <c r="P30" s="1"/>
      <c r="Q30" s="1"/>
      <c r="R30" s="1"/>
      <c r="S30" s="59" t="s">
        <v>0</v>
      </c>
      <c r="T30" s="8"/>
    </row>
    <row r="31" spans="1:20" s="19" customFormat="1">
      <c r="A31" s="671" t="s">
        <v>255</v>
      </c>
      <c r="B31" s="671"/>
      <c r="C31" s="671"/>
      <c r="D31" s="671"/>
      <c r="E31" s="671"/>
      <c r="F31" s="671"/>
      <c r="G31" s="671"/>
      <c r="H31" s="671"/>
      <c r="I31" s="671"/>
      <c r="J31" s="671"/>
      <c r="K31" s="671"/>
      <c r="L31" s="671"/>
      <c r="M31" s="671"/>
      <c r="N31" s="671"/>
      <c r="O31" s="671"/>
      <c r="P31" s="671" t="s">
        <v>0</v>
      </c>
      <c r="Q31" s="671"/>
      <c r="S31" s="59" t="s">
        <v>0</v>
      </c>
    </row>
    <row r="32" spans="1:20" s="401" customFormat="1">
      <c r="A32" s="8"/>
      <c r="B32" s="1"/>
      <c r="C32" s="1"/>
      <c r="D32" s="1"/>
      <c r="E32" s="1"/>
      <c r="F32" s="1"/>
      <c r="G32" s="1"/>
      <c r="H32" s="1"/>
      <c r="I32" s="1"/>
      <c r="J32" s="1"/>
      <c r="K32" s="1"/>
      <c r="L32" s="1"/>
      <c r="M32" s="1"/>
      <c r="N32" s="1"/>
      <c r="O32" s="1"/>
      <c r="P32" s="1"/>
      <c r="Q32" s="1"/>
      <c r="R32" s="1"/>
      <c r="S32" s="59" t="s">
        <v>0</v>
      </c>
      <c r="T32" s="8"/>
    </row>
    <row r="33" spans="1:20" s="401" customFormat="1" ht="18.75">
      <c r="A33" s="690" t="s">
        <v>150</v>
      </c>
      <c r="B33" s="697"/>
      <c r="C33" s="697"/>
      <c r="D33" s="697"/>
      <c r="E33" s="697"/>
      <c r="F33" s="697"/>
      <c r="G33" s="697"/>
      <c r="H33" s="697"/>
      <c r="I33" s="697"/>
      <c r="J33" s="697"/>
      <c r="K33" s="697"/>
      <c r="L33" s="697"/>
      <c r="M33" s="697"/>
      <c r="N33" s="697"/>
      <c r="O33" s="697"/>
      <c r="P33" s="697"/>
      <c r="Q33" s="697"/>
      <c r="R33" s="697"/>
      <c r="S33" s="59" t="s">
        <v>0</v>
      </c>
      <c r="T33" s="8"/>
    </row>
    <row r="34" spans="1:20" s="401" customFormat="1" ht="16.5">
      <c r="A34" s="692" t="str">
        <f>+'B. Summary of Requirements_Cons'!A5:U5</f>
        <v>United States Marshals Service</v>
      </c>
      <c r="B34" s="698"/>
      <c r="C34" s="698"/>
      <c r="D34" s="698"/>
      <c r="E34" s="698"/>
      <c r="F34" s="698"/>
      <c r="G34" s="698"/>
      <c r="H34" s="698"/>
      <c r="I34" s="698"/>
      <c r="J34" s="698"/>
      <c r="K34" s="698"/>
      <c r="L34" s="698"/>
      <c r="M34" s="698"/>
      <c r="N34" s="698"/>
      <c r="O34" s="698"/>
      <c r="P34" s="698"/>
      <c r="Q34" s="698"/>
      <c r="R34" s="698"/>
      <c r="S34" s="59" t="s">
        <v>0</v>
      </c>
      <c r="T34" s="8"/>
    </row>
    <row r="35" spans="1:20" s="401" customFormat="1" ht="16.5">
      <c r="A35" s="692" t="str">
        <f>+'B. Summary of Requirements_Cons'!A6:U6</f>
        <v>Construction</v>
      </c>
      <c r="B35" s="698"/>
      <c r="C35" s="698"/>
      <c r="D35" s="698"/>
      <c r="E35" s="698"/>
      <c r="F35" s="698"/>
      <c r="G35" s="698"/>
      <c r="H35" s="698"/>
      <c r="I35" s="698"/>
      <c r="J35" s="698"/>
      <c r="K35" s="698"/>
      <c r="L35" s="698"/>
      <c r="M35" s="698"/>
      <c r="N35" s="698"/>
      <c r="O35" s="698"/>
      <c r="P35" s="698"/>
      <c r="Q35" s="698"/>
      <c r="R35" s="698"/>
      <c r="S35" s="59" t="s">
        <v>0</v>
      </c>
      <c r="T35" s="8"/>
    </row>
    <row r="36" spans="1:20" s="401" customFormat="1">
      <c r="A36" s="694" t="s">
        <v>101</v>
      </c>
      <c r="B36" s="698"/>
      <c r="C36" s="698"/>
      <c r="D36" s="698"/>
      <c r="E36" s="698"/>
      <c r="F36" s="698"/>
      <c r="G36" s="698"/>
      <c r="H36" s="698"/>
      <c r="I36" s="698"/>
      <c r="J36" s="698"/>
      <c r="K36" s="698"/>
      <c r="L36" s="698"/>
      <c r="M36" s="698"/>
      <c r="N36" s="698"/>
      <c r="O36" s="698"/>
      <c r="P36" s="698"/>
      <c r="Q36" s="698"/>
      <c r="R36" s="698"/>
      <c r="S36" s="59" t="s">
        <v>0</v>
      </c>
      <c r="T36" s="8"/>
    </row>
    <row r="37" spans="1:20" s="401" customFormat="1">
      <c r="A37" s="699"/>
      <c r="B37" s="699"/>
      <c r="C37" s="699"/>
      <c r="D37" s="699"/>
      <c r="E37" s="699"/>
      <c r="F37" s="699"/>
      <c r="G37" s="699"/>
      <c r="H37" s="699"/>
      <c r="I37" s="699"/>
      <c r="J37" s="699"/>
      <c r="K37" s="699"/>
      <c r="L37" s="699"/>
      <c r="M37" s="699"/>
      <c r="N37" s="699"/>
      <c r="O37" s="699"/>
      <c r="P37" s="699"/>
      <c r="Q37" s="699"/>
      <c r="R37" s="699"/>
      <c r="S37" s="59" t="s">
        <v>0</v>
      </c>
      <c r="T37" s="8"/>
    </row>
    <row r="38" spans="1:20" s="401" customFormat="1">
      <c r="A38" s="700"/>
      <c r="B38" s="700"/>
      <c r="C38" s="700"/>
      <c r="D38" s="700"/>
      <c r="E38" s="700"/>
      <c r="F38" s="700"/>
      <c r="G38" s="700"/>
      <c r="H38" s="700"/>
      <c r="I38" s="700"/>
      <c r="J38" s="700"/>
      <c r="K38" s="700"/>
      <c r="L38" s="700"/>
      <c r="M38" s="700"/>
      <c r="N38" s="700"/>
      <c r="O38" s="700"/>
      <c r="P38" s="700"/>
      <c r="Q38" s="700"/>
      <c r="R38" s="700"/>
      <c r="S38" s="59" t="s">
        <v>0</v>
      </c>
      <c r="T38" s="8"/>
    </row>
    <row r="39" spans="1:20" s="401" customFormat="1" ht="15.75" customHeight="1">
      <c r="A39" s="687" t="s">
        <v>25</v>
      </c>
      <c r="B39" s="672" t="s">
        <v>273</v>
      </c>
      <c r="C39" s="673"/>
      <c r="D39" s="674"/>
      <c r="E39" s="681" t="s">
        <v>111</v>
      </c>
      <c r="F39" s="682"/>
      <c r="G39" s="683"/>
      <c r="H39" s="681" t="s">
        <v>112</v>
      </c>
      <c r="I39" s="682"/>
      <c r="J39" s="683"/>
      <c r="K39" s="672" t="s">
        <v>14</v>
      </c>
      <c r="L39" s="673"/>
      <c r="M39" s="674"/>
      <c r="N39" s="679" t="s">
        <v>135</v>
      </c>
      <c r="O39" s="712" t="s">
        <v>136</v>
      </c>
      <c r="P39" s="672" t="s">
        <v>260</v>
      </c>
      <c r="Q39" s="673"/>
      <c r="R39" s="674"/>
      <c r="S39" s="59" t="s">
        <v>0</v>
      </c>
      <c r="T39" s="8"/>
    </row>
    <row r="40" spans="1:20" s="401" customFormat="1" ht="36" customHeight="1">
      <c r="A40" s="688"/>
      <c r="B40" s="675"/>
      <c r="C40" s="676"/>
      <c r="D40" s="677"/>
      <c r="E40" s="684"/>
      <c r="F40" s="685"/>
      <c r="G40" s="686"/>
      <c r="H40" s="684"/>
      <c r="I40" s="685"/>
      <c r="J40" s="686"/>
      <c r="K40" s="675"/>
      <c r="L40" s="676"/>
      <c r="M40" s="677"/>
      <c r="N40" s="680"/>
      <c r="O40" s="713"/>
      <c r="P40" s="675"/>
      <c r="Q40" s="676"/>
      <c r="R40" s="677"/>
      <c r="S40" s="59" t="s">
        <v>0</v>
      </c>
      <c r="T40" s="8"/>
    </row>
    <row r="41" spans="1:20" s="401" customFormat="1" ht="16.5" thickBot="1">
      <c r="A41" s="689"/>
      <c r="B41" s="170" t="s">
        <v>117</v>
      </c>
      <c r="C41" s="171" t="s">
        <v>29</v>
      </c>
      <c r="D41" s="171" t="s">
        <v>119</v>
      </c>
      <c r="E41" s="170" t="s">
        <v>117</v>
      </c>
      <c r="F41" s="171" t="s">
        <v>29</v>
      </c>
      <c r="G41" s="171" t="s">
        <v>119</v>
      </c>
      <c r="H41" s="170" t="s">
        <v>117</v>
      </c>
      <c r="I41" s="171" t="s">
        <v>29</v>
      </c>
      <c r="J41" s="171" t="s">
        <v>119</v>
      </c>
      <c r="K41" s="170" t="s">
        <v>117</v>
      </c>
      <c r="L41" s="171" t="s">
        <v>29</v>
      </c>
      <c r="M41" s="171" t="s">
        <v>119</v>
      </c>
      <c r="N41" s="249" t="s">
        <v>119</v>
      </c>
      <c r="O41" s="250" t="s">
        <v>119</v>
      </c>
      <c r="P41" s="170" t="s">
        <v>117</v>
      </c>
      <c r="Q41" s="171" t="s">
        <v>29</v>
      </c>
      <c r="R41" s="172" t="s">
        <v>119</v>
      </c>
      <c r="S41" s="59" t="s">
        <v>0</v>
      </c>
      <c r="T41" s="8"/>
    </row>
    <row r="42" spans="1:20" s="401" customFormat="1">
      <c r="A42" s="332" t="s">
        <v>209</v>
      </c>
      <c r="B42" s="427">
        <v>0</v>
      </c>
      <c r="C42" s="428">
        <v>0</v>
      </c>
      <c r="D42" s="428">
        <v>15000</v>
      </c>
      <c r="E42" s="427">
        <v>0</v>
      </c>
      <c r="F42" s="428">
        <v>0</v>
      </c>
      <c r="G42" s="428">
        <v>0</v>
      </c>
      <c r="H42" s="427"/>
      <c r="I42" s="428"/>
      <c r="J42" s="428"/>
      <c r="K42" s="427">
        <v>0</v>
      </c>
      <c r="L42" s="428">
        <v>0</v>
      </c>
      <c r="M42" s="428">
        <v>0</v>
      </c>
      <c r="N42" s="429">
        <v>2051</v>
      </c>
      <c r="O42" s="428">
        <v>1750</v>
      </c>
      <c r="P42" s="427">
        <f>B42+E42+H42+K42</f>
        <v>0</v>
      </c>
      <c r="Q42" s="428">
        <f>C42+F42+I42+L42</f>
        <v>0</v>
      </c>
      <c r="R42" s="430">
        <f>D42+G42+J42+M42+N42+O42</f>
        <v>18801</v>
      </c>
      <c r="S42" s="59" t="s">
        <v>0</v>
      </c>
      <c r="T42" s="8"/>
    </row>
    <row r="43" spans="1:20" s="401" customFormat="1">
      <c r="A43" s="412" t="s">
        <v>123</v>
      </c>
      <c r="B43" s="176">
        <f t="shared" ref="B43:R43" si="2">SUM(B42:B42)</f>
        <v>0</v>
      </c>
      <c r="C43" s="177">
        <f t="shared" si="2"/>
        <v>0</v>
      </c>
      <c r="D43" s="178">
        <f t="shared" si="2"/>
        <v>15000</v>
      </c>
      <c r="E43" s="176">
        <f t="shared" si="2"/>
        <v>0</v>
      </c>
      <c r="F43" s="177">
        <f t="shared" si="2"/>
        <v>0</v>
      </c>
      <c r="G43" s="178">
        <f t="shared" si="2"/>
        <v>0</v>
      </c>
      <c r="H43" s="176">
        <f t="shared" si="2"/>
        <v>0</v>
      </c>
      <c r="I43" s="177">
        <f t="shared" si="2"/>
        <v>0</v>
      </c>
      <c r="J43" s="178">
        <f t="shared" si="2"/>
        <v>0</v>
      </c>
      <c r="K43" s="176">
        <f t="shared" si="2"/>
        <v>0</v>
      </c>
      <c r="L43" s="177">
        <f t="shared" si="2"/>
        <v>0</v>
      </c>
      <c r="M43" s="178">
        <f t="shared" si="2"/>
        <v>0</v>
      </c>
      <c r="N43" s="246">
        <f t="shared" si="2"/>
        <v>2051</v>
      </c>
      <c r="O43" s="178">
        <f t="shared" si="2"/>
        <v>1750</v>
      </c>
      <c r="P43" s="176">
        <f t="shared" si="2"/>
        <v>0</v>
      </c>
      <c r="Q43" s="177">
        <f t="shared" si="2"/>
        <v>0</v>
      </c>
      <c r="R43" s="179">
        <f t="shared" si="2"/>
        <v>18801</v>
      </c>
      <c r="S43" s="59" t="s">
        <v>0</v>
      </c>
      <c r="T43" s="8"/>
    </row>
    <row r="44" spans="1:20" s="401" customFormat="1">
      <c r="A44" s="8"/>
      <c r="B44" s="1"/>
      <c r="C44" s="1"/>
      <c r="D44" s="1"/>
      <c r="E44" s="1"/>
      <c r="F44" s="1"/>
      <c r="G44" s="1"/>
      <c r="H44" s="1"/>
      <c r="I44" s="1"/>
      <c r="J44" s="1"/>
      <c r="K44" s="1"/>
      <c r="L44" s="1"/>
      <c r="M44" s="1"/>
      <c r="N44" s="1"/>
      <c r="O44" s="1"/>
      <c r="P44" s="1"/>
      <c r="Q44" s="1"/>
      <c r="R44" s="1"/>
      <c r="S44" s="59" t="s">
        <v>0</v>
      </c>
      <c r="T44" s="8"/>
    </row>
    <row r="45" spans="1:20" s="19" customFormat="1" ht="15.75" customHeight="1">
      <c r="A45" s="671" t="s">
        <v>224</v>
      </c>
      <c r="B45" s="671"/>
      <c r="C45" s="671"/>
      <c r="D45" s="671"/>
      <c r="E45" s="671"/>
      <c r="F45" s="671"/>
      <c r="G45" s="671"/>
      <c r="H45" s="671"/>
      <c r="I45" s="671"/>
      <c r="J45" s="671"/>
      <c r="K45" s="671"/>
      <c r="L45" s="671"/>
      <c r="M45" s="671"/>
      <c r="N45" s="671"/>
      <c r="O45" s="671"/>
      <c r="P45" s="671" t="s">
        <v>0</v>
      </c>
      <c r="Q45" s="671"/>
      <c r="R45" s="1"/>
      <c r="S45" s="59" t="s">
        <v>0</v>
      </c>
      <c r="T45" s="382"/>
    </row>
    <row r="46" spans="1:20" s="19" customFormat="1">
      <c r="A46" s="1"/>
      <c r="C46" s="1"/>
      <c r="D46" s="1"/>
      <c r="E46" s="1"/>
      <c r="F46" s="1"/>
      <c r="G46" s="1"/>
      <c r="H46" s="1"/>
      <c r="I46" s="1"/>
      <c r="J46" s="2"/>
      <c r="K46" s="1"/>
      <c r="L46" s="1"/>
      <c r="M46" s="1"/>
      <c r="N46" s="1"/>
      <c r="O46" s="1"/>
      <c r="P46" s="406" t="s">
        <v>0</v>
      </c>
      <c r="R46" s="1"/>
      <c r="S46" s="59" t="s">
        <v>0</v>
      </c>
      <c r="T46" s="382"/>
    </row>
    <row r="47" spans="1:20" s="19" customFormat="1">
      <c r="A47" s="671" t="s">
        <v>243</v>
      </c>
      <c r="B47" s="671"/>
      <c r="C47" s="671"/>
      <c r="D47" s="671"/>
      <c r="E47" s="671"/>
      <c r="F47" s="671"/>
      <c r="G47" s="671"/>
      <c r="H47" s="671"/>
      <c r="I47" s="671"/>
      <c r="J47" s="671"/>
      <c r="K47" s="671"/>
      <c r="L47" s="671"/>
      <c r="M47" s="671"/>
      <c r="N47" s="671"/>
      <c r="O47" s="671"/>
      <c r="P47" s="671" t="s">
        <v>0</v>
      </c>
      <c r="Q47" s="671"/>
      <c r="R47" s="1"/>
      <c r="S47" s="59" t="s">
        <v>0</v>
      </c>
      <c r="T47" s="382"/>
    </row>
    <row r="48" spans="1:20">
      <c r="A48" s="1"/>
      <c r="B48" s="19"/>
      <c r="C48" s="1"/>
      <c r="D48" s="1"/>
      <c r="E48" s="1"/>
      <c r="F48" s="1"/>
      <c r="G48" s="1"/>
      <c r="H48" s="1"/>
      <c r="I48" s="1"/>
      <c r="J48" s="2"/>
      <c r="K48" s="1"/>
      <c r="L48" s="1"/>
      <c r="M48" s="1"/>
      <c r="N48" s="1"/>
      <c r="O48" s="1"/>
      <c r="P48" s="1"/>
      <c r="Q48" s="1"/>
      <c r="R48" s="1"/>
      <c r="S48" s="50" t="s">
        <v>15</v>
      </c>
      <c r="T48" s="8"/>
    </row>
    <row r="49" spans="1:20" ht="18">
      <c r="A49" s="106"/>
      <c r="B49" s="19"/>
      <c r="C49" s="19"/>
      <c r="D49" s="19"/>
      <c r="E49" s="19"/>
      <c r="F49" s="19"/>
      <c r="G49" s="19"/>
      <c r="H49" s="19"/>
      <c r="I49" s="19"/>
      <c r="J49" s="19"/>
      <c r="K49" s="19"/>
      <c r="L49" s="19"/>
      <c r="M49" s="19"/>
      <c r="P49" s="19"/>
      <c r="Q49" s="19"/>
      <c r="R49" s="19"/>
      <c r="S49" s="19"/>
      <c r="T49" s="60"/>
    </row>
  </sheetData>
  <customSheetViews>
    <customSheetView guid="{3118AF25-8423-420A-806A-487665220C68}" scale="75" showPageBreaks="1" fitToPage="1" printArea="1" hiddenColumns="1" view="pageBreakPreview">
      <selection activeCell="R16" sqref="R16"/>
      <pageMargins left="0.75" right="0.75" top="1" bottom="1" header="0.5" footer="0.5"/>
      <pageSetup scale="62" orientation="landscape" r:id="rId1"/>
      <headerFooter alignWithMargins="0">
        <oddFooter>&amp;C&amp;"Times New Roman,Regular"Exhibit G:  Crosswalk of 2012 Availability</oddFooter>
      </headerFooter>
    </customSheetView>
    <customSheetView guid="{56C0A34E-45B4-448B-85E5-70B3A8E63333}" scale="75" showPageBreaks="1" fitToPage="1" printArea="1" view="pageBreakPreview">
      <selection activeCell="E13" sqref="E13"/>
      <pageMargins left="0.75" right="0.75" top="1" bottom="1" header="0.5" footer="0.5"/>
      <pageSetup scale="54" orientation="landscape" r:id="rId2"/>
      <headerFooter alignWithMargins="0">
        <oddFooter>&amp;C&amp;"Times New Roman,Regular"Exhibit G:  Crosswalk of 2012 Availability</oddFooter>
      </headerFooter>
    </customSheetView>
    <customSheetView guid="{4148B88B-8ED7-4FDE-9459-DEB244AD0552}" scale="75" showPageBreaks="1" fitToPage="1" printArea="1" hiddenColumns="1" view="pageBreakPreview">
      <selection activeCell="N11" sqref="N11"/>
      <pageMargins left="0.75" right="0.75" top="1" bottom="1" header="0.5" footer="0.5"/>
      <pageSetup scale="62" orientation="landscape" r:id="rId3"/>
      <headerFooter alignWithMargins="0">
        <oddFooter>&amp;C&amp;"Times New Roman,Regular"Exhibit G:  Crosswalk of 2012 Availability</oddFooter>
      </headerFooter>
    </customSheetView>
    <customSheetView guid="{12C66D54-5067-4346-818B-6EAB1C8A9183}" scale="75" showPageBreaks="1" fitToPage="1" printArea="1" hiddenColumns="1" view="pageBreakPreview">
      <selection activeCell="M44" sqref="M44"/>
      <pageMargins left="0.75" right="0.75" top="1" bottom="1" header="0.5" footer="0.5"/>
      <pageSetup scale="62" orientation="landscape" r:id="rId4"/>
      <headerFooter alignWithMargins="0">
        <oddFooter>&amp;C&amp;"Times New Roman,Regular"Exhibit G:  Crosswalk of 2012 Availability</oddFooter>
      </headerFooter>
    </customSheetView>
  </customSheetViews>
  <mergeCells count="36">
    <mergeCell ref="A6:R6"/>
    <mergeCell ref="A7:R7"/>
    <mergeCell ref="A8:R8"/>
    <mergeCell ref="A9:A11"/>
    <mergeCell ref="A1:R1"/>
    <mergeCell ref="A2:R2"/>
    <mergeCell ref="A3:R3"/>
    <mergeCell ref="A4:R4"/>
    <mergeCell ref="A5:R5"/>
    <mergeCell ref="B9:D10"/>
    <mergeCell ref="E9:G10"/>
    <mergeCell ref="A33:R33"/>
    <mergeCell ref="A34:R34"/>
    <mergeCell ref="A35:R35"/>
    <mergeCell ref="H9:J10"/>
    <mergeCell ref="K9:M10"/>
    <mergeCell ref="P9:R10"/>
    <mergeCell ref="N9:N10"/>
    <mergeCell ref="O9:O10"/>
    <mergeCell ref="A25:Q25"/>
    <mergeCell ref="A27:Q27"/>
    <mergeCell ref="A29:Q29"/>
    <mergeCell ref="A31:Q31"/>
    <mergeCell ref="A45:Q45"/>
    <mergeCell ref="A47:Q47"/>
    <mergeCell ref="K39:M40"/>
    <mergeCell ref="N39:N40"/>
    <mergeCell ref="O39:O40"/>
    <mergeCell ref="P39:R40"/>
    <mergeCell ref="A36:R36"/>
    <mergeCell ref="A37:R37"/>
    <mergeCell ref="A38:R38"/>
    <mergeCell ref="A39:A41"/>
    <mergeCell ref="B39:D40"/>
    <mergeCell ref="E39:G40"/>
    <mergeCell ref="H39:J40"/>
  </mergeCells>
  <phoneticPr fontId="42" type="noConversion"/>
  <printOptions horizontalCentered="1"/>
  <pageMargins left="0.5" right="0.5" top="1" bottom="0.75" header="0.5" footer="0.5"/>
  <pageSetup scale="56" orientation="landscape" r:id="rId5"/>
  <headerFooter alignWithMargins="0">
    <oddFooter>&amp;C&amp;"Times New Roman,Regular"Exhibit G:  Crosswalk of 2012 Availability</oddFooter>
  </headerFooter>
</worksheet>
</file>

<file path=xl/worksheets/sheet9.xml><?xml version="1.0" encoding="utf-8"?>
<worksheet xmlns="http://schemas.openxmlformats.org/spreadsheetml/2006/main" xmlns:r="http://schemas.openxmlformats.org/officeDocument/2006/relationships">
  <sheetPr codeName="Sheet13">
    <pageSetUpPr fitToPage="1"/>
  </sheetPr>
  <dimension ref="A1:AF31"/>
  <sheetViews>
    <sheetView showGridLines="0" showOutlineSymbols="0" view="pageBreakPreview" zoomScale="75" zoomScaleNormal="75" workbookViewId="0">
      <selection activeCell="K28" sqref="K28"/>
    </sheetView>
  </sheetViews>
  <sheetFormatPr defaultColWidth="9.6640625" defaultRowHeight="15.75"/>
  <cols>
    <col min="1" max="1" width="4.44140625" style="19" customWidth="1"/>
    <col min="2" max="2" width="45.6640625" style="19" customWidth="1"/>
    <col min="3" max="3" width="6.5546875" style="19" customWidth="1"/>
    <col min="4" max="4" width="5.6640625" style="19" customWidth="1"/>
    <col min="5" max="5" width="10.44140625" style="19" bestFit="1" customWidth="1"/>
    <col min="6" max="7" width="5.6640625" style="19" customWidth="1"/>
    <col min="8" max="8" width="11.77734375" style="19" customWidth="1"/>
    <col min="9" max="10" width="5.6640625" style="19" customWidth="1"/>
    <col min="11" max="11" width="10.44140625" style="19" bestFit="1" customWidth="1"/>
    <col min="12" max="13" width="5.6640625" style="19" customWidth="1"/>
    <col min="14" max="14" width="7.6640625" style="19" customWidth="1"/>
    <col min="15" max="15" width="1.21875" style="54" customWidth="1"/>
    <col min="16" max="16" width="27.5546875" style="19" customWidth="1"/>
    <col min="17" max="20" width="7.6640625" style="19" customWidth="1"/>
    <col min="21" max="21" width="3.6640625" style="19" customWidth="1"/>
    <col min="22" max="24" width="7.6640625" style="19" customWidth="1"/>
    <col min="25" max="25" width="3.6640625" style="19" customWidth="1"/>
    <col min="26" max="28" width="7.6640625" style="19" customWidth="1"/>
    <col min="29" max="29" width="3.6640625" style="19" customWidth="1"/>
    <col min="30" max="32" width="7.6640625" style="19" customWidth="1"/>
    <col min="33" max="16384" width="9.6640625" style="19"/>
  </cols>
  <sheetData>
    <row r="1" spans="1:21" ht="20.25">
      <c r="A1" s="588" t="s">
        <v>143</v>
      </c>
      <c r="B1" s="714"/>
      <c r="C1" s="714"/>
      <c r="D1" s="714"/>
      <c r="E1" s="714"/>
      <c r="F1" s="714"/>
      <c r="G1" s="714"/>
      <c r="H1" s="714"/>
      <c r="I1" s="714"/>
      <c r="J1" s="714"/>
      <c r="K1" s="714"/>
      <c r="L1" s="714"/>
      <c r="M1" s="714"/>
      <c r="N1" s="714"/>
      <c r="O1" s="53" t="s">
        <v>0</v>
      </c>
      <c r="P1" s="1"/>
      <c r="Q1" s="1"/>
      <c r="R1" s="1"/>
      <c r="S1" s="1"/>
      <c r="T1" s="1"/>
      <c r="U1" s="1"/>
    </row>
    <row r="2" spans="1:21" ht="13.9" customHeight="1">
      <c r="A2" s="18"/>
      <c r="B2" s="7"/>
      <c r="C2" s="7"/>
      <c r="D2" s="7"/>
      <c r="E2" s="7"/>
      <c r="F2" s="7"/>
      <c r="G2" s="7"/>
      <c r="H2" s="7"/>
      <c r="I2" s="7"/>
      <c r="J2" s="7"/>
      <c r="K2" s="7"/>
      <c r="L2" s="7"/>
      <c r="M2" s="7"/>
      <c r="N2" s="7"/>
      <c r="O2" s="53" t="s">
        <v>0</v>
      </c>
      <c r="P2" s="1"/>
      <c r="Q2" s="1"/>
      <c r="R2" s="1"/>
      <c r="S2" s="1"/>
      <c r="T2" s="1"/>
      <c r="U2" s="1"/>
    </row>
    <row r="3" spans="1:21" ht="18.75">
      <c r="A3" s="715" t="s">
        <v>64</v>
      </c>
      <c r="B3" s="716"/>
      <c r="C3" s="716"/>
      <c r="D3" s="716"/>
      <c r="E3" s="716"/>
      <c r="F3" s="716"/>
      <c r="G3" s="716"/>
      <c r="H3" s="716"/>
      <c r="I3" s="716"/>
      <c r="J3" s="716"/>
      <c r="K3" s="716"/>
      <c r="L3" s="716"/>
      <c r="M3" s="716"/>
      <c r="N3" s="716"/>
      <c r="O3" s="53" t="s">
        <v>0</v>
      </c>
      <c r="P3" s="1"/>
      <c r="Q3" s="1"/>
      <c r="R3" s="1"/>
      <c r="S3" s="1"/>
      <c r="T3" s="1"/>
      <c r="U3" s="1"/>
    </row>
    <row r="4" spans="1:21" ht="16.5">
      <c r="A4" s="717" t="str">
        <f>+'B. Summary of Requirements_SE '!A5</f>
        <v>United States Marshals Service</v>
      </c>
      <c r="B4" s="718"/>
      <c r="C4" s="718"/>
      <c r="D4" s="718"/>
      <c r="E4" s="718"/>
      <c r="F4" s="718"/>
      <c r="G4" s="718"/>
      <c r="H4" s="718"/>
      <c r="I4" s="718"/>
      <c r="J4" s="718"/>
      <c r="K4" s="718"/>
      <c r="L4" s="718"/>
      <c r="M4" s="718"/>
      <c r="N4" s="718"/>
      <c r="O4" s="53" t="s">
        <v>0</v>
      </c>
      <c r="P4" s="1"/>
      <c r="Q4" s="1"/>
      <c r="R4" s="1"/>
      <c r="S4" s="1"/>
      <c r="T4" s="1"/>
      <c r="U4" s="1"/>
    </row>
    <row r="5" spans="1:21" ht="16.5">
      <c r="A5" s="717" t="str">
        <f>+'B. Summary of Requirements_SE '!A6</f>
        <v>Salaries and Expenses</v>
      </c>
      <c r="B5" s="716"/>
      <c r="C5" s="716"/>
      <c r="D5" s="716"/>
      <c r="E5" s="716"/>
      <c r="F5" s="716"/>
      <c r="G5" s="716"/>
      <c r="H5" s="716"/>
      <c r="I5" s="716"/>
      <c r="J5" s="716"/>
      <c r="K5" s="716"/>
      <c r="L5" s="716"/>
      <c r="M5" s="716"/>
      <c r="N5" s="716"/>
      <c r="O5" s="53" t="s">
        <v>0</v>
      </c>
      <c r="P5" s="1"/>
      <c r="Q5" s="1"/>
      <c r="R5" s="1"/>
      <c r="S5" s="1"/>
      <c r="T5" s="1"/>
      <c r="U5" s="1"/>
    </row>
    <row r="6" spans="1:21">
      <c r="A6" s="719" t="s">
        <v>101</v>
      </c>
      <c r="B6" s="718"/>
      <c r="C6" s="718"/>
      <c r="D6" s="718"/>
      <c r="E6" s="718"/>
      <c r="F6" s="718"/>
      <c r="G6" s="718"/>
      <c r="H6" s="718"/>
      <c r="I6" s="718"/>
      <c r="J6" s="718"/>
      <c r="K6" s="718"/>
      <c r="L6" s="718"/>
      <c r="M6" s="718"/>
      <c r="N6" s="718"/>
      <c r="O6" s="53" t="s">
        <v>0</v>
      </c>
      <c r="P6" s="1"/>
      <c r="Q6" s="1"/>
      <c r="R6" s="1"/>
      <c r="S6" s="1"/>
      <c r="T6" s="1"/>
      <c r="U6" s="1"/>
    </row>
    <row r="7" spans="1:21">
      <c r="A7" s="7"/>
      <c r="B7" s="7"/>
      <c r="C7" s="7"/>
      <c r="D7" s="7"/>
      <c r="E7" s="7"/>
      <c r="F7" s="189"/>
      <c r="G7" s="189"/>
      <c r="H7" s="189"/>
      <c r="I7" s="7"/>
      <c r="J7" s="7"/>
      <c r="K7" s="7"/>
      <c r="L7" s="7"/>
      <c r="M7" s="7"/>
      <c r="N7" s="7"/>
      <c r="O7" s="53" t="s">
        <v>0</v>
      </c>
      <c r="P7" s="1"/>
      <c r="Q7" s="1"/>
      <c r="R7" s="1"/>
      <c r="S7" s="1"/>
      <c r="T7" s="1"/>
      <c r="U7" s="1"/>
    </row>
    <row r="8" spans="1:21" ht="39" customHeight="1">
      <c r="A8" s="554" t="s">
        <v>114</v>
      </c>
      <c r="B8" s="724"/>
      <c r="C8" s="730" t="s">
        <v>261</v>
      </c>
      <c r="D8" s="728"/>
      <c r="E8" s="729"/>
      <c r="F8" s="730" t="s">
        <v>293</v>
      </c>
      <c r="G8" s="728"/>
      <c r="H8" s="729"/>
      <c r="I8" s="730" t="s">
        <v>294</v>
      </c>
      <c r="J8" s="728"/>
      <c r="K8" s="729"/>
      <c r="L8" s="727" t="s">
        <v>24</v>
      </c>
      <c r="M8" s="728"/>
      <c r="N8" s="729"/>
      <c r="O8" s="53" t="s">
        <v>0</v>
      </c>
      <c r="P8" s="1"/>
      <c r="Q8" s="1"/>
      <c r="R8" s="1"/>
      <c r="S8" s="1"/>
      <c r="T8" s="1"/>
      <c r="U8" s="1"/>
    </row>
    <row r="9" spans="1:21" ht="16.5" thickBot="1">
      <c r="A9" s="725"/>
      <c r="B9" s="726"/>
      <c r="C9" s="170" t="s">
        <v>117</v>
      </c>
      <c r="D9" s="171" t="s">
        <v>29</v>
      </c>
      <c r="E9" s="172" t="s">
        <v>119</v>
      </c>
      <c r="F9" s="170" t="s">
        <v>117</v>
      </c>
      <c r="G9" s="171" t="s">
        <v>29</v>
      </c>
      <c r="H9" s="171" t="s">
        <v>119</v>
      </c>
      <c r="I9" s="170" t="s">
        <v>117</v>
      </c>
      <c r="J9" s="171" t="s">
        <v>29</v>
      </c>
      <c r="K9" s="171" t="s">
        <v>119</v>
      </c>
      <c r="L9" s="170" t="s">
        <v>117</v>
      </c>
      <c r="M9" s="171" t="s">
        <v>29</v>
      </c>
      <c r="N9" s="172" t="s">
        <v>119</v>
      </c>
      <c r="O9" s="53" t="s">
        <v>0</v>
      </c>
      <c r="P9" s="1"/>
      <c r="Q9" s="1"/>
      <c r="R9" s="1"/>
      <c r="S9" s="1"/>
      <c r="T9" s="1"/>
      <c r="U9" s="1"/>
    </row>
    <row r="10" spans="1:21">
      <c r="A10" s="328" t="s">
        <v>188</v>
      </c>
      <c r="B10" s="359"/>
      <c r="C10" s="301">
        <v>64</v>
      </c>
      <c r="D10" s="302">
        <v>51</v>
      </c>
      <c r="E10" s="303">
        <v>930</v>
      </c>
      <c r="F10" s="301">
        <v>76</v>
      </c>
      <c r="G10" s="302">
        <v>70</v>
      </c>
      <c r="H10" s="303">
        <v>1208</v>
      </c>
      <c r="I10" s="301">
        <v>76</v>
      </c>
      <c r="J10" s="302">
        <v>76</v>
      </c>
      <c r="K10" s="303">
        <v>1208</v>
      </c>
      <c r="L10" s="301">
        <f>I10-F10</f>
        <v>0</v>
      </c>
      <c r="M10" s="302">
        <f>J10-G10</f>
        <v>6</v>
      </c>
      <c r="N10" s="303">
        <f>K10-H10</f>
        <v>0</v>
      </c>
      <c r="O10" s="53" t="s">
        <v>0</v>
      </c>
      <c r="P10" s="1"/>
      <c r="Q10" s="1"/>
      <c r="R10" s="1"/>
      <c r="S10" s="1"/>
      <c r="T10" s="1"/>
      <c r="U10" s="1"/>
    </row>
    <row r="11" spans="1:21">
      <c r="A11" s="331" t="s">
        <v>189</v>
      </c>
      <c r="B11" s="360"/>
      <c r="C11" s="301">
        <v>187</v>
      </c>
      <c r="D11" s="302">
        <v>180</v>
      </c>
      <c r="E11" s="303">
        <v>19437</v>
      </c>
      <c r="F11" s="301">
        <v>244</v>
      </c>
      <c r="G11" s="302">
        <v>244</v>
      </c>
      <c r="H11" s="303">
        <v>25845</v>
      </c>
      <c r="I11" s="301">
        <v>244</v>
      </c>
      <c r="J11" s="302">
        <v>244</v>
      </c>
      <c r="K11" s="303">
        <v>25845</v>
      </c>
      <c r="L11" s="301">
        <f t="shared" ref="L11:N11" si="0">I11-F11</f>
        <v>0</v>
      </c>
      <c r="M11" s="302">
        <f t="shared" si="0"/>
        <v>0</v>
      </c>
      <c r="N11" s="303">
        <f t="shared" si="0"/>
        <v>0</v>
      </c>
      <c r="O11" s="53" t="s">
        <v>0</v>
      </c>
      <c r="P11" s="1"/>
      <c r="Q11" s="1"/>
      <c r="R11" s="1"/>
      <c r="S11" s="1"/>
      <c r="T11" s="1"/>
      <c r="U11" s="1"/>
    </row>
    <row r="12" spans="1:21">
      <c r="A12" s="331" t="s">
        <v>190</v>
      </c>
      <c r="B12" s="360"/>
      <c r="C12" s="361">
        <v>36</v>
      </c>
      <c r="D12" s="317">
        <v>36</v>
      </c>
      <c r="E12" s="362">
        <v>8471</v>
      </c>
      <c r="F12" s="361">
        <v>34</v>
      </c>
      <c r="G12" s="317">
        <v>34</v>
      </c>
      <c r="H12" s="362">
        <v>9029</v>
      </c>
      <c r="I12" s="361">
        <v>34</v>
      </c>
      <c r="J12" s="317">
        <v>34</v>
      </c>
      <c r="K12" s="362">
        <v>9029</v>
      </c>
      <c r="L12" s="301">
        <f>I12-F12</f>
        <v>0</v>
      </c>
      <c r="M12" s="302">
        <f>J12-G12</f>
        <v>0</v>
      </c>
      <c r="N12" s="303">
        <f>K12-H12</f>
        <v>0</v>
      </c>
      <c r="O12" s="53" t="s">
        <v>0</v>
      </c>
      <c r="P12" s="1"/>
      <c r="Q12" s="1"/>
      <c r="R12" s="1"/>
      <c r="S12" s="1"/>
      <c r="T12" s="1"/>
      <c r="U12" s="1"/>
    </row>
    <row r="13" spans="1:21">
      <c r="A13" s="331" t="s">
        <v>296</v>
      </c>
      <c r="B13" s="360"/>
      <c r="C13" s="301">
        <v>9</v>
      </c>
      <c r="D13" s="302">
        <v>8</v>
      </c>
      <c r="E13" s="303">
        <v>2882</v>
      </c>
      <c r="F13" s="301">
        <v>9</v>
      </c>
      <c r="G13" s="302">
        <v>9</v>
      </c>
      <c r="H13" s="303">
        <v>3187</v>
      </c>
      <c r="I13" s="301">
        <v>9</v>
      </c>
      <c r="J13" s="302">
        <v>9</v>
      </c>
      <c r="K13" s="303">
        <v>3187</v>
      </c>
      <c r="L13" s="301">
        <f t="shared" ref="L13:N26" si="1">I13-F13</f>
        <v>0</v>
      </c>
      <c r="M13" s="302">
        <f t="shared" si="1"/>
        <v>0</v>
      </c>
      <c r="N13" s="303">
        <f t="shared" si="1"/>
        <v>0</v>
      </c>
      <c r="O13" s="53" t="s">
        <v>0</v>
      </c>
      <c r="P13" s="1"/>
      <c r="Q13" s="1"/>
      <c r="R13" s="1"/>
      <c r="S13" s="1"/>
      <c r="T13" s="1"/>
      <c r="U13" s="1"/>
    </row>
    <row r="14" spans="1:21">
      <c r="A14" s="331" t="s">
        <v>191</v>
      </c>
      <c r="B14" s="360"/>
      <c r="C14" s="361">
        <v>0</v>
      </c>
      <c r="D14" s="317">
        <v>0</v>
      </c>
      <c r="E14" s="362">
        <f>410+3400</f>
        <v>3810</v>
      </c>
      <c r="F14" s="361">
        <v>0</v>
      </c>
      <c r="G14" s="317">
        <v>0</v>
      </c>
      <c r="H14" s="362">
        <f>500+4500</f>
        <v>5000</v>
      </c>
      <c r="I14" s="361">
        <v>0</v>
      </c>
      <c r="J14" s="317">
        <v>0</v>
      </c>
      <c r="K14" s="362">
        <f>500+4500</f>
        <v>5000</v>
      </c>
      <c r="L14" s="301">
        <f>I14-F14</f>
        <v>0</v>
      </c>
      <c r="M14" s="302">
        <f>J14-G14</f>
        <v>0</v>
      </c>
      <c r="N14" s="303">
        <f>K14-H14</f>
        <v>0</v>
      </c>
      <c r="O14" s="53" t="s">
        <v>0</v>
      </c>
      <c r="P14" s="1"/>
      <c r="Q14" s="1"/>
      <c r="R14" s="1"/>
      <c r="S14" s="1"/>
      <c r="T14" s="1"/>
      <c r="U14" s="1"/>
    </row>
    <row r="15" spans="1:21">
      <c r="A15" s="331" t="s">
        <v>192</v>
      </c>
      <c r="B15" s="360"/>
      <c r="C15" s="361">
        <v>0</v>
      </c>
      <c r="D15" s="317">
        <v>0</v>
      </c>
      <c r="E15" s="362">
        <f>2+650+130</f>
        <v>782</v>
      </c>
      <c r="F15" s="361">
        <v>0</v>
      </c>
      <c r="G15" s="317">
        <v>0</v>
      </c>
      <c r="H15" s="362">
        <f>2+650</f>
        <v>652</v>
      </c>
      <c r="I15" s="361">
        <v>0</v>
      </c>
      <c r="J15" s="317">
        <v>0</v>
      </c>
      <c r="K15" s="362">
        <f>2+650</f>
        <v>652</v>
      </c>
      <c r="L15" s="301">
        <f t="shared" si="1"/>
        <v>0</v>
      </c>
      <c r="M15" s="302">
        <f t="shared" si="1"/>
        <v>0</v>
      </c>
      <c r="N15" s="303">
        <f t="shared" si="1"/>
        <v>0</v>
      </c>
      <c r="O15" s="53" t="s">
        <v>0</v>
      </c>
      <c r="P15" s="1"/>
      <c r="Q15" s="1"/>
      <c r="R15" s="1"/>
      <c r="S15" s="1"/>
      <c r="T15" s="1"/>
      <c r="U15" s="1"/>
    </row>
    <row r="16" spans="1:21">
      <c r="A16" s="331" t="s">
        <v>193</v>
      </c>
      <c r="B16" s="360"/>
      <c r="C16" s="361">
        <v>1</v>
      </c>
      <c r="D16" s="317">
        <v>1</v>
      </c>
      <c r="E16" s="362">
        <f>3413+213+13553+1000</f>
        <v>18179</v>
      </c>
      <c r="F16" s="361">
        <v>0</v>
      </c>
      <c r="G16" s="317">
        <v>0</v>
      </c>
      <c r="H16" s="362">
        <f>3412+218+105+13483+2000</f>
        <v>19218</v>
      </c>
      <c r="I16" s="361">
        <v>0</v>
      </c>
      <c r="J16" s="317">
        <v>0</v>
      </c>
      <c r="K16" s="362">
        <f>3412+218+105+13483+2000</f>
        <v>19218</v>
      </c>
      <c r="L16" s="301">
        <f>I16-F16</f>
        <v>0</v>
      </c>
      <c r="M16" s="302">
        <f>J16-G16</f>
        <v>0</v>
      </c>
      <c r="N16" s="303">
        <f>K16-H16</f>
        <v>0</v>
      </c>
      <c r="O16" s="53" t="s">
        <v>0</v>
      </c>
      <c r="P16" s="1"/>
      <c r="Q16" s="1"/>
      <c r="R16" s="1"/>
      <c r="S16" s="1"/>
      <c r="T16" s="1"/>
      <c r="U16" s="1"/>
    </row>
    <row r="17" spans="1:32">
      <c r="A17" s="331" t="s">
        <v>194</v>
      </c>
      <c r="B17" s="360"/>
      <c r="C17" s="361">
        <v>0</v>
      </c>
      <c r="D17" s="317">
        <v>0</v>
      </c>
      <c r="E17" s="362">
        <f>545+8345</f>
        <v>8890</v>
      </c>
      <c r="F17" s="361">
        <v>0</v>
      </c>
      <c r="G17" s="317">
        <v>0</v>
      </c>
      <c r="H17" s="362">
        <f>425+8344</f>
        <v>8769</v>
      </c>
      <c r="I17" s="361">
        <v>0</v>
      </c>
      <c r="J17" s="317">
        <v>0</v>
      </c>
      <c r="K17" s="362">
        <f>425+8344</f>
        <v>8769</v>
      </c>
      <c r="L17" s="301">
        <f t="shared" si="1"/>
        <v>0</v>
      </c>
      <c r="M17" s="302">
        <f t="shared" si="1"/>
        <v>0</v>
      </c>
      <c r="N17" s="303">
        <f t="shared" si="1"/>
        <v>0</v>
      </c>
      <c r="O17" s="53" t="s">
        <v>0</v>
      </c>
      <c r="P17" s="1"/>
      <c r="Q17" s="1"/>
      <c r="R17" s="1"/>
      <c r="S17" s="1"/>
      <c r="T17" s="1"/>
      <c r="U17" s="1"/>
    </row>
    <row r="18" spans="1:32">
      <c r="A18" s="331" t="s">
        <v>195</v>
      </c>
      <c r="B18" s="360"/>
      <c r="C18" s="361">
        <v>0</v>
      </c>
      <c r="D18" s="317">
        <v>0</v>
      </c>
      <c r="E18" s="362">
        <v>2275</v>
      </c>
      <c r="F18" s="361">
        <v>0</v>
      </c>
      <c r="G18" s="317">
        <v>0</v>
      </c>
      <c r="H18" s="362">
        <v>2354</v>
      </c>
      <c r="I18" s="361">
        <v>0</v>
      </c>
      <c r="J18" s="317">
        <v>0</v>
      </c>
      <c r="K18" s="362">
        <v>2354</v>
      </c>
      <c r="L18" s="301">
        <f t="shared" si="1"/>
        <v>0</v>
      </c>
      <c r="M18" s="302">
        <f t="shared" si="1"/>
        <v>0</v>
      </c>
      <c r="N18" s="303">
        <f t="shared" si="1"/>
        <v>0</v>
      </c>
      <c r="O18" s="53" t="s">
        <v>0</v>
      </c>
      <c r="P18" s="1"/>
      <c r="Q18" s="1"/>
      <c r="R18" s="1"/>
      <c r="S18" s="1"/>
      <c r="T18" s="1"/>
      <c r="U18" s="1"/>
    </row>
    <row r="19" spans="1:32">
      <c r="A19" s="331" t="s">
        <v>196</v>
      </c>
      <c r="B19" s="360"/>
      <c r="C19" s="361">
        <v>0</v>
      </c>
      <c r="D19" s="317">
        <v>0</v>
      </c>
      <c r="E19" s="362">
        <v>15</v>
      </c>
      <c r="F19" s="361">
        <v>0</v>
      </c>
      <c r="G19" s="317">
        <v>0</v>
      </c>
      <c r="H19" s="362">
        <v>15</v>
      </c>
      <c r="I19" s="361">
        <v>0</v>
      </c>
      <c r="J19" s="317">
        <v>0</v>
      </c>
      <c r="K19" s="362">
        <v>15</v>
      </c>
      <c r="L19" s="301">
        <f t="shared" ref="L19:N20" si="2">I19-F19</f>
        <v>0</v>
      </c>
      <c r="M19" s="302">
        <f t="shared" si="2"/>
        <v>0</v>
      </c>
      <c r="N19" s="303">
        <f t="shared" si="2"/>
        <v>0</v>
      </c>
      <c r="O19" s="53" t="s">
        <v>0</v>
      </c>
      <c r="P19" s="1"/>
      <c r="Q19" s="1"/>
      <c r="R19" s="1"/>
      <c r="S19" s="1"/>
      <c r="T19" s="1"/>
      <c r="U19" s="1"/>
    </row>
    <row r="20" spans="1:32">
      <c r="A20" s="331" t="s">
        <v>197</v>
      </c>
      <c r="B20" s="360"/>
      <c r="C20" s="361">
        <v>1</v>
      </c>
      <c r="D20" s="317">
        <v>0</v>
      </c>
      <c r="E20" s="362">
        <v>0</v>
      </c>
      <c r="F20" s="361">
        <v>0</v>
      </c>
      <c r="G20" s="317">
        <v>0</v>
      </c>
      <c r="H20" s="362">
        <v>0</v>
      </c>
      <c r="I20" s="361">
        <v>0</v>
      </c>
      <c r="J20" s="317">
        <v>0</v>
      </c>
      <c r="K20" s="362">
        <v>0</v>
      </c>
      <c r="L20" s="301">
        <f t="shared" si="2"/>
        <v>0</v>
      </c>
      <c r="M20" s="302">
        <f t="shared" si="2"/>
        <v>0</v>
      </c>
      <c r="N20" s="303">
        <f t="shared" si="2"/>
        <v>0</v>
      </c>
      <c r="O20" s="53" t="s">
        <v>0</v>
      </c>
      <c r="P20" s="1"/>
      <c r="Q20" s="1"/>
      <c r="R20" s="1"/>
      <c r="S20" s="1"/>
      <c r="T20" s="1"/>
      <c r="U20" s="1"/>
    </row>
    <row r="21" spans="1:32">
      <c r="A21" s="331" t="s">
        <v>198</v>
      </c>
      <c r="B21" s="360"/>
      <c r="C21" s="361">
        <v>0</v>
      </c>
      <c r="D21" s="317">
        <v>0</v>
      </c>
      <c r="E21" s="362">
        <v>1474277</v>
      </c>
      <c r="F21" s="361">
        <v>0</v>
      </c>
      <c r="G21" s="317">
        <v>0</v>
      </c>
      <c r="H21" s="362">
        <v>1509747</v>
      </c>
      <c r="I21" s="361">
        <v>0</v>
      </c>
      <c r="J21" s="317">
        <v>0</v>
      </c>
      <c r="K21" s="362">
        <v>1509747</v>
      </c>
      <c r="L21" s="301">
        <f t="shared" si="1"/>
        <v>0</v>
      </c>
      <c r="M21" s="302">
        <f t="shared" si="1"/>
        <v>0</v>
      </c>
      <c r="N21" s="303">
        <f t="shared" si="1"/>
        <v>0</v>
      </c>
      <c r="O21" s="53" t="s">
        <v>0</v>
      </c>
      <c r="P21" s="1"/>
      <c r="Q21" s="1"/>
      <c r="R21" s="1"/>
      <c r="S21" s="1"/>
      <c r="T21" s="1"/>
      <c r="U21" s="1"/>
    </row>
    <row r="22" spans="1:32">
      <c r="A22" s="331" t="s">
        <v>199</v>
      </c>
      <c r="B22" s="360"/>
      <c r="C22" s="361">
        <v>8</v>
      </c>
      <c r="D22" s="317">
        <v>8</v>
      </c>
      <c r="E22" s="362">
        <v>1973</v>
      </c>
      <c r="F22" s="361">
        <v>8</v>
      </c>
      <c r="G22" s="317">
        <v>8</v>
      </c>
      <c r="H22" s="362">
        <v>1973</v>
      </c>
      <c r="I22" s="361">
        <v>8</v>
      </c>
      <c r="J22" s="317">
        <v>8</v>
      </c>
      <c r="K22" s="362">
        <v>1973</v>
      </c>
      <c r="L22" s="301">
        <f t="shared" si="1"/>
        <v>0</v>
      </c>
      <c r="M22" s="302">
        <f t="shared" si="1"/>
        <v>0</v>
      </c>
      <c r="N22" s="303">
        <f t="shared" si="1"/>
        <v>0</v>
      </c>
      <c r="O22" s="53" t="s">
        <v>0</v>
      </c>
      <c r="P22" s="1"/>
      <c r="Q22" s="1"/>
      <c r="R22" s="1"/>
      <c r="S22" s="1"/>
      <c r="T22" s="1"/>
      <c r="U22" s="1"/>
    </row>
    <row r="23" spans="1:32">
      <c r="A23" s="331" t="s">
        <v>200</v>
      </c>
      <c r="B23" s="360"/>
      <c r="C23" s="361">
        <v>42</v>
      </c>
      <c r="D23" s="317">
        <v>41</v>
      </c>
      <c r="E23" s="362">
        <v>9190</v>
      </c>
      <c r="F23" s="361">
        <v>43</v>
      </c>
      <c r="G23" s="317">
        <v>43</v>
      </c>
      <c r="H23" s="362">
        <v>9553</v>
      </c>
      <c r="I23" s="361">
        <f>43-1</f>
        <v>42</v>
      </c>
      <c r="J23" s="317">
        <f>43-1</f>
        <v>42</v>
      </c>
      <c r="K23" s="362">
        <f>9553-410</f>
        <v>9143</v>
      </c>
      <c r="L23" s="301">
        <f t="shared" ref="L23:N24" si="3">I23-F23</f>
        <v>-1</v>
      </c>
      <c r="M23" s="302">
        <f t="shared" si="3"/>
        <v>-1</v>
      </c>
      <c r="N23" s="303">
        <f t="shared" si="3"/>
        <v>-410</v>
      </c>
      <c r="O23" s="53" t="s">
        <v>0</v>
      </c>
      <c r="P23" s="1"/>
      <c r="Q23" s="1"/>
      <c r="R23" s="1"/>
      <c r="S23" s="1"/>
      <c r="T23" s="1"/>
      <c r="U23" s="1"/>
    </row>
    <row r="24" spans="1:32">
      <c r="A24" s="331" t="s">
        <v>201</v>
      </c>
      <c r="B24" s="360"/>
      <c r="C24" s="361">
        <v>7</v>
      </c>
      <c r="D24" s="317">
        <v>7</v>
      </c>
      <c r="E24" s="362">
        <v>1100</v>
      </c>
      <c r="F24" s="361">
        <v>7</v>
      </c>
      <c r="G24" s="317">
        <v>7</v>
      </c>
      <c r="H24" s="362">
        <v>1100</v>
      </c>
      <c r="I24" s="361">
        <v>7</v>
      </c>
      <c r="J24" s="317">
        <v>7</v>
      </c>
      <c r="K24" s="362">
        <v>1100</v>
      </c>
      <c r="L24" s="301">
        <f t="shared" si="3"/>
        <v>0</v>
      </c>
      <c r="M24" s="302">
        <f t="shared" si="3"/>
        <v>0</v>
      </c>
      <c r="N24" s="303">
        <f t="shared" si="3"/>
        <v>0</v>
      </c>
      <c r="O24" s="53" t="s">
        <v>0</v>
      </c>
      <c r="P24" s="1"/>
      <c r="Q24" s="1"/>
      <c r="R24" s="1"/>
      <c r="S24" s="1"/>
      <c r="T24" s="1"/>
      <c r="U24" s="1"/>
    </row>
    <row r="25" spans="1:32">
      <c r="A25" s="331" t="s">
        <v>202</v>
      </c>
      <c r="B25" s="360"/>
      <c r="C25" s="361">
        <v>3</v>
      </c>
      <c r="D25" s="317">
        <v>2</v>
      </c>
      <c r="E25" s="362">
        <v>2064</v>
      </c>
      <c r="F25" s="361">
        <v>3</v>
      </c>
      <c r="G25" s="317">
        <v>3</v>
      </c>
      <c r="H25" s="362">
        <v>2800</v>
      </c>
      <c r="I25" s="361">
        <v>3</v>
      </c>
      <c r="J25" s="317">
        <v>3</v>
      </c>
      <c r="K25" s="362">
        <v>2800</v>
      </c>
      <c r="L25" s="301">
        <f t="shared" si="1"/>
        <v>0</v>
      </c>
      <c r="M25" s="302">
        <f t="shared" si="1"/>
        <v>0</v>
      </c>
      <c r="N25" s="303">
        <f t="shared" si="1"/>
        <v>0</v>
      </c>
      <c r="O25" s="53" t="s">
        <v>0</v>
      </c>
      <c r="P25" s="1"/>
      <c r="Q25" s="1"/>
      <c r="R25" s="1"/>
      <c r="S25" s="1"/>
      <c r="T25" s="1"/>
      <c r="U25" s="1"/>
    </row>
    <row r="26" spans="1:32">
      <c r="A26" s="332" t="s">
        <v>203</v>
      </c>
      <c r="B26" s="363"/>
      <c r="C26" s="333">
        <v>0</v>
      </c>
      <c r="D26" s="334">
        <v>0</v>
      </c>
      <c r="E26" s="364">
        <f>1120+400</f>
        <v>1520</v>
      </c>
      <c r="F26" s="333">
        <v>0</v>
      </c>
      <c r="G26" s="334">
        <v>0</v>
      </c>
      <c r="H26" s="334">
        <v>1120</v>
      </c>
      <c r="I26" s="333">
        <v>0</v>
      </c>
      <c r="J26" s="334">
        <v>0</v>
      </c>
      <c r="K26" s="334">
        <v>1120</v>
      </c>
      <c r="L26" s="424">
        <f t="shared" si="1"/>
        <v>0</v>
      </c>
      <c r="M26" s="425">
        <f t="shared" si="1"/>
        <v>0</v>
      </c>
      <c r="N26" s="426">
        <f t="shared" si="1"/>
        <v>0</v>
      </c>
      <c r="O26" s="53" t="s">
        <v>0</v>
      </c>
      <c r="P26" s="1"/>
      <c r="Q26" s="1"/>
      <c r="R26" s="1"/>
      <c r="S26" s="1"/>
      <c r="T26" s="1"/>
      <c r="U26" s="1"/>
    </row>
    <row r="27" spans="1:32">
      <c r="A27" s="731"/>
      <c r="B27" s="533"/>
      <c r="C27" s="196"/>
      <c r="D27" s="197"/>
      <c r="E27" s="198"/>
      <c r="F27" s="196"/>
      <c r="G27" s="199"/>
      <c r="H27" s="199"/>
      <c r="I27" s="196"/>
      <c r="J27" s="199"/>
      <c r="K27" s="199"/>
      <c r="L27" s="196"/>
      <c r="M27" s="199"/>
      <c r="N27" s="198"/>
      <c r="O27" s="53" t="s">
        <v>0</v>
      </c>
      <c r="P27" s="1"/>
      <c r="Q27" s="1"/>
      <c r="R27" s="1"/>
      <c r="S27" s="1"/>
      <c r="T27" s="1"/>
      <c r="U27" s="1"/>
    </row>
    <row r="28" spans="1:32">
      <c r="A28" s="720" t="s">
        <v>115</v>
      </c>
      <c r="B28" s="721"/>
      <c r="C28" s="176">
        <f t="shared" ref="C28:N28" si="4">SUM(C10:C27)</f>
        <v>358</v>
      </c>
      <c r="D28" s="177">
        <f t="shared" si="4"/>
        <v>334</v>
      </c>
      <c r="E28" s="179">
        <f t="shared" si="4"/>
        <v>1555795</v>
      </c>
      <c r="F28" s="176">
        <f t="shared" si="4"/>
        <v>424</v>
      </c>
      <c r="G28" s="177">
        <f t="shared" si="4"/>
        <v>418</v>
      </c>
      <c r="H28" s="178">
        <f t="shared" si="4"/>
        <v>1601570</v>
      </c>
      <c r="I28" s="176">
        <f t="shared" si="4"/>
        <v>423</v>
      </c>
      <c r="J28" s="177">
        <f t="shared" si="4"/>
        <v>423</v>
      </c>
      <c r="K28" s="178">
        <f t="shared" si="4"/>
        <v>1601160</v>
      </c>
      <c r="L28" s="176">
        <f t="shared" si="4"/>
        <v>-1</v>
      </c>
      <c r="M28" s="177">
        <f t="shared" si="4"/>
        <v>5</v>
      </c>
      <c r="N28" s="179">
        <f t="shared" si="4"/>
        <v>-410</v>
      </c>
      <c r="O28" s="53" t="s">
        <v>0</v>
      </c>
      <c r="P28" s="1"/>
      <c r="Q28" s="1"/>
      <c r="R28" s="1"/>
      <c r="S28" s="1"/>
      <c r="T28" s="1"/>
      <c r="U28" s="1"/>
    </row>
    <row r="29" spans="1:32">
      <c r="A29" s="524" t="s">
        <v>292</v>
      </c>
      <c r="B29" s="524"/>
      <c r="C29" s="524"/>
      <c r="D29" s="524"/>
      <c r="E29" s="524"/>
      <c r="F29" s="524"/>
      <c r="G29" s="524"/>
      <c r="H29" s="191"/>
      <c r="I29" s="190"/>
      <c r="J29" s="190"/>
      <c r="K29" s="191"/>
      <c r="L29" s="190"/>
      <c r="M29" s="190"/>
      <c r="N29" s="191"/>
      <c r="O29" s="53" t="s">
        <v>15</v>
      </c>
      <c r="P29" s="53"/>
      <c r="Q29" s="1"/>
      <c r="R29" s="1"/>
      <c r="S29" s="1"/>
      <c r="T29" s="1"/>
      <c r="U29" s="1"/>
    </row>
    <row r="30" spans="1:32">
      <c r="A30" s="722"/>
      <c r="B30" s="723"/>
      <c r="C30" s="723"/>
      <c r="D30" s="723"/>
      <c r="E30" s="723"/>
      <c r="F30" s="723"/>
      <c r="G30" s="723"/>
      <c r="H30" s="723"/>
      <c r="I30" s="723"/>
      <c r="J30" s="723"/>
      <c r="K30" s="723"/>
      <c r="L30" s="723"/>
      <c r="M30" s="723"/>
      <c r="N30" s="723"/>
      <c r="O30" s="53"/>
      <c r="P30" s="53"/>
      <c r="Q30" s="20"/>
      <c r="R30" s="20"/>
      <c r="S30" s="20"/>
      <c r="T30" s="20"/>
      <c r="U30" s="20"/>
      <c r="V30" s="20"/>
      <c r="W30" s="20"/>
      <c r="X30" s="20"/>
      <c r="Y30" s="20"/>
      <c r="Z30" s="20"/>
      <c r="AA30" s="20"/>
      <c r="AB30" s="20"/>
      <c r="AC30" s="20"/>
      <c r="AD30" s="20"/>
      <c r="AE30" s="20"/>
      <c r="AF30" s="20"/>
    </row>
    <row r="31" spans="1:32">
      <c r="A31" s="1"/>
      <c r="B31" s="1"/>
      <c r="C31" s="2"/>
      <c r="D31" s="2"/>
      <c r="E31" s="2"/>
      <c r="F31" s="2"/>
      <c r="G31" s="2"/>
      <c r="H31" s="2"/>
      <c r="I31" s="2"/>
      <c r="J31" s="2"/>
      <c r="K31" s="2"/>
      <c r="L31" s="2"/>
      <c r="M31" s="2"/>
      <c r="N31" s="2"/>
      <c r="P31" s="20"/>
      <c r="Q31" s="20"/>
      <c r="R31" s="20"/>
      <c r="S31" s="20"/>
      <c r="T31" s="20"/>
      <c r="U31" s="20"/>
      <c r="V31" s="20"/>
      <c r="W31" s="20"/>
      <c r="X31" s="20"/>
      <c r="Y31" s="20"/>
      <c r="Z31" s="20"/>
      <c r="AA31" s="20"/>
      <c r="AB31" s="20"/>
      <c r="AC31" s="20"/>
      <c r="AD31" s="20"/>
      <c r="AE31" s="20"/>
      <c r="AF31" s="20"/>
    </row>
  </sheetData>
  <customSheetViews>
    <customSheetView guid="{3118AF25-8423-420A-806A-487665220C68}"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1"/>
      <headerFooter alignWithMargins="0">
        <oddFooter>&amp;C&amp;"Times New Roman,Regular"Exhibit H - Summary of Reimbursable Resources</oddFooter>
      </headerFooter>
    </customSheetView>
    <customSheetView guid="{56C0A34E-45B4-448B-85E5-70B3A8E6333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2"/>
      <headerFooter alignWithMargins="0">
        <oddFooter>&amp;C&amp;"Times New Roman,Regular"Exhibit H - Summary of Reimbursable Resources</oddFooter>
      </headerFooter>
    </customSheetView>
    <customSheetView guid="{4148B88B-8ED7-4FDE-9459-DEB244AD0552}"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3"/>
      <headerFooter alignWithMargins="0">
        <oddFooter>&amp;C&amp;"Times New Roman,Regular"Exhibit H - Summary of Reimbursable Resources</oddFooter>
      </headerFooter>
    </customSheetView>
    <customSheetView guid="{12C66D54-5067-4346-818B-6EAB1C8A918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4"/>
      <headerFooter alignWithMargins="0">
        <oddFooter>&amp;C&amp;"Times New Roman,Regular"Exhibit H - Summary of Reimbursable Resources</oddFooter>
      </headerFooter>
    </customSheetView>
  </customSheetViews>
  <mergeCells count="13">
    <mergeCell ref="A28:B28"/>
    <mergeCell ref="A30:N30"/>
    <mergeCell ref="A8:B9"/>
    <mergeCell ref="L8:N8"/>
    <mergeCell ref="I8:K8"/>
    <mergeCell ref="A27:B27"/>
    <mergeCell ref="F8:H8"/>
    <mergeCell ref="C8:E8"/>
    <mergeCell ref="A1:N1"/>
    <mergeCell ref="A3:N3"/>
    <mergeCell ref="A4:N4"/>
    <mergeCell ref="A5:N5"/>
    <mergeCell ref="A6:N6"/>
  </mergeCells>
  <phoneticPr fontId="0" type="noConversion"/>
  <printOptions horizontalCentered="1"/>
  <pageMargins left="1" right="1" top="1" bottom="0.55000000000000004" header="0" footer="0"/>
  <pageSetup scale="70" orientation="landscape" r:id="rId5"/>
  <headerFooter alignWithMargins="0">
    <oddFooter>&amp;C&amp;"Times New Roman,Regular"Exhibit H - Summary of Reimbursable Resources</oddFooter>
  </headerFooter>
  <ignoredErrors>
    <ignoredError sqref="H28" formula="1"/>
  </ignoredErrors>
</worksheet>
</file>

<file path=xl/worksheets/sheet10.xml><?xml version="1.0" encoding="utf-8"?>
<worksheet xmlns="http://schemas.openxmlformats.org/spreadsheetml/2006/main" xmlns:r="http://schemas.openxmlformats.org/officeDocument/2006/relationships">
  <sheetPr codeName="Sheet14">
    <pageSetUpPr fitToPage="1"/>
  </sheetPr>
  <dimension ref="A1:J41"/>
  <sheetViews>
    <sheetView view="pageBreakPreview" zoomScaleNormal="75" zoomScaleSheetLayoutView="100" workbookViewId="0">
      <pane xSplit="1" ySplit="11" topLeftCell="B12" activePane="bottomRight" state="frozen"/>
      <selection pane="topRight" activeCell="B1" sqref="B1"/>
      <selection pane="bottomLeft" activeCell="A12" sqref="A12"/>
      <selection pane="bottomRight" sqref="A1:G1"/>
    </sheetView>
  </sheetViews>
  <sheetFormatPr defaultRowHeight="15"/>
  <cols>
    <col min="1" max="1" width="39.33203125" style="10" customWidth="1"/>
    <col min="2" max="2" width="9.6640625" style="10" customWidth="1"/>
    <col min="3" max="3" width="11.109375" style="10" customWidth="1"/>
    <col min="4" max="4" width="10.33203125" style="10" customWidth="1"/>
    <col min="5" max="5" width="11.5546875" style="10" customWidth="1"/>
    <col min="6" max="6" width="10.33203125" style="10" customWidth="1"/>
    <col min="7" max="7" width="12.109375" style="10" customWidth="1"/>
    <col min="8" max="8" width="2.5546875" style="57" customWidth="1"/>
    <col min="9" max="16384" width="8.88671875" style="10"/>
  </cols>
  <sheetData>
    <row r="1" spans="1:8" ht="20.25">
      <c r="A1" s="588" t="s">
        <v>19</v>
      </c>
      <c r="B1" s="744"/>
      <c r="C1" s="744"/>
      <c r="D1" s="744"/>
      <c r="E1" s="744"/>
      <c r="F1" s="744"/>
      <c r="G1" s="744"/>
      <c r="H1" s="57" t="s">
        <v>0</v>
      </c>
    </row>
    <row r="2" spans="1:8" ht="20.25">
      <c r="A2" s="619"/>
      <c r="B2" s="619"/>
      <c r="C2" s="619"/>
      <c r="D2" s="619"/>
      <c r="E2" s="619"/>
      <c r="F2" s="619"/>
      <c r="G2" s="746"/>
      <c r="H2" s="57" t="s">
        <v>0</v>
      </c>
    </row>
    <row r="3" spans="1:8" ht="12.6" customHeight="1">
      <c r="A3" s="619"/>
      <c r="B3" s="619"/>
      <c r="C3" s="619"/>
      <c r="D3" s="619"/>
      <c r="E3" s="619"/>
      <c r="F3" s="619"/>
      <c r="G3" s="746"/>
      <c r="H3" s="57" t="s">
        <v>0</v>
      </c>
    </row>
    <row r="4" spans="1:8" ht="18.75">
      <c r="A4" s="715" t="s">
        <v>31</v>
      </c>
      <c r="B4" s="718"/>
      <c r="C4" s="718"/>
      <c r="D4" s="718"/>
      <c r="E4" s="718"/>
      <c r="F4" s="718"/>
      <c r="G4" s="718"/>
      <c r="H4" s="57" t="s">
        <v>0</v>
      </c>
    </row>
    <row r="5" spans="1:8" ht="16.5">
      <c r="A5" s="717" t="str">
        <f>+'B. Summary of Requirements_SE '!A5</f>
        <v>United States Marshals Service</v>
      </c>
      <c r="B5" s="718"/>
      <c r="C5" s="718"/>
      <c r="D5" s="718"/>
      <c r="E5" s="718"/>
      <c r="F5" s="718"/>
      <c r="G5" s="718"/>
      <c r="H5" s="57" t="s">
        <v>0</v>
      </c>
    </row>
    <row r="6" spans="1:8" ht="16.5">
      <c r="A6" s="745" t="str">
        <f>+'B. Summary of Requirements_SE '!A6</f>
        <v>Salaries and Expenses</v>
      </c>
      <c r="B6" s="718"/>
      <c r="C6" s="718"/>
      <c r="D6" s="718"/>
      <c r="E6" s="718"/>
      <c r="F6" s="718"/>
      <c r="G6" s="718"/>
      <c r="H6" s="57" t="s">
        <v>0</v>
      </c>
    </row>
    <row r="7" spans="1:8" ht="15.75">
      <c r="A7" s="747"/>
      <c r="B7" s="747"/>
      <c r="C7" s="747"/>
      <c r="D7" s="747"/>
      <c r="E7" s="747"/>
      <c r="F7" s="747"/>
      <c r="G7" s="747"/>
      <c r="H7" s="57" t="s">
        <v>0</v>
      </c>
    </row>
    <row r="8" spans="1:8">
      <c r="A8" s="748"/>
      <c r="B8" s="748"/>
      <c r="C8" s="748"/>
      <c r="D8" s="748"/>
      <c r="E8" s="748"/>
      <c r="F8" s="748"/>
      <c r="G8" s="748"/>
      <c r="H8" s="57" t="s">
        <v>0</v>
      </c>
    </row>
    <row r="9" spans="1:8" ht="40.5" customHeight="1">
      <c r="A9" s="736" t="s">
        <v>32</v>
      </c>
      <c r="B9" s="732" t="s">
        <v>156</v>
      </c>
      <c r="C9" s="733"/>
      <c r="D9" s="732" t="s">
        <v>154</v>
      </c>
      <c r="E9" s="733"/>
      <c r="F9" s="749" t="s">
        <v>208</v>
      </c>
      <c r="G9" s="750"/>
      <c r="H9" s="57" t="s">
        <v>0</v>
      </c>
    </row>
    <row r="10" spans="1:8" ht="15" customHeight="1">
      <c r="A10" s="737"/>
      <c r="B10" s="734" t="s">
        <v>16</v>
      </c>
      <c r="C10" s="734" t="s">
        <v>17</v>
      </c>
      <c r="D10" s="734" t="s">
        <v>298</v>
      </c>
      <c r="E10" s="734" t="s">
        <v>299</v>
      </c>
      <c r="F10" s="734" t="s">
        <v>298</v>
      </c>
      <c r="G10" s="734" t="s">
        <v>299</v>
      </c>
      <c r="H10" s="57" t="s">
        <v>0</v>
      </c>
    </row>
    <row r="11" spans="1:8" ht="27" customHeight="1">
      <c r="A11" s="738"/>
      <c r="B11" s="735"/>
      <c r="C11" s="735"/>
      <c r="D11" s="735"/>
      <c r="E11" s="735"/>
      <c r="F11" s="735"/>
      <c r="G11" s="735"/>
      <c r="H11" s="57" t="s">
        <v>0</v>
      </c>
    </row>
    <row r="12" spans="1:8">
      <c r="A12" s="272" t="s">
        <v>282</v>
      </c>
      <c r="B12" s="273">
        <v>9</v>
      </c>
      <c r="C12" s="273">
        <v>0</v>
      </c>
      <c r="D12" s="273">
        <v>3</v>
      </c>
      <c r="E12" s="273">
        <v>0</v>
      </c>
      <c r="F12" s="273">
        <v>3</v>
      </c>
      <c r="G12" s="516">
        <v>0</v>
      </c>
      <c r="H12" s="57" t="s">
        <v>0</v>
      </c>
    </row>
    <row r="13" spans="1:8">
      <c r="A13" s="272" t="s">
        <v>281</v>
      </c>
      <c r="B13" s="273">
        <v>21</v>
      </c>
      <c r="C13" s="273">
        <v>18</v>
      </c>
      <c r="D13" s="273">
        <v>24</v>
      </c>
      <c r="E13" s="273">
        <v>24</v>
      </c>
      <c r="F13" s="273">
        <v>24</v>
      </c>
      <c r="G13" s="517">
        <v>24</v>
      </c>
      <c r="H13" s="57" t="s">
        <v>0</v>
      </c>
    </row>
    <row r="14" spans="1:8">
      <c r="A14" s="272" t="s">
        <v>297</v>
      </c>
      <c r="B14" s="273">
        <v>4</v>
      </c>
      <c r="C14" s="273">
        <v>0</v>
      </c>
      <c r="D14" s="273">
        <v>4</v>
      </c>
      <c r="E14" s="273">
        <v>0</v>
      </c>
      <c r="F14" s="273">
        <v>4</v>
      </c>
      <c r="G14" s="517">
        <v>0</v>
      </c>
      <c r="H14" s="57" t="s">
        <v>0</v>
      </c>
    </row>
    <row r="15" spans="1:8">
      <c r="A15" s="272" t="s">
        <v>285</v>
      </c>
      <c r="B15" s="273">
        <v>19</v>
      </c>
      <c r="C15" s="273">
        <v>2</v>
      </c>
      <c r="D15" s="273">
        <v>34</v>
      </c>
      <c r="E15" s="273">
        <v>3</v>
      </c>
      <c r="F15" s="273">
        <v>34</v>
      </c>
      <c r="G15" s="517">
        <v>3</v>
      </c>
      <c r="H15" s="57" t="s">
        <v>0</v>
      </c>
    </row>
    <row r="16" spans="1:8">
      <c r="A16" s="272" t="s">
        <v>276</v>
      </c>
      <c r="B16" s="273">
        <v>41</v>
      </c>
      <c r="C16" s="273">
        <v>0</v>
      </c>
      <c r="D16" s="273">
        <v>43</v>
      </c>
      <c r="E16" s="273">
        <v>3</v>
      </c>
      <c r="F16" s="273">
        <v>43</v>
      </c>
      <c r="G16" s="517">
        <v>3</v>
      </c>
      <c r="H16" s="57" t="s">
        <v>0</v>
      </c>
    </row>
    <row r="17" spans="1:8">
      <c r="A17" s="272" t="s">
        <v>277</v>
      </c>
      <c r="B17" s="273">
        <v>872</v>
      </c>
      <c r="C17" s="273">
        <v>170</v>
      </c>
      <c r="D17" s="273">
        <v>808</v>
      </c>
      <c r="E17" s="273">
        <v>179</v>
      </c>
      <c r="F17" s="273">
        <v>808</v>
      </c>
      <c r="G17" s="517">
        <v>179</v>
      </c>
      <c r="H17" s="57" t="s">
        <v>0</v>
      </c>
    </row>
    <row r="18" spans="1:8">
      <c r="A18" s="272" t="s">
        <v>121</v>
      </c>
      <c r="B18" s="273">
        <v>121</v>
      </c>
      <c r="C18" s="273">
        <v>10</v>
      </c>
      <c r="D18" s="273">
        <v>125</v>
      </c>
      <c r="E18" s="273">
        <v>11</v>
      </c>
      <c r="F18" s="273">
        <v>125</v>
      </c>
      <c r="G18" s="517">
        <v>11</v>
      </c>
      <c r="H18" s="57" t="s">
        <v>0</v>
      </c>
    </row>
    <row r="19" spans="1:8">
      <c r="A19" s="272" t="s">
        <v>286</v>
      </c>
      <c r="B19" s="273">
        <v>0</v>
      </c>
      <c r="C19" s="273">
        <v>0</v>
      </c>
      <c r="D19" s="273">
        <v>2</v>
      </c>
      <c r="E19" s="273">
        <v>1</v>
      </c>
      <c r="F19" s="273">
        <v>2</v>
      </c>
      <c r="G19" s="517">
        <v>1</v>
      </c>
      <c r="H19" s="57" t="s">
        <v>0</v>
      </c>
    </row>
    <row r="20" spans="1:8">
      <c r="A20" s="272" t="s">
        <v>287</v>
      </c>
      <c r="B20" s="273">
        <v>0</v>
      </c>
      <c r="C20" s="273">
        <v>0</v>
      </c>
      <c r="D20" s="273">
        <v>3</v>
      </c>
      <c r="E20" s="273">
        <v>0</v>
      </c>
      <c r="F20" s="273">
        <v>3</v>
      </c>
      <c r="G20" s="517">
        <v>0</v>
      </c>
      <c r="H20" s="57" t="s">
        <v>0</v>
      </c>
    </row>
    <row r="21" spans="1:8">
      <c r="A21" s="272" t="s">
        <v>288</v>
      </c>
      <c r="B21" s="273">
        <v>0</v>
      </c>
      <c r="C21" s="273">
        <v>0</v>
      </c>
      <c r="D21" s="273">
        <v>0</v>
      </c>
      <c r="E21" s="273">
        <v>2</v>
      </c>
      <c r="F21" s="273">
        <v>0</v>
      </c>
      <c r="G21" s="517">
        <v>2</v>
      </c>
      <c r="H21" s="57" t="s">
        <v>0</v>
      </c>
    </row>
    <row r="22" spans="1:8">
      <c r="A22" s="272" t="s">
        <v>290</v>
      </c>
      <c r="B22" s="273">
        <v>13</v>
      </c>
      <c r="C22" s="273">
        <v>1</v>
      </c>
      <c r="D22" s="273">
        <v>19</v>
      </c>
      <c r="E22" s="273">
        <v>2</v>
      </c>
      <c r="F22" s="273">
        <v>19</v>
      </c>
      <c r="G22" s="517">
        <v>2</v>
      </c>
      <c r="H22" s="57" t="s">
        <v>0</v>
      </c>
    </row>
    <row r="23" spans="1:8">
      <c r="A23" s="274" t="s">
        <v>289</v>
      </c>
      <c r="B23" s="273">
        <v>2</v>
      </c>
      <c r="C23" s="273">
        <v>0</v>
      </c>
      <c r="D23" s="273">
        <v>1</v>
      </c>
      <c r="E23" s="273">
        <v>0</v>
      </c>
      <c r="F23" s="273">
        <v>1</v>
      </c>
      <c r="G23" s="517">
        <v>0</v>
      </c>
      <c r="H23" s="57" t="s">
        <v>0</v>
      </c>
    </row>
    <row r="24" spans="1:8">
      <c r="A24" s="272" t="s">
        <v>70</v>
      </c>
      <c r="B24" s="273">
        <v>7</v>
      </c>
      <c r="C24" s="273">
        <v>0</v>
      </c>
      <c r="D24" s="273">
        <v>11</v>
      </c>
      <c r="E24" s="273">
        <v>0</v>
      </c>
      <c r="F24" s="273">
        <v>11</v>
      </c>
      <c r="G24" s="517">
        <v>0</v>
      </c>
      <c r="H24" s="57" t="s">
        <v>0</v>
      </c>
    </row>
    <row r="25" spans="1:8">
      <c r="A25" s="272" t="s">
        <v>71</v>
      </c>
      <c r="B25" s="273">
        <v>109</v>
      </c>
      <c r="C25" s="273">
        <v>19</v>
      </c>
      <c r="D25" s="273">
        <v>124</v>
      </c>
      <c r="E25" s="273">
        <v>34</v>
      </c>
      <c r="F25" s="273">
        <v>124</v>
      </c>
      <c r="G25" s="517">
        <v>34</v>
      </c>
      <c r="H25" s="57" t="s">
        <v>0</v>
      </c>
    </row>
    <row r="26" spans="1:8">
      <c r="A26" s="272" t="s">
        <v>283</v>
      </c>
      <c r="B26" s="273">
        <v>0</v>
      </c>
      <c r="C26" s="273">
        <v>0</v>
      </c>
      <c r="D26" s="273">
        <v>2</v>
      </c>
      <c r="E26" s="273">
        <v>0</v>
      </c>
      <c r="F26" s="273">
        <v>2</v>
      </c>
      <c r="G26" s="517">
        <v>0</v>
      </c>
      <c r="H26" s="57" t="s">
        <v>0</v>
      </c>
    </row>
    <row r="27" spans="1:8">
      <c r="A27" s="275" t="s">
        <v>278</v>
      </c>
      <c r="B27" s="273">
        <v>5</v>
      </c>
      <c r="C27" s="273">
        <v>0</v>
      </c>
      <c r="D27" s="273">
        <v>4</v>
      </c>
      <c r="E27" s="273">
        <v>0</v>
      </c>
      <c r="F27" s="273">
        <v>4</v>
      </c>
      <c r="G27" s="517">
        <v>0</v>
      </c>
      <c r="H27" s="57" t="s">
        <v>0</v>
      </c>
    </row>
    <row r="28" spans="1:8">
      <c r="A28" s="276" t="s">
        <v>284</v>
      </c>
      <c r="B28" s="273">
        <v>98</v>
      </c>
      <c r="C28" s="273">
        <v>0</v>
      </c>
      <c r="D28" s="273">
        <v>114</v>
      </c>
      <c r="E28" s="273">
        <v>0</v>
      </c>
      <c r="F28" s="273">
        <v>114</v>
      </c>
      <c r="G28" s="517">
        <v>0</v>
      </c>
      <c r="H28" s="57" t="s">
        <v>0</v>
      </c>
    </row>
    <row r="29" spans="1:8">
      <c r="A29" s="272" t="s">
        <v>291</v>
      </c>
      <c r="B29" s="273">
        <v>4134</v>
      </c>
      <c r="C29" s="273">
        <v>134</v>
      </c>
      <c r="D29" s="273">
        <v>4134</v>
      </c>
      <c r="E29" s="273">
        <f>134+29-1</f>
        <v>162</v>
      </c>
      <c r="F29" s="273">
        <v>4134</v>
      </c>
      <c r="G29" s="517">
        <v>161</v>
      </c>
      <c r="H29" s="57" t="s">
        <v>0</v>
      </c>
    </row>
    <row r="30" spans="1:8">
      <c r="A30" s="272" t="s">
        <v>72</v>
      </c>
      <c r="B30" s="273">
        <v>1</v>
      </c>
      <c r="C30" s="273">
        <v>0</v>
      </c>
      <c r="D30" s="273">
        <v>0</v>
      </c>
      <c r="E30" s="273">
        <v>0</v>
      </c>
      <c r="F30" s="273">
        <v>0</v>
      </c>
      <c r="G30" s="517">
        <v>0</v>
      </c>
      <c r="H30" s="57" t="s">
        <v>0</v>
      </c>
    </row>
    <row r="31" spans="1:8">
      <c r="A31" s="272" t="s">
        <v>279</v>
      </c>
      <c r="B31" s="273">
        <v>6</v>
      </c>
      <c r="C31" s="273">
        <v>0</v>
      </c>
      <c r="D31" s="273">
        <v>6</v>
      </c>
      <c r="E31" s="273">
        <v>0</v>
      </c>
      <c r="F31" s="273">
        <v>6</v>
      </c>
      <c r="G31" s="517">
        <v>0</v>
      </c>
      <c r="H31" s="57" t="s">
        <v>0</v>
      </c>
    </row>
    <row r="32" spans="1:8">
      <c r="A32" s="272" t="s">
        <v>280</v>
      </c>
      <c r="B32" s="273">
        <v>82</v>
      </c>
      <c r="C32" s="273">
        <v>1</v>
      </c>
      <c r="D32" s="273">
        <v>83</v>
      </c>
      <c r="E32" s="273">
        <v>3</v>
      </c>
      <c r="F32" s="273">
        <v>83</v>
      </c>
      <c r="G32" s="517">
        <v>3</v>
      </c>
      <c r="H32" s="57" t="s">
        <v>0</v>
      </c>
    </row>
    <row r="33" spans="1:10" ht="15.75" thickBot="1">
      <c r="A33" s="267" t="s">
        <v>26</v>
      </c>
      <c r="B33" s="268">
        <f t="shared" ref="B33:G33" si="0">SUM(B12:B32)</f>
        <v>5544</v>
      </c>
      <c r="C33" s="515">
        <f t="shared" si="0"/>
        <v>355</v>
      </c>
      <c r="D33" s="515">
        <f t="shared" si="0"/>
        <v>5544</v>
      </c>
      <c r="E33" s="270">
        <f t="shared" si="0"/>
        <v>424</v>
      </c>
      <c r="F33" s="520">
        <f t="shared" si="0"/>
        <v>5544</v>
      </c>
      <c r="G33" s="270">
        <f t="shared" si="0"/>
        <v>423</v>
      </c>
      <c r="H33" s="58" t="s">
        <v>0</v>
      </c>
    </row>
    <row r="34" spans="1:10">
      <c r="A34" s="272" t="s">
        <v>109</v>
      </c>
      <c r="B34" s="398">
        <v>673</v>
      </c>
      <c r="C34" s="513">
        <v>134</v>
      </c>
      <c r="D34" s="514">
        <v>707</v>
      </c>
      <c r="E34" s="518">
        <v>159</v>
      </c>
      <c r="F34" s="521">
        <v>707</v>
      </c>
      <c r="G34" s="518">
        <f>+E34-1</f>
        <v>158</v>
      </c>
      <c r="H34" s="58" t="s">
        <v>0</v>
      </c>
      <c r="J34" s="243"/>
    </row>
    <row r="35" spans="1:10">
      <c r="A35" s="272" t="s">
        <v>122</v>
      </c>
      <c r="B35" s="398">
        <v>4854</v>
      </c>
      <c r="C35" s="397">
        <v>221</v>
      </c>
      <c r="D35" s="514">
        <v>4820</v>
      </c>
      <c r="E35" s="519">
        <f>216+29+20</f>
        <v>265</v>
      </c>
      <c r="F35" s="521">
        <v>4820</v>
      </c>
      <c r="G35" s="519">
        <f>+E35</f>
        <v>265</v>
      </c>
      <c r="H35" s="57" t="s">
        <v>0</v>
      </c>
    </row>
    <row r="36" spans="1:10">
      <c r="A36" s="158" t="s">
        <v>246</v>
      </c>
      <c r="B36" s="277">
        <v>17</v>
      </c>
      <c r="C36" s="278">
        <v>0</v>
      </c>
      <c r="D36" s="277">
        <v>17</v>
      </c>
      <c r="E36" s="278">
        <v>0</v>
      </c>
      <c r="F36" s="277">
        <v>17</v>
      </c>
      <c r="G36" s="278">
        <v>0</v>
      </c>
      <c r="H36" s="57" t="s">
        <v>0</v>
      </c>
    </row>
    <row r="37" spans="1:10" s="11" customFormat="1">
      <c r="A37" s="159" t="s">
        <v>26</v>
      </c>
      <c r="B37" s="269">
        <f>SUM(B34:B36)</f>
        <v>5544</v>
      </c>
      <c r="C37" s="271">
        <f t="shared" ref="C37:F37" si="1">SUM(C34:C36)</f>
        <v>355</v>
      </c>
      <c r="D37" s="269">
        <f t="shared" si="1"/>
        <v>5544</v>
      </c>
      <c r="E37" s="271">
        <f t="shared" si="1"/>
        <v>424</v>
      </c>
      <c r="F37" s="269">
        <f t="shared" si="1"/>
        <v>5544</v>
      </c>
      <c r="G37" s="271">
        <f>SUM(G34:G36)</f>
        <v>423</v>
      </c>
      <c r="H37" s="57" t="s">
        <v>0</v>
      </c>
      <c r="I37" s="10"/>
    </row>
    <row r="38" spans="1:10" s="11" customFormat="1">
      <c r="A38" s="742" t="s">
        <v>300</v>
      </c>
      <c r="B38" s="743"/>
      <c r="C38" s="743"/>
      <c r="D38" s="743"/>
      <c r="E38" s="743"/>
      <c r="F38" s="743"/>
      <c r="G38" s="743"/>
      <c r="H38" s="57" t="s">
        <v>0</v>
      </c>
      <c r="I38" s="10"/>
    </row>
    <row r="39" spans="1:10" s="11" customFormat="1">
      <c r="A39" s="739" t="s">
        <v>305</v>
      </c>
      <c r="B39" s="740"/>
      <c r="C39" s="740"/>
      <c r="D39" s="740"/>
      <c r="E39" s="740"/>
      <c r="F39" s="740"/>
      <c r="G39" s="740"/>
      <c r="H39" s="57" t="s">
        <v>0</v>
      </c>
      <c r="I39" s="10"/>
    </row>
    <row r="40" spans="1:10" s="11" customFormat="1">
      <c r="A40" s="741"/>
      <c r="B40" s="741"/>
      <c r="C40" s="741"/>
      <c r="D40" s="741"/>
      <c r="E40" s="741"/>
      <c r="F40" s="741"/>
      <c r="G40" s="741"/>
      <c r="H40" s="57" t="s">
        <v>15</v>
      </c>
    </row>
    <row r="41" spans="1:10" s="11" customFormat="1">
      <c r="H41" s="58"/>
    </row>
  </sheetData>
  <customSheetViews>
    <customSheetView guid="{3118AF25-8423-420A-806A-487665220C68}" scale="75" showPageBreaks="1" fitToPage="1" printArea="1" view="pageBreakPreview">
      <pane xSplit="1" ySplit="11" topLeftCell="B12" activePane="bottomRight" state="frozen"/>
      <selection pane="bottomRight" activeCell="J20" sqref="J20"/>
      <pageMargins left="0.75" right="0.75" top="1" bottom="1" header="0.5" footer="0.5"/>
      <printOptions horizontalCentered="1"/>
      <pageSetup scale="71" orientation="landscape" r:id="rId1"/>
      <headerFooter alignWithMargins="0">
        <oddFooter>&amp;C&amp;"Times New Roman,Regular"Exhibit I - Detail of Permanent Positions by Category</oddFooter>
      </headerFooter>
    </customSheetView>
    <customSheetView guid="{56C0A34E-45B4-448B-85E5-70B3A8E63333}" scale="75" showPageBreaks="1" fitToPage="1" printArea="1" view="pageBreakPreview">
      <pane xSplit="1" ySplit="11" topLeftCell="B12" activePane="bottomRight" state="frozen"/>
      <selection pane="bottomRight" activeCell="A48" sqref="A48"/>
      <pageMargins left="0.75" right="0.75" top="1" bottom="1" header="0.5" footer="0.5"/>
      <printOptions horizontalCentered="1"/>
      <pageSetup scale="71" orientation="landscape" r:id="rId2"/>
      <headerFooter alignWithMargins="0">
        <oddFooter>&amp;C&amp;"Times New Roman,Regular"Exhibit I - Detail of Permanent Positions by Category</oddFooter>
      </headerFooter>
    </customSheetView>
    <customSheetView guid="{4148B88B-8ED7-4FDE-9459-DEB244AD0552}" scale="75" showPageBreaks="1" fitToPage="1" printArea="1" view="pageBreakPreview">
      <pane xSplit="1" ySplit="11" topLeftCell="B40" activePane="bottomRight" state="frozen"/>
      <selection pane="bottomRight" activeCell="A47" sqref="A47"/>
      <pageMargins left="0.75" right="0.75" top="1" bottom="1" header="0.5" footer="0.5"/>
      <printOptions horizontalCentered="1"/>
      <pageSetup scale="71" orientation="landscape" r:id="rId3"/>
      <headerFooter alignWithMargins="0">
        <oddFooter>&amp;C&amp;"Times New Roman,Regular"Exhibit I - Detail of Permanent Positions by Category</oddFooter>
      </headerFooter>
    </customSheetView>
    <customSheetView guid="{12C66D54-5067-4346-818B-6EAB1C8A9183}" scale="75" showPageBreaks="1" fitToPage="1" printArea="1" view="pageBreakPreview">
      <pane xSplit="1" ySplit="11" topLeftCell="B12" activePane="bottomRight" state="frozen"/>
      <selection pane="bottomRight" activeCell="D15" sqref="D15"/>
      <pageMargins left="0.75" right="0.75" top="1" bottom="1" header="0.5" footer="0.5"/>
      <printOptions horizontalCentered="1"/>
      <pageSetup scale="71" orientation="landscape" r:id="rId4"/>
      <headerFooter alignWithMargins="0">
        <oddFooter>&amp;C&amp;"Times New Roman,Regular"Exhibit I - Detail of Permanent Positions by Category</oddFooter>
      </headerFooter>
    </customSheetView>
  </customSheetViews>
  <mergeCells count="21">
    <mergeCell ref="A39:G39"/>
    <mergeCell ref="A40:G40"/>
    <mergeCell ref="A38:G38"/>
    <mergeCell ref="A1:G1"/>
    <mergeCell ref="A4:G4"/>
    <mergeCell ref="A5:G5"/>
    <mergeCell ref="A6:G6"/>
    <mergeCell ref="A2:G2"/>
    <mergeCell ref="A3:G3"/>
    <mergeCell ref="A7:G7"/>
    <mergeCell ref="A8:G8"/>
    <mergeCell ref="B10:B11"/>
    <mergeCell ref="C10:C11"/>
    <mergeCell ref="D10:D11"/>
    <mergeCell ref="F9:G9"/>
    <mergeCell ref="D9:E9"/>
    <mergeCell ref="B9:C9"/>
    <mergeCell ref="G10:G11"/>
    <mergeCell ref="F10:F11"/>
    <mergeCell ref="E10:E11"/>
    <mergeCell ref="A9:A11"/>
  </mergeCells>
  <phoneticPr fontId="0" type="noConversion"/>
  <printOptions horizontalCentered="1"/>
  <pageMargins left="0.75" right="0.75" top="1" bottom="0.75" header="0.5" footer="0.5"/>
  <pageSetup scale="75" orientation="landscape" r:id="rId5"/>
  <headerFooter alignWithMargins="0">
    <oddFooter>&amp;C&amp;"Times New Roman,Regular"Exhibit I - Detail of Permanent Positions by Category</oddFooter>
  </headerFooter>
</worksheet>
</file>

<file path=xl/worksheets/sheet11.xml><?xml version="1.0" encoding="utf-8"?>
<worksheet xmlns="http://schemas.openxmlformats.org/spreadsheetml/2006/main" xmlns:r="http://schemas.openxmlformats.org/officeDocument/2006/relationships">
  <sheetPr codeName="Sheet15">
    <pageSetUpPr fitToPage="1"/>
  </sheetPr>
  <dimension ref="A1:AL34"/>
  <sheetViews>
    <sheetView view="pageBreakPreview" zoomScale="55" zoomScaleNormal="75" zoomScaleSheetLayoutView="55" workbookViewId="0">
      <pane xSplit="1" ySplit="10" topLeftCell="B11" activePane="bottomRight" state="frozen"/>
      <selection pane="topRight" activeCell="B1" sqref="B1"/>
      <selection pane="bottomLeft" activeCell="A11" sqref="A11"/>
      <selection pane="bottomRight" activeCell="AF22" sqref="AF22"/>
    </sheetView>
  </sheetViews>
  <sheetFormatPr defaultRowHeight="15"/>
  <cols>
    <col min="1" max="1" width="57.44140625" customWidth="1"/>
    <col min="2" max="2" width="6" customWidth="1"/>
    <col min="3" max="3" width="9.77734375" style="34" customWidth="1"/>
    <col min="4" max="4" width="7.21875" customWidth="1"/>
    <col min="5" max="5" width="9.77734375" style="34" customWidth="1"/>
    <col min="6" max="6" width="6.21875" customWidth="1"/>
    <col min="7" max="7" width="9.77734375" style="34" customWidth="1"/>
    <col min="8" max="8" width="6.21875" customWidth="1"/>
    <col min="9" max="9" width="9.77734375" style="34" customWidth="1"/>
    <col min="10" max="10" width="6.21875" customWidth="1"/>
    <col min="11" max="11" width="9.77734375" style="34" customWidth="1"/>
    <col min="12" max="12" width="6.21875" customWidth="1"/>
    <col min="13" max="13" width="9.77734375" style="34" customWidth="1"/>
    <col min="14" max="14" width="6.21875" style="401" customWidth="1"/>
    <col min="15" max="15" width="9.77734375" style="400" customWidth="1"/>
    <col min="16" max="16" width="6.21875" style="401" customWidth="1"/>
    <col min="17" max="17" width="9.77734375" style="400" customWidth="1"/>
    <col min="18" max="18" width="6.21875" customWidth="1"/>
    <col min="19" max="19" width="9.77734375" style="34" customWidth="1"/>
    <col min="20" max="20" width="6.5546875" bestFit="1" customWidth="1"/>
    <col min="21" max="21" width="9.77734375" style="34" customWidth="1"/>
    <col min="22" max="22" width="6.5546875" bestFit="1" customWidth="1"/>
    <col min="23" max="23" width="9.77734375" style="34" customWidth="1"/>
    <col min="24" max="24" width="1.44140625" style="56" customWidth="1"/>
  </cols>
  <sheetData>
    <row r="1" spans="1:24" ht="20.25">
      <c r="A1" s="116" t="s">
        <v>18</v>
      </c>
      <c r="B1" s="192"/>
      <c r="C1" s="244"/>
      <c r="D1" s="192"/>
      <c r="E1" s="244"/>
      <c r="F1" s="192"/>
      <c r="G1" s="244"/>
      <c r="H1" s="192"/>
      <c r="I1" s="244"/>
      <c r="J1" s="192"/>
      <c r="K1" s="244"/>
      <c r="L1" s="192"/>
      <c r="M1" s="244"/>
      <c r="N1" s="192"/>
      <c r="O1" s="403"/>
      <c r="P1" s="192"/>
      <c r="Q1" s="403"/>
      <c r="R1" s="192"/>
      <c r="S1" s="244"/>
      <c r="T1" s="192"/>
      <c r="U1" s="244"/>
      <c r="V1" s="192"/>
      <c r="W1" s="245"/>
      <c r="X1" s="55" t="s">
        <v>0</v>
      </c>
    </row>
    <row r="2" spans="1:24" ht="13.15" customHeight="1">
      <c r="A2" s="764"/>
      <c r="B2" s="764"/>
      <c r="C2" s="764"/>
      <c r="D2" s="764"/>
      <c r="E2" s="764"/>
      <c r="F2" s="764"/>
      <c r="G2" s="764"/>
      <c r="H2" s="764"/>
      <c r="I2" s="764"/>
      <c r="J2" s="764"/>
      <c r="K2" s="764"/>
      <c r="L2" s="764"/>
      <c r="M2" s="764"/>
      <c r="N2" s="764"/>
      <c r="O2" s="764"/>
      <c r="P2" s="764"/>
      <c r="Q2" s="764"/>
      <c r="R2" s="764"/>
      <c r="S2" s="764"/>
      <c r="T2" s="764"/>
      <c r="U2" s="764"/>
      <c r="V2" s="764"/>
      <c r="W2" s="765"/>
      <c r="X2" s="55" t="s">
        <v>0</v>
      </c>
    </row>
    <row r="3" spans="1:24" ht="18.75">
      <c r="A3" s="715" t="s">
        <v>4</v>
      </c>
      <c r="B3" s="715"/>
      <c r="C3" s="715"/>
      <c r="D3" s="715"/>
      <c r="E3" s="715"/>
      <c r="F3" s="715"/>
      <c r="G3" s="715"/>
      <c r="H3" s="715"/>
      <c r="I3" s="715"/>
      <c r="J3" s="715"/>
      <c r="K3" s="715"/>
      <c r="L3" s="715"/>
      <c r="M3" s="715"/>
      <c r="N3" s="715"/>
      <c r="O3" s="715"/>
      <c r="P3" s="715"/>
      <c r="Q3" s="715"/>
      <c r="R3" s="715"/>
      <c r="S3" s="715"/>
      <c r="T3" s="715"/>
      <c r="U3" s="715"/>
      <c r="V3" s="715"/>
      <c r="W3" s="715"/>
      <c r="X3" s="55" t="s">
        <v>0</v>
      </c>
    </row>
    <row r="4" spans="1:24" ht="16.5">
      <c r="A4" s="717" t="str">
        <f>+'B. Summary of Requirements_SE '!A5</f>
        <v>United States Marshals Service</v>
      </c>
      <c r="B4" s="717"/>
      <c r="C4" s="717"/>
      <c r="D4" s="717"/>
      <c r="E4" s="717"/>
      <c r="F4" s="717"/>
      <c r="G4" s="717"/>
      <c r="H4" s="717"/>
      <c r="I4" s="717"/>
      <c r="J4" s="717"/>
      <c r="K4" s="717"/>
      <c r="L4" s="717"/>
      <c r="M4" s="717"/>
      <c r="N4" s="717"/>
      <c r="O4" s="717"/>
      <c r="P4" s="717"/>
      <c r="Q4" s="717"/>
      <c r="R4" s="717"/>
      <c r="S4" s="717"/>
      <c r="T4" s="717"/>
      <c r="U4" s="717"/>
      <c r="V4" s="717"/>
      <c r="W4" s="717"/>
      <c r="X4" s="55" t="s">
        <v>0</v>
      </c>
    </row>
    <row r="5" spans="1:24" ht="16.5">
      <c r="A5" s="717" t="str">
        <f>+'B. Summary of Requirements_SE '!A6</f>
        <v>Salaries and Expenses</v>
      </c>
      <c r="B5" s="717"/>
      <c r="C5" s="717"/>
      <c r="D5" s="717"/>
      <c r="E5" s="717"/>
      <c r="F5" s="717"/>
      <c r="G5" s="717"/>
      <c r="H5" s="717"/>
      <c r="I5" s="717"/>
      <c r="J5" s="717"/>
      <c r="K5" s="717"/>
      <c r="L5" s="717"/>
      <c r="M5" s="717"/>
      <c r="N5" s="717"/>
      <c r="O5" s="717"/>
      <c r="P5" s="717"/>
      <c r="Q5" s="717"/>
      <c r="R5" s="717"/>
      <c r="S5" s="717"/>
      <c r="T5" s="717"/>
      <c r="U5" s="717"/>
      <c r="V5" s="717"/>
      <c r="W5" s="717"/>
      <c r="X5" s="55" t="s">
        <v>0</v>
      </c>
    </row>
    <row r="6" spans="1:24">
      <c r="A6" s="719" t="s">
        <v>101</v>
      </c>
      <c r="B6" s="719"/>
      <c r="C6" s="719"/>
      <c r="D6" s="719"/>
      <c r="E6" s="719"/>
      <c r="F6" s="719"/>
      <c r="G6" s="719"/>
      <c r="H6" s="719"/>
      <c r="I6" s="719"/>
      <c r="J6" s="719"/>
      <c r="K6" s="719"/>
      <c r="L6" s="719"/>
      <c r="M6" s="719"/>
      <c r="N6" s="719"/>
      <c r="O6" s="719"/>
      <c r="P6" s="719"/>
      <c r="Q6" s="719"/>
      <c r="R6" s="719"/>
      <c r="S6" s="719"/>
      <c r="T6" s="719"/>
      <c r="U6" s="719"/>
      <c r="V6" s="719"/>
      <c r="W6" s="719"/>
      <c r="X6" s="55" t="s">
        <v>0</v>
      </c>
    </row>
    <row r="7" spans="1:24">
      <c r="A7" s="769"/>
      <c r="B7" s="769"/>
      <c r="C7" s="769"/>
      <c r="D7" s="769"/>
      <c r="E7" s="769"/>
      <c r="F7" s="769"/>
      <c r="G7" s="769"/>
      <c r="H7" s="769"/>
      <c r="I7" s="769"/>
      <c r="J7" s="769"/>
      <c r="K7" s="769"/>
      <c r="L7" s="769"/>
      <c r="M7" s="769"/>
      <c r="N7" s="769"/>
      <c r="O7" s="769"/>
      <c r="P7" s="769"/>
      <c r="Q7" s="769"/>
      <c r="R7" s="769"/>
      <c r="S7" s="769"/>
      <c r="T7" s="769"/>
      <c r="U7" s="769"/>
      <c r="V7" s="769"/>
      <c r="W7" s="769"/>
      <c r="X7" s="55" t="s">
        <v>0</v>
      </c>
    </row>
    <row r="8" spans="1:24" ht="39" customHeight="1">
      <c r="A8" s="772" t="s">
        <v>100</v>
      </c>
      <c r="B8" s="766" t="s">
        <v>167</v>
      </c>
      <c r="C8" s="775"/>
      <c r="D8" s="775"/>
      <c r="E8" s="775"/>
      <c r="F8" s="776" t="s">
        <v>168</v>
      </c>
      <c r="G8" s="777"/>
      <c r="H8" s="777"/>
      <c r="I8" s="778"/>
      <c r="J8" s="776" t="s">
        <v>169</v>
      </c>
      <c r="K8" s="777"/>
      <c r="L8" s="777"/>
      <c r="M8" s="778"/>
      <c r="N8" s="776" t="s">
        <v>170</v>
      </c>
      <c r="O8" s="777"/>
      <c r="P8" s="777"/>
      <c r="Q8" s="778"/>
      <c r="R8" s="776" t="s">
        <v>171</v>
      </c>
      <c r="S8" s="777"/>
      <c r="T8" s="777"/>
      <c r="U8" s="778"/>
      <c r="V8" s="766" t="s">
        <v>68</v>
      </c>
      <c r="W8" s="767"/>
      <c r="X8" s="55" t="s">
        <v>0</v>
      </c>
    </row>
    <row r="9" spans="1:24" ht="36" customHeight="1">
      <c r="A9" s="773"/>
      <c r="B9" s="761" t="s">
        <v>179</v>
      </c>
      <c r="C9" s="762"/>
      <c r="D9" s="756" t="s">
        <v>226</v>
      </c>
      <c r="E9" s="756"/>
      <c r="F9" s="761" t="s">
        <v>179</v>
      </c>
      <c r="G9" s="762"/>
      <c r="H9" s="756" t="s">
        <v>226</v>
      </c>
      <c r="I9" s="756"/>
      <c r="J9" s="754" t="s">
        <v>179</v>
      </c>
      <c r="K9" s="755"/>
      <c r="L9" s="756" t="s">
        <v>226</v>
      </c>
      <c r="M9" s="756"/>
      <c r="N9" s="754" t="s">
        <v>179</v>
      </c>
      <c r="O9" s="755"/>
      <c r="P9" s="756" t="s">
        <v>226</v>
      </c>
      <c r="Q9" s="756"/>
      <c r="R9" s="754" t="s">
        <v>179</v>
      </c>
      <c r="S9" s="755"/>
      <c r="T9" s="756" t="s">
        <v>226</v>
      </c>
      <c r="U9" s="756"/>
      <c r="V9" s="759"/>
      <c r="W9" s="768"/>
      <c r="X9" s="55" t="s">
        <v>0</v>
      </c>
    </row>
    <row r="10" spans="1:24" ht="36" customHeight="1" thickBot="1">
      <c r="A10" s="774"/>
      <c r="B10" s="114" t="s">
        <v>117</v>
      </c>
      <c r="C10" s="251" t="s">
        <v>99</v>
      </c>
      <c r="D10" s="115" t="s">
        <v>117</v>
      </c>
      <c r="E10" s="251" t="s">
        <v>99</v>
      </c>
      <c r="F10" s="114" t="s">
        <v>117</v>
      </c>
      <c r="G10" s="251" t="s">
        <v>99</v>
      </c>
      <c r="H10" s="115" t="s">
        <v>117</v>
      </c>
      <c r="I10" s="251" t="s">
        <v>99</v>
      </c>
      <c r="J10" s="114" t="s">
        <v>117</v>
      </c>
      <c r="K10" s="251" t="s">
        <v>99</v>
      </c>
      <c r="L10" s="115" t="s">
        <v>117</v>
      </c>
      <c r="M10" s="251" t="s">
        <v>99</v>
      </c>
      <c r="N10" s="114" t="s">
        <v>117</v>
      </c>
      <c r="O10" s="251" t="s">
        <v>99</v>
      </c>
      <c r="P10" s="115" t="s">
        <v>117</v>
      </c>
      <c r="Q10" s="251" t="s">
        <v>99</v>
      </c>
      <c r="R10" s="114" t="s">
        <v>117</v>
      </c>
      <c r="S10" s="251" t="s">
        <v>99</v>
      </c>
      <c r="T10" s="115" t="s">
        <v>117</v>
      </c>
      <c r="U10" s="251" t="s">
        <v>99</v>
      </c>
      <c r="V10" s="114" t="s">
        <v>117</v>
      </c>
      <c r="W10" s="255" t="s">
        <v>99</v>
      </c>
      <c r="X10" s="55" t="s">
        <v>0</v>
      </c>
    </row>
    <row r="11" spans="1:24" ht="20.25">
      <c r="A11" s="258"/>
      <c r="B11" s="72"/>
      <c r="C11" s="252"/>
      <c r="D11" s="109"/>
      <c r="E11" s="252"/>
      <c r="F11" s="72"/>
      <c r="G11" s="252"/>
      <c r="H11" s="72"/>
      <c r="I11" s="252"/>
      <c r="J11" s="72"/>
      <c r="K11" s="252"/>
      <c r="L11" s="72"/>
      <c r="M11" s="252"/>
      <c r="N11" s="72"/>
      <c r="O11" s="252"/>
      <c r="P11" s="72"/>
      <c r="Q11" s="252"/>
      <c r="R11" s="72"/>
      <c r="S11" s="252"/>
      <c r="T11" s="72"/>
      <c r="U11" s="252"/>
      <c r="V11" s="72"/>
      <c r="W11" s="431"/>
      <c r="X11" s="55" t="s">
        <v>0</v>
      </c>
    </row>
    <row r="12" spans="1:24" ht="20.25">
      <c r="A12" s="259" t="s">
        <v>5</v>
      </c>
      <c r="B12" s="432">
        <v>0</v>
      </c>
      <c r="C12" s="433">
        <v>0</v>
      </c>
      <c r="D12" s="432">
        <v>0</v>
      </c>
      <c r="E12" s="433">
        <v>0</v>
      </c>
      <c r="F12" s="432">
        <v>0</v>
      </c>
      <c r="G12" s="433">
        <v>0</v>
      </c>
      <c r="H12" s="432">
        <v>0</v>
      </c>
      <c r="I12" s="433">
        <v>0</v>
      </c>
      <c r="J12" s="432">
        <v>0</v>
      </c>
      <c r="K12" s="433">
        <v>0</v>
      </c>
      <c r="L12" s="432">
        <v>0</v>
      </c>
      <c r="M12" s="433">
        <v>0</v>
      </c>
      <c r="N12" s="432">
        <v>0</v>
      </c>
      <c r="O12" s="433">
        <v>0</v>
      </c>
      <c r="P12" s="432">
        <v>0</v>
      </c>
      <c r="Q12" s="433">
        <v>0</v>
      </c>
      <c r="R12" s="432">
        <v>0</v>
      </c>
      <c r="S12" s="433">
        <v>0</v>
      </c>
      <c r="T12" s="432">
        <v>0</v>
      </c>
      <c r="U12" s="433">
        <v>0</v>
      </c>
      <c r="V12" s="432">
        <f>SUM(B12,D12,F12,H12,J12,L12,N12,P12,R12,T12)</f>
        <v>0</v>
      </c>
      <c r="W12" s="434">
        <f>SUM(C12,E12,G12,I12,K12,M12,O12,Q12,S12,U12)</f>
        <v>0</v>
      </c>
      <c r="X12" s="55" t="s">
        <v>0</v>
      </c>
    </row>
    <row r="13" spans="1:24" ht="20.25">
      <c r="A13" s="256" t="s">
        <v>56</v>
      </c>
      <c r="B13" s="435">
        <v>0</v>
      </c>
      <c r="C13" s="436">
        <v>0</v>
      </c>
      <c r="D13" s="437">
        <v>0</v>
      </c>
      <c r="E13" s="438">
        <v>-441</v>
      </c>
      <c r="F13" s="435">
        <v>0</v>
      </c>
      <c r="G13" s="436">
        <v>0</v>
      </c>
      <c r="H13" s="437">
        <v>0</v>
      </c>
      <c r="I13" s="438">
        <v>-281</v>
      </c>
      <c r="J13" s="435">
        <v>0</v>
      </c>
      <c r="K13" s="436">
        <v>0</v>
      </c>
      <c r="L13" s="437">
        <v>0</v>
      </c>
      <c r="M13" s="438">
        <v>-731</v>
      </c>
      <c r="N13" s="435">
        <v>0</v>
      </c>
      <c r="O13" s="436">
        <v>0</v>
      </c>
      <c r="P13" s="437">
        <v>0</v>
      </c>
      <c r="Q13" s="438">
        <v>-49</v>
      </c>
      <c r="R13" s="435">
        <v>0</v>
      </c>
      <c r="S13" s="436">
        <v>0</v>
      </c>
      <c r="T13" s="437">
        <v>0</v>
      </c>
      <c r="U13" s="438">
        <v>-53</v>
      </c>
      <c r="V13" s="439">
        <f t="shared" ref="V13:V19" si="0">SUM(L13,J13,H13,F13,D13,B13,N13,P13,R13,T13)</f>
        <v>0</v>
      </c>
      <c r="W13" s="440">
        <f t="shared" ref="W13:W19" si="1">SUM(M13,K13,I13,G13,E13,C13,O13,Q13,S13,U13)</f>
        <v>-1555</v>
      </c>
      <c r="X13" s="55" t="s">
        <v>0</v>
      </c>
    </row>
    <row r="14" spans="1:24" ht="20.25">
      <c r="A14" s="256" t="s">
        <v>53</v>
      </c>
      <c r="B14" s="435">
        <v>0</v>
      </c>
      <c r="C14" s="436">
        <v>0</v>
      </c>
      <c r="D14" s="437">
        <v>0</v>
      </c>
      <c r="E14" s="438">
        <v>-33</v>
      </c>
      <c r="F14" s="435">
        <v>0</v>
      </c>
      <c r="G14" s="436">
        <v>0</v>
      </c>
      <c r="H14" s="437">
        <v>0</v>
      </c>
      <c r="I14" s="438">
        <v>-19</v>
      </c>
      <c r="J14" s="435">
        <v>0</v>
      </c>
      <c r="K14" s="436">
        <v>0</v>
      </c>
      <c r="L14" s="437">
        <v>0</v>
      </c>
      <c r="M14" s="438">
        <v>-13</v>
      </c>
      <c r="N14" s="435">
        <v>0</v>
      </c>
      <c r="O14" s="436">
        <v>0</v>
      </c>
      <c r="P14" s="437">
        <v>0</v>
      </c>
      <c r="Q14" s="438">
        <v>-2</v>
      </c>
      <c r="R14" s="435">
        <v>0</v>
      </c>
      <c r="S14" s="436">
        <v>0</v>
      </c>
      <c r="T14" s="437">
        <v>0</v>
      </c>
      <c r="U14" s="438">
        <v>-2</v>
      </c>
      <c r="V14" s="439">
        <f t="shared" si="0"/>
        <v>0</v>
      </c>
      <c r="W14" s="440">
        <f t="shared" si="1"/>
        <v>-69</v>
      </c>
      <c r="X14" s="55" t="s">
        <v>0</v>
      </c>
    </row>
    <row r="15" spans="1:24" ht="20.25">
      <c r="A15" s="256" t="s">
        <v>57</v>
      </c>
      <c r="B15" s="435">
        <v>0</v>
      </c>
      <c r="C15" s="441">
        <v>0</v>
      </c>
      <c r="D15" s="437">
        <v>0</v>
      </c>
      <c r="E15" s="438">
        <v>-572</v>
      </c>
      <c r="F15" s="435">
        <v>0</v>
      </c>
      <c r="G15" s="441">
        <v>0</v>
      </c>
      <c r="H15" s="437">
        <v>0</v>
      </c>
      <c r="I15" s="438">
        <v>-472</v>
      </c>
      <c r="J15" s="435">
        <v>0</v>
      </c>
      <c r="K15" s="441">
        <v>0</v>
      </c>
      <c r="L15" s="437">
        <v>0</v>
      </c>
      <c r="M15" s="438">
        <v>-291</v>
      </c>
      <c r="N15" s="435">
        <v>0</v>
      </c>
      <c r="O15" s="441">
        <v>0</v>
      </c>
      <c r="P15" s="437">
        <v>0</v>
      </c>
      <c r="Q15" s="438">
        <v>-65</v>
      </c>
      <c r="R15" s="435">
        <v>0</v>
      </c>
      <c r="S15" s="441">
        <v>0</v>
      </c>
      <c r="T15" s="437">
        <v>0</v>
      </c>
      <c r="U15" s="438">
        <v>-74</v>
      </c>
      <c r="V15" s="439">
        <f t="shared" si="0"/>
        <v>0</v>
      </c>
      <c r="W15" s="440">
        <f t="shared" si="1"/>
        <v>-1474</v>
      </c>
      <c r="X15" s="55" t="s">
        <v>0</v>
      </c>
    </row>
    <row r="16" spans="1:24" ht="20.25">
      <c r="A16" s="256" t="s">
        <v>54</v>
      </c>
      <c r="B16" s="435">
        <v>0</v>
      </c>
      <c r="C16" s="441">
        <v>0</v>
      </c>
      <c r="D16" s="437">
        <v>0</v>
      </c>
      <c r="E16" s="438">
        <v>-17</v>
      </c>
      <c r="F16" s="435">
        <v>0</v>
      </c>
      <c r="G16" s="441">
        <v>0</v>
      </c>
      <c r="H16" s="437">
        <v>0</v>
      </c>
      <c r="I16" s="438">
        <v>-14</v>
      </c>
      <c r="J16" s="435">
        <v>0</v>
      </c>
      <c r="K16" s="441">
        <v>0</v>
      </c>
      <c r="L16" s="437">
        <v>0</v>
      </c>
      <c r="M16" s="438">
        <v>-8</v>
      </c>
      <c r="N16" s="435">
        <v>0</v>
      </c>
      <c r="O16" s="441">
        <v>0</v>
      </c>
      <c r="P16" s="437">
        <v>0</v>
      </c>
      <c r="Q16" s="438">
        <v>-2</v>
      </c>
      <c r="R16" s="435">
        <v>0</v>
      </c>
      <c r="S16" s="441">
        <v>0</v>
      </c>
      <c r="T16" s="437">
        <v>0</v>
      </c>
      <c r="U16" s="438">
        <v>-2</v>
      </c>
      <c r="V16" s="439">
        <f t="shared" si="0"/>
        <v>0</v>
      </c>
      <c r="W16" s="440">
        <f t="shared" si="1"/>
        <v>-43</v>
      </c>
      <c r="X16" s="55" t="s">
        <v>0</v>
      </c>
    </row>
    <row r="17" spans="1:38" ht="20.25">
      <c r="A17" s="256" t="s">
        <v>58</v>
      </c>
      <c r="B17" s="435">
        <v>0</v>
      </c>
      <c r="C17" s="441">
        <v>0</v>
      </c>
      <c r="D17" s="437">
        <v>0</v>
      </c>
      <c r="E17" s="438">
        <v>-321</v>
      </c>
      <c r="F17" s="435">
        <v>0</v>
      </c>
      <c r="G17" s="441">
        <v>0</v>
      </c>
      <c r="H17" s="437">
        <v>0</v>
      </c>
      <c r="I17" s="438">
        <v>-841</v>
      </c>
      <c r="J17" s="435">
        <v>0</v>
      </c>
      <c r="K17" s="441">
        <v>0</v>
      </c>
      <c r="L17" s="437">
        <v>0</v>
      </c>
      <c r="M17" s="438">
        <v>-224</v>
      </c>
      <c r="N17" s="435">
        <v>0</v>
      </c>
      <c r="O17" s="441">
        <v>0</v>
      </c>
      <c r="P17" s="437">
        <v>0</v>
      </c>
      <c r="Q17" s="438">
        <v>-25</v>
      </c>
      <c r="R17" s="435">
        <v>0</v>
      </c>
      <c r="S17" s="441">
        <v>0</v>
      </c>
      <c r="T17" s="437">
        <v>0</v>
      </c>
      <c r="U17" s="438">
        <v>-27</v>
      </c>
      <c r="V17" s="439">
        <f t="shared" si="0"/>
        <v>0</v>
      </c>
      <c r="W17" s="440">
        <f t="shared" si="1"/>
        <v>-1438</v>
      </c>
      <c r="X17" s="55" t="s">
        <v>0</v>
      </c>
    </row>
    <row r="18" spans="1:38" ht="20.25">
      <c r="A18" s="256" t="s">
        <v>59</v>
      </c>
      <c r="B18" s="435">
        <v>0</v>
      </c>
      <c r="C18" s="441">
        <v>0</v>
      </c>
      <c r="D18" s="437">
        <v>0</v>
      </c>
      <c r="E18" s="438">
        <v>-143</v>
      </c>
      <c r="F18" s="435">
        <v>0</v>
      </c>
      <c r="G18" s="441">
        <v>0</v>
      </c>
      <c r="H18" s="437">
        <v>0</v>
      </c>
      <c r="I18" s="438">
        <v>-62</v>
      </c>
      <c r="J18" s="435">
        <v>0</v>
      </c>
      <c r="K18" s="441">
        <v>0</v>
      </c>
      <c r="L18" s="437">
        <v>0</v>
      </c>
      <c r="M18" s="438">
        <v>-172</v>
      </c>
      <c r="N18" s="435">
        <v>0</v>
      </c>
      <c r="O18" s="441">
        <v>0</v>
      </c>
      <c r="P18" s="437">
        <v>0</v>
      </c>
      <c r="Q18" s="438">
        <v>-16</v>
      </c>
      <c r="R18" s="435">
        <v>0</v>
      </c>
      <c r="S18" s="441">
        <v>0</v>
      </c>
      <c r="T18" s="437">
        <v>0</v>
      </c>
      <c r="U18" s="438">
        <v>-23</v>
      </c>
      <c r="V18" s="439">
        <f t="shared" si="0"/>
        <v>0</v>
      </c>
      <c r="W18" s="440">
        <f t="shared" si="1"/>
        <v>-416</v>
      </c>
      <c r="X18" s="55" t="s">
        <v>0</v>
      </c>
    </row>
    <row r="19" spans="1:38" ht="20.25">
      <c r="A19" s="257" t="s">
        <v>55</v>
      </c>
      <c r="B19" s="442">
        <v>0</v>
      </c>
      <c r="C19" s="443">
        <v>-186</v>
      </c>
      <c r="D19" s="444">
        <v>0</v>
      </c>
      <c r="E19" s="445">
        <v>-307</v>
      </c>
      <c r="F19" s="442">
        <v>0</v>
      </c>
      <c r="G19" s="443">
        <v>-204</v>
      </c>
      <c r="H19" s="444">
        <v>0</v>
      </c>
      <c r="I19" s="445">
        <v>-337</v>
      </c>
      <c r="J19" s="442">
        <v>0</v>
      </c>
      <c r="K19" s="443">
        <v>-635</v>
      </c>
      <c r="L19" s="444">
        <v>0</v>
      </c>
      <c r="M19" s="445">
        <v>-1049</v>
      </c>
      <c r="N19" s="442">
        <v>0</v>
      </c>
      <c r="O19" s="443">
        <v>-10</v>
      </c>
      <c r="P19" s="444">
        <v>0</v>
      </c>
      <c r="Q19" s="445">
        <v>-16</v>
      </c>
      <c r="R19" s="442">
        <v>0</v>
      </c>
      <c r="S19" s="443">
        <v>-219</v>
      </c>
      <c r="T19" s="444">
        <v>0</v>
      </c>
      <c r="U19" s="445">
        <v>-362</v>
      </c>
      <c r="V19" s="439">
        <f t="shared" si="0"/>
        <v>0</v>
      </c>
      <c r="W19" s="440">
        <f t="shared" si="1"/>
        <v>-3325</v>
      </c>
      <c r="X19" s="55" t="s">
        <v>0</v>
      </c>
      <c r="Y19" s="401"/>
    </row>
    <row r="20" spans="1:38" ht="21" thickBot="1">
      <c r="A20" s="260" t="s">
        <v>151</v>
      </c>
      <c r="B20" s="446">
        <f t="shared" ref="B20:W20" si="2">SUM(B12:B19)</f>
        <v>0</v>
      </c>
      <c r="C20" s="447">
        <f t="shared" si="2"/>
        <v>-186</v>
      </c>
      <c r="D20" s="448">
        <f t="shared" si="2"/>
        <v>0</v>
      </c>
      <c r="E20" s="447">
        <f t="shared" si="2"/>
        <v>-1834</v>
      </c>
      <c r="F20" s="446">
        <f t="shared" si="2"/>
        <v>0</v>
      </c>
      <c r="G20" s="447">
        <f t="shared" si="2"/>
        <v>-204</v>
      </c>
      <c r="H20" s="449">
        <f t="shared" si="2"/>
        <v>0</v>
      </c>
      <c r="I20" s="447">
        <f t="shared" si="2"/>
        <v>-2026</v>
      </c>
      <c r="J20" s="450">
        <f t="shared" si="2"/>
        <v>0</v>
      </c>
      <c r="K20" s="447">
        <f t="shared" si="2"/>
        <v>-635</v>
      </c>
      <c r="L20" s="449">
        <f t="shared" si="2"/>
        <v>0</v>
      </c>
      <c r="M20" s="447">
        <f t="shared" si="2"/>
        <v>-2488</v>
      </c>
      <c r="N20" s="450">
        <f t="shared" si="2"/>
        <v>0</v>
      </c>
      <c r="O20" s="447">
        <f t="shared" si="2"/>
        <v>-10</v>
      </c>
      <c r="P20" s="449">
        <f t="shared" si="2"/>
        <v>0</v>
      </c>
      <c r="Q20" s="447">
        <f t="shared" si="2"/>
        <v>-175</v>
      </c>
      <c r="R20" s="450">
        <f t="shared" si="2"/>
        <v>0</v>
      </c>
      <c r="S20" s="447">
        <f t="shared" si="2"/>
        <v>-219</v>
      </c>
      <c r="T20" s="449">
        <f t="shared" si="2"/>
        <v>0</v>
      </c>
      <c r="U20" s="447">
        <f t="shared" si="2"/>
        <v>-543</v>
      </c>
      <c r="V20" s="450">
        <f t="shared" si="2"/>
        <v>0</v>
      </c>
      <c r="W20" s="451">
        <f t="shared" si="2"/>
        <v>-8320</v>
      </c>
      <c r="X20" s="55" t="s">
        <v>0</v>
      </c>
      <c r="Y20" s="401"/>
    </row>
    <row r="21" spans="1:38">
      <c r="A21" s="770"/>
      <c r="B21" s="771"/>
      <c r="C21" s="771"/>
      <c r="D21" s="771"/>
      <c r="E21" s="771"/>
      <c r="F21" s="771"/>
      <c r="G21" s="771"/>
      <c r="H21" s="771"/>
      <c r="I21" s="771"/>
      <c r="J21" s="771"/>
      <c r="K21" s="771"/>
      <c r="L21" s="771"/>
      <c r="M21" s="771"/>
      <c r="N21" s="771"/>
      <c r="O21" s="771"/>
      <c r="P21" s="771"/>
      <c r="Q21" s="771"/>
      <c r="R21" s="771"/>
      <c r="S21" s="771"/>
      <c r="T21" s="771"/>
      <c r="U21" s="771"/>
      <c r="V21" s="771"/>
      <c r="W21" s="771"/>
      <c r="X21" s="55" t="s">
        <v>0</v>
      </c>
      <c r="Y21" s="401"/>
      <c r="Z21" s="16"/>
      <c r="AA21" s="16"/>
      <c r="AB21" s="16"/>
      <c r="AC21" s="16"/>
      <c r="AD21" s="16"/>
      <c r="AE21" s="16"/>
      <c r="AF21" s="16"/>
      <c r="AG21" s="16"/>
      <c r="AH21" s="16"/>
      <c r="AI21" s="16"/>
      <c r="AJ21" s="16"/>
      <c r="AK21" s="16"/>
      <c r="AL21" s="16"/>
    </row>
    <row r="22" spans="1:38">
      <c r="A22" s="17"/>
      <c r="B22" s="17"/>
      <c r="C22" s="253"/>
      <c r="D22" s="17"/>
      <c r="E22" s="253"/>
      <c r="F22" s="17"/>
      <c r="G22" s="253"/>
      <c r="H22" s="17"/>
      <c r="I22" s="253"/>
      <c r="J22" s="17"/>
      <c r="K22" s="253"/>
      <c r="L22" s="17"/>
      <c r="M22" s="253"/>
      <c r="N22" s="17"/>
      <c r="O22" s="253"/>
      <c r="P22" s="17"/>
      <c r="Q22" s="253"/>
      <c r="R22" s="17"/>
      <c r="S22" s="253"/>
      <c r="T22" s="17"/>
      <c r="U22" s="253"/>
      <c r="V22" s="17"/>
      <c r="W22" s="253"/>
      <c r="X22" s="55" t="s">
        <v>0</v>
      </c>
      <c r="Y22" s="401"/>
      <c r="Z22" s="16"/>
      <c r="AA22" s="16"/>
      <c r="AB22" s="16"/>
      <c r="AC22" s="16"/>
      <c r="AD22" s="16"/>
      <c r="AE22" s="16"/>
      <c r="AF22" s="16"/>
      <c r="AG22" s="16"/>
      <c r="AH22" s="16"/>
      <c r="AI22" s="16"/>
      <c r="AJ22" s="16"/>
      <c r="AK22" s="16"/>
      <c r="AL22" s="16"/>
    </row>
    <row r="23" spans="1:38" s="401" customFormat="1" ht="18.75">
      <c r="A23" s="715" t="s">
        <v>4</v>
      </c>
      <c r="B23" s="715"/>
      <c r="C23" s="715"/>
      <c r="D23" s="715"/>
      <c r="E23" s="715"/>
      <c r="F23" s="715"/>
      <c r="G23" s="715"/>
      <c r="H23" s="715"/>
      <c r="I23" s="715"/>
      <c r="J23" s="715"/>
      <c r="K23" s="715"/>
      <c r="L23" s="715"/>
      <c r="M23" s="715"/>
      <c r="N23" s="715"/>
      <c r="O23" s="715"/>
      <c r="P23" s="715"/>
      <c r="Q23" s="715"/>
      <c r="R23" s="715"/>
      <c r="S23" s="715"/>
      <c r="T23" s="715"/>
      <c r="U23" s="715"/>
      <c r="V23" s="715"/>
      <c r="W23" s="715"/>
      <c r="X23" s="55" t="s">
        <v>0</v>
      </c>
    </row>
    <row r="24" spans="1:38" s="401" customFormat="1" ht="16.5">
      <c r="A24" s="717" t="str">
        <f>+'B. Summary of Requirements_Cons'!A5:U5</f>
        <v>United States Marshals Service</v>
      </c>
      <c r="B24" s="717"/>
      <c r="C24" s="717"/>
      <c r="D24" s="717"/>
      <c r="E24" s="717"/>
      <c r="F24" s="717"/>
      <c r="G24" s="717"/>
      <c r="H24" s="717"/>
      <c r="I24" s="717"/>
      <c r="J24" s="717"/>
      <c r="K24" s="717"/>
      <c r="L24" s="717"/>
      <c r="M24" s="717"/>
      <c r="N24" s="717"/>
      <c r="O24" s="717"/>
      <c r="P24" s="717"/>
      <c r="Q24" s="717"/>
      <c r="R24" s="717"/>
      <c r="S24" s="717"/>
      <c r="T24" s="717"/>
      <c r="U24" s="717"/>
      <c r="V24" s="717"/>
      <c r="W24" s="717"/>
      <c r="X24" s="55" t="s">
        <v>0</v>
      </c>
    </row>
    <row r="25" spans="1:38" s="401" customFormat="1" ht="19.5" customHeight="1">
      <c r="A25" s="717" t="str">
        <f>+'B. Summary of Requirements_Cons'!A6:U6</f>
        <v>Construction</v>
      </c>
      <c r="B25" s="717"/>
      <c r="C25" s="717"/>
      <c r="D25" s="717"/>
      <c r="E25" s="717"/>
      <c r="F25" s="717"/>
      <c r="G25" s="717"/>
      <c r="H25" s="717"/>
      <c r="I25" s="717"/>
      <c r="J25" s="717"/>
      <c r="K25" s="717"/>
      <c r="L25" s="717"/>
      <c r="M25" s="717"/>
      <c r="N25" s="717"/>
      <c r="O25" s="717"/>
      <c r="P25" s="717"/>
      <c r="Q25" s="717"/>
      <c r="R25" s="717"/>
      <c r="S25" s="717"/>
      <c r="T25" s="717"/>
      <c r="U25" s="717"/>
      <c r="V25" s="717"/>
      <c r="W25" s="717"/>
      <c r="X25" s="55" t="s">
        <v>0</v>
      </c>
    </row>
    <row r="26" spans="1:38" s="401" customFormat="1">
      <c r="A26" s="719" t="s">
        <v>101</v>
      </c>
      <c r="B26" s="719"/>
      <c r="C26" s="719"/>
      <c r="D26" s="719"/>
      <c r="E26" s="719"/>
      <c r="F26" s="719"/>
      <c r="G26" s="719"/>
      <c r="H26" s="719"/>
      <c r="I26" s="719"/>
      <c r="J26" s="719"/>
      <c r="K26" s="719"/>
      <c r="L26" s="719"/>
      <c r="M26" s="719"/>
      <c r="N26" s="719"/>
      <c r="O26" s="719"/>
      <c r="P26" s="719"/>
      <c r="Q26" s="719"/>
      <c r="R26" s="719"/>
      <c r="S26" s="719"/>
      <c r="T26" s="719"/>
      <c r="U26" s="719"/>
      <c r="V26" s="719"/>
      <c r="W26" s="719"/>
      <c r="X26" s="55" t="s">
        <v>0</v>
      </c>
    </row>
    <row r="27" spans="1:38" s="401" customFormat="1">
      <c r="A27" s="452"/>
      <c r="B27" s="452"/>
      <c r="C27" s="452"/>
      <c r="D27" s="452"/>
      <c r="E27" s="452"/>
      <c r="F27" s="452"/>
      <c r="G27" s="452"/>
      <c r="H27" s="452"/>
      <c r="I27" s="452"/>
      <c r="J27" s="452"/>
      <c r="K27" s="452"/>
      <c r="L27" s="452"/>
      <c r="M27" s="452"/>
      <c r="N27" s="452"/>
      <c r="O27" s="452"/>
      <c r="P27" s="452"/>
      <c r="Q27" s="452"/>
      <c r="R27" s="452"/>
      <c r="S27" s="452"/>
      <c r="T27" s="452"/>
      <c r="U27" s="452"/>
      <c r="V27" s="452"/>
      <c r="W27" s="452"/>
      <c r="X27" s="55" t="s">
        <v>0</v>
      </c>
    </row>
    <row r="28" spans="1:38" s="401" customFormat="1" ht="39" customHeight="1">
      <c r="A28" s="751" t="s">
        <v>100</v>
      </c>
      <c r="B28" s="757"/>
      <c r="C28" s="763"/>
      <c r="D28" s="757" t="s">
        <v>68</v>
      </c>
      <c r="E28" s="758"/>
      <c r="F28" s="452"/>
      <c r="G28" s="452"/>
      <c r="H28" s="452"/>
      <c r="I28" s="452"/>
      <c r="J28" s="452"/>
      <c r="K28" s="452"/>
      <c r="L28" s="452"/>
      <c r="M28" s="452"/>
      <c r="N28" s="452"/>
      <c r="O28" s="452"/>
      <c r="P28" s="452"/>
      <c r="Q28" s="452"/>
      <c r="R28" s="452"/>
      <c r="S28" s="452"/>
      <c r="T28" s="452"/>
      <c r="U28" s="452"/>
      <c r="V28" s="452"/>
      <c r="W28" s="452"/>
      <c r="X28" s="55" t="s">
        <v>0</v>
      </c>
    </row>
    <row r="29" spans="1:38" s="401" customFormat="1" ht="36" customHeight="1">
      <c r="A29" s="752"/>
      <c r="B29" s="761" t="s">
        <v>209</v>
      </c>
      <c r="C29" s="762"/>
      <c r="D29" s="759"/>
      <c r="E29" s="760"/>
      <c r="F29" s="452"/>
      <c r="G29" s="452"/>
      <c r="H29" s="452"/>
      <c r="I29" s="452"/>
      <c r="J29" s="452"/>
      <c r="K29" s="452"/>
      <c r="L29" s="452"/>
      <c r="M29" s="452"/>
      <c r="N29" s="452"/>
      <c r="O29" s="452"/>
      <c r="P29" s="452"/>
      <c r="Q29" s="452"/>
      <c r="R29" s="452"/>
      <c r="S29" s="452"/>
      <c r="T29" s="452"/>
      <c r="U29" s="452"/>
      <c r="V29" s="452"/>
      <c r="W29" s="452"/>
      <c r="X29" s="55" t="s">
        <v>0</v>
      </c>
    </row>
    <row r="30" spans="1:38" s="401" customFormat="1" ht="36" customHeight="1" thickBot="1">
      <c r="A30" s="753"/>
      <c r="B30" s="114" t="s">
        <v>117</v>
      </c>
      <c r="C30" s="251" t="s">
        <v>99</v>
      </c>
      <c r="D30" s="114" t="s">
        <v>117</v>
      </c>
      <c r="E30" s="453" t="s">
        <v>99</v>
      </c>
      <c r="F30" s="452"/>
      <c r="G30" s="452"/>
      <c r="H30" s="452"/>
      <c r="I30" s="452"/>
      <c r="J30" s="452"/>
      <c r="K30" s="452"/>
      <c r="L30" s="452"/>
      <c r="M30" s="452"/>
      <c r="N30" s="452"/>
      <c r="O30" s="452"/>
      <c r="P30" s="452"/>
      <c r="Q30" s="452"/>
      <c r="R30" s="452"/>
      <c r="S30" s="452"/>
      <c r="T30" s="452"/>
      <c r="U30" s="452"/>
      <c r="V30" s="452"/>
      <c r="W30" s="452"/>
      <c r="X30" s="55" t="s">
        <v>0</v>
      </c>
    </row>
    <row r="31" spans="1:38" s="401" customFormat="1" ht="20.25">
      <c r="A31" s="454"/>
      <c r="B31" s="72"/>
      <c r="C31" s="252"/>
      <c r="D31" s="72"/>
      <c r="E31" s="254"/>
      <c r="F31" s="452"/>
      <c r="G31" s="452"/>
      <c r="H31" s="452"/>
      <c r="I31" s="452"/>
      <c r="J31" s="452"/>
      <c r="K31" s="452"/>
      <c r="L31" s="452"/>
      <c r="M31" s="452"/>
      <c r="N31" s="452"/>
      <c r="O31" s="452"/>
      <c r="P31" s="452"/>
      <c r="Q31" s="452"/>
      <c r="R31" s="452"/>
      <c r="S31" s="452"/>
      <c r="T31" s="452"/>
      <c r="U31" s="452"/>
      <c r="V31" s="452"/>
      <c r="W31" s="452"/>
      <c r="X31" s="55" t="s">
        <v>0</v>
      </c>
    </row>
    <row r="32" spans="1:38" s="401" customFormat="1" ht="20.25">
      <c r="A32" s="455" t="s">
        <v>5</v>
      </c>
      <c r="B32" s="432">
        <v>0</v>
      </c>
      <c r="C32" s="433">
        <v>0</v>
      </c>
      <c r="D32" s="432">
        <f>+B32</f>
        <v>0</v>
      </c>
      <c r="E32" s="456">
        <f>+C32</f>
        <v>0</v>
      </c>
      <c r="F32" s="452"/>
      <c r="G32" s="452"/>
      <c r="H32" s="452"/>
      <c r="I32" s="452"/>
      <c r="J32" s="452"/>
      <c r="K32" s="452"/>
      <c r="L32" s="452"/>
      <c r="M32" s="452"/>
      <c r="N32" s="452"/>
      <c r="O32" s="452"/>
      <c r="P32" s="452"/>
      <c r="Q32" s="452"/>
      <c r="R32" s="452"/>
      <c r="S32" s="452"/>
      <c r="T32" s="452"/>
      <c r="U32" s="452"/>
      <c r="V32" s="452"/>
      <c r="W32" s="452"/>
      <c r="X32" s="55" t="s">
        <v>0</v>
      </c>
    </row>
    <row r="33" spans="1:24" s="401" customFormat="1" ht="20.25">
      <c r="A33" s="457" t="s">
        <v>58</v>
      </c>
      <c r="B33" s="435">
        <v>0</v>
      </c>
      <c r="C33" s="441">
        <v>-5000</v>
      </c>
      <c r="D33" s="439">
        <f>+B33</f>
        <v>0</v>
      </c>
      <c r="E33" s="438">
        <f>+C33</f>
        <v>-5000</v>
      </c>
      <c r="F33" s="452"/>
      <c r="G33" s="452"/>
      <c r="H33" s="452"/>
      <c r="I33" s="452"/>
      <c r="J33" s="452"/>
      <c r="K33" s="452"/>
      <c r="L33" s="452"/>
      <c r="M33" s="452"/>
      <c r="N33" s="452"/>
      <c r="O33" s="452"/>
      <c r="P33" s="452"/>
      <c r="Q33" s="452"/>
      <c r="R33" s="452"/>
      <c r="S33" s="452"/>
      <c r="T33" s="452"/>
      <c r="U33" s="452"/>
      <c r="V33" s="452"/>
      <c r="W33" s="452"/>
      <c r="X33" s="55" t="s">
        <v>0</v>
      </c>
    </row>
    <row r="34" spans="1:24" s="401" customFormat="1" ht="20.25">
      <c r="A34" s="458" t="s">
        <v>151</v>
      </c>
      <c r="B34" s="459">
        <f>SUM(B32:B33)</f>
        <v>0</v>
      </c>
      <c r="C34" s="460">
        <f>SUM(C32:C33)</f>
        <v>-5000</v>
      </c>
      <c r="D34" s="461">
        <f>SUM(D32:D33)</f>
        <v>0</v>
      </c>
      <c r="E34" s="462">
        <f>SUM(E32:E33)</f>
        <v>-5000</v>
      </c>
      <c r="F34" s="452"/>
      <c r="G34" s="452"/>
      <c r="H34" s="452"/>
      <c r="I34" s="452"/>
      <c r="J34" s="452"/>
      <c r="K34" s="452"/>
      <c r="L34" s="452"/>
      <c r="M34" s="452"/>
      <c r="N34" s="452"/>
      <c r="O34" s="452"/>
      <c r="P34" s="452"/>
      <c r="Q34" s="452"/>
      <c r="R34" s="452"/>
      <c r="S34" s="452"/>
      <c r="T34" s="452"/>
      <c r="U34" s="452"/>
      <c r="V34" s="452"/>
      <c r="W34" s="452"/>
      <c r="X34" s="55" t="s">
        <v>15</v>
      </c>
    </row>
  </sheetData>
  <customSheetViews>
    <customSheetView guid="{3118AF25-8423-420A-806A-487665220C68}" scale="55" showPageBreaks="1" fitToPage="1" printArea="1" view="pageBreakPreview">
      <pane xSplit="1" ySplit="10" topLeftCell="B11" activePane="bottomRight" state="frozen"/>
      <selection pane="bottomRight" activeCell="W35" sqref="W35"/>
      <pageMargins left="0.25" right="0.25" top="0.5" bottom="0.5" header="0.5" footer="0.5"/>
      <printOptions horizontalCentered="1"/>
      <pageSetup scale="41" fitToHeight="0" orientation="landscape" r:id="rId1"/>
      <headerFooter alignWithMargins="0">
        <oddFooter xml:space="preserve">&amp;C&amp;"Times New Roman,Regular"&amp;14Exhibit J - Financial Analysis of Program Changes&amp;12
</oddFooter>
      </headerFooter>
    </customSheetView>
    <customSheetView guid="{56C0A34E-45B4-448B-85E5-70B3A8E6333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2"/>
      <headerFooter alignWithMargins="0">
        <oddFooter xml:space="preserve">&amp;C&amp;"Times New Roman,Regular"&amp;14Exhibit J - Financial Analysis of Program Changes&amp;12
</oddFooter>
      </headerFooter>
    </customSheetView>
    <customSheetView guid="{4148B88B-8ED7-4FDE-9459-DEB244AD0552}"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3"/>
      <headerFooter alignWithMargins="0">
        <oddFooter xml:space="preserve">&amp;C&amp;"Times New Roman,Regular"&amp;14Exhibit J - Financial Analysis of Program Changes&amp;12
</oddFooter>
      </headerFooter>
    </customSheetView>
    <customSheetView guid="{12C66D54-5067-4346-818B-6EAB1C8A918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4"/>
      <headerFooter alignWithMargins="0">
        <oddFooter xml:space="preserve">&amp;C&amp;"Times New Roman,Regular"&amp;14Exhibit J - Financial Analysis of Program Changes&amp;12
</oddFooter>
      </headerFooter>
    </customSheetView>
  </customSheetViews>
  <mergeCells count="32">
    <mergeCell ref="V8:W9"/>
    <mergeCell ref="T9:U9"/>
    <mergeCell ref="A7:W7"/>
    <mergeCell ref="J9:K9"/>
    <mergeCell ref="A21:W21"/>
    <mergeCell ref="A8:A10"/>
    <mergeCell ref="B8:E8"/>
    <mergeCell ref="F8:I8"/>
    <mergeCell ref="H9:I9"/>
    <mergeCell ref="F9:G9"/>
    <mergeCell ref="D9:E9"/>
    <mergeCell ref="B9:C9"/>
    <mergeCell ref="J8:M8"/>
    <mergeCell ref="R8:U8"/>
    <mergeCell ref="L9:M9"/>
    <mergeCell ref="N8:Q8"/>
    <mergeCell ref="A2:W2"/>
    <mergeCell ref="A4:W4"/>
    <mergeCell ref="A3:W3"/>
    <mergeCell ref="A5:W5"/>
    <mergeCell ref="A6:W6"/>
    <mergeCell ref="N9:O9"/>
    <mergeCell ref="P9:Q9"/>
    <mergeCell ref="R9:S9"/>
    <mergeCell ref="D28:E29"/>
    <mergeCell ref="B29:C29"/>
    <mergeCell ref="B28:C28"/>
    <mergeCell ref="A28:A30"/>
    <mergeCell ref="A23:W23"/>
    <mergeCell ref="A24:W24"/>
    <mergeCell ref="A25:W25"/>
    <mergeCell ref="A26:W26"/>
  </mergeCells>
  <phoneticPr fontId="0" type="noConversion"/>
  <printOptions horizontalCentered="1"/>
  <pageMargins left="0.25" right="0.25" top="1" bottom="0.5" header="0.5" footer="0.5"/>
  <pageSetup scale="47" fitToHeight="0" orientation="landscape" r:id="rId5"/>
  <headerFooter alignWithMargins="0">
    <oddFooter xml:space="preserve">&amp;C&amp;"Times New Roman,Regular"&amp;14Exhibit J - Financial Analysis of Program Changes&amp;12
</oddFooter>
  </headerFooter>
</worksheet>
</file>

<file path=xl/worksheets/sheet12.xml><?xml version="1.0" encoding="utf-8"?>
<worksheet xmlns="http://schemas.openxmlformats.org/spreadsheetml/2006/main" xmlns:r="http://schemas.openxmlformats.org/officeDocument/2006/relationships">
  <sheetPr codeName="Sheet16"/>
  <dimension ref="A1:L30"/>
  <sheetViews>
    <sheetView showGridLines="0" showOutlineSymbols="0" view="pageBreakPreview" zoomScale="75" zoomScaleNormal="75" zoomScaleSheetLayoutView="75" workbookViewId="0">
      <pane xSplit="1" ySplit="11" topLeftCell="B12" activePane="bottomRight" state="frozen"/>
      <selection pane="topRight" activeCell="B1" sqref="B1"/>
      <selection pane="bottomLeft" activeCell="A12" sqref="A12"/>
      <selection pane="bottomRight" activeCell="A29" sqref="A29:J29"/>
    </sheetView>
  </sheetViews>
  <sheetFormatPr defaultColWidth="9.6640625" defaultRowHeight="15.75"/>
  <cols>
    <col min="1" max="1" width="57" style="7" customWidth="1"/>
    <col min="2" max="2" width="8.33203125" style="7" customWidth="1"/>
    <col min="3" max="3" width="12.109375" style="7" customWidth="1"/>
    <col min="4" max="4" width="8.77734375" style="7" customWidth="1"/>
    <col min="5" max="5" width="9.77734375" style="7" customWidth="1"/>
    <col min="6" max="6" width="9.21875" style="7" customWidth="1"/>
    <col min="7" max="7" width="9.77734375" style="7" customWidth="1"/>
    <col min="8" max="8" width="7.77734375" style="7" customWidth="1"/>
    <col min="9" max="9" width="11.77734375" style="7" bestFit="1" customWidth="1"/>
    <col min="10" max="10" width="1.21875" style="54" customWidth="1"/>
    <col min="11" max="16384" width="9.6640625" style="7"/>
  </cols>
  <sheetData>
    <row r="1" spans="1:10" ht="20.25">
      <c r="A1" s="781" t="s">
        <v>89</v>
      </c>
      <c r="B1" s="782"/>
      <c r="C1" s="782"/>
      <c r="D1" s="782"/>
      <c r="E1" s="782"/>
      <c r="F1" s="782"/>
      <c r="G1" s="782"/>
      <c r="H1" s="782"/>
      <c r="I1" s="782"/>
      <c r="J1" s="193" t="s">
        <v>0</v>
      </c>
    </row>
    <row r="2" spans="1:10" ht="18.75">
      <c r="A2" s="783"/>
      <c r="B2" s="783"/>
      <c r="C2" s="783"/>
      <c r="D2" s="783"/>
      <c r="E2" s="783"/>
      <c r="F2" s="783"/>
      <c r="G2" s="783"/>
      <c r="H2" s="783"/>
      <c r="I2" s="783"/>
      <c r="J2" s="193" t="s">
        <v>0</v>
      </c>
    </row>
    <row r="3" spans="1:10">
      <c r="A3" s="784"/>
      <c r="B3" s="784"/>
      <c r="C3" s="784"/>
      <c r="D3" s="784"/>
      <c r="E3" s="784"/>
      <c r="F3" s="784"/>
      <c r="G3" s="784"/>
      <c r="H3" s="784"/>
      <c r="I3" s="784"/>
      <c r="J3" s="193" t="s">
        <v>0</v>
      </c>
    </row>
    <row r="4" spans="1:10" ht="20.25">
      <c r="A4" s="780" t="s">
        <v>124</v>
      </c>
      <c r="B4" s="716"/>
      <c r="C4" s="716"/>
      <c r="D4" s="716"/>
      <c r="E4" s="716"/>
      <c r="F4" s="716"/>
      <c r="G4" s="716"/>
      <c r="H4" s="716"/>
      <c r="I4" s="716"/>
      <c r="J4" s="193" t="s">
        <v>0</v>
      </c>
    </row>
    <row r="5" spans="1:10" ht="18.75">
      <c r="A5" s="779" t="str">
        <f>+'B. Summary of Requirements_SE '!A5</f>
        <v>United States Marshals Service</v>
      </c>
      <c r="B5" s="718"/>
      <c r="C5" s="718"/>
      <c r="D5" s="718"/>
      <c r="E5" s="718"/>
      <c r="F5" s="718"/>
      <c r="G5" s="718"/>
      <c r="H5" s="718"/>
      <c r="I5" s="718"/>
      <c r="J5" s="193" t="s">
        <v>0</v>
      </c>
    </row>
    <row r="6" spans="1:10" ht="18.75">
      <c r="A6" s="779" t="str">
        <f>+'B. Summary of Requirements_SE '!A6</f>
        <v>Salaries and Expenses</v>
      </c>
      <c r="B6" s="716"/>
      <c r="C6" s="716"/>
      <c r="D6" s="716"/>
      <c r="E6" s="716"/>
      <c r="F6" s="716"/>
      <c r="G6" s="716"/>
      <c r="H6" s="716"/>
      <c r="I6" s="716"/>
      <c r="J6" s="193" t="s">
        <v>0</v>
      </c>
    </row>
    <row r="7" spans="1:10">
      <c r="A7" s="784"/>
      <c r="B7" s="784"/>
      <c r="C7" s="784"/>
      <c r="D7" s="784"/>
      <c r="E7" s="784"/>
      <c r="F7" s="784"/>
      <c r="G7" s="784"/>
      <c r="H7" s="784"/>
      <c r="I7" s="784"/>
      <c r="J7" s="193" t="s">
        <v>0</v>
      </c>
    </row>
    <row r="8" spans="1:10" ht="16.5" thickBot="1">
      <c r="A8" s="787" t="s">
        <v>118</v>
      </c>
      <c r="B8" s="787"/>
      <c r="C8" s="787"/>
      <c r="D8" s="787"/>
      <c r="E8" s="787"/>
      <c r="F8" s="787"/>
      <c r="G8" s="787"/>
      <c r="H8" s="787"/>
      <c r="I8" s="787"/>
      <c r="J8" s="193" t="s">
        <v>0</v>
      </c>
    </row>
    <row r="9" spans="1:10">
      <c r="A9" s="794" t="s">
        <v>34</v>
      </c>
      <c r="B9" s="788" t="s">
        <v>156</v>
      </c>
      <c r="C9" s="789"/>
      <c r="D9" s="788" t="s">
        <v>154</v>
      </c>
      <c r="E9" s="789"/>
      <c r="F9" s="788" t="s">
        <v>208</v>
      </c>
      <c r="G9" s="789"/>
      <c r="H9" s="788" t="s">
        <v>24</v>
      </c>
      <c r="I9" s="792"/>
      <c r="J9" s="193" t="s">
        <v>0</v>
      </c>
    </row>
    <row r="10" spans="1:10" ht="53.25" customHeight="1">
      <c r="A10" s="795"/>
      <c r="B10" s="790"/>
      <c r="C10" s="791"/>
      <c r="D10" s="790"/>
      <c r="E10" s="791"/>
      <c r="F10" s="790"/>
      <c r="G10" s="791"/>
      <c r="H10" s="790"/>
      <c r="I10" s="793"/>
      <c r="J10" s="193" t="s">
        <v>0</v>
      </c>
    </row>
    <row r="11" spans="1:10" ht="16.5" thickBot="1">
      <c r="A11" s="796"/>
      <c r="B11" s="121" t="s">
        <v>117</v>
      </c>
      <c r="C11" s="122" t="s">
        <v>119</v>
      </c>
      <c r="D11" s="121" t="s">
        <v>117</v>
      </c>
      <c r="E11" s="122" t="s">
        <v>119</v>
      </c>
      <c r="F11" s="121" t="s">
        <v>117</v>
      </c>
      <c r="G11" s="122" t="s">
        <v>119</v>
      </c>
      <c r="H11" s="121" t="s">
        <v>117</v>
      </c>
      <c r="I11" s="280" t="s">
        <v>119</v>
      </c>
      <c r="J11" s="193" t="s">
        <v>0</v>
      </c>
    </row>
    <row r="12" spans="1:10">
      <c r="A12" s="383" t="s">
        <v>204</v>
      </c>
      <c r="B12" s="388">
        <v>1</v>
      </c>
      <c r="C12" s="74"/>
      <c r="D12" s="388">
        <v>1</v>
      </c>
      <c r="E12" s="74"/>
      <c r="F12" s="388">
        <v>1</v>
      </c>
      <c r="G12" s="74"/>
      <c r="H12" s="73">
        <f>F12-D12</f>
        <v>0</v>
      </c>
      <c r="I12" s="281"/>
      <c r="J12" s="193" t="s">
        <v>0</v>
      </c>
    </row>
    <row r="13" spans="1:10">
      <c r="A13" s="384" t="s">
        <v>205</v>
      </c>
      <c r="B13" s="388">
        <v>36</v>
      </c>
      <c r="C13" s="380"/>
      <c r="D13" s="388">
        <v>36</v>
      </c>
      <c r="E13" s="380"/>
      <c r="F13" s="388">
        <v>36</v>
      </c>
      <c r="G13" s="380"/>
      <c r="H13" s="379">
        <f t="shared" ref="H13:H14" si="0">F13-D13</f>
        <v>0</v>
      </c>
      <c r="I13" s="282"/>
      <c r="J13" s="382" t="s">
        <v>0</v>
      </c>
    </row>
    <row r="14" spans="1:10">
      <c r="A14" s="381" t="s">
        <v>83</v>
      </c>
      <c r="B14" s="388">
        <v>17</v>
      </c>
      <c r="C14" s="380"/>
      <c r="D14" s="388">
        <v>17</v>
      </c>
      <c r="E14" s="380"/>
      <c r="F14" s="388">
        <v>17</v>
      </c>
      <c r="G14" s="380"/>
      <c r="H14" s="379">
        <f t="shared" si="0"/>
        <v>0</v>
      </c>
      <c r="I14" s="282"/>
      <c r="J14" s="382" t="s">
        <v>0</v>
      </c>
    </row>
    <row r="15" spans="1:10">
      <c r="A15" s="117" t="s">
        <v>82</v>
      </c>
      <c r="B15" s="388">
        <v>175</v>
      </c>
      <c r="C15" s="74"/>
      <c r="D15" s="388">
        <v>175</v>
      </c>
      <c r="E15" s="74"/>
      <c r="F15" s="388">
        <v>175</v>
      </c>
      <c r="G15" s="74"/>
      <c r="H15" s="73">
        <f t="shared" ref="H15:H24" si="1">F15-D15</f>
        <v>0</v>
      </c>
      <c r="I15" s="282"/>
      <c r="J15" s="193" t="s">
        <v>0</v>
      </c>
    </row>
    <row r="16" spans="1:10">
      <c r="A16" s="117" t="s">
        <v>81</v>
      </c>
      <c r="B16" s="388">
        <v>272</v>
      </c>
      <c r="C16" s="74"/>
      <c r="D16" s="388">
        <v>272</v>
      </c>
      <c r="E16" s="74"/>
      <c r="F16" s="388">
        <v>272</v>
      </c>
      <c r="G16" s="74"/>
      <c r="H16" s="73">
        <f t="shared" si="1"/>
        <v>0</v>
      </c>
      <c r="I16" s="282"/>
      <c r="J16" s="193" t="s">
        <v>0</v>
      </c>
    </row>
    <row r="17" spans="1:12">
      <c r="A17" s="117" t="s">
        <v>80</v>
      </c>
      <c r="B17" s="388">
        <v>688</v>
      </c>
      <c r="C17" s="74"/>
      <c r="D17" s="388">
        <v>1388</v>
      </c>
      <c r="E17" s="74"/>
      <c r="F17" s="388">
        <v>1388</v>
      </c>
      <c r="G17" s="74"/>
      <c r="H17" s="73">
        <f t="shared" si="1"/>
        <v>0</v>
      </c>
      <c r="I17" s="282"/>
      <c r="J17" s="193" t="s">
        <v>0</v>
      </c>
    </row>
    <row r="18" spans="1:12">
      <c r="A18" s="117" t="s">
        <v>79</v>
      </c>
      <c r="B18" s="388">
        <v>2698</v>
      </c>
      <c r="C18" s="74"/>
      <c r="D18" s="388">
        <v>2698</v>
      </c>
      <c r="E18" s="74"/>
      <c r="F18" s="388">
        <v>2698</v>
      </c>
      <c r="G18" s="74"/>
      <c r="H18" s="73">
        <f t="shared" si="1"/>
        <v>0</v>
      </c>
      <c r="I18" s="282"/>
      <c r="J18" s="193" t="s">
        <v>0</v>
      </c>
    </row>
    <row r="19" spans="1:12">
      <c r="A19" s="117" t="s">
        <v>78</v>
      </c>
      <c r="B19" s="388">
        <v>310</v>
      </c>
      <c r="C19" s="74"/>
      <c r="D19" s="388">
        <v>102</v>
      </c>
      <c r="E19" s="74"/>
      <c r="F19" s="388">
        <v>102</v>
      </c>
      <c r="G19" s="74"/>
      <c r="H19" s="73">
        <f t="shared" si="1"/>
        <v>0</v>
      </c>
      <c r="I19" s="282"/>
      <c r="J19" s="193" t="s">
        <v>0</v>
      </c>
    </row>
    <row r="20" spans="1:12">
      <c r="A20" s="117" t="s">
        <v>77</v>
      </c>
      <c r="B20" s="396">
        <v>1</v>
      </c>
      <c r="C20" s="74"/>
      <c r="D20" s="396">
        <v>1</v>
      </c>
      <c r="E20" s="74"/>
      <c r="F20" s="396">
        <v>1</v>
      </c>
      <c r="G20" s="74"/>
      <c r="H20" s="73">
        <f t="shared" si="1"/>
        <v>0</v>
      </c>
      <c r="I20" s="282"/>
      <c r="J20" s="193" t="s">
        <v>0</v>
      </c>
    </row>
    <row r="21" spans="1:12">
      <c r="A21" s="117" t="s">
        <v>76</v>
      </c>
      <c r="B21" s="396">
        <v>869</v>
      </c>
      <c r="C21" s="74"/>
      <c r="D21" s="396">
        <v>377</v>
      </c>
      <c r="E21" s="74"/>
      <c r="F21" s="396">
        <v>377</v>
      </c>
      <c r="G21" s="74"/>
      <c r="H21" s="73">
        <f t="shared" si="1"/>
        <v>0</v>
      </c>
      <c r="I21" s="282"/>
      <c r="J21" s="193" t="s">
        <v>0</v>
      </c>
    </row>
    <row r="22" spans="1:12">
      <c r="A22" s="117" t="s">
        <v>75</v>
      </c>
      <c r="B22" s="396">
        <v>37</v>
      </c>
      <c r="C22" s="74"/>
      <c r="D22" s="396">
        <v>37</v>
      </c>
      <c r="E22" s="74"/>
      <c r="F22" s="396">
        <v>37</v>
      </c>
      <c r="G22" s="74"/>
      <c r="H22" s="73">
        <f t="shared" si="1"/>
        <v>0</v>
      </c>
      <c r="I22" s="282"/>
      <c r="J22" s="193" t="s">
        <v>0</v>
      </c>
    </row>
    <row r="23" spans="1:12">
      <c r="A23" s="117" t="s">
        <v>74</v>
      </c>
      <c r="B23" s="396">
        <v>439</v>
      </c>
      <c r="C23" s="74"/>
      <c r="D23" s="396">
        <v>439</v>
      </c>
      <c r="E23" s="74"/>
      <c r="F23" s="396">
        <v>439</v>
      </c>
      <c r="G23" s="74"/>
      <c r="H23" s="73">
        <f t="shared" si="1"/>
        <v>0</v>
      </c>
      <c r="I23" s="282"/>
      <c r="J23" s="193" t="s">
        <v>0</v>
      </c>
    </row>
    <row r="24" spans="1:12">
      <c r="A24" s="117" t="s">
        <v>73</v>
      </c>
      <c r="B24" s="388">
        <v>1</v>
      </c>
      <c r="C24" s="74"/>
      <c r="D24" s="388">
        <v>1</v>
      </c>
      <c r="E24" s="74"/>
      <c r="F24" s="388">
        <v>1</v>
      </c>
      <c r="G24" s="74"/>
      <c r="H24" s="73">
        <f t="shared" si="1"/>
        <v>0</v>
      </c>
      <c r="I24" s="282"/>
      <c r="J24" s="193" t="s">
        <v>0</v>
      </c>
    </row>
    <row r="25" spans="1:12">
      <c r="A25" s="118" t="s">
        <v>152</v>
      </c>
      <c r="B25" s="75">
        <f>SUM(B12:B24)</f>
        <v>5544</v>
      </c>
      <c r="C25" s="105"/>
      <c r="D25" s="389">
        <f>SUM(D12:D24)</f>
        <v>5544</v>
      </c>
      <c r="E25" s="105"/>
      <c r="F25" s="75">
        <f>SUM(F12:F24)</f>
        <v>5544</v>
      </c>
      <c r="G25" s="105"/>
      <c r="H25" s="75">
        <f>SUM(H12:H24)</f>
        <v>0</v>
      </c>
      <c r="I25" s="283"/>
      <c r="J25" s="193" t="s">
        <v>0</v>
      </c>
      <c r="L25" s="19"/>
    </row>
    <row r="26" spans="1:12">
      <c r="A26" s="119" t="s">
        <v>11</v>
      </c>
      <c r="B26" s="76"/>
      <c r="C26" s="45">
        <v>167607</v>
      </c>
      <c r="D26" s="390"/>
      <c r="E26" s="45">
        <v>168271</v>
      </c>
      <c r="F26" s="80"/>
      <c r="G26" s="45">
        <f>+E26*1.005</f>
        <v>169112.35499999998</v>
      </c>
      <c r="H26" s="76"/>
      <c r="I26" s="284"/>
      <c r="J26" s="193" t="s">
        <v>0</v>
      </c>
    </row>
    <row r="27" spans="1:12">
      <c r="A27" s="119" t="s">
        <v>60</v>
      </c>
      <c r="B27" s="77"/>
      <c r="C27" s="45">
        <v>82184</v>
      </c>
      <c r="D27" s="390"/>
      <c r="E27" s="45">
        <v>87124</v>
      </c>
      <c r="F27" s="80"/>
      <c r="G27" s="45">
        <f>+E27*1.005</f>
        <v>87559.62</v>
      </c>
      <c r="H27" s="76"/>
      <c r="I27" s="282"/>
      <c r="J27" s="193" t="s">
        <v>0</v>
      </c>
    </row>
    <row r="28" spans="1:12" ht="16.5" thickBot="1">
      <c r="A28" s="120" t="s">
        <v>61</v>
      </c>
      <c r="B28" s="78"/>
      <c r="C28" s="491">
        <v>11.36</v>
      </c>
      <c r="D28" s="391"/>
      <c r="E28" s="491">
        <v>11.79</v>
      </c>
      <c r="F28" s="391"/>
      <c r="G28" s="491">
        <v>11.79</v>
      </c>
      <c r="H28" s="79"/>
      <c r="I28" s="285"/>
      <c r="J28" s="193" t="s">
        <v>15</v>
      </c>
    </row>
    <row r="29" spans="1:12">
      <c r="A29" s="785" t="s">
        <v>301</v>
      </c>
      <c r="B29" s="786"/>
      <c r="C29" s="786"/>
      <c r="D29" s="786"/>
      <c r="E29" s="786"/>
      <c r="F29" s="786"/>
      <c r="G29" s="786"/>
      <c r="H29" s="786"/>
      <c r="I29" s="786"/>
      <c r="J29" s="786"/>
    </row>
    <row r="30" spans="1:12">
      <c r="A30" s="12"/>
      <c r="B30" s="12"/>
      <c r="C30" s="12"/>
      <c r="D30" s="12"/>
      <c r="E30" s="12"/>
      <c r="F30" s="12"/>
      <c r="G30" s="12"/>
      <c r="H30" s="12"/>
      <c r="I30" s="12"/>
      <c r="J30" s="194"/>
    </row>
  </sheetData>
  <customSheetViews>
    <customSheetView guid="{3118AF25-8423-420A-806A-487665220C68}" scale="75" showPageBreaks="1" showGridLines="0" outlineSymbols="0" printArea="1" view="pageBreakPreview">
      <pane xSplit="1" ySplit="11" topLeftCell="B24" activePane="bottomRight" state="frozen"/>
      <selection pane="bottomRight" activeCell="F29" sqref="F29"/>
      <pageMargins left="0.5" right="0.5" top="0.5" bottom="0.55000000000000004" header="0" footer="0"/>
      <printOptions horizontalCentered="1"/>
      <pageSetup scale="67" orientation="landscape" horizontalDpi="300" verticalDpi="300" r:id="rId1"/>
      <headerFooter alignWithMargins="0">
        <oddFooter>&amp;C&amp;"Times New Roman,Regular"Exhibit K - Summary of Requirements by Grade</oddFooter>
      </headerFooter>
    </customSheetView>
    <customSheetView guid="{56C0A34E-45B4-448B-85E5-70B3A8E63333}" scale="75" showPageBreaks="1" showGridLines="0" outlineSymbols="0" printArea="1" view="pageBreakPreview">
      <pane xSplit="1" ySplit="11" topLeftCell="B12" activePane="bottomRight" state="frozen"/>
      <selection pane="bottomRight" activeCell="D9" sqref="D9:E10"/>
      <pageMargins left="0.5" right="0.5" top="0.5" bottom="0.55000000000000004" header="0" footer="0"/>
      <printOptions horizontalCentered="1"/>
      <pageSetup scale="67" orientation="landscape" horizontalDpi="300" verticalDpi="300" r:id="rId2"/>
      <headerFooter alignWithMargins="0">
        <oddFooter>&amp;C&amp;"Times New Roman,Regular"Exhibit K - Summary of Requirements by Grade</oddFooter>
      </headerFooter>
    </customSheetView>
    <customSheetView guid="{4148B88B-8ED7-4FDE-9459-DEB244AD0552}" scale="75" showPageBreaks="1" showGridLines="0" outlineSymbols="0" printArea="1" view="pageBreakPreview">
      <pane xSplit="1" ySplit="11" topLeftCell="B12" activePane="bottomRight" state="frozen"/>
      <selection pane="bottomRight" activeCell="E23" sqref="E23"/>
      <pageMargins left="0.5" right="0.5" top="0.5" bottom="0.55000000000000004" header="0" footer="0"/>
      <printOptions horizontalCentered="1"/>
      <pageSetup scale="67" orientation="landscape" horizontalDpi="300" verticalDpi="300" r:id="rId3"/>
      <headerFooter alignWithMargins="0">
        <oddFooter>&amp;C&amp;"Times New Roman,Regular"Exhibit K - Summary of Requirements by Grade</oddFooter>
      </headerFooter>
    </customSheetView>
    <customSheetView guid="{12C66D54-5067-4346-818B-6EAB1C8A9183}" scale="75" showPageBreaks="1" showGridLines="0" outlineSymbols="0" printArea="1" view="pageBreakPreview">
      <pane xSplit="1" ySplit="11" topLeftCell="B12" activePane="bottomRight" state="frozen"/>
      <selection pane="bottomRight" activeCell="H14" sqref="H14"/>
      <pageMargins left="0.5" right="0.5" top="0.5" bottom="0.55000000000000004" header="0" footer="0"/>
      <printOptions horizontalCentered="1"/>
      <pageSetup scale="67" orientation="landscape" horizontalDpi="300" verticalDpi="300" r:id="rId4"/>
      <headerFooter alignWithMargins="0">
        <oddFooter>&amp;C&amp;"Times New Roman,Regular"Exhibit K - Summary of Requirements by Grade</oddFooter>
      </headerFooter>
    </customSheetView>
  </customSheetViews>
  <mergeCells count="14">
    <mergeCell ref="A29:J29"/>
    <mergeCell ref="A7:I7"/>
    <mergeCell ref="A8:I8"/>
    <mergeCell ref="B9:C10"/>
    <mergeCell ref="D9:E10"/>
    <mergeCell ref="F9:G10"/>
    <mergeCell ref="H9:I10"/>
    <mergeCell ref="A9:A11"/>
    <mergeCell ref="A6:I6"/>
    <mergeCell ref="A5:I5"/>
    <mergeCell ref="A4:I4"/>
    <mergeCell ref="A1:I1"/>
    <mergeCell ref="A2:I2"/>
    <mergeCell ref="A3:I3"/>
  </mergeCells>
  <phoneticPr fontId="0" type="noConversion"/>
  <printOptions horizontalCentered="1"/>
  <pageMargins left="0.5" right="0.5" top="1" bottom="0.55000000000000004" header="0" footer="0"/>
  <pageSetup scale="67" orientation="landscape" r:id="rId5"/>
  <headerFooter alignWithMargins="0">
    <oddFooter>&amp;C&amp;"Times New Roman,Regular"Exhibit K - Summary of Requirements by Grade</oddFooter>
  </headerFooter>
</worksheet>
</file>

<file path=xl/worksheets/sheet13.xml><?xml version="1.0" encoding="utf-8"?>
<worksheet xmlns="http://schemas.openxmlformats.org/spreadsheetml/2006/main" xmlns:r="http://schemas.openxmlformats.org/officeDocument/2006/relationships">
  <sheetPr codeName="Sheet17"/>
  <dimension ref="A1:Z189"/>
  <sheetViews>
    <sheetView view="pageBreakPreview" zoomScale="75" zoomScaleNormal="75" zoomScaleSheetLayoutView="50" workbookViewId="0">
      <pane xSplit="1" ySplit="9" topLeftCell="B10" activePane="bottomRight" state="frozen"/>
      <selection pane="topRight" activeCell="B1" sqref="B1"/>
      <selection pane="bottomLeft" activeCell="A10" sqref="A10"/>
      <selection pane="bottomRight" activeCell="G51" sqref="G51"/>
    </sheetView>
  </sheetViews>
  <sheetFormatPr defaultRowHeight="15.75"/>
  <cols>
    <col min="1" max="1" width="65.33203125" style="3" customWidth="1"/>
    <col min="2" max="2" width="8.88671875" style="3"/>
    <col min="3" max="3" width="10.77734375" style="3" bestFit="1"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2" width="8.88671875" style="3" hidden="1" customWidth="1"/>
    <col min="13" max="13" width="1" style="52" customWidth="1"/>
    <col min="15" max="16384" width="8.88671875" style="3"/>
  </cols>
  <sheetData>
    <row r="1" spans="1:14" ht="19.149999999999999" customHeight="1">
      <c r="A1" s="588" t="s">
        <v>88</v>
      </c>
      <c r="B1" s="797"/>
      <c r="C1" s="797"/>
      <c r="D1" s="797"/>
      <c r="E1" s="797"/>
      <c r="F1" s="797"/>
      <c r="G1" s="797"/>
      <c r="H1" s="797"/>
      <c r="I1" s="797"/>
      <c r="M1" s="51" t="s">
        <v>0</v>
      </c>
    </row>
    <row r="2" spans="1:14" ht="19.149999999999999" customHeight="1">
      <c r="A2" s="798"/>
      <c r="B2" s="799"/>
      <c r="C2" s="799"/>
      <c r="D2" s="799"/>
      <c r="E2" s="799"/>
      <c r="F2" s="799"/>
      <c r="G2" s="799"/>
      <c r="H2" s="799"/>
      <c r="I2" s="799"/>
      <c r="M2" s="51" t="s">
        <v>0</v>
      </c>
    </row>
    <row r="3" spans="1:14" ht="18.75">
      <c r="A3" s="800" t="s">
        <v>65</v>
      </c>
      <c r="B3" s="797"/>
      <c r="C3" s="797"/>
      <c r="D3" s="797"/>
      <c r="E3" s="797"/>
      <c r="F3" s="797"/>
      <c r="G3" s="797"/>
      <c r="H3" s="797"/>
      <c r="I3" s="797"/>
      <c r="M3" s="51" t="s">
        <v>0</v>
      </c>
    </row>
    <row r="4" spans="1:14" ht="16.5">
      <c r="A4" s="745" t="str">
        <f>+'B. Summary of Requirements_SE '!A5</f>
        <v>United States Marshals Service</v>
      </c>
      <c r="B4" s="797"/>
      <c r="C4" s="797"/>
      <c r="D4" s="797"/>
      <c r="E4" s="797"/>
      <c r="F4" s="797"/>
      <c r="G4" s="797"/>
      <c r="H4" s="797"/>
      <c r="I4" s="797"/>
      <c r="M4" s="51" t="s">
        <v>0</v>
      </c>
    </row>
    <row r="5" spans="1:14" ht="16.5">
      <c r="A5" s="745" t="str">
        <f>+'B. Summary of Requirements_SE '!A6</f>
        <v>Salaries and Expenses</v>
      </c>
      <c r="B5" s="797"/>
      <c r="C5" s="797"/>
      <c r="D5" s="797"/>
      <c r="E5" s="797"/>
      <c r="F5" s="797"/>
      <c r="G5" s="797"/>
      <c r="H5" s="797"/>
      <c r="I5" s="797"/>
      <c r="M5" s="51" t="s">
        <v>0</v>
      </c>
    </row>
    <row r="6" spans="1:14">
      <c r="A6" s="806" t="s">
        <v>101</v>
      </c>
      <c r="B6" s="797"/>
      <c r="C6" s="797"/>
      <c r="D6" s="797"/>
      <c r="E6" s="797"/>
      <c r="F6" s="797"/>
      <c r="G6" s="797"/>
      <c r="H6" s="797"/>
      <c r="I6" s="797"/>
      <c r="M6" s="51" t="s">
        <v>0</v>
      </c>
    </row>
    <row r="7" spans="1:14" ht="11.25" customHeight="1">
      <c r="A7" s="700"/>
      <c r="B7" s="700"/>
      <c r="C7" s="700"/>
      <c r="D7" s="700"/>
      <c r="E7" s="700"/>
      <c r="F7" s="700"/>
      <c r="G7" s="700"/>
      <c r="H7" s="700"/>
      <c r="I7" s="700"/>
      <c r="M7" s="51" t="s">
        <v>0</v>
      </c>
    </row>
    <row r="8" spans="1:14" ht="57" customHeight="1">
      <c r="A8" s="804" t="s">
        <v>62</v>
      </c>
      <c r="B8" s="807" t="s">
        <v>262</v>
      </c>
      <c r="C8" s="808"/>
      <c r="D8" s="812" t="s">
        <v>268</v>
      </c>
      <c r="E8" s="813"/>
      <c r="F8" s="807" t="s">
        <v>267</v>
      </c>
      <c r="G8" s="811"/>
      <c r="H8" s="809" t="s">
        <v>137</v>
      </c>
      <c r="I8" s="810"/>
      <c r="J8" s="7"/>
      <c r="M8" s="51" t="s">
        <v>0</v>
      </c>
    </row>
    <row r="9" spans="1:14" ht="25.5" customHeight="1" thickBot="1">
      <c r="A9" s="805"/>
      <c r="B9" s="131" t="s">
        <v>29</v>
      </c>
      <c r="C9" s="132" t="s">
        <v>119</v>
      </c>
      <c r="D9" s="131" t="s">
        <v>29</v>
      </c>
      <c r="E9" s="132" t="s">
        <v>119</v>
      </c>
      <c r="F9" s="131" t="s">
        <v>29</v>
      </c>
      <c r="G9" s="132" t="s">
        <v>119</v>
      </c>
      <c r="H9" s="131" t="s">
        <v>29</v>
      </c>
      <c r="I9" s="133" t="s">
        <v>119</v>
      </c>
      <c r="J9" s="7"/>
      <c r="M9" s="51" t="s">
        <v>0</v>
      </c>
    </row>
    <row r="10" spans="1:14">
      <c r="A10" s="123" t="s">
        <v>9</v>
      </c>
      <c r="B10" s="81">
        <f>5234-23</f>
        <v>5211</v>
      </c>
      <c r="C10" s="156">
        <v>399366</v>
      </c>
      <c r="D10" s="81">
        <f>5459-23</f>
        <v>5436</v>
      </c>
      <c r="E10" s="156">
        <v>420768</v>
      </c>
      <c r="F10" s="81">
        <f>5459-23</f>
        <v>5436</v>
      </c>
      <c r="G10" s="156">
        <v>423348</v>
      </c>
      <c r="H10" s="81">
        <f>F10-D10</f>
        <v>0</v>
      </c>
      <c r="I10" s="157">
        <f>G10-E10</f>
        <v>2580</v>
      </c>
      <c r="J10" s="7"/>
      <c r="M10" s="51" t="s">
        <v>0</v>
      </c>
    </row>
    <row r="11" spans="1:14">
      <c r="A11" s="124" t="s">
        <v>52</v>
      </c>
      <c r="B11" s="81">
        <v>23</v>
      </c>
      <c r="C11" s="82">
        <v>13095</v>
      </c>
      <c r="D11" s="81">
        <v>23</v>
      </c>
      <c r="E11" s="82">
        <v>12703</v>
      </c>
      <c r="F11" s="81">
        <v>23</v>
      </c>
      <c r="G11" s="82">
        <v>12781</v>
      </c>
      <c r="H11" s="81">
        <f>F11-D11</f>
        <v>0</v>
      </c>
      <c r="I11" s="71">
        <f>G11-E11</f>
        <v>78</v>
      </c>
      <c r="J11" s="15" t="s">
        <v>27</v>
      </c>
      <c r="K11" s="3" t="s">
        <v>28</v>
      </c>
      <c r="M11" s="51" t="s">
        <v>0</v>
      </c>
    </row>
    <row r="12" spans="1:14">
      <c r="A12" s="124" t="s">
        <v>36</v>
      </c>
      <c r="B12" s="81">
        <f t="shared" ref="B12:G12" si="0">SUM(B13:B15)</f>
        <v>846</v>
      </c>
      <c r="C12" s="82">
        <f t="shared" si="0"/>
        <v>80840</v>
      </c>
      <c r="D12" s="81">
        <f t="shared" si="0"/>
        <v>846</v>
      </c>
      <c r="E12" s="82">
        <f t="shared" si="0"/>
        <v>99700</v>
      </c>
      <c r="F12" s="81">
        <f t="shared" si="0"/>
        <v>846</v>
      </c>
      <c r="G12" s="82">
        <f t="shared" si="0"/>
        <v>100169</v>
      </c>
      <c r="H12" s="81">
        <f>F12-D12</f>
        <v>0</v>
      </c>
      <c r="I12" s="71">
        <f t="shared" ref="I12:I16" si="1">G12-E12</f>
        <v>469</v>
      </c>
      <c r="J12" s="7">
        <v>93</v>
      </c>
      <c r="M12" s="51" t="s">
        <v>0</v>
      </c>
    </row>
    <row r="13" spans="1:14">
      <c r="A13" s="125" t="s">
        <v>213</v>
      </c>
      <c r="B13" s="87">
        <v>639</v>
      </c>
      <c r="C13" s="88">
        <v>62033</v>
      </c>
      <c r="D13" s="87">
        <v>639</v>
      </c>
      <c r="E13" s="88">
        <v>76307</v>
      </c>
      <c r="F13" s="87">
        <v>639</v>
      </c>
      <c r="G13" s="88">
        <v>76776</v>
      </c>
      <c r="H13" s="87">
        <f t="shared" ref="H13:H16" si="2">F13-D13</f>
        <v>0</v>
      </c>
      <c r="I13" s="89">
        <f t="shared" si="1"/>
        <v>469</v>
      </c>
      <c r="J13" s="7"/>
      <c r="M13" s="51" t="s">
        <v>0</v>
      </c>
    </row>
    <row r="14" spans="1:14">
      <c r="A14" s="125" t="s">
        <v>38</v>
      </c>
      <c r="B14" s="87">
        <v>207</v>
      </c>
      <c r="C14" s="88">
        <v>13490</v>
      </c>
      <c r="D14" s="87">
        <v>207</v>
      </c>
      <c r="E14" s="88">
        <v>17606</v>
      </c>
      <c r="F14" s="87">
        <v>207</v>
      </c>
      <c r="G14" s="88">
        <v>17606</v>
      </c>
      <c r="H14" s="87">
        <f t="shared" ref="H14" si="3">F14-D14</f>
        <v>0</v>
      </c>
      <c r="I14" s="89">
        <f t="shared" ref="I14" si="4">G14-E14</f>
        <v>0</v>
      </c>
      <c r="J14" s="7"/>
      <c r="M14" s="387" t="s">
        <v>0</v>
      </c>
      <c r="N14" s="399"/>
    </row>
    <row r="15" spans="1:14">
      <c r="A15" s="125" t="s">
        <v>37</v>
      </c>
      <c r="B15" s="87"/>
      <c r="C15" s="88">
        <v>5317</v>
      </c>
      <c r="D15" s="87"/>
      <c r="E15" s="88">
        <v>5787</v>
      </c>
      <c r="F15" s="87"/>
      <c r="G15" s="88">
        <v>5787</v>
      </c>
      <c r="H15" s="87">
        <f t="shared" si="2"/>
        <v>0</v>
      </c>
      <c r="I15" s="89">
        <f t="shared" si="1"/>
        <v>0</v>
      </c>
      <c r="J15" s="7"/>
      <c r="M15" s="51" t="s">
        <v>0</v>
      </c>
    </row>
    <row r="16" spans="1:14">
      <c r="A16" s="126" t="s">
        <v>39</v>
      </c>
      <c r="B16" s="90"/>
      <c r="C16" s="91">
        <v>6726</v>
      </c>
      <c r="D16" s="90"/>
      <c r="E16" s="91">
        <v>6663</v>
      </c>
      <c r="F16" s="90"/>
      <c r="G16" s="91">
        <v>6663</v>
      </c>
      <c r="H16" s="81">
        <f t="shared" si="2"/>
        <v>0</v>
      </c>
      <c r="I16" s="71">
        <f t="shared" si="1"/>
        <v>0</v>
      </c>
      <c r="J16" s="7"/>
      <c r="M16" s="51" t="s">
        <v>0</v>
      </c>
    </row>
    <row r="17" spans="1:14">
      <c r="A17" s="127" t="s">
        <v>10</v>
      </c>
      <c r="B17" s="92">
        <f>+B10+B11+B12+B16</f>
        <v>6080</v>
      </c>
      <c r="C17" s="93">
        <f t="shared" ref="C17" si="5">+C10+C11+C12+C16</f>
        <v>500027</v>
      </c>
      <c r="D17" s="92">
        <f>+D10+D11+D12+D16</f>
        <v>6305</v>
      </c>
      <c r="E17" s="93">
        <f t="shared" ref="E17:G17" si="6">+E10+E11+E12+E16</f>
        <v>539834</v>
      </c>
      <c r="F17" s="92">
        <f>+F10+F11+F12+F16</f>
        <v>6305</v>
      </c>
      <c r="G17" s="239">
        <f t="shared" si="6"/>
        <v>542961</v>
      </c>
      <c r="H17" s="93">
        <f>+H10+H11+H12+H16</f>
        <v>0</v>
      </c>
      <c r="I17" s="239">
        <f t="shared" ref="I17" si="7">+I10+I11+I12+I16</f>
        <v>3127</v>
      </c>
      <c r="J17" s="21">
        <f>697+630+957+2333</f>
        <v>4617</v>
      </c>
      <c r="K17" s="3">
        <f>2451-93</f>
        <v>2358</v>
      </c>
      <c r="L17" s="3">
        <f>+E17-G17</f>
        <v>-3127</v>
      </c>
      <c r="M17" s="51" t="s">
        <v>0</v>
      </c>
    </row>
    <row r="18" spans="1:14">
      <c r="A18" s="124" t="s">
        <v>63</v>
      </c>
      <c r="B18" s="81"/>
      <c r="C18" s="82"/>
      <c r="D18" s="81"/>
      <c r="E18" s="82"/>
      <c r="F18" s="81"/>
      <c r="G18" s="82"/>
      <c r="H18" s="81"/>
      <c r="I18" s="71"/>
      <c r="J18" s="7"/>
      <c r="M18" s="51" t="s">
        <v>0</v>
      </c>
    </row>
    <row r="19" spans="1:14">
      <c r="A19" s="128" t="s">
        <v>40</v>
      </c>
      <c r="B19" s="81"/>
      <c r="C19" s="82">
        <v>208177</v>
      </c>
      <c r="D19" s="81"/>
      <c r="E19" s="82">
        <v>221831</v>
      </c>
      <c r="F19" s="81"/>
      <c r="G19" s="82">
        <v>229932</v>
      </c>
      <c r="H19" s="81"/>
      <c r="I19" s="71">
        <f>G19-E19</f>
        <v>8101</v>
      </c>
      <c r="J19" s="7">
        <v>359</v>
      </c>
      <c r="K19" s="3">
        <f>1171+93</f>
        <v>1264</v>
      </c>
      <c r="L19" s="3">
        <f t="shared" ref="L19:L42" si="8">+E19-G19</f>
        <v>-8101</v>
      </c>
      <c r="M19" s="51" t="s">
        <v>0</v>
      </c>
    </row>
    <row r="20" spans="1:14">
      <c r="A20" s="128" t="s">
        <v>214</v>
      </c>
      <c r="B20" s="81"/>
      <c r="C20" s="82">
        <v>9</v>
      </c>
      <c r="D20" s="81"/>
      <c r="E20" s="82">
        <v>9</v>
      </c>
      <c r="F20" s="81"/>
      <c r="G20" s="82">
        <v>9</v>
      </c>
      <c r="H20" s="81"/>
      <c r="I20" s="71">
        <f t="shared" ref="I20:I39" si="9">G20-E20</f>
        <v>0</v>
      </c>
      <c r="J20" s="7"/>
      <c r="K20" s="3">
        <v>110</v>
      </c>
      <c r="L20" s="3">
        <f t="shared" si="8"/>
        <v>0</v>
      </c>
      <c r="M20" s="51" t="s">
        <v>0</v>
      </c>
    </row>
    <row r="21" spans="1:14">
      <c r="A21" s="128" t="s">
        <v>41</v>
      </c>
      <c r="B21" s="81"/>
      <c r="C21" s="82">
        <v>27397</v>
      </c>
      <c r="D21" s="81"/>
      <c r="E21" s="82">
        <v>24358</v>
      </c>
      <c r="F21" s="81"/>
      <c r="G21" s="82">
        <v>20984</v>
      </c>
      <c r="H21" s="81"/>
      <c r="I21" s="71">
        <f t="shared" si="9"/>
        <v>-3374</v>
      </c>
      <c r="J21" s="7"/>
      <c r="K21" s="3">
        <v>0</v>
      </c>
      <c r="L21" s="3">
        <f t="shared" si="8"/>
        <v>3374</v>
      </c>
      <c r="M21" s="51" t="s">
        <v>0</v>
      </c>
    </row>
    <row r="22" spans="1:14">
      <c r="A22" s="128" t="s">
        <v>42</v>
      </c>
      <c r="B22" s="81"/>
      <c r="C22" s="82">
        <v>1548</v>
      </c>
      <c r="D22" s="81"/>
      <c r="E22" s="82">
        <v>1081</v>
      </c>
      <c r="F22" s="81"/>
      <c r="G22" s="82">
        <v>932</v>
      </c>
      <c r="H22" s="81"/>
      <c r="I22" s="71">
        <f t="shared" si="9"/>
        <v>-149</v>
      </c>
      <c r="J22" s="7">
        <f>4220-576</f>
        <v>3644</v>
      </c>
      <c r="L22" s="3">
        <f t="shared" si="8"/>
        <v>149</v>
      </c>
      <c r="M22" s="51" t="s">
        <v>0</v>
      </c>
    </row>
    <row r="23" spans="1:14">
      <c r="A23" s="128" t="s">
        <v>86</v>
      </c>
      <c r="B23" s="81"/>
      <c r="C23" s="82">
        <v>169609</v>
      </c>
      <c r="D23" s="81"/>
      <c r="E23" s="82">
        <f>176480+314</f>
        <v>176794</v>
      </c>
      <c r="F23" s="81"/>
      <c r="G23" s="82">
        <f>186856+314</f>
        <v>187170</v>
      </c>
      <c r="H23" s="81"/>
      <c r="I23" s="71">
        <f t="shared" si="9"/>
        <v>10376</v>
      </c>
      <c r="J23" s="7"/>
      <c r="L23" s="3">
        <f t="shared" si="8"/>
        <v>-10376</v>
      </c>
      <c r="M23" s="51" t="s">
        <v>0</v>
      </c>
    </row>
    <row r="24" spans="1:14">
      <c r="A24" s="128" t="s">
        <v>215</v>
      </c>
      <c r="B24" s="81"/>
      <c r="C24" s="82">
        <v>2814</v>
      </c>
      <c r="D24" s="81"/>
      <c r="E24" s="82">
        <f>8013+6283</f>
        <v>14296</v>
      </c>
      <c r="F24" s="81"/>
      <c r="G24" s="82">
        <f>8013+6283</f>
        <v>14296</v>
      </c>
      <c r="H24" s="81"/>
      <c r="I24" s="71">
        <f t="shared" si="9"/>
        <v>0</v>
      </c>
      <c r="J24" s="7">
        <v>332</v>
      </c>
      <c r="K24" s="3">
        <v>175</v>
      </c>
      <c r="L24" s="3">
        <f t="shared" si="8"/>
        <v>0</v>
      </c>
      <c r="M24" s="51" t="s">
        <v>0</v>
      </c>
    </row>
    <row r="25" spans="1:14">
      <c r="A25" s="128" t="s">
        <v>43</v>
      </c>
      <c r="B25" s="81"/>
      <c r="C25" s="82">
        <v>23556</v>
      </c>
      <c r="D25" s="81"/>
      <c r="E25" s="82">
        <v>23061</v>
      </c>
      <c r="F25" s="81"/>
      <c r="G25" s="82">
        <v>19884</v>
      </c>
      <c r="H25" s="81"/>
      <c r="I25" s="71">
        <f t="shared" si="9"/>
        <v>-3177</v>
      </c>
      <c r="J25" s="7"/>
      <c r="K25" s="3">
        <v>14918</v>
      </c>
      <c r="L25" s="3">
        <f t="shared" si="8"/>
        <v>3177</v>
      </c>
      <c r="M25" s="51" t="s">
        <v>0</v>
      </c>
    </row>
    <row r="26" spans="1:14">
      <c r="A26" s="128" t="s">
        <v>44</v>
      </c>
      <c r="B26" s="81"/>
      <c r="C26" s="82">
        <v>478</v>
      </c>
      <c r="D26" s="81"/>
      <c r="E26" s="82">
        <v>669</v>
      </c>
      <c r="F26" s="81"/>
      <c r="G26" s="82">
        <v>577</v>
      </c>
      <c r="H26" s="81"/>
      <c r="I26" s="71">
        <f t="shared" si="9"/>
        <v>-92</v>
      </c>
      <c r="J26" s="7">
        <v>276</v>
      </c>
      <c r="K26" s="3">
        <v>14853</v>
      </c>
      <c r="L26" s="3">
        <f t="shared" si="8"/>
        <v>92</v>
      </c>
      <c r="M26" s="51" t="s">
        <v>0</v>
      </c>
    </row>
    <row r="27" spans="1:14">
      <c r="A27" s="128" t="s">
        <v>45</v>
      </c>
      <c r="B27" s="81"/>
      <c r="C27" s="82">
        <v>1181</v>
      </c>
      <c r="D27" s="81"/>
      <c r="E27" s="82">
        <v>1000</v>
      </c>
      <c r="F27" s="81"/>
      <c r="G27" s="82">
        <v>1000</v>
      </c>
      <c r="H27" s="81"/>
      <c r="I27" s="71">
        <f t="shared" si="9"/>
        <v>0</v>
      </c>
      <c r="J27" s="7"/>
      <c r="K27" s="3">
        <v>135</v>
      </c>
      <c r="L27" s="3">
        <f t="shared" si="8"/>
        <v>0</v>
      </c>
      <c r="M27" s="51" t="s">
        <v>0</v>
      </c>
    </row>
    <row r="28" spans="1:14">
      <c r="A28" s="128" t="s">
        <v>216</v>
      </c>
      <c r="B28" s="81"/>
      <c r="C28" s="82">
        <f>110836-5000+112</f>
        <v>105948</v>
      </c>
      <c r="D28" s="81"/>
      <c r="E28" s="82">
        <v>87332</v>
      </c>
      <c r="F28" s="81"/>
      <c r="G28" s="82">
        <v>91456</v>
      </c>
      <c r="H28" s="81"/>
      <c r="I28" s="71">
        <f t="shared" ref="I28:I33" si="10">G28-E28</f>
        <v>4124</v>
      </c>
      <c r="J28" s="7"/>
      <c r="K28" s="3">
        <v>135</v>
      </c>
      <c r="L28" s="3">
        <f t="shared" ref="L28:L33" si="11">+E28-G28</f>
        <v>-4124</v>
      </c>
      <c r="M28" s="387" t="s">
        <v>0</v>
      </c>
      <c r="N28" s="399"/>
    </row>
    <row r="29" spans="1:14">
      <c r="A29" s="128" t="s">
        <v>217</v>
      </c>
      <c r="B29" s="81"/>
      <c r="C29" s="82">
        <v>11407</v>
      </c>
      <c r="D29" s="81"/>
      <c r="E29" s="82">
        <v>13202</v>
      </c>
      <c r="F29" s="81"/>
      <c r="G29" s="82">
        <v>13202</v>
      </c>
      <c r="H29" s="81"/>
      <c r="I29" s="71">
        <f t="shared" si="10"/>
        <v>0</v>
      </c>
      <c r="J29" s="7"/>
      <c r="K29" s="3">
        <v>135</v>
      </c>
      <c r="L29" s="3">
        <f t="shared" si="11"/>
        <v>0</v>
      </c>
      <c r="M29" s="387" t="s">
        <v>0</v>
      </c>
      <c r="N29" s="399"/>
    </row>
    <row r="30" spans="1:14">
      <c r="A30" s="128" t="s">
        <v>218</v>
      </c>
      <c r="B30" s="81"/>
      <c r="C30" s="82">
        <v>11087</v>
      </c>
      <c r="D30" s="81"/>
      <c r="E30" s="82">
        <v>8000</v>
      </c>
      <c r="F30" s="81"/>
      <c r="G30" s="82">
        <v>8000</v>
      </c>
      <c r="H30" s="81"/>
      <c r="I30" s="71">
        <f t="shared" ref="I30" si="12">G30-E30</f>
        <v>0</v>
      </c>
      <c r="J30" s="7"/>
      <c r="K30" s="3">
        <v>135</v>
      </c>
      <c r="L30" s="3">
        <f t="shared" ref="L30" si="13">+E30-G30</f>
        <v>0</v>
      </c>
      <c r="M30" s="387" t="s">
        <v>0</v>
      </c>
      <c r="N30" s="399"/>
    </row>
    <row r="31" spans="1:14">
      <c r="A31" s="128" t="s">
        <v>87</v>
      </c>
      <c r="B31" s="81"/>
      <c r="C31" s="82">
        <v>582</v>
      </c>
      <c r="D31" s="81"/>
      <c r="E31" s="82">
        <v>1000</v>
      </c>
      <c r="F31" s="81"/>
      <c r="G31" s="82">
        <v>1000</v>
      </c>
      <c r="H31" s="81"/>
      <c r="I31" s="71">
        <f t="shared" si="10"/>
        <v>0</v>
      </c>
      <c r="J31" s="7"/>
      <c r="K31" s="3">
        <v>135</v>
      </c>
      <c r="L31" s="3">
        <f t="shared" si="11"/>
        <v>0</v>
      </c>
      <c r="M31" s="387" t="s">
        <v>0</v>
      </c>
      <c r="N31" s="399"/>
    </row>
    <row r="32" spans="1:14">
      <c r="A32" s="128" t="s">
        <v>219</v>
      </c>
      <c r="B32" s="81"/>
      <c r="C32" s="82">
        <v>1990</v>
      </c>
      <c r="D32" s="81"/>
      <c r="E32" s="82">
        <v>1000</v>
      </c>
      <c r="F32" s="81"/>
      <c r="G32" s="82">
        <v>1000</v>
      </c>
      <c r="H32" s="81"/>
      <c r="I32" s="71">
        <f t="shared" si="10"/>
        <v>0</v>
      </c>
      <c r="J32" s="7"/>
      <c r="K32" s="3">
        <v>135</v>
      </c>
      <c r="L32" s="3">
        <f t="shared" si="11"/>
        <v>0</v>
      </c>
      <c r="M32" s="387" t="s">
        <v>0</v>
      </c>
      <c r="N32" s="399"/>
    </row>
    <row r="33" spans="1:26">
      <c r="A33" s="128" t="s">
        <v>90</v>
      </c>
      <c r="B33" s="81"/>
      <c r="C33" s="82">
        <v>14349</v>
      </c>
      <c r="D33" s="81"/>
      <c r="E33" s="82">
        <v>13000</v>
      </c>
      <c r="F33" s="81"/>
      <c r="G33" s="82">
        <v>13000</v>
      </c>
      <c r="H33" s="81"/>
      <c r="I33" s="71">
        <f t="shared" si="10"/>
        <v>0</v>
      </c>
      <c r="J33" s="7"/>
      <c r="K33" s="3">
        <v>135</v>
      </c>
      <c r="L33" s="3">
        <f t="shared" si="11"/>
        <v>0</v>
      </c>
      <c r="M33" s="387" t="s">
        <v>0</v>
      </c>
      <c r="N33" s="399"/>
    </row>
    <row r="34" spans="1:26">
      <c r="A34" s="128" t="s">
        <v>220</v>
      </c>
      <c r="B34" s="81"/>
      <c r="C34" s="82">
        <v>1</v>
      </c>
      <c r="D34" s="81"/>
      <c r="E34" s="82">
        <v>0</v>
      </c>
      <c r="F34" s="81"/>
      <c r="G34" s="82">
        <v>0</v>
      </c>
      <c r="H34" s="81"/>
      <c r="I34" s="71">
        <f t="shared" si="9"/>
        <v>0</v>
      </c>
      <c r="J34" s="7"/>
      <c r="L34" s="3">
        <f t="shared" si="8"/>
        <v>0</v>
      </c>
      <c r="M34" s="51" t="s">
        <v>0</v>
      </c>
      <c r="O34" s="21"/>
    </row>
    <row r="35" spans="1:26">
      <c r="A35" s="128" t="s">
        <v>223</v>
      </c>
      <c r="B35" s="81"/>
      <c r="C35" s="82">
        <v>0</v>
      </c>
      <c r="D35" s="81"/>
      <c r="E35" s="82">
        <v>595</v>
      </c>
      <c r="F35" s="81"/>
      <c r="G35" s="82">
        <v>595</v>
      </c>
      <c r="H35" s="81"/>
      <c r="I35" s="71">
        <f>G35-E35</f>
        <v>0</v>
      </c>
      <c r="J35" s="7"/>
      <c r="L35" s="3">
        <f>+E35-G35</f>
        <v>0</v>
      </c>
      <c r="M35" s="51" t="s">
        <v>0</v>
      </c>
    </row>
    <row r="36" spans="1:26">
      <c r="A36" s="128" t="s">
        <v>46</v>
      </c>
      <c r="B36" s="81"/>
      <c r="C36" s="82">
        <f>21975+10563</f>
        <v>32538</v>
      </c>
      <c r="D36" s="81"/>
      <c r="E36" s="82">
        <f>6512+10000</f>
        <v>16512</v>
      </c>
      <c r="F36" s="81"/>
      <c r="G36" s="82">
        <f>5610+10000</f>
        <v>15610</v>
      </c>
      <c r="H36" s="81"/>
      <c r="I36" s="71">
        <f t="shared" si="9"/>
        <v>-902</v>
      </c>
      <c r="J36" s="7"/>
      <c r="L36" s="3">
        <f t="shared" si="8"/>
        <v>902</v>
      </c>
      <c r="M36" s="51" t="s">
        <v>0</v>
      </c>
    </row>
    <row r="37" spans="1:26">
      <c r="A37" s="128" t="s">
        <v>47</v>
      </c>
      <c r="B37" s="81"/>
      <c r="C37" s="82">
        <v>49941</v>
      </c>
      <c r="D37" s="81"/>
      <c r="E37" s="82">
        <v>27532</v>
      </c>
      <c r="F37" s="81"/>
      <c r="G37" s="82">
        <v>26786</v>
      </c>
      <c r="H37" s="81"/>
      <c r="I37" s="71">
        <f t="shared" si="9"/>
        <v>-746</v>
      </c>
      <c r="J37" s="7"/>
      <c r="K37" s="3">
        <v>10</v>
      </c>
      <c r="L37" s="3">
        <f t="shared" si="8"/>
        <v>746</v>
      </c>
      <c r="M37" s="51" t="s">
        <v>0</v>
      </c>
      <c r="O37" s="21"/>
    </row>
    <row r="38" spans="1:26">
      <c r="A38" s="128" t="s">
        <v>221</v>
      </c>
      <c r="B38" s="81"/>
      <c r="C38" s="82">
        <v>347</v>
      </c>
      <c r="D38" s="81"/>
      <c r="E38" s="82">
        <v>469</v>
      </c>
      <c r="F38" s="81"/>
      <c r="G38" s="82">
        <v>469</v>
      </c>
      <c r="H38" s="81"/>
      <c r="I38" s="71">
        <f t="shared" si="9"/>
        <v>0</v>
      </c>
      <c r="J38" s="7"/>
      <c r="K38" s="3">
        <v>85</v>
      </c>
      <c r="L38" s="3">
        <f t="shared" si="8"/>
        <v>0</v>
      </c>
      <c r="M38" s="51" t="s">
        <v>0</v>
      </c>
      <c r="O38" s="21"/>
    </row>
    <row r="39" spans="1:26">
      <c r="A39" s="128" t="s">
        <v>222</v>
      </c>
      <c r="B39" s="81"/>
      <c r="C39" s="82">
        <f>299+6</f>
        <v>305</v>
      </c>
      <c r="D39" s="81"/>
      <c r="E39" s="82">
        <v>225</v>
      </c>
      <c r="F39" s="81"/>
      <c r="G39" s="82">
        <v>225</v>
      </c>
      <c r="H39" s="81"/>
      <c r="I39" s="71">
        <f t="shared" si="9"/>
        <v>0</v>
      </c>
      <c r="J39" s="7"/>
      <c r="K39" s="3">
        <v>37758</v>
      </c>
      <c r="L39" s="3">
        <f t="shared" si="8"/>
        <v>0</v>
      </c>
      <c r="M39" s="51" t="s">
        <v>0</v>
      </c>
    </row>
    <row r="40" spans="1:26">
      <c r="A40" s="129" t="s">
        <v>48</v>
      </c>
      <c r="B40" s="49"/>
      <c r="C40" s="31">
        <f>SUM(C17:C39)</f>
        <v>1163291</v>
      </c>
      <c r="D40" s="49"/>
      <c r="E40" s="31">
        <f>SUM(E17:E39)</f>
        <v>1171800</v>
      </c>
      <c r="F40" s="49"/>
      <c r="G40" s="31">
        <f>SUM(G17:G39)</f>
        <v>1189088</v>
      </c>
      <c r="H40" s="49"/>
      <c r="I40" s="30">
        <f>SUM(I17:I39)</f>
        <v>17288</v>
      </c>
      <c r="J40" s="7">
        <f>SUM(J12:J39)</f>
        <v>9321</v>
      </c>
      <c r="K40" s="3">
        <f>SUM(K17:K39)</f>
        <v>72476</v>
      </c>
      <c r="L40" s="3">
        <f t="shared" si="8"/>
        <v>-17288</v>
      </c>
      <c r="M40" s="51" t="s">
        <v>0</v>
      </c>
    </row>
    <row r="41" spans="1:26" ht="16.899999999999999" customHeight="1">
      <c r="A41" s="130" t="s">
        <v>49</v>
      </c>
      <c r="B41" s="392"/>
      <c r="C41" s="393">
        <v>-54291</v>
      </c>
      <c r="D41" s="84"/>
      <c r="E41" s="85">
        <f>-C42</f>
        <v>-26301</v>
      </c>
      <c r="F41" s="84"/>
      <c r="G41" s="85">
        <f>-E42</f>
        <v>-28088</v>
      </c>
      <c r="H41" s="84"/>
      <c r="I41" s="86"/>
      <c r="J41" s="7"/>
      <c r="L41" s="3">
        <f t="shared" si="8"/>
        <v>1787</v>
      </c>
      <c r="M41" s="51" t="s">
        <v>0</v>
      </c>
      <c r="O41" s="279"/>
    </row>
    <row r="42" spans="1:26">
      <c r="A42" s="130" t="s">
        <v>50</v>
      </c>
      <c r="B42" s="392"/>
      <c r="C42" s="393">
        <v>26301</v>
      </c>
      <c r="D42" s="84"/>
      <c r="E42" s="85">
        <f>30605-2517</f>
        <v>28088</v>
      </c>
      <c r="F42" s="84"/>
      <c r="G42" s="85">
        <f>-G41</f>
        <v>28088</v>
      </c>
      <c r="H42" s="84"/>
      <c r="I42" s="86"/>
      <c r="J42" s="7"/>
      <c r="L42" s="3">
        <f t="shared" si="8"/>
        <v>0</v>
      </c>
      <c r="M42" s="51" t="s">
        <v>0</v>
      </c>
      <c r="O42" s="279"/>
    </row>
    <row r="43" spans="1:26">
      <c r="A43" s="395" t="s">
        <v>51</v>
      </c>
      <c r="B43" s="392"/>
      <c r="C43" s="393">
        <v>-5269</v>
      </c>
      <c r="D43" s="392"/>
      <c r="E43" s="393">
        <v>-1300</v>
      </c>
      <c r="F43" s="392"/>
      <c r="G43" s="393">
        <v>0</v>
      </c>
      <c r="H43" s="392"/>
      <c r="I43" s="394"/>
      <c r="J43" s="7"/>
      <c r="M43" s="387" t="s">
        <v>0</v>
      </c>
      <c r="N43" s="385"/>
      <c r="O43" s="386"/>
    </row>
    <row r="44" spans="1:26">
      <c r="A44" s="395" t="s">
        <v>206</v>
      </c>
      <c r="B44" s="392"/>
      <c r="C44" s="393">
        <f>-5429-4575</f>
        <v>-10004</v>
      </c>
      <c r="D44" s="392"/>
      <c r="E44" s="393">
        <v>-3004</v>
      </c>
      <c r="F44" s="392"/>
      <c r="G44" s="393">
        <v>0</v>
      </c>
      <c r="H44" s="392"/>
      <c r="I44" s="394"/>
      <c r="J44" s="7"/>
      <c r="M44" s="387" t="s">
        <v>0</v>
      </c>
      <c r="N44" s="385"/>
      <c r="O44" s="386"/>
    </row>
    <row r="45" spans="1:26">
      <c r="A45" s="395" t="s">
        <v>207</v>
      </c>
      <c r="B45" s="392"/>
      <c r="C45" s="393">
        <f>966+2517</f>
        <v>3483</v>
      </c>
      <c r="D45" s="392"/>
      <c r="E45" s="393">
        <v>2517</v>
      </c>
      <c r="F45" s="392"/>
      <c r="G45" s="393">
        <v>0</v>
      </c>
      <c r="H45" s="392"/>
      <c r="I45" s="394"/>
      <c r="J45" s="7"/>
      <c r="M45" s="387" t="s">
        <v>0</v>
      </c>
      <c r="N45" s="385"/>
      <c r="O45" s="386"/>
    </row>
    <row r="46" spans="1:26" ht="16.5" customHeight="1" thickBot="1">
      <c r="A46" s="231" t="s">
        <v>1</v>
      </c>
      <c r="B46" s="232"/>
      <c r="C46" s="233">
        <f>SUM(C40:C45)</f>
        <v>1123511</v>
      </c>
      <c r="D46" s="232"/>
      <c r="E46" s="233">
        <f>SUM(E40:E45)</f>
        <v>1171800</v>
      </c>
      <c r="F46" s="232"/>
      <c r="G46" s="233">
        <f>SUM(G40:G45)</f>
        <v>1189088</v>
      </c>
      <c r="H46" s="232"/>
      <c r="I46" s="234"/>
      <c r="J46" s="7"/>
      <c r="M46" s="51" t="s">
        <v>0</v>
      </c>
      <c r="O46" s="803"/>
      <c r="P46" s="803"/>
      <c r="Q46" s="803"/>
      <c r="R46" s="803"/>
      <c r="S46" s="803"/>
      <c r="T46" s="803"/>
      <c r="U46" s="803"/>
      <c r="V46" s="803"/>
      <c r="W46" s="803"/>
      <c r="X46" s="803"/>
      <c r="Y46" s="803"/>
      <c r="Z46" s="803"/>
    </row>
    <row r="47" spans="1:26">
      <c r="A47" s="235"/>
      <c r="B47" s="236"/>
      <c r="C47" s="237"/>
      <c r="D47" s="236"/>
      <c r="E47" s="237"/>
      <c r="F47" s="236"/>
      <c r="G47" s="237"/>
      <c r="H47" s="236"/>
      <c r="I47" s="238"/>
      <c r="J47" s="7"/>
      <c r="M47" s="387" t="s">
        <v>0</v>
      </c>
      <c r="O47" s="803"/>
      <c r="P47" s="803"/>
      <c r="Q47" s="803"/>
      <c r="R47" s="803"/>
      <c r="S47" s="803"/>
      <c r="T47" s="803"/>
      <c r="U47" s="803"/>
      <c r="V47" s="803"/>
      <c r="W47" s="803"/>
      <c r="X47" s="803"/>
      <c r="Y47" s="803"/>
      <c r="Z47" s="803"/>
    </row>
    <row r="48" spans="1:26">
      <c r="A48" s="230" t="s">
        <v>295</v>
      </c>
      <c r="B48" s="81"/>
      <c r="C48" s="82"/>
      <c r="D48" s="81"/>
      <c r="E48" s="82"/>
      <c r="F48" s="81"/>
      <c r="G48" s="82"/>
      <c r="H48" s="81"/>
      <c r="I48" s="71"/>
      <c r="J48" s="7"/>
      <c r="M48" s="51" t="s">
        <v>0</v>
      </c>
      <c r="O48" s="803"/>
      <c r="P48" s="803"/>
      <c r="Q48" s="803"/>
      <c r="R48" s="803"/>
      <c r="S48" s="803"/>
      <c r="T48" s="803"/>
      <c r="U48" s="803"/>
      <c r="V48" s="803"/>
      <c r="W48" s="803"/>
      <c r="X48" s="803"/>
      <c r="Y48" s="803"/>
      <c r="Z48" s="803"/>
    </row>
    <row r="49" spans="1:15">
      <c r="A49" s="128" t="s">
        <v>271</v>
      </c>
      <c r="B49" s="83">
        <v>334</v>
      </c>
      <c r="C49" s="156">
        <v>1555795</v>
      </c>
      <c r="D49" s="83">
        <v>418</v>
      </c>
      <c r="E49" s="156">
        <v>1601570</v>
      </c>
      <c r="F49" s="83">
        <v>423</v>
      </c>
      <c r="G49" s="156">
        <v>1601160</v>
      </c>
      <c r="H49" s="84"/>
      <c r="I49" s="157"/>
      <c r="J49" s="7"/>
      <c r="M49" s="51" t="s">
        <v>0</v>
      </c>
      <c r="O49" s="279"/>
    </row>
    <row r="50" spans="1:15">
      <c r="A50" s="124" t="s">
        <v>2</v>
      </c>
      <c r="B50" s="81"/>
      <c r="C50" s="156">
        <f>21010*0.94</f>
        <v>19749.399999999998</v>
      </c>
      <c r="D50" s="81"/>
      <c r="E50" s="156">
        <f>20701*0.94</f>
        <v>19458.939999999999</v>
      </c>
      <c r="F50" s="81"/>
      <c r="G50" s="156">
        <f>+E50</f>
        <v>19458.939999999999</v>
      </c>
      <c r="H50" s="84"/>
      <c r="I50" s="157"/>
      <c r="J50" s="7"/>
      <c r="M50" s="51" t="s">
        <v>0</v>
      </c>
    </row>
    <row r="51" spans="1:15">
      <c r="A51" s="126" t="s">
        <v>3</v>
      </c>
      <c r="B51" s="102"/>
      <c r="C51" s="261">
        <f>21010*0.06</f>
        <v>1260.5999999999999</v>
      </c>
      <c r="D51" s="102"/>
      <c r="E51" s="261">
        <f>20700*0.06</f>
        <v>1242</v>
      </c>
      <c r="F51" s="102"/>
      <c r="G51" s="261">
        <f>+E51</f>
        <v>1242</v>
      </c>
      <c r="H51" s="103"/>
      <c r="I51" s="262"/>
      <c r="J51" s="7"/>
      <c r="M51" s="51" t="s">
        <v>0</v>
      </c>
    </row>
    <row r="52" spans="1:15">
      <c r="A52" s="523" t="s">
        <v>304</v>
      </c>
      <c r="B52" s="41"/>
      <c r="C52" s="41"/>
      <c r="D52" s="41"/>
      <c r="E52" s="41"/>
      <c r="F52" s="41"/>
      <c r="G52" s="41"/>
      <c r="H52" s="41"/>
      <c r="I52" s="41"/>
      <c r="J52" s="7"/>
      <c r="M52" s="51" t="s">
        <v>15</v>
      </c>
    </row>
    <row r="53" spans="1:15">
      <c r="A53" s="801"/>
      <c r="B53" s="802"/>
      <c r="C53" s="802"/>
      <c r="D53" s="802"/>
      <c r="E53" s="802"/>
      <c r="F53" s="802"/>
      <c r="G53" s="802"/>
      <c r="H53" s="802"/>
      <c r="I53" s="802"/>
      <c r="J53" s="802"/>
      <c r="K53" s="802"/>
      <c r="L53" s="802"/>
      <c r="M53" s="802"/>
    </row>
    <row r="54" spans="1:15">
      <c r="H54" s="12"/>
      <c r="I54" s="47"/>
      <c r="J54" s="7"/>
    </row>
    <row r="55" spans="1:15">
      <c r="H55" s="12"/>
      <c r="I55" s="12"/>
      <c r="J55" s="7"/>
    </row>
    <row r="56" spans="1:15">
      <c r="H56" s="12"/>
      <c r="I56" s="12"/>
      <c r="J56" s="7"/>
    </row>
    <row r="57" spans="1:15">
      <c r="H57" s="12"/>
      <c r="I57" s="12"/>
      <c r="J57" s="7"/>
    </row>
    <row r="58" spans="1:15">
      <c r="H58" s="12"/>
      <c r="I58" s="12"/>
      <c r="J58" s="7"/>
    </row>
    <row r="59" spans="1:15">
      <c r="H59" s="12"/>
      <c r="I59" s="12"/>
      <c r="J59" s="7"/>
    </row>
    <row r="60" spans="1:15">
      <c r="H60" s="12"/>
      <c r="I60" s="12"/>
      <c r="J60" s="7"/>
    </row>
    <row r="61" spans="1:15">
      <c r="H61" s="12"/>
      <c r="I61" s="12"/>
      <c r="J61" s="7"/>
    </row>
    <row r="62" spans="1:15">
      <c r="H62" s="12"/>
      <c r="I62" s="12"/>
      <c r="J62" s="7"/>
    </row>
    <row r="63" spans="1:15">
      <c r="H63" s="12"/>
      <c r="I63" s="12"/>
      <c r="J63" s="7"/>
    </row>
    <row r="64" spans="1:15">
      <c r="H64" s="12"/>
      <c r="I64" s="12"/>
      <c r="J64" s="7"/>
    </row>
    <row r="65" spans="8:10">
      <c r="H65" s="12"/>
      <c r="I65" s="13"/>
      <c r="J65" s="7"/>
    </row>
    <row r="66" spans="8:10">
      <c r="H66" s="12"/>
      <c r="I66" s="13"/>
      <c r="J66" s="7"/>
    </row>
    <row r="67" spans="8:10">
      <c r="H67" s="12"/>
      <c r="I67" s="12"/>
      <c r="J67" s="7"/>
    </row>
    <row r="68" spans="8:10">
      <c r="H68" s="12"/>
      <c r="I68" s="12"/>
      <c r="J68" s="7"/>
    </row>
    <row r="69" spans="8:10">
      <c r="H69" s="12"/>
      <c r="I69" s="12"/>
      <c r="J69" s="7"/>
    </row>
    <row r="70" spans="8:10">
      <c r="H70" s="12"/>
      <c r="I70" s="12"/>
      <c r="J70" s="7"/>
    </row>
    <row r="71" spans="8:10">
      <c r="H71" s="12"/>
      <c r="I71" s="12"/>
      <c r="J71" s="7"/>
    </row>
    <row r="72" spans="8:10">
      <c r="H72" s="12"/>
      <c r="I72" s="12"/>
      <c r="J72" s="7"/>
    </row>
    <row r="73" spans="8:10">
      <c r="H73" s="12"/>
      <c r="I73" s="12"/>
      <c r="J73" s="7"/>
    </row>
    <row r="74" spans="8:10">
      <c r="H74" s="12"/>
      <c r="I74" s="12"/>
      <c r="J74" s="7"/>
    </row>
    <row r="75" spans="8:10">
      <c r="H75" s="12"/>
      <c r="I75" s="12"/>
      <c r="J75" s="7"/>
    </row>
    <row r="76" spans="8:10">
      <c r="H76" s="12"/>
      <c r="I76" s="12"/>
      <c r="J76" s="7"/>
    </row>
    <row r="77" spans="8:10">
      <c r="H77" s="12"/>
      <c r="I77" s="12"/>
      <c r="J77" s="7"/>
    </row>
    <row r="78" spans="8:10">
      <c r="H78" s="12"/>
      <c r="I78" s="12"/>
      <c r="J78" s="7"/>
    </row>
    <row r="79" spans="8:10">
      <c r="H79" s="12"/>
      <c r="I79" s="12"/>
      <c r="J79" s="7"/>
    </row>
    <row r="80" spans="8:10">
      <c r="H80" s="14"/>
      <c r="I80" s="12"/>
      <c r="J80" s="7"/>
    </row>
    <row r="81" spans="8:10">
      <c r="H81" s="7"/>
      <c r="I81" s="7"/>
      <c r="J81" s="7"/>
    </row>
    <row r="82" spans="8:10">
      <c r="H82" s="6"/>
      <c r="I82" s="6"/>
      <c r="J82" s="7"/>
    </row>
    <row r="83" spans="8:10">
      <c r="H83" s="6"/>
      <c r="I83" s="6"/>
      <c r="J83" s="7"/>
    </row>
    <row r="84" spans="8:10">
      <c r="H84" s="6"/>
      <c r="I84" s="6"/>
      <c r="J84" s="7"/>
    </row>
    <row r="85" spans="8:10">
      <c r="H85" s="6"/>
      <c r="I85" s="6"/>
      <c r="J85" s="7"/>
    </row>
    <row r="86" spans="8:10">
      <c r="J86" s="7"/>
    </row>
    <row r="87" spans="8:10">
      <c r="J87" s="7"/>
    </row>
    <row r="189" spans="1:1">
      <c r="A189" s="3" t="s">
        <v>84</v>
      </c>
    </row>
  </sheetData>
  <customSheetViews>
    <customSheetView guid="{3118AF25-8423-420A-806A-487665220C68}" scale="75" showPageBreaks="1" printArea="1" hiddenColumns="1" view="pageBreakPreview">
      <pane xSplit="1" ySplit="9" topLeftCell="B19" activePane="bottomRight" state="frozen"/>
      <selection pane="bottomRight" activeCell="I12" sqref="I12"/>
      <pageMargins left="0.5" right="0.5" top="0.5" bottom="0.25" header="0.5" footer="0.5"/>
      <printOptions horizontalCentered="1"/>
      <pageSetup scale="70" orientation="landscape" r:id="rId1"/>
      <headerFooter alignWithMargins="0">
        <oddFooter>&amp;C&amp;"Times New Roman,Regular"Exhibit L - Summary of Requirements by Object Class</oddFooter>
      </headerFooter>
    </customSheetView>
    <customSheetView guid="{56C0A34E-45B4-448B-85E5-70B3A8E63333}" scale="75" showPageBreaks="1" printArea="1" hiddenColumns="1" view="pageBreakPreview">
      <pane xSplit="1" ySplit="9" topLeftCell="B10" activePane="bottomRight" state="frozen"/>
      <selection pane="bottomRight" activeCell="D9" sqref="D9"/>
      <pageMargins left="0.5" right="0.5" top="0.5" bottom="0.25" header="0.5" footer="0.5"/>
      <printOptions horizontalCentered="1"/>
      <pageSetup scale="70" orientation="landscape" r:id="rId2"/>
      <headerFooter alignWithMargins="0">
        <oddFooter>&amp;C&amp;"Times New Roman,Regular"Exhibit L - Summary of Requirements by Object Class</oddFooter>
      </headerFooter>
    </customSheetView>
    <customSheetView guid="{4148B88B-8ED7-4FDE-9459-DEB244AD0552}"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3"/>
      <headerFooter alignWithMargins="0">
        <oddFooter>&amp;C&amp;"Times New Roman,Regular"Exhibit L - Summary of Requirements by Object Class</oddFooter>
      </headerFooter>
    </customSheetView>
    <customSheetView guid="{12C66D54-5067-4346-818B-6EAB1C8A9183}"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4"/>
      <headerFooter alignWithMargins="0">
        <oddFooter>&amp;C&amp;"Times New Roman,Regular"Exhibit L - Summary of Requirements by Object Class</oddFooter>
      </headerFooter>
    </customSheetView>
  </customSheetViews>
  <mergeCells count="14">
    <mergeCell ref="O46:Z48"/>
    <mergeCell ref="A7:I7"/>
    <mergeCell ref="A5:I5"/>
    <mergeCell ref="A8:A9"/>
    <mergeCell ref="A6:I6"/>
    <mergeCell ref="B8:C8"/>
    <mergeCell ref="H8:I8"/>
    <mergeCell ref="F8:G8"/>
    <mergeCell ref="D8:E8"/>
    <mergeCell ref="A1:I1"/>
    <mergeCell ref="A2:I2"/>
    <mergeCell ref="A3:I3"/>
    <mergeCell ref="A4:I4"/>
    <mergeCell ref="A53:M53"/>
  </mergeCells>
  <phoneticPr fontId="0" type="noConversion"/>
  <printOptions horizontalCentered="1"/>
  <pageMargins left="0.5" right="0.5" top="0.5" bottom="0.5" header="0.5" footer="0.25"/>
  <pageSetup scale="62" orientation="landscape" r:id="rId5"/>
  <headerFooter alignWithMargins="0">
    <oddFooter>&amp;C&amp;"Times New Roman,Regular"Exhibit L - Summary of Requirements by Object Class - Salaries and Expenses</oddFooter>
  </headerFooter>
</worksheet>
</file>

<file path=xl/worksheets/sheet14.xml><?xml version="1.0" encoding="utf-8"?>
<worksheet xmlns="http://schemas.openxmlformats.org/spreadsheetml/2006/main" xmlns:r="http://schemas.openxmlformats.org/officeDocument/2006/relationships">
  <dimension ref="A1:Z157"/>
  <sheetViews>
    <sheetView view="pageBreakPreview" zoomScale="75" zoomScaleNormal="75" zoomScaleSheetLayoutView="50" workbookViewId="0">
      <pane xSplit="1" ySplit="9" topLeftCell="B10" activePane="bottomRight" state="frozen"/>
      <selection pane="topRight" activeCell="B1" sqref="B1"/>
      <selection pane="bottomLeft" activeCell="A10" sqref="A10"/>
      <selection pane="bottomRight" activeCell="A28" sqref="A28"/>
    </sheetView>
  </sheetViews>
  <sheetFormatPr defaultRowHeight="15.75"/>
  <cols>
    <col min="1" max="1" width="65.33203125" style="3" customWidth="1"/>
    <col min="2" max="2" width="8.88671875" style="3"/>
    <col min="3" max="3" width="10.77734375" style="3" bestFit="1"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2" width="8.88671875" style="3" hidden="1" customWidth="1"/>
    <col min="13" max="13" width="1" style="52" customWidth="1"/>
    <col min="14" max="14" width="8.88671875" style="399"/>
    <col min="15" max="16384" width="8.88671875" style="3"/>
  </cols>
  <sheetData>
    <row r="1" spans="1:15" ht="19.149999999999999" customHeight="1">
      <c r="A1" s="816" t="s">
        <v>88</v>
      </c>
      <c r="B1" s="817"/>
      <c r="C1" s="817"/>
      <c r="D1" s="817"/>
      <c r="E1" s="817"/>
      <c r="F1" s="817"/>
      <c r="G1" s="817"/>
      <c r="H1" s="817"/>
      <c r="I1" s="818"/>
      <c r="M1" s="387" t="s">
        <v>0</v>
      </c>
    </row>
    <row r="2" spans="1:15" ht="19.149999999999999" customHeight="1">
      <c r="A2" s="819"/>
      <c r="B2" s="799"/>
      <c r="C2" s="799"/>
      <c r="D2" s="799"/>
      <c r="E2" s="799"/>
      <c r="F2" s="799"/>
      <c r="G2" s="799"/>
      <c r="H2" s="799"/>
      <c r="I2" s="820"/>
      <c r="M2" s="387" t="s">
        <v>0</v>
      </c>
    </row>
    <row r="3" spans="1:15" ht="18.75">
      <c r="A3" s="821" t="s">
        <v>65</v>
      </c>
      <c r="B3" s="797"/>
      <c r="C3" s="797"/>
      <c r="D3" s="797"/>
      <c r="E3" s="797"/>
      <c r="F3" s="797"/>
      <c r="G3" s="797"/>
      <c r="H3" s="797"/>
      <c r="I3" s="815"/>
      <c r="M3" s="387" t="s">
        <v>0</v>
      </c>
    </row>
    <row r="4" spans="1:15" ht="16.5">
      <c r="A4" s="822" t="str">
        <f>+'B. Summary of Requirements_SE '!A5</f>
        <v>United States Marshals Service</v>
      </c>
      <c r="B4" s="797"/>
      <c r="C4" s="797"/>
      <c r="D4" s="797"/>
      <c r="E4" s="797"/>
      <c r="F4" s="797"/>
      <c r="G4" s="797"/>
      <c r="H4" s="797"/>
      <c r="I4" s="815"/>
      <c r="M4" s="387" t="s">
        <v>0</v>
      </c>
    </row>
    <row r="5" spans="1:15" ht="16.5">
      <c r="A5" s="822" t="str">
        <f>+'B. Summary of Requirements_Cons'!A6:U6</f>
        <v>Construction</v>
      </c>
      <c r="B5" s="797"/>
      <c r="C5" s="797"/>
      <c r="D5" s="797"/>
      <c r="E5" s="797"/>
      <c r="F5" s="797"/>
      <c r="G5" s="797"/>
      <c r="H5" s="797"/>
      <c r="I5" s="815"/>
      <c r="M5" s="387" t="s">
        <v>0</v>
      </c>
    </row>
    <row r="6" spans="1:15">
      <c r="A6" s="814" t="s">
        <v>101</v>
      </c>
      <c r="B6" s="797"/>
      <c r="C6" s="797"/>
      <c r="D6" s="797"/>
      <c r="E6" s="797"/>
      <c r="F6" s="797"/>
      <c r="G6" s="797"/>
      <c r="H6" s="797"/>
      <c r="I6" s="815"/>
      <c r="M6" s="387" t="s">
        <v>0</v>
      </c>
    </row>
    <row r="7" spans="1:15" ht="11.25" customHeight="1">
      <c r="A7" s="823"/>
      <c r="B7" s="700"/>
      <c r="C7" s="700"/>
      <c r="D7" s="700"/>
      <c r="E7" s="700"/>
      <c r="F7" s="700"/>
      <c r="G7" s="700"/>
      <c r="H7" s="700"/>
      <c r="I7" s="824"/>
      <c r="M7" s="387" t="s">
        <v>0</v>
      </c>
    </row>
    <row r="8" spans="1:15" ht="55.5" customHeight="1">
      <c r="A8" s="804" t="s">
        <v>62</v>
      </c>
      <c r="B8" s="807" t="s">
        <v>262</v>
      </c>
      <c r="C8" s="808"/>
      <c r="D8" s="812" t="s">
        <v>268</v>
      </c>
      <c r="E8" s="813"/>
      <c r="F8" s="807" t="s">
        <v>267</v>
      </c>
      <c r="G8" s="811"/>
      <c r="H8" s="809" t="s">
        <v>137</v>
      </c>
      <c r="I8" s="810"/>
      <c r="J8" s="7"/>
      <c r="M8" s="387" t="s">
        <v>0</v>
      </c>
    </row>
    <row r="9" spans="1:15" ht="25.5" customHeight="1" thickBot="1">
      <c r="A9" s="805"/>
      <c r="B9" s="131" t="s">
        <v>29</v>
      </c>
      <c r="C9" s="132" t="s">
        <v>119</v>
      </c>
      <c r="D9" s="131" t="s">
        <v>29</v>
      </c>
      <c r="E9" s="132" t="s">
        <v>119</v>
      </c>
      <c r="F9" s="131" t="s">
        <v>29</v>
      </c>
      <c r="G9" s="132" t="s">
        <v>119</v>
      </c>
      <c r="H9" s="131" t="s">
        <v>29</v>
      </c>
      <c r="I9" s="133" t="s">
        <v>119</v>
      </c>
      <c r="J9" s="7"/>
      <c r="M9" s="387" t="s">
        <v>0</v>
      </c>
    </row>
    <row r="10" spans="1:15">
      <c r="A10" s="128" t="s">
        <v>41</v>
      </c>
      <c r="B10" s="81"/>
      <c r="C10" s="82">
        <v>66</v>
      </c>
      <c r="D10" s="81"/>
      <c r="E10" s="82">
        <v>0</v>
      </c>
      <c r="F10" s="81"/>
      <c r="G10" s="82">
        <v>0</v>
      </c>
      <c r="H10" s="81"/>
      <c r="I10" s="71">
        <f t="shared" ref="I10:I14" si="0">G10-E10</f>
        <v>0</v>
      </c>
      <c r="J10" s="7"/>
      <c r="K10" s="3">
        <v>14918</v>
      </c>
      <c r="L10" s="3">
        <f t="shared" ref="L10:L17" si="1">+E10-G10</f>
        <v>0</v>
      </c>
      <c r="M10" s="387" t="s">
        <v>0</v>
      </c>
    </row>
    <row r="11" spans="1:15">
      <c r="A11" s="128" t="s">
        <v>43</v>
      </c>
      <c r="B11" s="81"/>
      <c r="C11" s="82">
        <v>0</v>
      </c>
      <c r="D11" s="81"/>
      <c r="E11" s="82">
        <v>1000</v>
      </c>
      <c r="F11" s="81"/>
      <c r="G11" s="82">
        <v>0</v>
      </c>
      <c r="H11" s="81"/>
      <c r="I11" s="71">
        <f t="shared" si="0"/>
        <v>-1000</v>
      </c>
      <c r="J11" s="7"/>
      <c r="K11" s="3">
        <v>135</v>
      </c>
      <c r="L11" s="3">
        <f t="shared" si="1"/>
        <v>1000</v>
      </c>
      <c r="M11" s="387" t="s">
        <v>0</v>
      </c>
    </row>
    <row r="12" spans="1:15">
      <c r="A12" s="128" t="s">
        <v>216</v>
      </c>
      <c r="B12" s="81"/>
      <c r="C12" s="82">
        <f>12014+8000</f>
        <v>20014</v>
      </c>
      <c r="D12" s="81"/>
      <c r="E12" s="82">
        <v>8000</v>
      </c>
      <c r="F12" s="81"/>
      <c r="G12" s="82">
        <v>8000</v>
      </c>
      <c r="H12" s="81"/>
      <c r="I12" s="71">
        <f t="shared" ref="I12" si="2">G12-E12</f>
        <v>0</v>
      </c>
      <c r="J12" s="7"/>
      <c r="K12" s="3">
        <v>135</v>
      </c>
      <c r="L12" s="3">
        <f t="shared" ref="L12" si="3">+E12-G12</f>
        <v>0</v>
      </c>
      <c r="M12" s="387" t="s">
        <v>0</v>
      </c>
    </row>
    <row r="13" spans="1:15">
      <c r="A13" s="128" t="s">
        <v>46</v>
      </c>
      <c r="B13" s="81"/>
      <c r="C13" s="82">
        <v>16</v>
      </c>
      <c r="D13" s="81"/>
      <c r="E13" s="82">
        <v>0</v>
      </c>
      <c r="F13" s="81"/>
      <c r="G13" s="82">
        <v>0</v>
      </c>
      <c r="H13" s="81"/>
      <c r="I13" s="71">
        <f t="shared" ref="I13" si="4">G13-E13</f>
        <v>0</v>
      </c>
      <c r="J13" s="7"/>
      <c r="K13" s="3">
        <v>135</v>
      </c>
      <c r="L13" s="3">
        <f t="shared" ref="L13" si="5">+E13-G13</f>
        <v>0</v>
      </c>
      <c r="M13" s="387" t="s">
        <v>0</v>
      </c>
    </row>
    <row r="14" spans="1:15">
      <c r="A14" s="128" t="s">
        <v>47</v>
      </c>
      <c r="B14" s="81"/>
      <c r="C14" s="82">
        <v>6281</v>
      </c>
      <c r="D14" s="81"/>
      <c r="E14" s="82">
        <v>6000</v>
      </c>
      <c r="F14" s="81"/>
      <c r="G14" s="82">
        <v>2000</v>
      </c>
      <c r="H14" s="81"/>
      <c r="I14" s="71">
        <f t="shared" si="0"/>
        <v>-4000</v>
      </c>
      <c r="J14" s="7"/>
      <c r="K14" s="3">
        <v>135</v>
      </c>
      <c r="L14" s="3">
        <f t="shared" si="1"/>
        <v>4000</v>
      </c>
      <c r="M14" s="387" t="s">
        <v>0</v>
      </c>
    </row>
    <row r="15" spans="1:15">
      <c r="A15" s="129" t="s">
        <v>48</v>
      </c>
      <c r="B15" s="49"/>
      <c r="C15" s="31">
        <f>SUM(C10:C14)</f>
        <v>26377</v>
      </c>
      <c r="D15" s="49"/>
      <c r="E15" s="31">
        <f>SUM(E10:E14)</f>
        <v>15000</v>
      </c>
      <c r="F15" s="49"/>
      <c r="G15" s="31">
        <f>SUM(G10:G14)</f>
        <v>10000</v>
      </c>
      <c r="H15" s="49"/>
      <c r="I15" s="30">
        <f>SUM(I10:I14)</f>
        <v>-5000</v>
      </c>
      <c r="J15" s="7">
        <f>SUM(J10:J14)</f>
        <v>0</v>
      </c>
      <c r="K15" s="3">
        <f>SUM(K10:K14)</f>
        <v>15458</v>
      </c>
      <c r="L15" s="3">
        <f t="shared" si="1"/>
        <v>5000</v>
      </c>
      <c r="M15" s="387" t="s">
        <v>0</v>
      </c>
    </row>
    <row r="16" spans="1:15" ht="16.899999999999999" customHeight="1">
      <c r="A16" s="395" t="s">
        <v>49</v>
      </c>
      <c r="B16" s="392"/>
      <c r="C16" s="393">
        <v>-10054</v>
      </c>
      <c r="D16" s="392"/>
      <c r="E16" s="393">
        <f>-C17</f>
        <v>-2051</v>
      </c>
      <c r="F16" s="392"/>
      <c r="G16" s="393">
        <f>-E17</f>
        <v>-3801</v>
      </c>
      <c r="H16" s="392"/>
      <c r="I16" s="394"/>
      <c r="J16" s="7"/>
      <c r="L16" s="3">
        <f t="shared" si="1"/>
        <v>1750</v>
      </c>
      <c r="M16" s="387" t="s">
        <v>0</v>
      </c>
      <c r="O16" s="386"/>
    </row>
    <row r="17" spans="1:26">
      <c r="A17" s="395" t="s">
        <v>50</v>
      </c>
      <c r="B17" s="392"/>
      <c r="C17" s="393">
        <v>2051</v>
      </c>
      <c r="D17" s="392"/>
      <c r="E17" s="393">
        <v>3801</v>
      </c>
      <c r="F17" s="392"/>
      <c r="G17" s="393">
        <f>-G16</f>
        <v>3801</v>
      </c>
      <c r="H17" s="392"/>
      <c r="I17" s="394"/>
      <c r="J17" s="7"/>
      <c r="L17" s="3">
        <f t="shared" si="1"/>
        <v>0</v>
      </c>
      <c r="M17" s="387" t="s">
        <v>0</v>
      </c>
      <c r="O17" s="386"/>
    </row>
    <row r="18" spans="1:26">
      <c r="A18" s="395" t="s">
        <v>51</v>
      </c>
      <c r="B18" s="392"/>
      <c r="C18" s="393">
        <v>-1782</v>
      </c>
      <c r="D18" s="392"/>
      <c r="E18" s="393">
        <v>-1750</v>
      </c>
      <c r="F18" s="392"/>
      <c r="G18" s="393">
        <v>0</v>
      </c>
      <c r="H18" s="392"/>
      <c r="I18" s="394"/>
      <c r="J18" s="7"/>
      <c r="M18" s="387" t="s">
        <v>0</v>
      </c>
      <c r="O18" s="386"/>
    </row>
    <row r="19" spans="1:26" ht="16.5" customHeight="1">
      <c r="A19" s="463" t="s">
        <v>1</v>
      </c>
      <c r="B19" s="464"/>
      <c r="C19" s="465">
        <f>SUM(C15:C18)</f>
        <v>16592</v>
      </c>
      <c r="D19" s="464"/>
      <c r="E19" s="465">
        <f>SUM(E15:E18)</f>
        <v>15000</v>
      </c>
      <c r="F19" s="464"/>
      <c r="G19" s="465">
        <f>SUM(G15:G18)</f>
        <v>10000</v>
      </c>
      <c r="H19" s="464"/>
      <c r="I19" s="466"/>
      <c r="J19" s="7"/>
      <c r="M19" s="387" t="s">
        <v>15</v>
      </c>
      <c r="O19" s="803"/>
      <c r="P19" s="803"/>
      <c r="Q19" s="803"/>
      <c r="R19" s="803"/>
      <c r="S19" s="803"/>
      <c r="T19" s="803"/>
      <c r="U19" s="803"/>
      <c r="V19" s="803"/>
      <c r="W19" s="803"/>
      <c r="X19" s="803"/>
      <c r="Y19" s="803"/>
      <c r="Z19" s="803"/>
    </row>
    <row r="20" spans="1:26">
      <c r="A20" s="801"/>
      <c r="B20" s="802"/>
      <c r="C20" s="802"/>
      <c r="D20" s="802"/>
      <c r="E20" s="802"/>
      <c r="F20" s="802"/>
      <c r="G20" s="802"/>
      <c r="H20" s="802"/>
      <c r="I20" s="802"/>
      <c r="J20" s="802"/>
      <c r="K20" s="802"/>
      <c r="L20" s="802"/>
      <c r="M20" s="802"/>
    </row>
    <row r="21" spans="1:26">
      <c r="H21" s="12"/>
      <c r="I21" s="12"/>
      <c r="J21" s="7"/>
    </row>
    <row r="22" spans="1:26">
      <c r="H22" s="12"/>
      <c r="I22" s="47"/>
      <c r="J22" s="7"/>
    </row>
    <row r="23" spans="1:26">
      <c r="H23" s="12"/>
      <c r="I23" s="12"/>
      <c r="J23" s="7"/>
    </row>
    <row r="24" spans="1:26">
      <c r="H24" s="12"/>
      <c r="I24" s="12"/>
      <c r="J24" s="7"/>
    </row>
    <row r="25" spans="1:26">
      <c r="H25" s="12"/>
      <c r="I25" s="12"/>
      <c r="J25" s="7"/>
    </row>
    <row r="26" spans="1:26">
      <c r="H26" s="12"/>
      <c r="I26" s="12"/>
      <c r="J26" s="7"/>
    </row>
    <row r="27" spans="1:26">
      <c r="H27" s="12"/>
      <c r="I27" s="12"/>
      <c r="J27" s="7"/>
    </row>
    <row r="28" spans="1:26">
      <c r="H28" s="12"/>
      <c r="I28" s="12"/>
      <c r="J28" s="7"/>
    </row>
    <row r="29" spans="1:26">
      <c r="H29" s="12"/>
      <c r="I29" s="12"/>
      <c r="J29" s="7"/>
    </row>
    <row r="30" spans="1:26">
      <c r="H30" s="12"/>
      <c r="I30" s="12"/>
      <c r="J30" s="7"/>
    </row>
    <row r="31" spans="1:26">
      <c r="H31" s="12"/>
      <c r="I31" s="12"/>
      <c r="J31" s="7"/>
    </row>
    <row r="32" spans="1:26">
      <c r="H32" s="12"/>
      <c r="I32" s="12"/>
      <c r="J32" s="7"/>
    </row>
    <row r="33" spans="8:10">
      <c r="H33" s="12"/>
      <c r="I33" s="13"/>
      <c r="J33" s="7"/>
    </row>
    <row r="34" spans="8:10">
      <c r="H34" s="12"/>
      <c r="I34" s="13"/>
      <c r="J34" s="7"/>
    </row>
    <row r="35" spans="8:10">
      <c r="H35" s="12"/>
      <c r="I35" s="12"/>
      <c r="J35" s="7"/>
    </row>
    <row r="36" spans="8:10">
      <c r="H36" s="12"/>
      <c r="I36" s="12"/>
      <c r="J36" s="7"/>
    </row>
    <row r="37" spans="8:10">
      <c r="H37" s="12"/>
      <c r="I37" s="12"/>
      <c r="J37" s="7"/>
    </row>
    <row r="38" spans="8:10">
      <c r="H38" s="12"/>
      <c r="I38" s="12"/>
      <c r="J38" s="7"/>
    </row>
    <row r="39" spans="8:10">
      <c r="H39" s="12"/>
      <c r="I39" s="12"/>
      <c r="J39" s="7"/>
    </row>
    <row r="40" spans="8:10">
      <c r="H40" s="12"/>
      <c r="I40" s="12"/>
      <c r="J40" s="7"/>
    </row>
    <row r="41" spans="8:10">
      <c r="H41" s="12"/>
      <c r="I41" s="12"/>
      <c r="J41" s="7"/>
    </row>
    <row r="42" spans="8:10">
      <c r="H42" s="12"/>
      <c r="I42" s="12"/>
      <c r="J42" s="7"/>
    </row>
    <row r="43" spans="8:10">
      <c r="H43" s="12"/>
      <c r="I43" s="12"/>
      <c r="J43" s="7"/>
    </row>
    <row r="44" spans="8:10">
      <c r="H44" s="12"/>
      <c r="I44" s="12"/>
      <c r="J44" s="7"/>
    </row>
    <row r="45" spans="8:10">
      <c r="H45" s="12"/>
      <c r="I45" s="12"/>
      <c r="J45" s="7"/>
    </row>
    <row r="46" spans="8:10">
      <c r="H46" s="12"/>
      <c r="I46" s="12"/>
      <c r="J46" s="7"/>
    </row>
    <row r="47" spans="8:10">
      <c r="H47" s="12"/>
      <c r="I47" s="12"/>
      <c r="J47" s="7"/>
    </row>
    <row r="48" spans="8:10">
      <c r="H48" s="14"/>
      <c r="I48" s="12"/>
      <c r="J48" s="7"/>
    </row>
    <row r="49" spans="8:10">
      <c r="H49" s="7"/>
      <c r="I49" s="7"/>
      <c r="J49" s="7"/>
    </row>
    <row r="50" spans="8:10">
      <c r="H50" s="6"/>
      <c r="I50" s="6"/>
      <c r="J50" s="7"/>
    </row>
    <row r="51" spans="8:10">
      <c r="H51" s="6"/>
      <c r="I51" s="6"/>
      <c r="J51" s="7"/>
    </row>
    <row r="52" spans="8:10">
      <c r="H52" s="6"/>
      <c r="I52" s="6"/>
      <c r="J52" s="7"/>
    </row>
    <row r="53" spans="8:10">
      <c r="H53" s="6"/>
      <c r="I53" s="6"/>
      <c r="J53" s="7"/>
    </row>
    <row r="54" spans="8:10">
      <c r="J54" s="7"/>
    </row>
    <row r="55" spans="8:10">
      <c r="J55" s="7"/>
    </row>
    <row r="157" spans="1:1">
      <c r="A157" s="3" t="s">
        <v>84</v>
      </c>
    </row>
  </sheetData>
  <mergeCells count="14">
    <mergeCell ref="O19:Z19"/>
    <mergeCell ref="A20:M20"/>
    <mergeCell ref="A7:I7"/>
    <mergeCell ref="A8:A9"/>
    <mergeCell ref="B8:C8"/>
    <mergeCell ref="D8:E8"/>
    <mergeCell ref="F8:G8"/>
    <mergeCell ref="H8:I8"/>
    <mergeCell ref="A6:I6"/>
    <mergeCell ref="A1:I1"/>
    <mergeCell ref="A2:I2"/>
    <mergeCell ref="A3:I3"/>
    <mergeCell ref="A4:I4"/>
    <mergeCell ref="A5:I5"/>
  </mergeCells>
  <printOptions horizontalCentered="1"/>
  <pageMargins left="0.5" right="0.5" top="1" bottom="0.5" header="0.5" footer="0.25"/>
  <pageSetup scale="65" orientation="landscape" r:id="rId1"/>
  <headerFooter alignWithMargins="0">
    <oddFooter>&amp;C&amp;"Times New Roman,Regular"Exhibit L - Summary of Requirements by Object Class - Construction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A. Organization Chart</vt:lpstr>
      <vt:lpstr>B. Summary of Requirements_SE </vt:lpstr>
      <vt:lpstr>B. Summary of Requirements_Cons</vt:lpstr>
      <vt:lpstr>C. Increases Offsets</vt:lpstr>
      <vt:lpstr>D. Strategic Goals &amp; Objectives</vt:lpstr>
      <vt:lpstr>E. ATB Justification</vt:lpstr>
      <vt:lpstr>F. 2011 Crosswalk</vt:lpstr>
      <vt:lpstr>G. 2012 Crosswalk</vt:lpstr>
      <vt:lpstr>H. Reimbursable Resources</vt:lpstr>
      <vt:lpstr>I. Permanent Positions</vt:lpstr>
      <vt:lpstr>J. Financial Analysis</vt:lpstr>
      <vt:lpstr>K. Summary by Grade</vt:lpstr>
      <vt:lpstr>L. Summary by Object Class_SE</vt:lpstr>
      <vt:lpstr>L. Summary by Object Class_ Con</vt:lpstr>
      <vt:lpstr>'B. Summary of Requirements_Cons'!DL</vt:lpstr>
      <vt:lpstr>'B. Summary of Requirements_SE '!DL</vt:lpstr>
      <vt:lpstr>'A. Organization Chart'!Print_Area</vt:lpstr>
      <vt:lpstr>'B. Summary of Requirements_Cons'!Print_Area</vt:lpstr>
      <vt:lpstr>'B. Summary of Requirements_SE '!Print_Area</vt:lpstr>
      <vt:lpstr>'C. Increases Offsets'!Print_Area</vt:lpstr>
      <vt:lpstr>'D. Strategic Goals &amp; Objectives'!Print_Area</vt:lpstr>
      <vt:lpstr>'E. ATB Justification'!Print_Area</vt:lpstr>
      <vt:lpstr>'F. 2011 Crosswalk'!Print_Area</vt:lpstr>
      <vt:lpstr>'G. 2012 Crosswalk'!Print_Area</vt:lpstr>
      <vt:lpstr>'H. Reimbursable Resources'!Print_Area</vt:lpstr>
      <vt:lpstr>'I. Permanent Positions'!Print_Area</vt:lpstr>
      <vt:lpstr>'J. Financial Analysis'!Print_Area</vt:lpstr>
      <vt:lpstr>'K. Summary by Grade'!Print_Area</vt:lpstr>
      <vt:lpstr>'L. Summary by Object Class_ Con'!Print_Area</vt:lpstr>
      <vt:lpstr>'L. Summary by Object Class_SE'!Print_Area</vt:lpstr>
      <vt:lpstr>'H. Reimbursable Resources'!REIMPRO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rlindsay</cp:lastModifiedBy>
  <cp:lastPrinted>2012-02-07T13:46:55Z</cp:lastPrinted>
  <dcterms:created xsi:type="dcterms:W3CDTF">2003-08-28T20:51:00Z</dcterms:created>
  <dcterms:modified xsi:type="dcterms:W3CDTF">2012-02-08T17:04:51Z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