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0" yWindow="-120" windowWidth="18150" windowHeight="9900" tabRatio="889"/>
  </bookViews>
  <sheets>
    <sheet name="A. Organization Chart" sheetId="2" r:id="rId1"/>
    <sheet name="D. Strategic Goals &amp; Objectives" sheetId="5" r:id="rId2"/>
    <sheet name="F. 2012 Crosswalk" sheetId="7" r:id="rId3"/>
    <sheet name="G. 2013 Crosswalk" sheetId="8" r:id="rId4"/>
    <sheet name="H. Reimbursable Resources" sheetId="9" r:id="rId5"/>
    <sheet name="I. Permanent Positions" sheetId="22" r:id="rId6"/>
    <sheet name="K. Summary by Grade" sheetId="24" r:id="rId7"/>
    <sheet name="L. Summary by OC" sheetId="27" r:id="rId8"/>
    <sheet name="Sheet1" sheetId="25" r:id="rId9"/>
  </sheets>
  <externalReferences>
    <externalReference r:id="rId10"/>
    <externalReference r:id="rId11"/>
  </externalReferences>
  <definedNames>
    <definedName name="_11POS_BY_CAT" localSheetId="5">#REF!</definedName>
    <definedName name="_11POS_BY_CAT" localSheetId="6">#REF!</definedName>
    <definedName name="_11POS_BY_CAT" localSheetId="7">#REF!</definedName>
    <definedName name="_11POS_BY_CAT">#REF!</definedName>
    <definedName name="_1ATTORNEY_SUPP">#REF!</definedName>
    <definedName name="_2ATTORNEY_SUPP" localSheetId="7">#REF!</definedName>
    <definedName name="_2ATTORNEY_SUPP">#REF!</definedName>
    <definedName name="_2GA_ROLLUP">#REF!</definedName>
    <definedName name="_3POS_BY_CAT">#REF!</definedName>
    <definedName name="_4GA_ROLLUP" localSheetId="1">#REF!</definedName>
    <definedName name="_5GA_ROLLUP" localSheetId="4">[1]SumReq!#REF!</definedName>
    <definedName name="_6GA_ROLLUP">#REF!</definedName>
    <definedName name="_7GA_ROLLUP" localSheetId="7">#REF!</definedName>
    <definedName name="_7GA_ROLLUP">#REF!</definedName>
    <definedName name="_9POS_BY_CAT" localSheetId="1">#REF!</definedName>
    <definedName name="_9POS_BY_CAT">#REF!</definedName>
    <definedName name="DL">#REF!</definedName>
    <definedName name="EXECSUPP" localSheetId="1">#REF!</definedName>
    <definedName name="EXECSUPP">#REF!</definedName>
    <definedName name="FY0711.1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 localSheetId="1">#REF!</definedName>
    <definedName name="INTEL">#REF!</definedName>
    <definedName name="JMD" localSheetId="1">#REF!</definedName>
    <definedName name="JMD">#REF!</definedName>
    <definedName name="PART">#REF!</definedName>
    <definedName name="_xlnm.Print_Area" localSheetId="0">'A. Organization Chart'!$A$1:$K$29</definedName>
    <definedName name="_xlnm.Print_Area" localSheetId="1">'D. Strategic Goals &amp; Objectives'!$A$1:$P$39</definedName>
    <definedName name="_xlnm.Print_Area" localSheetId="2">'F. 2012 Crosswalk'!$A$1:$R$34</definedName>
    <definedName name="_xlnm.Print_Area" localSheetId="3">'G. 2013 Crosswalk'!$A$1:$R$33</definedName>
    <definedName name="_xlnm.Print_Area" localSheetId="4">'H. Reimbursable Resources'!$A$1:$N$17</definedName>
    <definedName name="_xlnm.Print_Area" localSheetId="5">'I. Permanent Positions'!$A$1:$K$33</definedName>
    <definedName name="_xlnm.Print_Area" localSheetId="6">'K. Summary by Grade'!$A$1:$I$33</definedName>
    <definedName name="_xlnm.Print_Area" localSheetId="7">'L. Summary by OC'!$A$1:$I$51</definedName>
    <definedName name="_xlnm.Print_Area">#REF!</definedName>
    <definedName name="REIMPRO" localSheetId="4">'H. Reimbursable Resources'!$A$1:$N$16</definedName>
    <definedName name="REIMPRO" localSheetId="7">#REF!</definedName>
    <definedName name="REIMPRO">#REF!</definedName>
    <definedName name="REIMSOR" localSheetId="4">'H. Reimbursable Resources'!#REF!</definedName>
    <definedName name="REIMSOR" localSheetId="7">#REF!</definedName>
    <definedName name="REIMSOR">#REF!</definedName>
    <definedName name="Test">#REF!</definedName>
    <definedName name="Z_12C66D54_5067_4346_818B_6EAB1C8A9183_.wvu.Cols" localSheetId="3" hidden="1">'G. 2013 Crosswalk'!$H:$J</definedName>
    <definedName name="Z_12C66D54_5067_4346_818B_6EAB1C8A9183_.wvu.PrintArea" localSheetId="0" hidden="1">'A. Organization Chart'!$A$1:$N$29</definedName>
    <definedName name="Z_12C66D54_5067_4346_818B_6EAB1C8A9183_.wvu.PrintArea" localSheetId="1" hidden="1">'D. Strategic Goals &amp; Objectives'!$A$1:$P$35</definedName>
    <definedName name="Z_12C66D54_5067_4346_818B_6EAB1C8A9183_.wvu.PrintArea" localSheetId="2" hidden="1">'F. 2012 Crosswalk'!$A$1:$O$31</definedName>
    <definedName name="Z_12C66D54_5067_4346_818B_6EAB1C8A9183_.wvu.PrintArea" localSheetId="3" hidden="1">'G. 2013 Crosswalk'!$A$1:$R$26</definedName>
    <definedName name="Z_12C66D54_5067_4346_818B_6EAB1C8A9183_.wvu.PrintArea" localSheetId="4" hidden="1">'H. Reimbursable Resources'!$A$1:$N$17</definedName>
    <definedName name="Z_12C66D54_5067_4346_818B_6EAB1C8A9183_.wvu.PrintArea" localSheetId="5" hidden="1">'I. Permanent Positions'!$A$1:$K$33</definedName>
    <definedName name="Z_12C66D54_5067_4346_818B_6EAB1C8A9183_.wvu.PrintArea" localSheetId="6" hidden="1">'K. Summary by Grade'!$A$1:$I$33</definedName>
    <definedName name="Z_12C66D54_5067_4346_818B_6EAB1C8A9183_.wvu.Rows" localSheetId="1" hidden="1">'D. Strategic Goals &amp; Objectives'!$10:$10</definedName>
    <definedName name="Z_3118AF25_8423_420A_806A_487665220C68_.wvu.Cols" localSheetId="3" hidden="1">'G. 2013 Crosswalk'!$H:$J</definedName>
    <definedName name="Z_3118AF25_8423_420A_806A_487665220C68_.wvu.PrintArea" localSheetId="0" hidden="1">'A. Organization Chart'!$A$1:$N$29</definedName>
    <definedName name="Z_3118AF25_8423_420A_806A_487665220C68_.wvu.PrintArea" localSheetId="1" hidden="1">'D. Strategic Goals &amp; Objectives'!$A$1:$P$35</definedName>
    <definedName name="Z_3118AF25_8423_420A_806A_487665220C68_.wvu.PrintArea" localSheetId="2" hidden="1">'F. 2012 Crosswalk'!$A$1:$O$31</definedName>
    <definedName name="Z_3118AF25_8423_420A_806A_487665220C68_.wvu.PrintArea" localSheetId="3" hidden="1">'G. 2013 Crosswalk'!$A$1:$R$26</definedName>
    <definedName name="Z_3118AF25_8423_420A_806A_487665220C68_.wvu.PrintArea" localSheetId="4" hidden="1">'H. Reimbursable Resources'!$A$1:$N$17</definedName>
    <definedName name="Z_3118AF25_8423_420A_806A_487665220C68_.wvu.PrintArea" localSheetId="5" hidden="1">'I. Permanent Positions'!$A$1:$K$33</definedName>
    <definedName name="Z_3118AF25_8423_420A_806A_487665220C68_.wvu.PrintArea" localSheetId="6" hidden="1">'K. Summary by Grade'!$A$1:$I$33</definedName>
    <definedName name="Z_3118AF25_8423_420A_806A_487665220C68_.wvu.Rows" localSheetId="1" hidden="1">'D. Strategic Goals &amp; Objectives'!$10:$10</definedName>
    <definedName name="Z_4148B88B_8ED7_4FDE_9459_DEB244AD0552_.wvu.Cols" localSheetId="2" hidden="1">'F. 2012 Crosswalk'!#REF!</definedName>
    <definedName name="Z_4148B88B_8ED7_4FDE_9459_DEB244AD0552_.wvu.Cols" localSheetId="3" hidden="1">'G. 2013 Crosswalk'!$H:$J</definedName>
    <definedName name="Z_4148B88B_8ED7_4FDE_9459_DEB244AD0552_.wvu.PrintArea" localSheetId="0" hidden="1">'A. Organization Chart'!$A$1:$N$29</definedName>
    <definedName name="Z_4148B88B_8ED7_4FDE_9459_DEB244AD0552_.wvu.PrintArea" localSheetId="1" hidden="1">'D. Strategic Goals &amp; Objectives'!$A$1:$P$35</definedName>
    <definedName name="Z_4148B88B_8ED7_4FDE_9459_DEB244AD0552_.wvu.PrintArea" localSheetId="2" hidden="1">'F. 2012 Crosswalk'!$A$1:$O$31</definedName>
    <definedName name="Z_4148B88B_8ED7_4FDE_9459_DEB244AD0552_.wvu.PrintArea" localSheetId="3" hidden="1">'G. 2013 Crosswalk'!$A$1:$R$26</definedName>
    <definedName name="Z_4148B88B_8ED7_4FDE_9459_DEB244AD0552_.wvu.PrintArea" localSheetId="4" hidden="1">'H. Reimbursable Resources'!$A$1:$N$17</definedName>
    <definedName name="Z_4148B88B_8ED7_4FDE_9459_DEB244AD0552_.wvu.PrintArea" localSheetId="5" hidden="1">'I. Permanent Positions'!$A$1:$K$33</definedName>
    <definedName name="Z_4148B88B_8ED7_4FDE_9459_DEB244AD0552_.wvu.PrintArea" localSheetId="6" hidden="1">'K. Summary by Grade'!$A$1:$I$33</definedName>
    <definedName name="Z_4148B88B_8ED7_4FDE_9459_DEB244AD0552_.wvu.Rows" localSheetId="1" hidden="1">'D. Strategic Goals &amp; Objectives'!$10:$10</definedName>
    <definedName name="Z_56C0A34E_45B4_448B_85E5_70B3A8E63333_.wvu.PrintArea" localSheetId="0" hidden="1">'A. Organization Chart'!$A$1:$N$29</definedName>
    <definedName name="Z_56C0A34E_45B4_448B_85E5_70B3A8E63333_.wvu.PrintArea" localSheetId="1" hidden="1">'D. Strategic Goals &amp; Objectives'!$A$1:$P$35</definedName>
    <definedName name="Z_56C0A34E_45B4_448B_85E5_70B3A8E63333_.wvu.PrintArea" localSheetId="2" hidden="1">'F. 2012 Crosswalk'!$A$1:$O$31</definedName>
    <definedName name="Z_56C0A34E_45B4_448B_85E5_70B3A8E63333_.wvu.PrintArea" localSheetId="3" hidden="1">'G. 2013 Crosswalk'!$A$1:$R$26</definedName>
    <definedName name="Z_56C0A34E_45B4_448B_85E5_70B3A8E63333_.wvu.PrintArea" localSheetId="4" hidden="1">'H. Reimbursable Resources'!$A$1:$N$17</definedName>
    <definedName name="Z_56C0A34E_45B4_448B_85E5_70B3A8E63333_.wvu.PrintArea" localSheetId="5" hidden="1">'I. Permanent Positions'!$A$1:$K$33</definedName>
    <definedName name="Z_56C0A34E_45B4_448B_85E5_70B3A8E63333_.wvu.PrintArea" localSheetId="6" hidden="1">'K. Summary by Grade'!$A$1:$I$33</definedName>
    <definedName name="Z_56C0A34E_45B4_448B_85E5_70B3A8E63333_.wvu.Rows" localSheetId="1" hidden="1">'D. Strategic Goals &amp; Objectives'!$10:$10</definedName>
  </definedNames>
  <calcPr calcId="145621"/>
  <customWorkbookViews>
    <customWorkbookView name="mcupertino - Personal View" guid="{12C66D54-5067-4346-818B-6EAB1C8A9183}" mergeInterval="0" personalView="1" maximized="1" xWindow="1" yWindow="1" windowWidth="1280" windowHeight="833" tabRatio="889" activeSheetId="6"/>
    <customWorkbookView name="matsatt - Personal View" guid="{4148B88B-8ED7-4FDE-9459-DEB244AD0552}" mergeInterval="0" personalView="1" maximized="1" xWindow="1" yWindow="1" windowWidth="1246" windowHeight="743" tabRatio="889" activeSheetId="3"/>
    <customWorkbookView name="debjones - Personal View" guid="{56C0A34E-45B4-448B-85E5-70B3A8E63333}" mergeInterval="0" personalView="1" maximized="1" xWindow="1" yWindow="1" windowWidth="1680" windowHeight="820" tabRatio="889" activeSheetId="3" showComments="commIndAndComment"/>
    <customWorkbookView name="mschneck - Personal View" guid="{3118AF25-8423-420A-806A-487665220C68}" mergeInterval="0" personalView="1" maximized="1" xWindow="1" yWindow="1" windowWidth="1680" windowHeight="797" tabRatio="889" activeSheetId="14" showComments="commIndAndComment"/>
  </customWorkbookViews>
</workbook>
</file>

<file path=xl/calcChain.xml><?xml version="1.0" encoding="utf-8"?>
<calcChain xmlns="http://schemas.openxmlformats.org/spreadsheetml/2006/main">
  <c r="L12" i="9" l="1"/>
  <c r="M12" i="9"/>
  <c r="N12" i="9"/>
  <c r="L13" i="9"/>
  <c r="M13" i="9"/>
  <c r="N13" i="9"/>
  <c r="K10" i="9"/>
  <c r="H10" i="9"/>
  <c r="E10" i="9" l="1"/>
  <c r="I48" i="27"/>
  <c r="I47" i="27"/>
  <c r="N46" i="27"/>
  <c r="H45" i="27"/>
  <c r="N44" i="27"/>
  <c r="H43" i="27"/>
  <c r="F43" i="27"/>
  <c r="D43" i="27"/>
  <c r="B43" i="27"/>
  <c r="I42" i="27"/>
  <c r="I41" i="27"/>
  <c r="I40" i="27"/>
  <c r="I39" i="27"/>
  <c r="G38" i="27"/>
  <c r="I38" i="27" s="1"/>
  <c r="M36" i="27"/>
  <c r="N36" i="27" s="1"/>
  <c r="I36" i="27"/>
  <c r="N35" i="27"/>
  <c r="M35" i="27"/>
  <c r="I35" i="27"/>
  <c r="M34" i="27"/>
  <c r="N34" i="27" s="1"/>
  <c r="I34" i="27"/>
  <c r="N33" i="27"/>
  <c r="M33" i="27"/>
  <c r="I33" i="27"/>
  <c r="M32" i="27"/>
  <c r="N32" i="27" s="1"/>
  <c r="I32" i="27"/>
  <c r="N31" i="27"/>
  <c r="M31" i="27"/>
  <c r="I31" i="27"/>
  <c r="M30" i="27"/>
  <c r="N30" i="27" s="1"/>
  <c r="I30" i="27"/>
  <c r="N29" i="27"/>
  <c r="M29" i="27"/>
  <c r="I29" i="27"/>
  <c r="M28" i="27"/>
  <c r="N28" i="27" s="1"/>
  <c r="I28" i="27"/>
  <c r="N27" i="27"/>
  <c r="M27" i="27"/>
  <c r="I27" i="27"/>
  <c r="M26" i="27"/>
  <c r="N26" i="27" s="1"/>
  <c r="I26" i="27"/>
  <c r="N25" i="27"/>
  <c r="G25" i="27"/>
  <c r="I25" i="27" s="1"/>
  <c r="E25" i="27"/>
  <c r="C25" i="27"/>
  <c r="M25" i="27" s="1"/>
  <c r="M24" i="27"/>
  <c r="N24" i="27" s="1"/>
  <c r="I24" i="27"/>
  <c r="M23" i="27"/>
  <c r="N23" i="27" s="1"/>
  <c r="I23" i="27"/>
  <c r="M22" i="27"/>
  <c r="N22" i="27" s="1"/>
  <c r="I22" i="27"/>
  <c r="M21" i="27"/>
  <c r="N21" i="27" s="1"/>
  <c r="I21" i="27"/>
  <c r="M20" i="27"/>
  <c r="N20" i="27" s="1"/>
  <c r="I20" i="27"/>
  <c r="M19" i="27"/>
  <c r="N19" i="27" s="1"/>
  <c r="I19" i="27"/>
  <c r="M18" i="27"/>
  <c r="N18" i="27" s="1"/>
  <c r="I18" i="27"/>
  <c r="M17" i="27"/>
  <c r="N17" i="27" s="1"/>
  <c r="I17" i="27"/>
  <c r="M16" i="27"/>
  <c r="N16" i="27" s="1"/>
  <c r="I16" i="27"/>
  <c r="M15" i="27"/>
  <c r="N15" i="27" s="1"/>
  <c r="M13" i="27"/>
  <c r="N13" i="27" s="1"/>
  <c r="I13" i="27"/>
  <c r="H13" i="27"/>
  <c r="M12" i="27"/>
  <c r="N12" i="27" s="1"/>
  <c r="I12" i="27"/>
  <c r="H12" i="27"/>
  <c r="M11" i="27"/>
  <c r="N11" i="27" s="1"/>
  <c r="I11" i="27"/>
  <c r="H11" i="27"/>
  <c r="G10" i="27"/>
  <c r="G14" i="27" s="1"/>
  <c r="G37" i="27" s="1"/>
  <c r="G43" i="27" s="1"/>
  <c r="F10" i="27"/>
  <c r="F14" i="27" s="1"/>
  <c r="E10" i="27"/>
  <c r="E14" i="27" s="1"/>
  <c r="E37" i="27" s="1"/>
  <c r="E43" i="27" s="1"/>
  <c r="D10" i="27"/>
  <c r="D14" i="27" s="1"/>
  <c r="C10" i="27"/>
  <c r="C14" i="27" s="1"/>
  <c r="B10" i="27"/>
  <c r="B14" i="27" s="1"/>
  <c r="M9" i="27"/>
  <c r="N9" i="27" s="1"/>
  <c r="I9" i="27"/>
  <c r="H9" i="27"/>
  <c r="M8" i="27"/>
  <c r="N8" i="27" s="1"/>
  <c r="I8" i="27"/>
  <c r="H8" i="27"/>
  <c r="D12" i="8"/>
  <c r="D12" i="7"/>
  <c r="J23" i="5"/>
  <c r="J22" i="5"/>
  <c r="J20" i="5"/>
  <c r="I23" i="5"/>
  <c r="I22" i="5"/>
  <c r="I20" i="5"/>
  <c r="G23" i="5"/>
  <c r="G22" i="5"/>
  <c r="G20" i="5"/>
  <c r="F23" i="5"/>
  <c r="F22" i="5"/>
  <c r="F20" i="5"/>
  <c r="D23" i="5"/>
  <c r="D22" i="5"/>
  <c r="D20" i="5"/>
  <c r="C23" i="5"/>
  <c r="C22" i="5"/>
  <c r="C20" i="5"/>
  <c r="C37" i="27" l="1"/>
  <c r="M14" i="27"/>
  <c r="N14" i="27" s="1"/>
  <c r="N37" i="27" s="1"/>
  <c r="N48" i="27" s="1"/>
  <c r="N50" i="27" s="1"/>
  <c r="H10" i="27"/>
  <c r="H14" i="27" s="1"/>
  <c r="M10" i="27"/>
  <c r="I10" i="27"/>
  <c r="I14" i="27" s="1"/>
  <c r="I37" i="27" s="1"/>
  <c r="I43" i="27" s="1"/>
  <c r="N10" i="27"/>
  <c r="C43" i="27" l="1"/>
  <c r="M43" i="27" s="1"/>
  <c r="M37" i="27"/>
  <c r="D15" i="7" l="1"/>
  <c r="Q20" i="7" l="1"/>
  <c r="Q19" i="7"/>
  <c r="Q16" i="7"/>
  <c r="O15" i="7"/>
  <c r="N15" i="7"/>
  <c r="M15" i="7"/>
  <c r="L15" i="7"/>
  <c r="L17" i="7" s="1"/>
  <c r="L21" i="7" s="1"/>
  <c r="K15" i="7"/>
  <c r="J15" i="7"/>
  <c r="I15" i="7"/>
  <c r="I17" i="7" s="1"/>
  <c r="I21" i="7" s="1"/>
  <c r="H15" i="7"/>
  <c r="G15" i="7"/>
  <c r="F15" i="7"/>
  <c r="F17" i="7" s="1"/>
  <c r="F21" i="7" s="1"/>
  <c r="E15" i="7"/>
  <c r="C15" i="7"/>
  <c r="C17" i="7" s="1"/>
  <c r="C21" i="7" s="1"/>
  <c r="R14" i="7"/>
  <c r="Q14" i="7"/>
  <c r="P14" i="7"/>
  <c r="R13" i="7"/>
  <c r="Q13" i="7"/>
  <c r="P13" i="7"/>
  <c r="R12" i="7"/>
  <c r="Q12" i="7"/>
  <c r="R15" i="7" l="1"/>
  <c r="Q15" i="7"/>
  <c r="Q17" i="7" s="1"/>
  <c r="Q21" i="7" s="1"/>
  <c r="G21" i="24"/>
  <c r="G15" i="24"/>
  <c r="G14" i="24"/>
  <c r="G13" i="24"/>
  <c r="G12" i="24"/>
  <c r="N11" i="9" l="1"/>
  <c r="M11" i="9"/>
  <c r="L11" i="9"/>
  <c r="G30" i="24" l="1"/>
  <c r="E30" i="24"/>
  <c r="C30" i="24"/>
  <c r="F28" i="24"/>
  <c r="D28" i="24"/>
  <c r="B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A6" i="24"/>
  <c r="H33" i="22"/>
  <c r="G33" i="22"/>
  <c r="F33" i="22"/>
  <c r="E33" i="22"/>
  <c r="C33" i="22"/>
  <c r="I32" i="22"/>
  <c r="J32" i="22" s="1"/>
  <c r="I30" i="22"/>
  <c r="K29" i="22"/>
  <c r="K30" i="22" s="1"/>
  <c r="K33" i="22" s="1"/>
  <c r="J29" i="22"/>
  <c r="I29" i="22"/>
  <c r="H29" i="22"/>
  <c r="G29" i="22"/>
  <c r="F29" i="22"/>
  <c r="E29" i="22"/>
  <c r="D29" i="22"/>
  <c r="D30" i="22" s="1"/>
  <c r="C29" i="22"/>
  <c r="B29" i="22"/>
  <c r="B30" i="22" s="1"/>
  <c r="B33" i="22" s="1"/>
  <c r="A6" i="22"/>
  <c r="I33" i="22" l="1"/>
  <c r="H28" i="24"/>
  <c r="J30" i="22"/>
  <c r="J33" i="22" s="1"/>
  <c r="D33" i="22"/>
  <c r="I14" i="5" l="1"/>
  <c r="O14" i="5" s="1"/>
  <c r="J14" i="5"/>
  <c r="P14" i="5" s="1"/>
  <c r="I15" i="5"/>
  <c r="O15" i="5" s="1"/>
  <c r="J15" i="5"/>
  <c r="P15" i="5" s="1"/>
  <c r="I16" i="5"/>
  <c r="O16" i="5" s="1"/>
  <c r="J16" i="5"/>
  <c r="P16" i="5" s="1"/>
  <c r="C17" i="5"/>
  <c r="D17" i="5"/>
  <c r="F17" i="5"/>
  <c r="G17" i="5"/>
  <c r="K17" i="5"/>
  <c r="L17" i="5"/>
  <c r="M17" i="5"/>
  <c r="N17" i="5"/>
  <c r="P17" i="5" l="1"/>
  <c r="I17" i="5"/>
  <c r="O17" i="5"/>
  <c r="J17" i="5"/>
  <c r="R12" i="8" l="1"/>
  <c r="R14" i="8"/>
  <c r="R13" i="8"/>
  <c r="L10" i="9"/>
  <c r="M10" i="9"/>
  <c r="N10" i="9"/>
  <c r="J29" i="5"/>
  <c r="J30" i="5"/>
  <c r="J31" i="5"/>
  <c r="J32" i="5"/>
  <c r="I32" i="5"/>
  <c r="I31" i="5"/>
  <c r="I30" i="5"/>
  <c r="I29" i="5"/>
  <c r="J21" i="5"/>
  <c r="J24" i="5"/>
  <c r="J25" i="5"/>
  <c r="I25" i="5"/>
  <c r="I24" i="5"/>
  <c r="I21" i="5"/>
  <c r="N14" i="9" l="1"/>
  <c r="L14" i="9"/>
  <c r="Q20" i="8"/>
  <c r="Q19" i="8"/>
  <c r="Q16" i="8"/>
  <c r="Q14" i="8"/>
  <c r="Q13" i="8"/>
  <c r="Q12" i="8"/>
  <c r="P14" i="8"/>
  <c r="P13" i="8"/>
  <c r="O15" i="8"/>
  <c r="N15" i="8"/>
  <c r="Q15" i="8" l="1"/>
  <c r="M15" i="8"/>
  <c r="L15" i="8"/>
  <c r="L17" i="8" s="1"/>
  <c r="L21" i="8" s="1"/>
  <c r="K15" i="8"/>
  <c r="J15" i="8"/>
  <c r="I15" i="8"/>
  <c r="I17" i="8" s="1"/>
  <c r="I21" i="8" s="1"/>
  <c r="H15" i="8"/>
  <c r="G15" i="8"/>
  <c r="F15" i="8"/>
  <c r="F17" i="8" s="1"/>
  <c r="F21" i="8" s="1"/>
  <c r="E15" i="8"/>
  <c r="D15" i="8"/>
  <c r="C15" i="8"/>
  <c r="C17" i="8" s="1"/>
  <c r="C21" i="8" s="1"/>
  <c r="R15" i="8"/>
  <c r="N33" i="5"/>
  <c r="M33" i="5"/>
  <c r="L33" i="5"/>
  <c r="K33" i="5"/>
  <c r="J33" i="5"/>
  <c r="I33" i="5"/>
  <c r="G33" i="5"/>
  <c r="F33" i="5"/>
  <c r="D33" i="5"/>
  <c r="C33" i="5"/>
  <c r="P32" i="5"/>
  <c r="O32" i="5"/>
  <c r="P31" i="5"/>
  <c r="O31" i="5"/>
  <c r="P30" i="5"/>
  <c r="O30" i="5"/>
  <c r="P29" i="5"/>
  <c r="O29" i="5"/>
  <c r="N26" i="5"/>
  <c r="M26" i="5"/>
  <c r="L26" i="5"/>
  <c r="K26" i="5"/>
  <c r="J26" i="5"/>
  <c r="I26" i="5"/>
  <c r="G26" i="5"/>
  <c r="F26" i="5"/>
  <c r="D26" i="5"/>
  <c r="D35" i="5" s="1"/>
  <c r="C26" i="5"/>
  <c r="P25" i="5"/>
  <c r="O25" i="5"/>
  <c r="P24" i="5"/>
  <c r="O24" i="5"/>
  <c r="P23" i="5"/>
  <c r="O23" i="5"/>
  <c r="P22" i="5"/>
  <c r="O22" i="5"/>
  <c r="P21" i="5"/>
  <c r="O21" i="5"/>
  <c r="P20" i="5"/>
  <c r="O20" i="5"/>
  <c r="J14" i="9"/>
  <c r="D14" i="9"/>
  <c r="G14" i="9"/>
  <c r="H14" i="9"/>
  <c r="C14" i="9"/>
  <c r="E14" i="9"/>
  <c r="F14" i="9"/>
  <c r="I14" i="9"/>
  <c r="K14" i="9"/>
  <c r="M14" i="9"/>
  <c r="A17" i="9" l="1"/>
  <c r="J35" i="5"/>
  <c r="N35" i="5"/>
  <c r="P33" i="5"/>
  <c r="F35" i="5"/>
  <c r="O26" i="5"/>
  <c r="C35" i="5"/>
  <c r="P26" i="5"/>
  <c r="I35" i="5"/>
  <c r="L35" i="5"/>
  <c r="O33" i="5"/>
  <c r="M35" i="5"/>
  <c r="G35" i="5"/>
  <c r="K35" i="5"/>
  <c r="Q17" i="8"/>
  <c r="Q21" i="8" s="1"/>
  <c r="P35" i="5" l="1"/>
  <c r="O35" i="5"/>
</calcChain>
</file>

<file path=xl/sharedStrings.xml><?xml version="1.0" encoding="utf-8"?>
<sst xmlns="http://schemas.openxmlformats.org/spreadsheetml/2006/main" count="537" uniqueCount="201">
  <si>
    <t>end of line</t>
  </si>
  <si>
    <t>ATBs</t>
  </si>
  <si>
    <t>Average SES Salary</t>
  </si>
  <si>
    <t>Reprogrammings / Transfers</t>
  </si>
  <si>
    <t>end of sheet</t>
  </si>
  <si>
    <t>Program Decreases</t>
  </si>
  <si>
    <t>Total Pr. Changes</t>
  </si>
  <si>
    <t>Total Authorized</t>
  </si>
  <si>
    <t>Total Reimbursable</t>
  </si>
  <si>
    <t>I: Detail of Permanent Positions by Category</t>
  </si>
  <si>
    <t>Intelligence Series (132)</t>
  </si>
  <si>
    <t>Criminal Investigative Series (1811)</t>
  </si>
  <si>
    <t>Increase/Decrease</t>
  </si>
  <si>
    <t>Decision Unit</t>
  </si>
  <si>
    <t xml:space="preserve">     Total</t>
  </si>
  <si>
    <t>FTE</t>
  </si>
  <si>
    <t>Detail of Permanent Positions by Category</t>
  </si>
  <si>
    <t>Category</t>
  </si>
  <si>
    <t>Grades and Salary Ranges</t>
  </si>
  <si>
    <t>LEAP</t>
  </si>
  <si>
    <t>Average GS Salary</t>
  </si>
  <si>
    <t>Average GS Grade</t>
  </si>
  <si>
    <t>Summary of Reimbursable Resources</t>
  </si>
  <si>
    <t>Summary of Requirements by Object Class</t>
  </si>
  <si>
    <t>Overtime</t>
  </si>
  <si>
    <t>Attorneys (905)</t>
  </si>
  <si>
    <t>Paralegals / Other Law (900-998)</t>
  </si>
  <si>
    <t>Information &amp; Arts (1000-1099)</t>
  </si>
  <si>
    <t>Business &amp; Industry (1100-1199)</t>
  </si>
  <si>
    <t>Library (1400-1499)</t>
  </si>
  <si>
    <t>Equipment/Facilities Services (1600-1699)</t>
  </si>
  <si>
    <t>Supply Services (2000-2099)</t>
  </si>
  <si>
    <t>Security Specialists (080)</t>
  </si>
  <si>
    <t>Motor Vehicle Operations (5703)</t>
  </si>
  <si>
    <t>Miscellaneous Operations (010-099)</t>
  </si>
  <si>
    <t>GS-1, $22,115 - 27,663</t>
  </si>
  <si>
    <t>GS-2, $24,865 - 31,292</t>
  </si>
  <si>
    <t>GS-4, $30,456 - 39,590</t>
  </si>
  <si>
    <t>GS-3, $27,130 - 35,269</t>
  </si>
  <si>
    <t>GS-5, $34,075 - 44,293</t>
  </si>
  <si>
    <t>GS-6, $37,983 - 49,375</t>
  </si>
  <si>
    <t>GS-7, $42,209 - 54,875</t>
  </si>
  <si>
    <t>GS-8, $46,745 - 60,765</t>
  </si>
  <si>
    <t>GS-9, $51,630 - 67,114</t>
  </si>
  <si>
    <t>GS-10, $56,857 - 73,917</t>
  </si>
  <si>
    <t>GS-11, $62,467 - 81,204</t>
  </si>
  <si>
    <t>GS-12, $74,872 - 97,333</t>
  </si>
  <si>
    <t>GS-13, $89,033 - 115,742</t>
  </si>
  <si>
    <t>GS-14, $105,211 - 136,771</t>
  </si>
  <si>
    <t>GS-15, $123,758 - 155,500</t>
  </si>
  <si>
    <t>SES, $119,554 - 179,700</t>
  </si>
  <si>
    <t>2012 template</t>
  </si>
  <si>
    <t>Information Technology Mgmt  (2210)</t>
  </si>
  <si>
    <t>FY 2011 CJ Submission</t>
  </si>
  <si>
    <t>K: Summary of Requirements by Grade</t>
  </si>
  <si>
    <t>Program Increases</t>
  </si>
  <si>
    <t>(Dollars in Thousands)</t>
  </si>
  <si>
    <t>Salaries and Expenses</t>
  </si>
  <si>
    <t>Total FTE</t>
  </si>
  <si>
    <t>Reimbursable FTE</t>
  </si>
  <si>
    <t>Other FTE</t>
  </si>
  <si>
    <t>Total Compensable FTE</t>
  </si>
  <si>
    <t>Headquarters (Washington, D.C.)</t>
  </si>
  <si>
    <t>Rescissions</t>
  </si>
  <si>
    <t>Supplementals</t>
  </si>
  <si>
    <t>Collections by Source</t>
  </si>
  <si>
    <t>Budgetary Resources:</t>
  </si>
  <si>
    <t>Pos.</t>
  </si>
  <si>
    <t xml:space="preserve"> </t>
  </si>
  <si>
    <t>Amount</t>
  </si>
  <si>
    <t>Increases</t>
  </si>
  <si>
    <t>Personnel Management (200-299)</t>
  </si>
  <si>
    <t>Clerical and Office Services (300-399)</t>
  </si>
  <si>
    <t>Accounting and Budget (500-599)</t>
  </si>
  <si>
    <t>U.S. Field</t>
  </si>
  <si>
    <t>Foreign Field</t>
  </si>
  <si>
    <t>TOTAL</t>
  </si>
  <si>
    <t>Summary of Requirements by Grade</t>
  </si>
  <si>
    <t>Resources by Department of Justice Strategic Goal/Objective</t>
  </si>
  <si>
    <t>Offsets</t>
  </si>
  <si>
    <t>Strategic Goal and Strategic Objective</t>
  </si>
  <si>
    <t>Direct, Reimb. Other FTE</t>
  </si>
  <si>
    <t>Direct Amount $000s</t>
  </si>
  <si>
    <r>
      <t xml:space="preserve">   1.1 Prevent, disrupt, and defeat terrorist operations before they occur</t>
    </r>
    <r>
      <rPr>
        <b/>
        <sz val="10"/>
        <rFont val="Times New Roman"/>
        <family val="1"/>
      </rPr>
      <t xml:space="preserve"> </t>
    </r>
  </si>
  <si>
    <t>Subtotal, Goal 1</t>
  </si>
  <si>
    <t>Subtotal, Goal 2</t>
  </si>
  <si>
    <t>Subtotal, Goal 3</t>
  </si>
  <si>
    <t>GRAND TOTAL</t>
  </si>
  <si>
    <t>Carryover</t>
  </si>
  <si>
    <t>Recoveries</t>
  </si>
  <si>
    <t>A: Organizational Chart</t>
  </si>
  <si>
    <t>D: Resources by DOJ Strategic Goal and Strategic Objective</t>
  </si>
  <si>
    <t>H: Summary of Reimbursable Resources</t>
  </si>
  <si>
    <t>2012 Availability</t>
  </si>
  <si>
    <t>Crosswalk of 2012 Availability</t>
  </si>
  <si>
    <t>Miscellaneous Inspectors Series (1802)</t>
  </si>
  <si>
    <t xml:space="preserve">     Total, Appropriated Positions</t>
  </si>
  <si>
    <t>2012 Enacted</t>
  </si>
  <si>
    <t xml:space="preserve">   1.2  Prosecute those involved in terrorist acts</t>
  </si>
  <si>
    <t xml:space="preserve">    1.3  Combat espionage against the United States </t>
  </si>
  <si>
    <t xml:space="preserve">   2.1  Combat the threat, incidence, and prevalence of violent crime</t>
  </si>
  <si>
    <t xml:space="preserve">   2.4 Combat corruption, economic crimes, and international organized crime</t>
  </si>
  <si>
    <t xml:space="preserve">   2.5 Promote and protect Americans' civil rights</t>
  </si>
  <si>
    <t xml:space="preserve">   2.6 Protect the federal fisc and defend the interests of the United States</t>
  </si>
  <si>
    <t xml:space="preserve">   2.3  Combat the threat, trafficking, and use of illegal drugs and the diversion of
          licit drugs</t>
  </si>
  <si>
    <t xml:space="preserve">   2.2  Prevent and intervene in crimes against vulnerable populations, uphold the
          rights of, and improve services to, America's crime victims</t>
  </si>
  <si>
    <t xml:space="preserve">   3.1 Promote and strengthen relationships and strategies for the administration of 
          justice with state, local, tribal and international law enforcement</t>
  </si>
  <si>
    <t xml:space="preserve">   3.2 Protect judges, witnesses, and other participants in federal proceedings; 
         apprehend fugitives; and ensure the appearance of criminal defendants for 
         judicial proceedings or confinement</t>
  </si>
  <si>
    <t xml:space="preserve">   3.3  Provide for the safe, secure, humane, and cost-effective confinement of 
          detainees awaiting trial and/or sentencing, and those in the custody of the
          Federal Prison System </t>
  </si>
  <si>
    <t xml:space="preserve">   3.4  Adjudicate all immigration cases promptly and impartially in accordance with
          due process</t>
  </si>
  <si>
    <t>Goal 1: Prevent Terrorism and Promote the Nation's Security
            Consistent with the Rule of Law</t>
  </si>
  <si>
    <t>Goal 2: Prevent Crime, Protect the Rights of the 
             American People, and Enforce Federal Law</t>
  </si>
  <si>
    <t xml:space="preserve">Goal 3: Ensure and Support the Fair, Impartial, Efficient, and 
             Transparent Administration of Justice at the Federal,
             State, Local, Tribal and International Levels        </t>
  </si>
  <si>
    <t>Assets Forfeiture Fund</t>
  </si>
  <si>
    <t>The AFF distributes its resources annually at the rate of 3, 67 and 30 percent among  objectives 2.1, 2.3 and 2.4, respectively.</t>
  </si>
  <si>
    <t>Mandatory Expenses, Indef Auth</t>
  </si>
  <si>
    <t>Unobligated Balance Rescission</t>
  </si>
  <si>
    <t>Investigative Expenses, Def Auth</t>
  </si>
  <si>
    <t>Enacted Rescissions.  Funds rescinded as required by the Revised Continuing Appropriations Resolution, 2012 (P.L. 112-55).</t>
  </si>
  <si>
    <t>Treasury Executive Office for Asset Forfeiture</t>
  </si>
  <si>
    <t>32.0 Land and Structures</t>
  </si>
  <si>
    <t>[23]</t>
  </si>
  <si>
    <t xml:space="preserve"> All FTE numbers in this table reflect authorized FTE, which is the total number of FTE available to a component. Because the FY 2013 President’s Budget Appendix builds the FTE request using actual FTE </t>
  </si>
  <si>
    <t xml:space="preserve"> rather than authorized, it may not match the FY 2012 FTE enacted and FY 2013 FTE request reflected in this table.  </t>
  </si>
  <si>
    <t>2013 Planned</t>
  </si>
  <si>
    <t>2014 Request</t>
  </si>
  <si>
    <t>2012
Enacted</t>
  </si>
  <si>
    <t>2013
Enacted</t>
  </si>
  <si>
    <t>2012 Enacted w/Rescissions</t>
  </si>
  <si>
    <t>2013 
Enacted</t>
  </si>
  <si>
    <t>2012 Appropriation Enacted</t>
  </si>
  <si>
    <t>2014 Current Services</t>
  </si>
  <si>
    <t>Crosswalk of 2013 Availability</t>
  </si>
  <si>
    <t>G: Crosswalk of 2013 Availability</t>
  </si>
  <si>
    <t>2013 Availability</t>
  </si>
  <si>
    <t>Unobligated Balances.  Funds in the amount of $657,129 were carried over from FY 2012 from the 15X5042 account.  The carried forward balances consist primarily of restricted funds and balances for specific ongoing expenses.</t>
  </si>
  <si>
    <t xml:space="preserve"> All FTE numbers in this table reflect authorized FTE, which is the total number of FTE available to a component. Because the FY 2014 President’s Budget Appendix builds the FTE request using actual FTE </t>
  </si>
  <si>
    <t xml:space="preserve"> rather than authorized, it may not match the FY 2013 FTE enacted and FY 2014 FTE request reflected in this table.  </t>
  </si>
  <si>
    <t>Proposed Rescissions.  Funds rescinded as proposed by the Revised Continuing Appropriations Resolution, 2013.</t>
  </si>
  <si>
    <t>F: Crosswalk of 2012 Availability</t>
  </si>
  <si>
    <t>42.0 Insurance Claims and Indemnities</t>
  </si>
  <si>
    <t>FY 2012 Collections and Receipts</t>
  </si>
  <si>
    <t>FY 2012 Collections and Receipts.  Receipts collected and prior year rescissions restored.  The FY 2012 Enacted level is equal to total FY 2012 obligations of $4,501,705.</t>
  </si>
  <si>
    <t>*The 2013 Continuing Resolution includes the 0.612% funding provided by the Continuing Appropriations Resolution, 2013 (P.L. 112-175, Section 101 (c)).</t>
  </si>
  <si>
    <t>2013 Continuing Resolution*</t>
  </si>
  <si>
    <t>FY 2013 Collections and Receipts*</t>
  </si>
  <si>
    <t>*The 2013 Availability includes the 0.612% funding provided by the Continuing Appropriations Resolution, 2013 (P.L. 112-175, Section 101 (c)).</t>
  </si>
  <si>
    <t>FY 2013 Collections and Receipts.  Receipts collected and prior year rescissions restored.  The FY 2013 enacted level is equal to total anticipated FY 2013 obligations of $1,613,069.</t>
  </si>
  <si>
    <t>Unobligated Balances.  Funds in the amount of $1,024,189 were carried over from FY 2011 from the 15X5042 account.  The carried forward balances consist primarily of restricted funds and balances for specific ongoing</t>
  </si>
  <si>
    <t xml:space="preserve"> expenses. In addition, $85,794 in recoveries and refunds have been realized through September 30, 2012.  These monies will be used to pay for the operating expenses associated with forfeiture.</t>
  </si>
  <si>
    <t xml:space="preserve"> expenses.  In addition, $70,000 in recoveries and refunds are estimated in Fiscal Year 2013.  These monies will be used to pay for the operating expenses associated with forfeiture.</t>
  </si>
  <si>
    <t>General Instructions</t>
  </si>
  <si>
    <t>Name of Budget Account</t>
  </si>
  <si>
    <r>
      <t xml:space="preserve">Insert/delete rows as needed. </t>
    </r>
    <r>
      <rPr>
        <b/>
        <sz val="11"/>
        <color theme="0"/>
        <rFont val="Arial"/>
        <family val="2"/>
      </rPr>
      <t xml:space="preserve"> Make sure total formula includes applicable rows in calculation.</t>
    </r>
  </si>
  <si>
    <t>Do NOT change font, font size and other display settings.</t>
  </si>
  <si>
    <t>Object Class</t>
  </si>
  <si>
    <t>2012 Actual</t>
  </si>
  <si>
    <t>2013 Availability *</t>
  </si>
  <si>
    <t>Direct FTE</t>
  </si>
  <si>
    <t>11.1 Full-Time Permanent</t>
  </si>
  <si>
    <t>11.3 Other than Full-Time Permanent</t>
  </si>
  <si>
    <t>11.5 Other Personnel Compensation</t>
  </si>
  <si>
    <t>Other Compensation</t>
  </si>
  <si>
    <t>11.8 Special Personal Services Payments</t>
  </si>
  <si>
    <t>Total**</t>
  </si>
  <si>
    <t>Other Object  Classes</t>
  </si>
  <si>
    <t>12.0 Personnel Benefits</t>
  </si>
  <si>
    <t>OC names are as in A-11.  Do NOT modify.</t>
  </si>
  <si>
    <t>13.0 Benefits for former personnel</t>
  </si>
  <si>
    <t>21.0 Travel and Transportation of Persons</t>
  </si>
  <si>
    <t>22.0 Transportation of Things</t>
  </si>
  <si>
    <t>23.1 Rental Payments to GSA</t>
  </si>
  <si>
    <t>23.2 Rental Payments to Others</t>
  </si>
  <si>
    <t>23.3 Communications, Utilities, and Miscellaneous Charges</t>
  </si>
  <si>
    <t>24.0 Printing and Reproduction</t>
  </si>
  <si>
    <t>25.1 Advisory and Assistance Services</t>
  </si>
  <si>
    <t>25.2 Other Services from Non-Federal Sources</t>
  </si>
  <si>
    <t>25.3 Other Goods and Services from Federal Sources</t>
  </si>
  <si>
    <t>25.4 Operation and Maintenance of Facilities</t>
  </si>
  <si>
    <t>25.5 Research and Development Contracts</t>
  </si>
  <si>
    <t>25.6 Medical Care</t>
  </si>
  <si>
    <t>25.7 Operation and Maintenance of Equipment</t>
  </si>
  <si>
    <t>25.8 Subsistence and Support of Persons</t>
  </si>
  <si>
    <t>26.0 Supplies and Materials</t>
  </si>
  <si>
    <t>31.0 Equipment</t>
  </si>
  <si>
    <t>41.0 Grants, Subsidies, and Contributions</t>
  </si>
  <si>
    <t>Total Obligations</t>
  </si>
  <si>
    <t>Subtract - Unobligated Balance, Start-of-Year</t>
  </si>
  <si>
    <t>Subtract - Transfers/Reprogramming</t>
  </si>
  <si>
    <t>Subtract - Recoveries/Refunds</t>
  </si>
  <si>
    <t>Add - Unobligated End-of-Year, Available</t>
  </si>
  <si>
    <t>Add - Unobligated End-of-Year, Expiring</t>
  </si>
  <si>
    <t>Total Direct Requirements</t>
  </si>
  <si>
    <t>Full-Time Permanent</t>
  </si>
  <si>
    <t>Reimb. FTE must agree with exhibits B by DU, and H.</t>
  </si>
  <si>
    <t>23.1 Rental Payments to GSA (Reimbursable)</t>
  </si>
  <si>
    <t>25.3 Other Goods and Services from Federal Sources - DHS Security (Reimbursable)</t>
  </si>
  <si>
    <t>** Total Personnel Salaries (11.x) and Personnel Benefits (12.0) includes additional reimbursable FTE not reflected on this exhibit.</t>
  </si>
  <si>
    <t>Secret Service Annual Fee</t>
  </si>
  <si>
    <t>Customs Border &amp; Protection Annual Fee</t>
  </si>
  <si>
    <t>Asset Forfeiture and Money Laundering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</si>
</sst>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....&quot;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_);\(0\)"/>
  </numFmts>
  <fonts count="62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NewRomanPS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sz val="12"/>
      <color indexed="8"/>
      <name val="TMS"/>
    </font>
    <font>
      <sz val="10"/>
      <name val="Arial"/>
      <family val="2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color indexed="9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8"/>
      <color indexed="9"/>
      <name val="Arial"/>
      <family val="2"/>
    </font>
    <font>
      <sz val="8"/>
      <name val="Times New Roman"/>
      <family val="1"/>
    </font>
    <font>
      <sz val="8"/>
      <color indexed="9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6"/>
      <name val="Arial"/>
      <family val="2"/>
    </font>
    <font>
      <b/>
      <sz val="12"/>
      <color indexed="9"/>
      <name val="Arial"/>
      <family val="2"/>
    </font>
    <font>
      <b/>
      <sz val="9"/>
      <name val="Times New Roman"/>
      <family val="1"/>
    </font>
    <font>
      <sz val="16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sz val="12"/>
      <color theme="0"/>
      <name val="Arial"/>
      <family val="2"/>
    </font>
    <font>
      <sz val="10"/>
      <color rgb="FF171E24"/>
      <name val="Georgia"/>
      <family val="1"/>
    </font>
    <font>
      <sz val="8"/>
      <color rgb="FF171E24"/>
      <name val="Georgia"/>
      <family val="1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b/>
      <u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8"/>
      </left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/>
    <xf numFmtId="0" fontId="48" fillId="0" borderId="0"/>
    <xf numFmtId="0" fontId="17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/>
    <xf numFmtId="0" fontId="2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9" fontId="12" fillId="0" borderId="0" applyFont="0" applyFill="0" applyBorder="0" applyAlignment="0" applyProtection="0"/>
  </cellStyleXfs>
  <cellXfs count="439">
    <xf numFmtId="0" fontId="0" fillId="0" borderId="0" xfId="0"/>
    <xf numFmtId="165" fontId="3" fillId="0" borderId="0" xfId="0" applyNumberFormat="1" applyFont="1" applyAlignment="1"/>
    <xf numFmtId="165" fontId="3" fillId="0" borderId="0" xfId="0" applyNumberFormat="1" applyFont="1" applyBorder="1" applyAlignment="1"/>
    <xf numFmtId="165" fontId="6" fillId="0" borderId="0" xfId="0" applyNumberFormat="1" applyFont="1" applyAlignment="1"/>
    <xf numFmtId="165" fontId="5" fillId="0" borderId="0" xfId="0" applyNumberFormat="1" applyFont="1" applyAlignment="1"/>
    <xf numFmtId="165" fontId="5" fillId="0" borderId="0" xfId="0" applyNumberFormat="1" applyFont="1" applyBorder="1" applyAlignment="1"/>
    <xf numFmtId="165" fontId="0" fillId="0" borderId="0" xfId="0" applyNumberFormat="1"/>
    <xf numFmtId="165" fontId="0" fillId="0" borderId="0" xfId="0" applyNumberFormat="1" applyBorder="1"/>
    <xf numFmtId="165" fontId="7" fillId="2" borderId="0" xfId="0" applyNumberFormat="1" applyFont="1" applyFill="1" applyAlignment="1"/>
    <xf numFmtId="3" fontId="15" fillId="0" borderId="0" xfId="0" applyNumberFormat="1" applyFont="1" applyAlignment="1"/>
    <xf numFmtId="165" fontId="4" fillId="0" borderId="0" xfId="0" applyNumberFormat="1" applyFont="1" applyAlignment="1"/>
    <xf numFmtId="165" fontId="16" fillId="2" borderId="0" xfId="0" applyNumberFormat="1" applyFont="1" applyFill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20" fillId="2" borderId="11" xfId="0" applyNumberFormat="1" applyFont="1" applyFill="1" applyBorder="1" applyAlignment="1"/>
    <xf numFmtId="165" fontId="30" fillId="0" borderId="0" xfId="0" applyNumberFormat="1" applyFont="1"/>
    <xf numFmtId="0" fontId="35" fillId="0" borderId="0" xfId="0" applyFont="1"/>
    <xf numFmtId="165" fontId="34" fillId="0" borderId="0" xfId="0" applyNumberFormat="1" applyFont="1"/>
    <xf numFmtId="165" fontId="34" fillId="0" borderId="0" xfId="0" applyNumberFormat="1" applyFont="1" applyAlignment="1"/>
    <xf numFmtId="165" fontId="24" fillId="0" borderId="0" xfId="0" applyNumberFormat="1" applyFont="1" applyAlignment="1"/>
    <xf numFmtId="165" fontId="38" fillId="0" borderId="0" xfId="0" applyNumberFormat="1" applyFont="1" applyAlignment="1"/>
    <xf numFmtId="165" fontId="39" fillId="0" borderId="0" xfId="0" applyNumberFormat="1" applyFont="1" applyAlignment="1"/>
    <xf numFmtId="37" fontId="6" fillId="0" borderId="9" xfId="0" applyNumberFormat="1" applyFont="1" applyBorder="1" applyAlignment="1"/>
    <xf numFmtId="37" fontId="6" fillId="0" borderId="12" xfId="0" applyNumberFormat="1" applyFont="1" applyBorder="1" applyAlignment="1"/>
    <xf numFmtId="37" fontId="6" fillId="0" borderId="5" xfId="0" applyNumberFormat="1" applyFont="1" applyBorder="1" applyAlignment="1"/>
    <xf numFmtId="37" fontId="7" fillId="2" borderId="1" xfId="0" applyNumberFormat="1" applyFont="1" applyFill="1" applyBorder="1" applyAlignment="1"/>
    <xf numFmtId="37" fontId="7" fillId="2" borderId="16" xfId="0" applyNumberFormat="1" applyFont="1" applyFill="1" applyBorder="1" applyAlignment="1"/>
    <xf numFmtId="37" fontId="19" fillId="2" borderId="14" xfId="0" applyNumberFormat="1" applyFont="1" applyFill="1" applyBorder="1" applyAlignment="1"/>
    <xf numFmtId="37" fontId="19" fillId="2" borderId="11" xfId="0" applyNumberFormat="1" applyFont="1" applyFill="1" applyBorder="1" applyAlignment="1"/>
    <xf numFmtId="37" fontId="19" fillId="2" borderId="7" xfId="0" applyNumberFormat="1" applyFont="1" applyFill="1" applyBorder="1" applyAlignment="1"/>
    <xf numFmtId="37" fontId="19" fillId="2" borderId="3" xfId="0" applyNumberFormat="1" applyFont="1" applyFill="1" applyBorder="1" applyAlignment="1"/>
    <xf numFmtId="37" fontId="20" fillId="2" borderId="19" xfId="0" applyNumberFormat="1" applyFont="1" applyFill="1" applyBorder="1" applyAlignment="1"/>
    <xf numFmtId="4" fontId="19" fillId="2" borderId="14" xfId="0" applyNumberFormat="1" applyFont="1" applyFill="1" applyBorder="1" applyAlignment="1"/>
    <xf numFmtId="4" fontId="19" fillId="2" borderId="14" xfId="0" applyNumberFormat="1" applyFont="1" applyFill="1" applyBorder="1" applyAlignment="1">
      <alignment horizontal="right"/>
    </xf>
    <xf numFmtId="4" fontId="19" fillId="2" borderId="20" xfId="0" applyNumberFormat="1" applyFont="1" applyFill="1" applyBorder="1" applyAlignment="1">
      <alignment horizontal="right"/>
    </xf>
    <xf numFmtId="4" fontId="19" fillId="2" borderId="20" xfId="0" applyNumberFormat="1" applyFont="1" applyFill="1" applyBorder="1" applyAlignment="1"/>
    <xf numFmtId="0" fontId="15" fillId="0" borderId="0" xfId="0" applyFont="1"/>
    <xf numFmtId="37" fontId="20" fillId="2" borderId="22" xfId="0" applyNumberFormat="1" applyFont="1" applyFill="1" applyBorder="1" applyAlignment="1"/>
    <xf numFmtId="165" fontId="28" fillId="0" borderId="0" xfId="0" applyNumberFormat="1" applyFont="1" applyAlignment="1"/>
    <xf numFmtId="0" fontId="42" fillId="2" borderId="0" xfId="0" applyFont="1" applyFill="1" applyProtection="1">
      <protection hidden="1"/>
    </xf>
    <xf numFmtId="3" fontId="20" fillId="2" borderId="27" xfId="0" applyNumberFormat="1" applyFont="1" applyFill="1" applyBorder="1" applyAlignment="1"/>
    <xf numFmtId="0" fontId="11" fillId="0" borderId="0" xfId="0" applyFont="1"/>
    <xf numFmtId="37" fontId="6" fillId="0" borderId="11" xfId="0" applyNumberFormat="1" applyFont="1" applyBorder="1" applyAlignment="1"/>
    <xf numFmtId="0" fontId="7" fillId="2" borderId="28" xfId="0" applyNumberFormat="1" applyFont="1" applyFill="1" applyBorder="1" applyAlignment="1"/>
    <xf numFmtId="0" fontId="19" fillId="0" borderId="14" xfId="0" applyNumberFormat="1" applyFont="1" applyFill="1" applyBorder="1" applyAlignment="1">
      <alignment horizontal="left"/>
    </xf>
    <xf numFmtId="0" fontId="19" fillId="2" borderId="14" xfId="0" applyNumberFormat="1" applyFont="1" applyFill="1" applyBorder="1" applyAlignment="1">
      <alignment horizontal="left"/>
    </xf>
    <xf numFmtId="0" fontId="20" fillId="2" borderId="19" xfId="0" applyNumberFormat="1" applyFont="1" applyFill="1" applyBorder="1" applyAlignment="1">
      <alignment horizontal="left"/>
    </xf>
    <xf numFmtId="0" fontId="20" fillId="2" borderId="14" xfId="0" applyNumberFormat="1" applyFont="1" applyFill="1" applyBorder="1" applyAlignment="1">
      <alignment horizontal="left"/>
    </xf>
    <xf numFmtId="0" fontId="20" fillId="2" borderId="20" xfId="0" applyNumberFormat="1" applyFont="1" applyFill="1" applyBorder="1" applyAlignment="1">
      <alignment horizontal="left"/>
    </xf>
    <xf numFmtId="0" fontId="20" fillId="2" borderId="30" xfId="0" applyNumberFormat="1" applyFont="1" applyFill="1" applyBorder="1" applyAlignment="1">
      <alignment horizontal="right"/>
    </xf>
    <xf numFmtId="0" fontId="20" fillId="2" borderId="31" xfId="0" applyNumberFormat="1" applyFont="1" applyFill="1" applyBorder="1" applyAlignment="1">
      <alignment horizontal="right"/>
    </xf>
    <xf numFmtId="37" fontId="19" fillId="2" borderId="13" xfId="0" applyNumberFormat="1" applyFont="1" applyFill="1" applyBorder="1" applyAlignment="1"/>
    <xf numFmtId="37" fontId="6" fillId="0" borderId="7" xfId="0" applyNumberFormat="1" applyFont="1" applyBorder="1" applyAlignment="1"/>
    <xf numFmtId="37" fontId="6" fillId="0" borderId="3" xfId="0" applyNumberFormat="1" applyFont="1" applyBorder="1" applyAlignment="1"/>
    <xf numFmtId="37" fontId="6" fillId="0" borderId="14" xfId="0" applyNumberFormat="1" applyFont="1" applyBorder="1" applyAlignment="1"/>
    <xf numFmtId="0" fontId="7" fillId="2" borderId="36" xfId="0" applyNumberFormat="1" applyFont="1" applyFill="1" applyBorder="1" applyAlignment="1">
      <alignment horizontal="left"/>
    </xf>
    <xf numFmtId="0" fontId="22" fillId="2" borderId="37" xfId="0" applyNumberFormat="1" applyFont="1" applyFill="1" applyBorder="1" applyAlignment="1">
      <alignment horizontal="left" indent="5"/>
    </xf>
    <xf numFmtId="0" fontId="6" fillId="0" borderId="19" xfId="0" applyNumberFormat="1" applyFont="1" applyBorder="1" applyAlignment="1"/>
    <xf numFmtId="0" fontId="14" fillId="0" borderId="30" xfId="0" applyNumberFormat="1" applyFont="1" applyBorder="1" applyAlignment="1">
      <alignment horizontal="right"/>
    </xf>
    <xf numFmtId="0" fontId="14" fillId="0" borderId="31" xfId="0" applyNumberFormat="1" applyFont="1" applyBorder="1" applyAlignment="1">
      <alignment horizontal="right"/>
    </xf>
    <xf numFmtId="0" fontId="14" fillId="0" borderId="32" xfId="0" applyNumberFormat="1" applyFont="1" applyBorder="1" applyAlignment="1">
      <alignment horizontal="right"/>
    </xf>
    <xf numFmtId="0" fontId="6" fillId="0" borderId="33" xfId="0" applyNumberFormat="1" applyFont="1" applyBorder="1" applyAlignment="1">
      <alignment horizontal="left"/>
    </xf>
    <xf numFmtId="0" fontId="6" fillId="0" borderId="13" xfId="0" applyNumberFormat="1" applyFont="1" applyBorder="1" applyAlignment="1">
      <alignment horizontal="left"/>
    </xf>
    <xf numFmtId="0" fontId="14" fillId="0" borderId="19" xfId="0" applyNumberFormat="1" applyFont="1" applyBorder="1" applyAlignment="1">
      <alignment horizontal="left" indent="3"/>
    </xf>
    <xf numFmtId="37" fontId="14" fillId="0" borderId="7" xfId="0" applyNumberFormat="1" applyFont="1" applyBorder="1" applyAlignment="1"/>
    <xf numFmtId="37" fontId="14" fillId="0" borderId="3" xfId="0" applyNumberFormat="1" applyFont="1" applyBorder="1" applyAlignment="1"/>
    <xf numFmtId="5" fontId="14" fillId="0" borderId="3" xfId="0" applyNumberFormat="1" applyFont="1" applyBorder="1" applyAlignment="1"/>
    <xf numFmtId="5" fontId="14" fillId="0" borderId="4" xfId="0" applyNumberFormat="1" applyFont="1" applyBorder="1" applyAlignment="1"/>
    <xf numFmtId="37" fontId="6" fillId="0" borderId="4" xfId="0" applyNumberFormat="1" applyFont="1" applyBorder="1" applyAlignment="1"/>
    <xf numFmtId="37" fontId="6" fillId="0" borderId="19" xfId="0" applyNumberFormat="1" applyFont="1" applyBorder="1" applyAlignment="1"/>
    <xf numFmtId="37" fontId="6" fillId="0" borderId="22" xfId="0" applyNumberFormat="1" applyFont="1" applyBorder="1" applyAlignment="1"/>
    <xf numFmtId="37" fontId="6" fillId="0" borderId="17" xfId="0" applyNumberFormat="1" applyFont="1" applyBorder="1" applyAlignment="1"/>
    <xf numFmtId="0" fontId="6" fillId="0" borderId="34" xfId="0" applyNumberFormat="1" applyFont="1" applyBorder="1" applyAlignment="1"/>
    <xf numFmtId="0" fontId="6" fillId="0" borderId="13" xfId="0" applyNumberFormat="1" applyFont="1" applyBorder="1" applyAlignment="1">
      <alignment horizontal="left" indent="3"/>
    </xf>
    <xf numFmtId="0" fontId="6" fillId="0" borderId="24" xfId="0" applyNumberFormat="1" applyFont="1" applyBorder="1" applyAlignment="1">
      <alignment horizontal="left" indent="3"/>
    </xf>
    <xf numFmtId="5" fontId="6" fillId="0" borderId="3" xfId="0" applyNumberFormat="1" applyFont="1" applyBorder="1" applyAlignment="1"/>
    <xf numFmtId="5" fontId="6" fillId="0" borderId="4" xfId="0" applyNumberFormat="1" applyFont="1" applyBorder="1" applyAlignment="1"/>
    <xf numFmtId="165" fontId="6" fillId="0" borderId="0" xfId="0" applyNumberFormat="1" applyFont="1" applyAlignment="1">
      <alignment horizontal="centerContinuous"/>
    </xf>
    <xf numFmtId="0" fontId="14" fillId="0" borderId="0" xfId="0" applyNumberFormat="1" applyFont="1" applyBorder="1" applyAlignment="1">
      <alignment horizontal="left" indent="5"/>
    </xf>
    <xf numFmtId="37" fontId="14" fillId="0" borderId="0" xfId="0" applyNumberFormat="1" applyFont="1" applyBorder="1" applyAlignment="1"/>
    <xf numFmtId="5" fontId="14" fillId="0" borderId="0" xfId="0" applyNumberFormat="1" applyFont="1" applyBorder="1" applyAlignment="1"/>
    <xf numFmtId="165" fontId="37" fillId="0" borderId="0" xfId="0" applyNumberFormat="1" applyFont="1" applyAlignment="1"/>
    <xf numFmtId="165" fontId="36" fillId="0" borderId="0" xfId="0" applyNumberFormat="1" applyFont="1" applyAlignment="1"/>
    <xf numFmtId="0" fontId="33" fillId="0" borderId="0" xfId="7" applyFont="1"/>
    <xf numFmtId="0" fontId="0" fillId="0" borderId="0" xfId="0" applyAlignment="1"/>
    <xf numFmtId="0" fontId="17" fillId="0" borderId="0" xfId="7"/>
    <xf numFmtId="0" fontId="14" fillId="0" borderId="0" xfId="7" applyFont="1"/>
    <xf numFmtId="0" fontId="18" fillId="0" borderId="0" xfId="7" applyFont="1"/>
    <xf numFmtId="0" fontId="8" fillId="0" borderId="0" xfId="7" applyFont="1"/>
    <xf numFmtId="0" fontId="8" fillId="0" borderId="0" xfId="7" applyFont="1" applyFill="1" applyAlignment="1">
      <alignment vertical="center"/>
    </xf>
    <xf numFmtId="0" fontId="18" fillId="0" borderId="0" xfId="7" applyFont="1" applyFill="1" applyBorder="1" applyAlignment="1">
      <alignment horizontal="centerContinuous"/>
    </xf>
    <xf numFmtId="0" fontId="8" fillId="0" borderId="8" xfId="7" applyFont="1" applyFill="1" applyBorder="1" applyAlignment="1">
      <alignment horizontal="center"/>
    </xf>
    <xf numFmtId="0" fontId="8" fillId="0" borderId="21" xfId="7" applyFont="1" applyFill="1" applyBorder="1" applyAlignment="1">
      <alignment horizontal="center"/>
    </xf>
    <xf numFmtId="0" fontId="8" fillId="0" borderId="0" xfId="7" applyFont="1" applyFill="1"/>
    <xf numFmtId="0" fontId="8" fillId="0" borderId="0" xfId="7" applyFont="1" applyFill="1" applyBorder="1" applyAlignment="1">
      <alignment horizontal="center"/>
    </xf>
    <xf numFmtId="0" fontId="8" fillId="0" borderId="7" xfId="7" applyFont="1" applyFill="1" applyBorder="1" applyAlignment="1">
      <alignment horizontal="center" wrapText="1"/>
    </xf>
    <xf numFmtId="0" fontId="8" fillId="0" borderId="4" xfId="7" applyFont="1" applyFill="1" applyBorder="1" applyAlignment="1">
      <alignment horizontal="center" wrapText="1"/>
    </xf>
    <xf numFmtId="0" fontId="45" fillId="0" borderId="0" xfId="7" applyFont="1" applyFill="1" applyBorder="1" applyAlignment="1">
      <alignment horizontal="center"/>
    </xf>
    <xf numFmtId="0" fontId="8" fillId="0" borderId="2" xfId="7" applyFont="1" applyBorder="1"/>
    <xf numFmtId="37" fontId="8" fillId="0" borderId="8" xfId="7" applyNumberFormat="1" applyFont="1" applyBorder="1"/>
    <xf numFmtId="37" fontId="8" fillId="0" borderId="21" xfId="7" applyNumberFormat="1" applyFont="1" applyBorder="1"/>
    <xf numFmtId="3" fontId="8" fillId="0" borderId="0" xfId="7" applyNumberFormat="1" applyFont="1"/>
    <xf numFmtId="37" fontId="8" fillId="0" borderId="0" xfId="7" applyNumberFormat="1" applyFont="1" applyBorder="1"/>
    <xf numFmtId="37" fontId="8" fillId="0" borderId="35" xfId="7" applyNumberFormat="1" applyFont="1" applyBorder="1"/>
    <xf numFmtId="0" fontId="8" fillId="0" borderId="0" xfId="7" applyFont="1" applyBorder="1"/>
    <xf numFmtId="0" fontId="18" fillId="0" borderId="6" xfId="7" applyFont="1" applyBorder="1"/>
    <xf numFmtId="37" fontId="8" fillId="0" borderId="21" xfId="3" applyNumberFormat="1" applyFont="1" applyBorder="1"/>
    <xf numFmtId="167" fontId="18" fillId="0" borderId="0" xfId="3" applyNumberFormat="1" applyFont="1" applyBorder="1"/>
    <xf numFmtId="0" fontId="8" fillId="0" borderId="6" xfId="7" applyFont="1" applyBorder="1"/>
    <xf numFmtId="3" fontId="8" fillId="0" borderId="8" xfId="1" applyNumberFormat="1" applyFont="1" applyBorder="1"/>
    <xf numFmtId="3" fontId="8" fillId="0" borderId="6" xfId="1" applyNumberFormat="1" applyFont="1" applyBorder="1"/>
    <xf numFmtId="166" fontId="8" fillId="0" borderId="0" xfId="1" applyNumberFormat="1" applyFont="1" applyBorder="1"/>
    <xf numFmtId="166" fontId="18" fillId="0" borderId="0" xfId="1" applyNumberFormat="1" applyFont="1" applyBorder="1"/>
    <xf numFmtId="0" fontId="46" fillId="0" borderId="0" xfId="7" applyFont="1"/>
    <xf numFmtId="168" fontId="8" fillId="0" borderId="0" xfId="7" applyNumberFormat="1" applyFont="1"/>
    <xf numFmtId="37" fontId="8" fillId="0" borderId="0" xfId="7" applyNumberFormat="1" applyFont="1"/>
    <xf numFmtId="37" fontId="8" fillId="0" borderId="8" xfId="7" applyNumberFormat="1" applyFont="1" applyBorder="1" applyAlignment="1"/>
    <xf numFmtId="37" fontId="8" fillId="0" borderId="21" xfId="7" applyNumberFormat="1" applyFont="1" applyBorder="1" applyAlignment="1"/>
    <xf numFmtId="37" fontId="18" fillId="0" borderId="19" xfId="1" applyNumberFormat="1" applyFont="1" applyBorder="1"/>
    <xf numFmtId="0" fontId="8" fillId="0" borderId="0" xfId="7" applyNumberFormat="1" applyFont="1"/>
    <xf numFmtId="0" fontId="18" fillId="0" borderId="39" xfId="7" applyFont="1" applyBorder="1" applyAlignment="1">
      <alignment horizontal="left"/>
    </xf>
    <xf numFmtId="0" fontId="18" fillId="0" borderId="40" xfId="7" applyFont="1" applyBorder="1" applyAlignment="1">
      <alignment horizontal="left"/>
    </xf>
    <xf numFmtId="166" fontId="18" fillId="0" borderId="0" xfId="7" applyNumberFormat="1" applyFont="1" applyBorder="1" applyAlignment="1">
      <alignment horizontal="left"/>
    </xf>
    <xf numFmtId="167" fontId="18" fillId="0" borderId="0" xfId="3" applyNumberFormat="1" applyFont="1" applyBorder="1" applyAlignment="1">
      <alignment horizontal="left"/>
    </xf>
    <xf numFmtId="0" fontId="46" fillId="0" borderId="0" xfId="7" applyFont="1" applyAlignment="1">
      <alignment horizontal="left"/>
    </xf>
    <xf numFmtId="0" fontId="46" fillId="0" borderId="0" xfId="7" applyFont="1" applyBorder="1" applyAlignment="1">
      <alignment horizontal="left"/>
    </xf>
    <xf numFmtId="0" fontId="18" fillId="0" borderId="0" xfId="7" applyFont="1" applyBorder="1" applyAlignment="1">
      <alignment horizontal="left"/>
    </xf>
    <xf numFmtId="0" fontId="49" fillId="0" borderId="0" xfId="0" applyFont="1"/>
    <xf numFmtId="165" fontId="12" fillId="0" borderId="0" xfId="0" applyNumberFormat="1" applyFont="1"/>
    <xf numFmtId="5" fontId="14" fillId="0" borderId="5" xfId="0" applyNumberFormat="1" applyFont="1" applyBorder="1" applyAlignment="1"/>
    <xf numFmtId="37" fontId="6" fillId="0" borderId="23" xfId="0" applyNumberFormat="1" applyFont="1" applyBorder="1" applyAlignment="1"/>
    <xf numFmtId="5" fontId="6" fillId="0" borderId="5" xfId="0" applyNumberFormat="1" applyFont="1" applyBorder="1" applyAlignment="1"/>
    <xf numFmtId="0" fontId="14" fillId="0" borderId="45" xfId="0" applyNumberFormat="1" applyFont="1" applyBorder="1" applyAlignment="1">
      <alignment horizontal="center"/>
    </xf>
    <xf numFmtId="0" fontId="14" fillId="0" borderId="31" xfId="0" applyNumberFormat="1" applyFont="1" applyBorder="1" applyAlignment="1">
      <alignment horizontal="center"/>
    </xf>
    <xf numFmtId="0" fontId="22" fillId="2" borderId="29" xfId="0" applyNumberFormat="1" applyFont="1" applyFill="1" applyBorder="1" applyAlignment="1">
      <alignment horizontal="left" indent="5"/>
    </xf>
    <xf numFmtId="37" fontId="22" fillId="2" borderId="69" xfId="0" applyNumberFormat="1" applyFont="1" applyFill="1" applyBorder="1" applyAlignment="1"/>
    <xf numFmtId="37" fontId="23" fillId="0" borderId="22" xfId="0" applyNumberFormat="1" applyFont="1" applyBorder="1"/>
    <xf numFmtId="37" fontId="22" fillId="2" borderId="68" xfId="0" applyNumberFormat="1" applyFont="1" applyFill="1" applyBorder="1" applyAlignment="1"/>
    <xf numFmtId="37" fontId="23" fillId="0" borderId="23" xfId="0" applyNumberFormat="1" applyFont="1" applyBorder="1"/>
    <xf numFmtId="37" fontId="22" fillId="2" borderId="38" xfId="0" applyNumberFormat="1" applyFont="1" applyFill="1" applyBorder="1" applyAlignment="1"/>
    <xf numFmtId="0" fontId="7" fillId="2" borderId="71" xfId="0" applyNumberFormat="1" applyFont="1" applyFill="1" applyBorder="1" applyAlignment="1">
      <alignment horizontal="left"/>
    </xf>
    <xf numFmtId="37" fontId="8" fillId="0" borderId="52" xfId="0" applyNumberFormat="1" applyFont="1" applyBorder="1"/>
    <xf numFmtId="37" fontId="8" fillId="0" borderId="70" xfId="0" applyNumberFormat="1" applyFont="1" applyBorder="1"/>
    <xf numFmtId="37" fontId="7" fillId="2" borderId="70" xfId="0" applyNumberFormat="1" applyFont="1" applyFill="1" applyBorder="1" applyAlignment="1"/>
    <xf numFmtId="37" fontId="7" fillId="2" borderId="52" xfId="0" applyNumberFormat="1" applyFont="1" applyFill="1" applyBorder="1" applyAlignment="1"/>
    <xf numFmtId="0" fontId="7" fillId="2" borderId="72" xfId="0" applyNumberFormat="1" applyFont="1" applyFill="1" applyBorder="1" applyAlignment="1">
      <alignment horizontal="left"/>
    </xf>
    <xf numFmtId="37" fontId="7" fillId="2" borderId="73" xfId="0" applyNumberFormat="1" applyFont="1" applyFill="1" applyBorder="1" applyAlignment="1"/>
    <xf numFmtId="37" fontId="7" fillId="2" borderId="74" xfId="0" applyNumberFormat="1" applyFont="1" applyFill="1" applyBorder="1" applyAlignment="1"/>
    <xf numFmtId="0" fontId="7" fillId="2" borderId="75" xfId="0" applyNumberFormat="1" applyFont="1" applyFill="1" applyBorder="1" applyAlignment="1">
      <alignment horizontal="left"/>
    </xf>
    <xf numFmtId="37" fontId="7" fillId="2" borderId="76" xfId="0" applyNumberFormat="1" applyFont="1" applyFill="1" applyBorder="1" applyAlignment="1"/>
    <xf numFmtId="37" fontId="7" fillId="2" borderId="77" xfId="0" applyNumberFormat="1" applyFont="1" applyFill="1" applyBorder="1" applyAlignment="1"/>
    <xf numFmtId="0" fontId="8" fillId="0" borderId="75" xfId="0" applyNumberFormat="1" applyFont="1" applyBorder="1" applyAlignment="1"/>
    <xf numFmtId="0" fontId="7" fillId="2" borderId="78" xfId="0" applyNumberFormat="1" applyFont="1" applyFill="1" applyBorder="1" applyAlignment="1">
      <alignment horizontal="left"/>
    </xf>
    <xf numFmtId="0" fontId="8" fillId="0" borderId="78" xfId="0" applyNumberFormat="1" applyFont="1" applyFill="1" applyBorder="1" applyAlignment="1"/>
    <xf numFmtId="0" fontId="7" fillId="2" borderId="79" xfId="0" applyNumberFormat="1" applyFont="1" applyFill="1" applyBorder="1" applyAlignment="1">
      <alignment horizontal="left"/>
    </xf>
    <xf numFmtId="37" fontId="7" fillId="2" borderId="80" xfId="0" applyNumberFormat="1" applyFont="1" applyFill="1" applyBorder="1" applyAlignment="1"/>
    <xf numFmtId="37" fontId="7" fillId="2" borderId="81" xfId="0" applyNumberFormat="1" applyFont="1" applyFill="1" applyBorder="1" applyAlignment="1"/>
    <xf numFmtId="0" fontId="7" fillId="2" borderId="82" xfId="0" applyNumberFormat="1" applyFont="1" applyFill="1" applyBorder="1" applyAlignment="1">
      <alignment horizontal="left"/>
    </xf>
    <xf numFmtId="37" fontId="8" fillId="0" borderId="67" xfId="0" applyNumberFormat="1" applyFont="1" applyBorder="1"/>
    <xf numFmtId="37" fontId="8" fillId="0" borderId="83" xfId="0" applyNumberFormat="1" applyFont="1" applyBorder="1"/>
    <xf numFmtId="37" fontId="7" fillId="2" borderId="83" xfId="0" applyNumberFormat="1" applyFont="1" applyFill="1" applyBorder="1" applyAlignment="1"/>
    <xf numFmtId="37" fontId="7" fillId="2" borderId="67" xfId="0" applyNumberFormat="1" applyFont="1" applyFill="1" applyBorder="1" applyAlignment="1"/>
    <xf numFmtId="37" fontId="8" fillId="0" borderId="25" xfId="0" applyNumberFormat="1" applyFont="1" applyBorder="1"/>
    <xf numFmtId="37" fontId="8" fillId="0" borderId="10" xfId="0" applyNumberFormat="1" applyFont="1" applyBorder="1"/>
    <xf numFmtId="37" fontId="7" fillId="2" borderId="10" xfId="0" applyNumberFormat="1" applyFont="1" applyFill="1" applyBorder="1" applyAlignment="1"/>
    <xf numFmtId="37" fontId="7" fillId="2" borderId="25" xfId="0" applyNumberFormat="1" applyFont="1" applyFill="1" applyBorder="1" applyAlignment="1"/>
    <xf numFmtId="0" fontId="20" fillId="2" borderId="87" xfId="0" applyNumberFormat="1" applyFont="1" applyFill="1" applyBorder="1" applyAlignment="1">
      <alignment horizontal="right"/>
    </xf>
    <xf numFmtId="5" fontId="19" fillId="2" borderId="88" xfId="0" applyNumberFormat="1" applyFont="1" applyFill="1" applyBorder="1" applyAlignment="1"/>
    <xf numFmtId="5" fontId="19" fillId="2" borderId="89" xfId="0" applyNumberFormat="1" applyFont="1" applyFill="1" applyBorder="1" applyAlignment="1"/>
    <xf numFmtId="5" fontId="19" fillId="2" borderId="90" xfId="0" applyNumberFormat="1" applyFont="1" applyFill="1" applyBorder="1" applyAlignment="1"/>
    <xf numFmtId="5" fontId="20" fillId="2" borderId="91" xfId="0" applyNumberFormat="1" applyFont="1" applyFill="1" applyBorder="1" applyAlignment="1"/>
    <xf numFmtId="5" fontId="19" fillId="2" borderId="92" xfId="0" applyNumberFormat="1" applyFont="1" applyFill="1" applyBorder="1" applyAlignment="1"/>
    <xf numFmtId="5" fontId="19" fillId="2" borderId="93" xfId="0" applyNumberFormat="1" applyFont="1" applyFill="1" applyBorder="1" applyAlignment="1"/>
    <xf numFmtId="0" fontId="0" fillId="0" borderId="0" xfId="0"/>
    <xf numFmtId="0" fontId="18" fillId="0" borderId="6" xfId="7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18" fillId="0" borderId="5" xfId="7" applyFont="1" applyBorder="1" applyAlignment="1">
      <alignment vertical="top"/>
    </xf>
    <xf numFmtId="0" fontId="8" fillId="0" borderId="6" xfId="7" applyFont="1" applyBorder="1" applyAlignment="1">
      <alignment vertical="top"/>
    </xf>
    <xf numFmtId="37" fontId="8" fillId="0" borderId="8" xfId="1" applyNumberFormat="1" applyFont="1" applyBorder="1"/>
    <xf numFmtId="37" fontId="8" fillId="0" borderId="21" xfId="1" applyNumberFormat="1" applyFont="1" applyBorder="1"/>
    <xf numFmtId="37" fontId="8" fillId="0" borderId="0" xfId="1" applyNumberFormat="1" applyFont="1" applyBorder="1"/>
    <xf numFmtId="37" fontId="18" fillId="0" borderId="17" xfId="1" applyNumberFormat="1" applyFont="1" applyBorder="1"/>
    <xf numFmtId="3" fontId="18" fillId="0" borderId="35" xfId="1" applyNumberFormat="1" applyFont="1" applyBorder="1"/>
    <xf numFmtId="3" fontId="18" fillId="0" borderId="2" xfId="1" applyNumberFormat="1" applyFont="1" applyBorder="1"/>
    <xf numFmtId="37" fontId="18" fillId="0" borderId="35" xfId="1" applyNumberFormat="1" applyFont="1" applyBorder="1"/>
    <xf numFmtId="37" fontId="18" fillId="0" borderId="22" xfId="1" applyNumberFormat="1" applyFont="1" applyBorder="1"/>
    <xf numFmtId="0" fontId="50" fillId="0" borderId="0" xfId="0" applyFont="1"/>
    <xf numFmtId="0" fontId="18" fillId="0" borderId="0" xfId="8" applyFont="1" applyBorder="1" applyAlignment="1">
      <alignment horizontal="left"/>
    </xf>
    <xf numFmtId="0" fontId="8" fillId="0" borderId="8" xfId="7" applyFont="1" applyBorder="1" applyAlignment="1">
      <alignment vertical="top"/>
    </xf>
    <xf numFmtId="37" fontId="8" fillId="0" borderId="48" xfId="7" applyNumberFormat="1" applyFont="1" applyBorder="1"/>
    <xf numFmtId="37" fontId="8" fillId="0" borderId="31" xfId="7" applyNumberFormat="1" applyFont="1" applyBorder="1"/>
    <xf numFmtId="0" fontId="4" fillId="0" borderId="13" xfId="0" applyNumberFormat="1" applyFont="1" applyBorder="1" applyAlignment="1">
      <alignment horizontal="left"/>
    </xf>
    <xf numFmtId="165" fontId="14" fillId="0" borderId="0" xfId="0" applyNumberFormat="1" applyFont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165" fontId="34" fillId="0" borderId="0" xfId="0" applyNumberFormat="1" applyFont="1" applyBorder="1"/>
    <xf numFmtId="4" fontId="4" fillId="0" borderId="14" xfId="0" applyNumberFormat="1" applyFont="1" applyBorder="1" applyAlignment="1"/>
    <xf numFmtId="37" fontId="18" fillId="0" borderId="41" xfId="7" applyNumberFormat="1" applyFont="1" applyBorder="1" applyAlignment="1"/>
    <xf numFmtId="5" fontId="18" fillId="0" borderId="42" xfId="3" applyNumberFormat="1" applyFont="1" applyBorder="1" applyAlignment="1"/>
    <xf numFmtId="37" fontId="4" fillId="0" borderId="14" xfId="0" applyNumberFormat="1" applyFont="1" applyBorder="1" applyAlignment="1">
      <alignment horizontal="right"/>
    </xf>
    <xf numFmtId="37" fontId="4" fillId="0" borderId="7" xfId="0" applyNumberFormat="1" applyFont="1" applyBorder="1" applyAlignment="1">
      <alignment horizontal="right"/>
    </xf>
    <xf numFmtId="37" fontId="6" fillId="0" borderId="24" xfId="0" applyNumberFormat="1" applyFont="1" applyBorder="1" applyAlignment="1"/>
    <xf numFmtId="37" fontId="6" fillId="0" borderId="25" xfId="0" applyNumberFormat="1" applyFont="1" applyBorder="1" applyAlignment="1"/>
    <xf numFmtId="37" fontId="6" fillId="0" borderId="10" xfId="0" applyNumberFormat="1" applyFont="1" applyBorder="1" applyAlignment="1"/>
    <xf numFmtId="37" fontId="6" fillId="0" borderId="26" xfId="0" applyNumberFormat="1" applyFont="1" applyBorder="1" applyAlignment="1"/>
    <xf numFmtId="37" fontId="4" fillId="0" borderId="11" xfId="0" applyNumberFormat="1" applyFont="1" applyBorder="1" applyAlignment="1"/>
    <xf numFmtId="37" fontId="4" fillId="0" borderId="14" xfId="0" applyNumberFormat="1" applyFont="1" applyBorder="1" applyAlignment="1"/>
    <xf numFmtId="0" fontId="14" fillId="0" borderId="0" xfId="0" applyNumberFormat="1" applyFont="1"/>
    <xf numFmtId="0" fontId="14" fillId="0" borderId="0" xfId="0" applyFont="1"/>
    <xf numFmtId="0" fontId="51" fillId="0" borderId="0" xfId="0" applyFont="1"/>
    <xf numFmtId="0" fontId="6" fillId="0" borderId="33" xfId="0" applyNumberFormat="1" applyFont="1" applyBorder="1" applyAlignment="1">
      <alignment horizontal="left"/>
    </xf>
    <xf numFmtId="5" fontId="0" fillId="0" borderId="0" xfId="0" applyNumberFormat="1"/>
    <xf numFmtId="0" fontId="6" fillId="0" borderId="0" xfId="0" applyNumberFormat="1" applyFont="1" applyBorder="1" applyAlignment="1"/>
    <xf numFmtId="37" fontId="4" fillId="0" borderId="0" xfId="0" applyNumberFormat="1" applyFont="1" applyBorder="1" applyAlignment="1">
      <alignment horizontal="right"/>
    </xf>
    <xf numFmtId="37" fontId="6" fillId="0" borderId="0" xfId="0" applyNumberFormat="1" applyFont="1" applyBorder="1" applyAlignment="1"/>
    <xf numFmtId="5" fontId="6" fillId="0" borderId="0" xfId="0" applyNumberFormat="1" applyFont="1" applyBorder="1" applyAlignment="1"/>
    <xf numFmtId="0" fontId="52" fillId="3" borderId="0" xfId="0" applyFont="1" applyFill="1" applyAlignment="1">
      <alignment horizontal="left"/>
    </xf>
    <xf numFmtId="0" fontId="32" fillId="0" borderId="0" xfId="0" applyFont="1" applyBorder="1" applyAlignment="1"/>
    <xf numFmtId="0" fontId="40" fillId="0" borderId="0" xfId="0" applyFont="1" applyBorder="1" applyAlignment="1"/>
    <xf numFmtId="37" fontId="8" fillId="0" borderId="21" xfId="7" applyNumberFormat="1" applyFont="1" applyFill="1" applyBorder="1"/>
    <xf numFmtId="37" fontId="18" fillId="0" borderId="17" xfId="1" applyNumberFormat="1" applyFont="1" applyFill="1" applyBorder="1"/>
    <xf numFmtId="37" fontId="8" fillId="0" borderId="0" xfId="7" applyNumberFormat="1" applyFont="1" applyFill="1" applyBorder="1"/>
    <xf numFmtId="5" fontId="18" fillId="0" borderId="42" xfId="3" applyNumberFormat="1" applyFont="1" applyFill="1" applyBorder="1" applyAlignment="1"/>
    <xf numFmtId="37" fontId="8" fillId="0" borderId="0" xfId="7" applyNumberFormat="1" applyFont="1" applyFill="1"/>
    <xf numFmtId="37" fontId="8" fillId="0" borderId="8" xfId="7" applyNumberFormat="1" applyFont="1" applyFill="1" applyBorder="1"/>
    <xf numFmtId="37" fontId="18" fillId="0" borderId="2" xfId="1" applyNumberFormat="1" applyFont="1" applyFill="1" applyBorder="1"/>
    <xf numFmtId="37" fontId="18" fillId="0" borderId="19" xfId="1" applyNumberFormat="1" applyFont="1" applyFill="1" applyBorder="1"/>
    <xf numFmtId="0" fontId="8" fillId="0" borderId="0" xfId="7" applyFont="1" applyFill="1" applyBorder="1"/>
    <xf numFmtId="37" fontId="8" fillId="0" borderId="48" xfId="7" applyNumberFormat="1" applyFont="1" applyFill="1" applyBorder="1"/>
    <xf numFmtId="3" fontId="8" fillId="0" borderId="0" xfId="7" applyNumberFormat="1" applyFont="1" applyFill="1"/>
    <xf numFmtId="37" fontId="8" fillId="0" borderId="7" xfId="7" applyNumberFormat="1" applyFont="1" applyFill="1" applyBorder="1"/>
    <xf numFmtId="37" fontId="8" fillId="0" borderId="4" xfId="7" applyNumberFormat="1" applyFont="1" applyFill="1" applyBorder="1"/>
    <xf numFmtId="3" fontId="18" fillId="0" borderId="2" xfId="1" applyNumberFormat="1" applyFont="1" applyFill="1" applyBorder="1"/>
    <xf numFmtId="0" fontId="18" fillId="0" borderId="40" xfId="7" applyFont="1" applyFill="1" applyBorder="1" applyAlignment="1"/>
    <xf numFmtId="37" fontId="18" fillId="0" borderId="41" xfId="7" applyNumberFormat="1" applyFont="1" applyFill="1" applyBorder="1" applyAlignment="1"/>
    <xf numFmtId="37" fontId="6" fillId="0" borderId="11" xfId="0" applyNumberFormat="1" applyFont="1" applyFill="1" applyBorder="1" applyAlignment="1"/>
    <xf numFmtId="37" fontId="6" fillId="0" borderId="25" xfId="0" applyNumberFormat="1" applyFont="1" applyFill="1" applyBorder="1" applyAlignment="1"/>
    <xf numFmtId="5" fontId="14" fillId="0" borderId="3" xfId="0" applyNumberFormat="1" applyFont="1" applyFill="1" applyBorder="1" applyAlignment="1"/>
    <xf numFmtId="5" fontId="14" fillId="0" borderId="4" xfId="0" applyNumberFormat="1" applyFont="1" applyFill="1" applyBorder="1" applyAlignment="1"/>
    <xf numFmtId="165" fontId="14" fillId="0" borderId="0" xfId="0" applyNumberFormat="1" applyFont="1" applyFill="1" applyAlignment="1"/>
    <xf numFmtId="165" fontId="3" fillId="0" borderId="0" xfId="0" applyNumberFormat="1" applyFont="1" applyFill="1" applyAlignment="1"/>
    <xf numFmtId="37" fontId="4" fillId="0" borderId="0" xfId="0" applyNumberFormat="1" applyFont="1" applyFill="1" applyBorder="1" applyAlignment="1">
      <alignment horizontal="right"/>
    </xf>
    <xf numFmtId="37" fontId="6" fillId="0" borderId="0" xfId="0" applyNumberFormat="1" applyFont="1" applyFill="1" applyBorder="1" applyAlignment="1"/>
    <xf numFmtId="5" fontId="6" fillId="0" borderId="0" xfId="0" applyNumberFormat="1" applyFont="1" applyFill="1" applyBorder="1" applyAlignment="1"/>
    <xf numFmtId="0" fontId="54" fillId="0" borderId="0" xfId="23" applyFont="1" applyAlignment="1"/>
    <xf numFmtId="0" fontId="53" fillId="0" borderId="0" xfId="23" applyFont="1" applyAlignment="1"/>
    <xf numFmtId="0" fontId="55" fillId="0" borderId="94" xfId="23" applyFont="1" applyBorder="1" applyAlignment="1">
      <alignment horizontal="center"/>
    </xf>
    <xf numFmtId="0" fontId="56" fillId="0" borderId="0" xfId="23" applyFont="1"/>
    <xf numFmtId="0" fontId="57" fillId="0" borderId="0" xfId="23" applyFont="1" applyAlignment="1"/>
    <xf numFmtId="0" fontId="54" fillId="0" borderId="95" xfId="23" applyFont="1" applyBorder="1"/>
    <xf numFmtId="0" fontId="56" fillId="0" borderId="0" xfId="23" applyFont="1" applyAlignment="1"/>
    <xf numFmtId="0" fontId="52" fillId="0" borderId="0" xfId="23" applyFont="1" applyAlignment="1"/>
    <xf numFmtId="0" fontId="58" fillId="0" borderId="96" xfId="23" applyFont="1" applyBorder="1"/>
    <xf numFmtId="0" fontId="60" fillId="0" borderId="0" xfId="23" applyFont="1"/>
    <xf numFmtId="0" fontId="56" fillId="0" borderId="23" xfId="23" applyFont="1" applyBorder="1" applyAlignment="1">
      <alignment horizontal="center" vertical="top" wrapText="1"/>
    </xf>
    <xf numFmtId="0" fontId="56" fillId="0" borderId="100" xfId="23" applyFont="1" applyBorder="1" applyAlignment="1">
      <alignment horizontal="center" vertical="top" wrapText="1"/>
    </xf>
    <xf numFmtId="0" fontId="52" fillId="0" borderId="0" xfId="23" applyFont="1" applyAlignment="1">
      <alignment wrapText="1"/>
    </xf>
    <xf numFmtId="9" fontId="56" fillId="0" borderId="0" xfId="23" applyNumberFormat="1" applyFont="1"/>
    <xf numFmtId="0" fontId="56" fillId="0" borderId="101" xfId="23" applyFont="1" applyBorder="1" applyAlignment="1">
      <alignment horizontal="left" indent="2"/>
    </xf>
    <xf numFmtId="3" fontId="56" fillId="0" borderId="102" xfId="23" applyNumberFormat="1" applyFont="1" applyBorder="1"/>
    <xf numFmtId="3" fontId="56" fillId="0" borderId="103" xfId="23" applyNumberFormat="1" applyFont="1" applyBorder="1"/>
    <xf numFmtId="3" fontId="56" fillId="0" borderId="0" xfId="23" applyNumberFormat="1" applyFont="1"/>
    <xf numFmtId="0" fontId="56" fillId="0" borderId="104" xfId="23" applyFont="1" applyBorder="1" applyAlignment="1">
      <alignment horizontal="left" indent="2"/>
    </xf>
    <xf numFmtId="3" fontId="56" fillId="0" borderId="105" xfId="23" applyNumberFormat="1" applyFont="1" applyBorder="1"/>
    <xf numFmtId="3" fontId="56" fillId="0" borderId="106" xfId="23" applyNumberFormat="1" applyFont="1" applyBorder="1"/>
    <xf numFmtId="0" fontId="52" fillId="0" borderId="0" xfId="23" applyFont="1"/>
    <xf numFmtId="0" fontId="61" fillId="0" borderId="104" xfId="23" applyFont="1" applyBorder="1" applyAlignment="1">
      <alignment horizontal="left" indent="8"/>
    </xf>
    <xf numFmtId="3" fontId="61" fillId="0" borderId="105" xfId="23" applyNumberFormat="1" applyFont="1" applyBorder="1"/>
    <xf numFmtId="3" fontId="61" fillId="0" borderId="106" xfId="23" applyNumberFormat="1" applyFont="1" applyBorder="1"/>
    <xf numFmtId="3" fontId="56" fillId="0" borderId="107" xfId="23" applyNumberFormat="1" applyFont="1" applyBorder="1"/>
    <xf numFmtId="3" fontId="56" fillId="0" borderId="108" xfId="23" applyNumberFormat="1" applyFont="1" applyBorder="1"/>
    <xf numFmtId="0" fontId="59" fillId="0" borderId="104" xfId="23" applyFont="1" applyBorder="1" applyAlignment="1">
      <alignment horizontal="center"/>
    </xf>
    <xf numFmtId="3" fontId="59" fillId="0" borderId="109" xfId="23" applyNumberFormat="1" applyFont="1" applyBorder="1"/>
    <xf numFmtId="3" fontId="59" fillId="0" borderId="110" xfId="23" applyNumberFormat="1" applyFont="1" applyBorder="1"/>
    <xf numFmtId="0" fontId="59" fillId="0" borderId="104" xfId="23" applyFont="1" applyBorder="1"/>
    <xf numFmtId="3" fontId="56" fillId="0" borderId="105" xfId="23" applyNumberFormat="1" applyFont="1" applyFill="1" applyBorder="1"/>
    <xf numFmtId="3" fontId="59" fillId="0" borderId="105" xfId="23" applyNumberFormat="1" applyFont="1" applyBorder="1"/>
    <xf numFmtId="3" fontId="59" fillId="0" borderId="106" xfId="23" applyNumberFormat="1" applyFont="1" applyBorder="1"/>
    <xf numFmtId="0" fontId="59" fillId="0" borderId="0" xfId="23" applyFont="1"/>
    <xf numFmtId="3" fontId="59" fillId="0" borderId="0" xfId="23" applyNumberFormat="1" applyFont="1"/>
    <xf numFmtId="0" fontId="59" fillId="0" borderId="111" xfId="23" applyFont="1" applyBorder="1" applyAlignment="1">
      <alignment horizontal="center"/>
    </xf>
    <xf numFmtId="3" fontId="59" fillId="0" borderId="112" xfId="23" applyNumberFormat="1" applyFont="1" applyBorder="1"/>
    <xf numFmtId="3" fontId="59" fillId="0" borderId="113" xfId="23" applyNumberFormat="1" applyFont="1" applyBorder="1"/>
    <xf numFmtId="0" fontId="56" fillId="0" borderId="114" xfId="23" applyFont="1" applyBorder="1"/>
    <xf numFmtId="3" fontId="56" fillId="0" borderId="115" xfId="23" applyNumberFormat="1" applyFont="1" applyBorder="1"/>
    <xf numFmtId="3" fontId="56" fillId="0" borderId="116" xfId="23" applyNumberFormat="1" applyFont="1" applyBorder="1"/>
    <xf numFmtId="0" fontId="56" fillId="0" borderId="111" xfId="23" applyFont="1" applyBorder="1" applyAlignment="1">
      <alignment horizontal="left" wrapText="1" indent="2"/>
    </xf>
    <xf numFmtId="3" fontId="56" fillId="0" borderId="112" xfId="23" applyNumberFormat="1" applyFont="1" applyBorder="1"/>
    <xf numFmtId="3" fontId="56" fillId="0" borderId="113" xfId="23" applyNumberFormat="1" applyFont="1" applyBorder="1"/>
    <xf numFmtId="0" fontId="54" fillId="0" borderId="0" xfId="23" applyFont="1"/>
    <xf numFmtId="0" fontId="52" fillId="0" borderId="0" xfId="23" applyFont="1" applyAlignment="1">
      <alignment horizontal="left"/>
    </xf>
    <xf numFmtId="0" fontId="6" fillId="0" borderId="117" xfId="0" applyNumberFormat="1" applyFont="1" applyBorder="1" applyAlignment="1">
      <alignment horizontal="left"/>
    </xf>
    <xf numFmtId="37" fontId="4" fillId="0" borderId="13" xfId="0" applyNumberFormat="1" applyFont="1" applyBorder="1" applyAlignment="1"/>
    <xf numFmtId="37" fontId="4" fillId="0" borderId="118" xfId="0" applyNumberFormat="1" applyFont="1" applyBorder="1" applyAlignment="1"/>
    <xf numFmtId="37" fontId="6" fillId="0" borderId="117" xfId="0" applyNumberFormat="1" applyFont="1" applyBorder="1" applyAlignment="1"/>
    <xf numFmtId="37" fontId="6" fillId="0" borderId="118" xfId="0" applyNumberFormat="1" applyFont="1" applyBorder="1" applyAlignment="1"/>
    <xf numFmtId="1" fontId="6" fillId="0" borderId="12" xfId="0" applyNumberFormat="1" applyFont="1" applyBorder="1" applyAlignment="1"/>
    <xf numFmtId="37" fontId="14" fillId="0" borderId="7" xfId="0" applyNumberFormat="1" applyFont="1" applyFill="1" applyBorder="1" applyAlignment="1"/>
    <xf numFmtId="37" fontId="14" fillId="0" borderId="3" xfId="0" applyNumberFormat="1" applyFont="1" applyFill="1" applyBorder="1" applyAlignment="1"/>
    <xf numFmtId="0" fontId="50" fillId="0" borderId="0" xfId="0" applyFont="1" applyAlignment="1">
      <alignment horizontal="left" vertical="center"/>
    </xf>
    <xf numFmtId="0" fontId="47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18" fillId="0" borderId="19" xfId="7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48" xfId="7" applyFont="1" applyFill="1" applyBorder="1" applyAlignment="1"/>
    <xf numFmtId="0" fontId="8" fillId="0" borderId="3" xfId="7" applyFont="1" applyFill="1" applyBorder="1" applyAlignment="1"/>
    <xf numFmtId="0" fontId="43" fillId="0" borderId="49" xfId="7" applyFont="1" applyFill="1" applyBorder="1" applyAlignment="1">
      <alignment horizontal="center" vertical="center" wrapText="1"/>
    </xf>
    <xf numFmtId="0" fontId="43" fillId="0" borderId="50" xfId="7" applyFont="1" applyFill="1" applyBorder="1" applyAlignment="1">
      <alignment horizontal="center" vertical="center" wrapText="1"/>
    </xf>
    <xf numFmtId="0" fontId="43" fillId="0" borderId="7" xfId="7" applyFont="1" applyFill="1" applyBorder="1" applyAlignment="1">
      <alignment horizontal="center" vertical="center" wrapText="1"/>
    </xf>
    <xf numFmtId="0" fontId="43" fillId="0" borderId="4" xfId="7" applyFont="1" applyFill="1" applyBorder="1" applyAlignment="1">
      <alignment horizontal="center" vertical="center" wrapText="1"/>
    </xf>
    <xf numFmtId="1" fontId="18" fillId="0" borderId="49" xfId="7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18" fillId="0" borderId="51" xfId="7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8" fillId="0" borderId="7" xfId="7" applyFont="1" applyFill="1" applyBorder="1" applyAlignment="1">
      <alignment horizontal="center"/>
    </xf>
    <xf numFmtId="0" fontId="18" fillId="0" borderId="4" xfId="7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top" wrapText="1"/>
    </xf>
    <xf numFmtId="0" fontId="15" fillId="0" borderId="0" xfId="7" applyFont="1" applyAlignment="1"/>
    <xf numFmtId="0" fontId="44" fillId="0" borderId="0" xfId="0" applyFont="1" applyBorder="1" applyAlignment="1"/>
    <xf numFmtId="0" fontId="14" fillId="0" borderId="0" xfId="7" applyFont="1" applyAlignment="1">
      <alignment horizontal="center"/>
    </xf>
    <xf numFmtId="0" fontId="0" fillId="0" borderId="0" xfId="0" applyBorder="1" applyAlignment="1">
      <alignment horizontal="center"/>
    </xf>
    <xf numFmtId="3" fontId="14" fillId="0" borderId="0" xfId="7" applyNumberFormat="1" applyFont="1" applyAlignment="1">
      <alignment horizontal="center"/>
    </xf>
    <xf numFmtId="0" fontId="8" fillId="0" borderId="0" xfId="7" applyFont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8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14" fillId="0" borderId="0" xfId="0" applyNumberFormat="1" applyFont="1" applyFill="1" applyAlignment="1">
      <alignment wrapText="1"/>
    </xf>
    <xf numFmtId="0" fontId="14" fillId="0" borderId="0" xfId="0" applyFont="1" applyFill="1" applyBorder="1" applyAlignment="1"/>
    <xf numFmtId="165" fontId="6" fillId="0" borderId="0" xfId="0" applyNumberFormat="1" applyFont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44" xfId="0" applyNumberFormat="1" applyFont="1" applyBorder="1" applyAlignment="1">
      <alignment horizontal="center" vertical="center" wrapText="1"/>
    </xf>
    <xf numFmtId="0" fontId="14" fillId="0" borderId="21" xfId="0" applyNumberFormat="1" applyFont="1" applyBorder="1" applyAlignment="1">
      <alignment horizontal="center" vertical="center" wrapText="1"/>
    </xf>
    <xf numFmtId="0" fontId="14" fillId="0" borderId="35" xfId="0" applyNumberFormat="1" applyFont="1" applyFill="1" applyBorder="1" applyAlignment="1">
      <alignment horizontal="center" vertical="center" wrapText="1"/>
    </xf>
    <xf numFmtId="0" fontId="6" fillId="0" borderId="48" xfId="0" applyNumberFormat="1" applyFont="1" applyFill="1" applyBorder="1" applyAlignment="1">
      <alignment horizontal="center" vertical="center" wrapText="1"/>
    </xf>
    <xf numFmtId="0" fontId="6" fillId="0" borderId="44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14" fillId="0" borderId="35" xfId="0" applyNumberFormat="1" applyFont="1" applyBorder="1" applyAlignment="1">
      <alignment horizontal="center"/>
    </xf>
    <xf numFmtId="0" fontId="14" fillId="0" borderId="8" xfId="0" applyNumberFormat="1" applyFont="1" applyBorder="1" applyAlignment="1">
      <alignment horizontal="center"/>
    </xf>
    <xf numFmtId="0" fontId="14" fillId="0" borderId="30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 vertical="center"/>
    </xf>
    <xf numFmtId="0" fontId="6" fillId="0" borderId="48" xfId="0" applyNumberFormat="1" applyFont="1" applyBorder="1" applyAlignment="1">
      <alignment horizontal="center" vertical="center"/>
    </xf>
    <xf numFmtId="0" fontId="6" fillId="0" borderId="44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3" fontId="15" fillId="0" borderId="0" xfId="0" applyNumberFormat="1" applyFont="1" applyAlignment="1"/>
    <xf numFmtId="0" fontId="41" fillId="0" borderId="0" xfId="0" applyFont="1" applyAlignment="1"/>
    <xf numFmtId="165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34" fillId="0" borderId="0" xfId="0" applyNumberFormat="1" applyFont="1" applyAlignment="1">
      <alignment horizontal="left"/>
    </xf>
    <xf numFmtId="0" fontId="14" fillId="0" borderId="7" xfId="0" applyNumberFormat="1" applyFont="1" applyBorder="1" applyAlignment="1">
      <alignment horizontal="left" indent="5"/>
    </xf>
    <xf numFmtId="0" fontId="14" fillId="0" borderId="4" xfId="0" applyNumberFormat="1" applyFont="1" applyBorder="1" applyAlignment="1">
      <alignment horizontal="left" indent="5"/>
    </xf>
    <xf numFmtId="0" fontId="6" fillId="0" borderId="33" xfId="0" applyNumberFormat="1" applyFont="1" applyBorder="1" applyAlignment="1">
      <alignment horizontal="left"/>
    </xf>
    <xf numFmtId="0" fontId="6" fillId="0" borderId="43" xfId="0" applyNumberFormat="1" applyFont="1" applyBorder="1" applyAlignment="1">
      <alignment horizontal="left"/>
    </xf>
    <xf numFmtId="165" fontId="31" fillId="0" borderId="0" xfId="0" applyNumberFormat="1" applyFont="1" applyAlignment="1">
      <alignment horizontal="center"/>
    </xf>
    <xf numFmtId="0" fontId="31" fillId="0" borderId="0" xfId="0" applyFont="1" applyBorder="1" applyAlignment="1">
      <alignment horizontal="center"/>
    </xf>
    <xf numFmtId="0" fontId="14" fillId="0" borderId="35" xfId="0" applyNumberFormat="1" applyFont="1" applyBorder="1" applyAlignment="1"/>
    <xf numFmtId="0" fontId="6" fillId="0" borderId="48" xfId="0" applyNumberFormat="1" applyFont="1" applyBorder="1" applyAlignment="1"/>
    <xf numFmtId="0" fontId="6" fillId="0" borderId="30" xfId="0" applyNumberFormat="1" applyFont="1" applyBorder="1" applyAlignment="1"/>
    <xf numFmtId="0" fontId="6" fillId="0" borderId="31" xfId="0" applyNumberFormat="1" applyFont="1" applyBorder="1" applyAlignment="1"/>
    <xf numFmtId="0" fontId="14" fillId="0" borderId="19" xfId="0" applyNumberFormat="1" applyFont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/>
    </xf>
    <xf numFmtId="0" fontId="15" fillId="0" borderId="0" xfId="0" applyNumberFormat="1" applyFont="1" applyAlignment="1"/>
    <xf numFmtId="0" fontId="4" fillId="0" borderId="0" xfId="0" applyNumberFormat="1" applyFont="1" applyAlignment="1"/>
    <xf numFmtId="0" fontId="9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165" fontId="30" fillId="0" borderId="48" xfId="0" applyNumberFormat="1" applyFont="1" applyBorder="1" applyAlignment="1">
      <alignment horizontal="center"/>
    </xf>
    <xf numFmtId="0" fontId="21" fillId="2" borderId="55" xfId="0" applyNumberFormat="1" applyFont="1" applyFill="1" applyBorder="1" applyAlignment="1">
      <alignment horizontal="center" wrapText="1"/>
    </xf>
    <xf numFmtId="0" fontId="21" fillId="2" borderId="56" xfId="0" applyNumberFormat="1" applyFont="1" applyFill="1" applyBorder="1" applyAlignment="1">
      <alignment horizontal="center" wrapText="1"/>
    </xf>
    <xf numFmtId="0" fontId="21" fillId="2" borderId="54" xfId="0" applyNumberFormat="1" applyFont="1" applyFill="1" applyBorder="1" applyAlignment="1">
      <alignment horizontal="center" wrapText="1"/>
    </xf>
    <xf numFmtId="0" fontId="4" fillId="0" borderId="15" xfId="0" applyNumberFormat="1" applyFont="1" applyBorder="1" applyAlignment="1">
      <alignment horizontal="center" wrapText="1"/>
    </xf>
    <xf numFmtId="0" fontId="21" fillId="2" borderId="63" xfId="0" applyNumberFormat="1" applyFont="1" applyFill="1" applyBorder="1" applyAlignment="1">
      <alignment horizontal="center" wrapText="1"/>
    </xf>
    <xf numFmtId="0" fontId="4" fillId="0" borderId="64" xfId="0" applyNumberFormat="1" applyFont="1" applyBorder="1" applyAlignment="1">
      <alignment horizontal="center" wrapText="1"/>
    </xf>
    <xf numFmtId="0" fontId="4" fillId="0" borderId="62" xfId="0" applyNumberFormat="1" applyFont="1" applyBorder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7" fillId="2" borderId="47" xfId="0" applyNumberFormat="1" applyFont="1" applyFill="1" applyBorder="1" applyAlignment="1">
      <alignment horizontal="center"/>
    </xf>
    <xf numFmtId="0" fontId="21" fillId="2" borderId="65" xfId="0" applyNumberFormat="1" applyFont="1" applyFill="1" applyBorder="1" applyAlignment="1">
      <alignment horizontal="center" wrapText="1"/>
    </xf>
    <xf numFmtId="0" fontId="4" fillId="0" borderId="8" xfId="0" applyNumberFormat="1" applyFont="1" applyBorder="1" applyAlignment="1">
      <alignment wrapText="1"/>
    </xf>
    <xf numFmtId="0" fontId="4" fillId="0" borderId="46" xfId="0" applyNumberFormat="1" applyFont="1" applyBorder="1" applyAlignment="1">
      <alignment wrapText="1"/>
    </xf>
    <xf numFmtId="0" fontId="21" fillId="2" borderId="60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Border="1" applyAlignment="1">
      <alignment horizontal="center" vertical="center" wrapText="1"/>
    </xf>
    <xf numFmtId="0" fontId="21" fillId="2" borderId="57" xfId="0" applyNumberFormat="1" applyFont="1" applyFill="1" applyBorder="1" applyAlignment="1">
      <alignment horizontal="center" vertical="center"/>
    </xf>
    <xf numFmtId="0" fontId="21" fillId="2" borderId="58" xfId="0" applyNumberFormat="1" applyFont="1" applyFill="1" applyBorder="1" applyAlignment="1">
      <alignment horizontal="center" vertical="center"/>
    </xf>
    <xf numFmtId="0" fontId="21" fillId="2" borderId="59" xfId="0" applyNumberFormat="1" applyFont="1" applyFill="1" applyBorder="1" applyAlignment="1">
      <alignment horizontal="center" vertical="center"/>
    </xf>
    <xf numFmtId="0" fontId="21" fillId="2" borderId="84" xfId="0" applyNumberFormat="1" applyFont="1" applyFill="1" applyBorder="1" applyAlignment="1">
      <alignment horizontal="center" wrapText="1"/>
    </xf>
    <xf numFmtId="0" fontId="4" fillId="0" borderId="85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/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Border="1" applyAlignment="1">
      <alignment horizontal="center"/>
    </xf>
    <xf numFmtId="165" fontId="32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2" borderId="31" xfId="0" applyNumberFormat="1" applyFont="1" applyFill="1" applyBorder="1" applyAlignment="1">
      <alignment horizontal="center"/>
    </xf>
    <xf numFmtId="0" fontId="20" fillId="2" borderId="66" xfId="0" applyNumberFormat="1" applyFont="1" applyFill="1" applyBorder="1" applyAlignment="1">
      <alignment wrapText="1"/>
    </xf>
    <xf numFmtId="0" fontId="4" fillId="0" borderId="6" xfId="0" applyNumberFormat="1" applyFont="1" applyBorder="1" applyAlignment="1">
      <alignment wrapText="1"/>
    </xf>
    <xf numFmtId="0" fontId="4" fillId="0" borderId="45" xfId="0" applyNumberFormat="1" applyFont="1" applyBorder="1" applyAlignment="1">
      <alignment wrapText="1"/>
    </xf>
    <xf numFmtId="0" fontId="20" fillId="2" borderId="49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86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0" fontId="27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26" fillId="2" borderId="0" xfId="0" applyNumberFormat="1" applyFont="1" applyFill="1" applyAlignment="1"/>
    <xf numFmtId="165" fontId="25" fillId="2" borderId="0" xfId="0" applyNumberFormat="1" applyFont="1" applyFill="1" applyAlignment="1">
      <alignment horizontal="center"/>
    </xf>
    <xf numFmtId="0" fontId="26" fillId="2" borderId="0" xfId="0" applyNumberFormat="1" applyFont="1" applyFill="1" applyAlignment="1">
      <alignment horizontal="center"/>
    </xf>
    <xf numFmtId="0" fontId="59" fillId="0" borderId="97" xfId="23" applyFont="1" applyBorder="1" applyAlignment="1">
      <alignment horizontal="center" vertical="center"/>
    </xf>
    <xf numFmtId="0" fontId="59" fillId="0" borderId="99" xfId="23" applyFont="1" applyBorder="1" applyAlignment="1">
      <alignment horizontal="center" vertical="center"/>
    </xf>
    <xf numFmtId="0" fontId="59" fillId="0" borderId="70" xfId="23" applyFont="1" applyBorder="1" applyAlignment="1">
      <alignment horizontal="center" vertical="center" wrapText="1"/>
    </xf>
    <xf numFmtId="0" fontId="59" fillId="0" borderId="98" xfId="23" applyFont="1" applyBorder="1" applyAlignment="1">
      <alignment horizontal="center" vertical="center" wrapText="1"/>
    </xf>
    <xf numFmtId="0" fontId="53" fillId="0" borderId="0" xfId="23" applyFont="1" applyAlignment="1">
      <alignment horizontal="center"/>
    </xf>
    <xf numFmtId="0" fontId="57" fillId="0" borderId="0" xfId="23" applyFont="1" applyAlignment="1">
      <alignment horizontal="center"/>
    </xf>
    <xf numFmtId="0" fontId="56" fillId="0" borderId="0" xfId="23" applyFont="1" applyAlignment="1">
      <alignment horizontal="center"/>
    </xf>
    <xf numFmtId="0" fontId="52" fillId="0" borderId="0" xfId="23" applyFont="1" applyAlignment="1">
      <alignment horizontal="center"/>
    </xf>
  </cellXfs>
  <cellStyles count="25">
    <cellStyle name="Comma" xfId="1" builtinId="3"/>
    <cellStyle name="Comma 2" xfId="2"/>
    <cellStyle name="Comma 2 2" xfId="9"/>
    <cellStyle name="Comma 3" xfId="10"/>
    <cellStyle name="Comma 4" xfId="11"/>
    <cellStyle name="Comma 4 2" xfId="12"/>
    <cellStyle name="Currency" xfId="3" builtinId="4"/>
    <cellStyle name="Currency 2" xfId="4"/>
    <cellStyle name="Currency 2 2" xfId="13"/>
    <cellStyle name="Currency 3" xfId="14"/>
    <cellStyle name="Currency 4" xfId="15"/>
    <cellStyle name="Currency 4 2" xfId="16"/>
    <cellStyle name="Normal" xfId="0" builtinId="0"/>
    <cellStyle name="Normal 2" xfId="5"/>
    <cellStyle name="Normal 3" xfId="6"/>
    <cellStyle name="Normal 4" xfId="17"/>
    <cellStyle name="Normal 5" xfId="18"/>
    <cellStyle name="Normal 6" xfId="23"/>
    <cellStyle name="Normal_Rsrcs_X_ DOJ Goal  Obj" xfId="7"/>
    <cellStyle name="Normal_Rsrcs_X_ DOJ Goal  Obj 2" xfId="8"/>
    <cellStyle name="Percent 2" xfId="19"/>
    <cellStyle name="Percent 2 2" xfId="20"/>
    <cellStyle name="Percent 3" xfId="21"/>
    <cellStyle name="Percent 3 2" xfId="22"/>
    <cellStyle name="Percent 4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1</xdr:row>
      <xdr:rowOff>177801</xdr:rowOff>
    </xdr:from>
    <xdr:to>
      <xdr:col>10</xdr:col>
      <xdr:colOff>698500</xdr:colOff>
      <xdr:row>27</xdr:row>
      <xdr:rowOff>50801</xdr:rowOff>
    </xdr:to>
    <xdr:pic>
      <xdr:nvPicPr>
        <xdr:cNvPr id="5" name="Picture 4" descr="Organization Chart for the U.S. Department of Justice - as approved by Attorney General Eric H. Holder, Jr. on Augest 24, 20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431801"/>
          <a:ext cx="7988300" cy="483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_Staff\napostolides\FY06%20Formulation\05%20OMB%20Budget%20-%20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wieszek\AppData\Local\Microsoft\Windows\Temporary%20Internet%20Files\Content.Outlook\JOPN4UI2\FY13%20Exhibit%20Template%20-%20CJ%20Submission%20508%20Compliant%20-%20Updated%20Final%20-%20Jan%2019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Req"/>
      <sheetName val="ATB Narr"/>
      <sheetName val="2003 XWalk"/>
      <sheetName val="2004 XWalk"/>
      <sheetName val="Perm Positions"/>
      <sheetName val="Positions by Category"/>
      <sheetName val="Sum by Grade"/>
      <sheetName val="Sum by O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. Organization Chart"/>
      <sheetName val="B. Summary of Requirements "/>
      <sheetName val="C. Increases Offsets"/>
      <sheetName val="D. Strategic Goals &amp; Objectives"/>
      <sheetName val="E. ATB Justification"/>
      <sheetName val="F. 2011 Crosswalk"/>
      <sheetName val="G. 2012 Crosswalk"/>
      <sheetName val="H. Reimbursable Resources"/>
      <sheetName val="I. Permanent Positions"/>
      <sheetName val="J. Financial Analysis"/>
      <sheetName val="K. Summary by Grade"/>
      <sheetName val="L. Summary by Object Class"/>
      <sheetName val="(M) Studies"/>
      <sheetName val="ATB by Decision Unit"/>
      <sheetName val="D. Strategic Goals &amp; Object (2)"/>
      <sheetName val="(N-2) Domestic Agent"/>
      <sheetName val="(N-3) Domestic Attorney"/>
      <sheetName val="(N-4) Domestic Prof Sup"/>
      <sheetName val="(N-5) Domestic Clerical"/>
      <sheetName val="(P) IT"/>
    </sheetNames>
    <sheetDataSet>
      <sheetData sheetId="0" refreshError="1"/>
      <sheetData sheetId="1" refreshError="1"/>
      <sheetData sheetId="2">
        <row r="6">
          <cell r="A6" t="str">
            <v>Salaries and Expenses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N253"/>
  <sheetViews>
    <sheetView tabSelected="1" zoomScale="75" zoomScaleNormal="75" zoomScaleSheetLayoutView="100" workbookViewId="0">
      <selection activeCell="G35" sqref="G35"/>
    </sheetView>
  </sheetViews>
  <sheetFormatPr defaultRowHeight="15"/>
  <cols>
    <col min="14" max="14" width="1.5546875" style="16" customWidth="1"/>
  </cols>
  <sheetData>
    <row r="1" spans="1:14" ht="20.25">
      <c r="A1" s="36" t="s">
        <v>90</v>
      </c>
      <c r="N1" s="16" t="s">
        <v>0</v>
      </c>
    </row>
    <row r="2" spans="1:14">
      <c r="C2" s="210"/>
      <c r="N2" s="16" t="s">
        <v>0</v>
      </c>
    </row>
    <row r="3" spans="1:14">
      <c r="B3" s="187"/>
      <c r="N3" s="16" t="s">
        <v>0</v>
      </c>
    </row>
    <row r="4" spans="1:14">
      <c r="N4" s="16" t="s">
        <v>0</v>
      </c>
    </row>
    <row r="5" spans="1:14" ht="15.75">
      <c r="B5" s="41"/>
      <c r="N5" s="16" t="s">
        <v>0</v>
      </c>
    </row>
    <row r="6" spans="1:14">
      <c r="N6" s="16" t="s">
        <v>0</v>
      </c>
    </row>
    <row r="7" spans="1:14">
      <c r="N7" s="16" t="s">
        <v>0</v>
      </c>
    </row>
    <row r="8" spans="1:14">
      <c r="N8" s="16" t="s">
        <v>0</v>
      </c>
    </row>
    <row r="9" spans="1:14">
      <c r="N9" s="16" t="s">
        <v>0</v>
      </c>
    </row>
    <row r="10" spans="1:14">
      <c r="N10" s="16" t="s">
        <v>0</v>
      </c>
    </row>
    <row r="11" spans="1:14">
      <c r="N11" s="16" t="s">
        <v>0</v>
      </c>
    </row>
    <row r="12" spans="1:14">
      <c r="N12" s="16" t="s">
        <v>0</v>
      </c>
    </row>
    <row r="13" spans="1:14">
      <c r="N13" s="16" t="s">
        <v>0</v>
      </c>
    </row>
    <row r="14" spans="1:14">
      <c r="N14" s="16" t="s">
        <v>0</v>
      </c>
    </row>
    <row r="15" spans="1:14">
      <c r="N15" s="16" t="s">
        <v>0</v>
      </c>
    </row>
    <row r="16" spans="1:14">
      <c r="N16" s="16" t="s">
        <v>0</v>
      </c>
    </row>
    <row r="17" spans="1:14">
      <c r="N17" s="16" t="s">
        <v>0</v>
      </c>
    </row>
    <row r="18" spans="1:14">
      <c r="N18" s="16" t="s">
        <v>0</v>
      </c>
    </row>
    <row r="19" spans="1:14">
      <c r="N19" s="16" t="s">
        <v>0</v>
      </c>
    </row>
    <row r="20" spans="1:14">
      <c r="N20" s="16" t="s">
        <v>0</v>
      </c>
    </row>
    <row r="21" spans="1:14">
      <c r="N21" s="16" t="s">
        <v>0</v>
      </c>
    </row>
    <row r="22" spans="1:14">
      <c r="N22" s="16" t="s">
        <v>0</v>
      </c>
    </row>
    <row r="23" spans="1:14">
      <c r="N23" s="16" t="s">
        <v>0</v>
      </c>
    </row>
    <row r="24" spans="1:14">
      <c r="N24" s="16" t="s">
        <v>0</v>
      </c>
    </row>
    <row r="25" spans="1:14">
      <c r="N25" s="16" t="s">
        <v>0</v>
      </c>
    </row>
    <row r="26" spans="1:14">
      <c r="N26" s="16" t="s">
        <v>0</v>
      </c>
    </row>
    <row r="27" spans="1:14">
      <c r="N27" s="16" t="s">
        <v>0</v>
      </c>
    </row>
    <row r="28" spans="1:14">
      <c r="N28" s="16" t="s">
        <v>0</v>
      </c>
    </row>
    <row r="29" spans="1:14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16" t="s">
        <v>4</v>
      </c>
    </row>
    <row r="52" spans="1:1">
      <c r="A52" s="300"/>
    </row>
    <row r="197" spans="1:1">
      <c r="A197" t="s">
        <v>51</v>
      </c>
    </row>
    <row r="253" spans="1:1" ht="15.75">
      <c r="A253" s="39" t="s">
        <v>53</v>
      </c>
    </row>
  </sheetData>
  <customSheetViews>
    <customSheetView guid="{12C66D54-5067-4346-818B-6EAB1C8A9183}" scale="75" showPageBreaks="1" fitToPage="1" printArea="1" view="pageBreakPreview">
      <selection activeCell="I34" sqref="I34"/>
      <pageMargins left="0.75" right="0.75" top="1" bottom="1" header="0.5" footer="0.5"/>
      <printOptions horizontalCentered="1"/>
      <pageSetup scale="86" orientation="landscape" r:id="rId1"/>
      <headerFooter alignWithMargins="0">
        <oddFooter>&amp;C&amp;"Times New Roman,Regular"Exhibit A - Organizational Chart</oddFooter>
      </headerFooter>
    </customSheetView>
    <customSheetView guid="{4148B88B-8ED7-4FDE-9459-DEB244AD0552}" scale="75" showPageBreaks="1" fitToPage="1" printArea="1" view="pageBreakPreview">
      <pageMargins left="0.75" right="0.75" top="1" bottom="1" header="0.5" footer="0.5"/>
      <printOptions horizontalCentered="1"/>
      <pageSetup scale="86" orientation="landscape" r:id="rId2"/>
      <headerFooter alignWithMargins="0">
        <oddFooter>&amp;C&amp;"Times New Roman,Regular"Exhibit A - Organizational Chart</oddFooter>
      </headerFooter>
    </customSheetView>
    <customSheetView guid="{56C0A34E-45B4-448B-85E5-70B3A8E63333}" scale="75" showPageBreaks="1" fitToPage="1" printArea="1" view="pageBreakPreview">
      <pageMargins left="0.75" right="0.75" top="1" bottom="1" header="0.5" footer="0.5"/>
      <printOptions horizontalCentered="1"/>
      <pageSetup scale="86" orientation="landscape" r:id="rId3"/>
      <headerFooter alignWithMargins="0">
        <oddFooter>&amp;C&amp;"Times New Roman,Regular"Exhibit A - Organizational Chart</oddFooter>
      </headerFooter>
    </customSheetView>
    <customSheetView guid="{3118AF25-8423-420A-806A-487665220C68}" scale="75" showPageBreaks="1" fitToPage="1" printArea="1" view="pageBreakPreview" topLeftCell="A10">
      <selection activeCell="I34" sqref="I34"/>
      <pageMargins left="0.75" right="0.75" top="1" bottom="1" header="0.5" footer="0.5"/>
      <printOptions horizontalCentered="1"/>
      <pageSetup scale="86" orientation="landscape" r:id="rId4"/>
      <headerFooter alignWithMargins="0">
        <oddFooter>&amp;C&amp;"Times New Roman,Regular"Exhibit A - Organizational Chart</oddFooter>
      </headerFooter>
    </customSheetView>
  </customSheetViews>
  <phoneticPr fontId="0" type="noConversion"/>
  <printOptions horizontalCentered="1"/>
  <pageMargins left="0.75" right="0.75" top="1" bottom="1" header="0.5" footer="0.5"/>
  <pageSetup orientation="landscape" r:id="rId5"/>
  <headerFooter alignWithMargins="0">
    <oddFooter>&amp;C&amp;"Times New Roman,Regular"Exhibit A - Organizational Chart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T41"/>
  <sheetViews>
    <sheetView zoomScale="80" zoomScaleNormal="80" zoomScaleSheetLayoutView="70" workbookViewId="0">
      <selection activeCell="A39" sqref="A39:P39"/>
    </sheetView>
  </sheetViews>
  <sheetFormatPr defaultColWidth="8.88671875" defaultRowHeight="12.75"/>
  <cols>
    <col min="1" max="1" width="53.88671875" style="85" customWidth="1"/>
    <col min="2" max="2" width="1.21875" style="85" customWidth="1"/>
    <col min="3" max="3" width="10.77734375" style="85" customWidth="1"/>
    <col min="4" max="4" width="11" style="85" customWidth="1"/>
    <col min="5" max="5" width="1.21875" style="85" customWidth="1"/>
    <col min="6" max="7" width="11.21875" style="85" customWidth="1"/>
    <col min="8" max="8" width="1.21875" style="85" customWidth="1"/>
    <col min="9" max="16" width="10.77734375" style="85" customWidth="1"/>
    <col min="17" max="17" width="1.88671875" style="85" customWidth="1"/>
    <col min="18" max="16384" width="8.88671875" style="85"/>
  </cols>
  <sheetData>
    <row r="1" spans="1:20" ht="20.25">
      <c r="A1" s="322" t="s">
        <v>91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83" t="s">
        <v>0</v>
      </c>
      <c r="R1" s="84"/>
      <c r="S1" s="84"/>
    </row>
    <row r="2" spans="1:20" ht="19.149999999999999" customHeight="1">
      <c r="A2" s="86"/>
      <c r="Q2" s="83" t="s">
        <v>0</v>
      </c>
      <c r="T2" s="83"/>
    </row>
    <row r="3" spans="1:20" ht="15.75">
      <c r="A3" s="324" t="s">
        <v>78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83" t="s">
        <v>0</v>
      </c>
      <c r="R3" s="13"/>
      <c r="S3" s="13"/>
      <c r="T3" s="83"/>
    </row>
    <row r="4" spans="1:20" ht="15.75">
      <c r="A4" s="326" t="s">
        <v>113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83" t="s">
        <v>0</v>
      </c>
      <c r="R4" s="12"/>
      <c r="S4" s="12"/>
    </row>
    <row r="5" spans="1:20" ht="15">
      <c r="A5" s="327" t="s">
        <v>56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83" t="s">
        <v>0</v>
      </c>
      <c r="R5" s="13"/>
      <c r="S5" s="13"/>
      <c r="T5" s="83"/>
    </row>
    <row r="6" spans="1:20">
      <c r="Q6" s="83" t="s">
        <v>0</v>
      </c>
      <c r="T6" s="83"/>
    </row>
    <row r="7" spans="1:20" ht="13.5" thickBot="1">
      <c r="Q7" s="83" t="s">
        <v>0</v>
      </c>
      <c r="T7" s="83"/>
    </row>
    <row r="8" spans="1:20" ht="37.5" customHeight="1">
      <c r="A8" s="87"/>
      <c r="B8" s="88"/>
      <c r="C8" s="308" t="s">
        <v>130</v>
      </c>
      <c r="D8" s="313"/>
      <c r="E8" s="89"/>
      <c r="F8" s="308" t="s">
        <v>144</v>
      </c>
      <c r="G8" s="309"/>
      <c r="H8" s="89"/>
      <c r="I8" s="312" t="s">
        <v>131</v>
      </c>
      <c r="J8" s="313"/>
      <c r="K8" s="316">
        <v>2014</v>
      </c>
      <c r="L8" s="317"/>
      <c r="M8" s="317"/>
      <c r="N8" s="318"/>
      <c r="O8" s="312" t="s">
        <v>125</v>
      </c>
      <c r="P8" s="313"/>
      <c r="Q8" s="83" t="s">
        <v>0</v>
      </c>
      <c r="S8" s="90"/>
      <c r="T8" s="83"/>
    </row>
    <row r="9" spans="1:20" ht="14.25" customHeight="1">
      <c r="A9" s="88"/>
      <c r="B9" s="88"/>
      <c r="C9" s="328"/>
      <c r="D9" s="329"/>
      <c r="E9" s="89"/>
      <c r="F9" s="310"/>
      <c r="G9" s="311"/>
      <c r="H9" s="89"/>
      <c r="I9" s="314"/>
      <c r="J9" s="315"/>
      <c r="K9" s="319" t="s">
        <v>70</v>
      </c>
      <c r="L9" s="320"/>
      <c r="M9" s="304" t="s">
        <v>79</v>
      </c>
      <c r="N9" s="305"/>
      <c r="O9" s="314"/>
      <c r="P9" s="315"/>
      <c r="Q9" s="83" t="s">
        <v>0</v>
      </c>
      <c r="S9" s="90"/>
      <c r="T9" s="83"/>
    </row>
    <row r="10" spans="1:20" hidden="1">
      <c r="A10" s="306" t="s">
        <v>80</v>
      </c>
      <c r="B10" s="88"/>
      <c r="C10" s="91"/>
      <c r="D10" s="92"/>
      <c r="E10" s="93"/>
      <c r="F10" s="91"/>
      <c r="G10" s="92"/>
      <c r="H10" s="93"/>
      <c r="I10" s="91"/>
      <c r="J10" s="92"/>
      <c r="K10" s="91"/>
      <c r="L10" s="92"/>
      <c r="M10" s="94"/>
      <c r="N10" s="92"/>
      <c r="O10" s="91"/>
      <c r="P10" s="92"/>
      <c r="Q10" s="83" t="s">
        <v>0</v>
      </c>
      <c r="S10" s="94"/>
      <c r="T10" s="83"/>
    </row>
    <row r="11" spans="1:20" ht="25.5">
      <c r="A11" s="307"/>
      <c r="B11" s="88"/>
      <c r="C11" s="95" t="s">
        <v>81</v>
      </c>
      <c r="D11" s="96" t="s">
        <v>82</v>
      </c>
      <c r="E11" s="93"/>
      <c r="F11" s="95" t="s">
        <v>81</v>
      </c>
      <c r="G11" s="96" t="s">
        <v>82</v>
      </c>
      <c r="H11" s="93"/>
      <c r="I11" s="95" t="s">
        <v>81</v>
      </c>
      <c r="J11" s="96" t="s">
        <v>82</v>
      </c>
      <c r="K11" s="95" t="s">
        <v>81</v>
      </c>
      <c r="L11" s="96" t="s">
        <v>82</v>
      </c>
      <c r="M11" s="95" t="s">
        <v>81</v>
      </c>
      <c r="N11" s="96" t="s">
        <v>82</v>
      </c>
      <c r="O11" s="95" t="s">
        <v>81</v>
      </c>
      <c r="P11" s="96" t="s">
        <v>82</v>
      </c>
      <c r="Q11" s="83" t="s">
        <v>0</v>
      </c>
      <c r="S11" s="97"/>
      <c r="T11" s="83"/>
    </row>
    <row r="12" spans="1:20">
      <c r="A12" s="98"/>
      <c r="B12" s="88"/>
      <c r="C12" s="99"/>
      <c r="D12" s="100"/>
      <c r="E12" s="101"/>
      <c r="F12" s="99"/>
      <c r="G12" s="100"/>
      <c r="H12" s="101"/>
      <c r="I12" s="99"/>
      <c r="J12" s="100"/>
      <c r="K12" s="99"/>
      <c r="L12" s="102"/>
      <c r="M12" s="103"/>
      <c r="N12" s="100"/>
      <c r="O12" s="99"/>
      <c r="P12" s="100"/>
      <c r="Q12" s="83" t="s">
        <v>0</v>
      </c>
      <c r="S12" s="104"/>
      <c r="T12" s="83"/>
    </row>
    <row r="13" spans="1:20" ht="25.5" hidden="1">
      <c r="A13" s="174" t="s">
        <v>110</v>
      </c>
      <c r="B13" s="88"/>
      <c r="C13" s="99"/>
      <c r="D13" s="106"/>
      <c r="E13" s="101"/>
      <c r="F13" s="99"/>
      <c r="G13" s="106"/>
      <c r="H13" s="101"/>
      <c r="I13" s="99"/>
      <c r="J13" s="106"/>
      <c r="K13" s="99"/>
      <c r="L13" s="102"/>
      <c r="M13" s="99"/>
      <c r="N13" s="106"/>
      <c r="O13" s="99"/>
      <c r="P13" s="106"/>
      <c r="Q13" s="83" t="s">
        <v>0</v>
      </c>
      <c r="S13" s="107"/>
      <c r="T13" s="83"/>
    </row>
    <row r="14" spans="1:20" hidden="1">
      <c r="A14" s="176" t="s">
        <v>83</v>
      </c>
      <c r="B14" s="88"/>
      <c r="C14" s="99"/>
      <c r="D14" s="106"/>
      <c r="E14" s="101"/>
      <c r="F14" s="99"/>
      <c r="G14" s="106"/>
      <c r="H14" s="101"/>
      <c r="I14" s="99">
        <f>+F14+C14</f>
        <v>0</v>
      </c>
      <c r="J14" s="100">
        <f>+G14+D14</f>
        <v>0</v>
      </c>
      <c r="K14" s="99"/>
      <c r="L14" s="102"/>
      <c r="M14" s="99"/>
      <c r="N14" s="106"/>
      <c r="O14" s="99">
        <f t="shared" ref="O14:P16" si="0">+I14+K14+M14</f>
        <v>0</v>
      </c>
      <c r="P14" s="100">
        <f t="shared" si="0"/>
        <v>0</v>
      </c>
      <c r="Q14" s="83" t="s">
        <v>0</v>
      </c>
      <c r="S14" s="107"/>
      <c r="T14" s="83"/>
    </row>
    <row r="15" spans="1:20" hidden="1">
      <c r="A15" s="175" t="s">
        <v>98</v>
      </c>
      <c r="B15" s="88"/>
      <c r="C15" s="99"/>
      <c r="D15" s="106"/>
      <c r="E15" s="101"/>
      <c r="F15" s="99"/>
      <c r="G15" s="106"/>
      <c r="H15" s="101"/>
      <c r="I15" s="99">
        <f t="shared" ref="I15:J16" si="1">+F15+C15</f>
        <v>0</v>
      </c>
      <c r="J15" s="100">
        <f t="shared" si="1"/>
        <v>0</v>
      </c>
      <c r="K15" s="99"/>
      <c r="L15" s="102"/>
      <c r="M15" s="99"/>
      <c r="N15" s="106"/>
      <c r="O15" s="99">
        <f t="shared" si="0"/>
        <v>0</v>
      </c>
      <c r="P15" s="100">
        <f t="shared" si="0"/>
        <v>0</v>
      </c>
      <c r="Q15" s="83" t="s">
        <v>0</v>
      </c>
      <c r="S15" s="107"/>
      <c r="T15" s="83"/>
    </row>
    <row r="16" spans="1:20" ht="13.5" hidden="1" customHeight="1">
      <c r="A16" s="176" t="s">
        <v>99</v>
      </c>
      <c r="B16" s="108"/>
      <c r="C16" s="179"/>
      <c r="D16" s="180"/>
      <c r="E16" s="109"/>
      <c r="F16" s="179"/>
      <c r="G16" s="180"/>
      <c r="H16" s="110"/>
      <c r="I16" s="99">
        <f t="shared" si="1"/>
        <v>0</v>
      </c>
      <c r="J16" s="100">
        <f t="shared" si="1"/>
        <v>0</v>
      </c>
      <c r="K16" s="179"/>
      <c r="L16" s="181"/>
      <c r="M16" s="179"/>
      <c r="N16" s="180"/>
      <c r="O16" s="179">
        <f t="shared" si="0"/>
        <v>0</v>
      </c>
      <c r="P16" s="180">
        <f t="shared" si="0"/>
        <v>0</v>
      </c>
      <c r="Q16" s="83" t="s">
        <v>0</v>
      </c>
      <c r="S16" s="111"/>
      <c r="T16" s="83"/>
    </row>
    <row r="17" spans="1:20" s="113" customFormat="1" hidden="1">
      <c r="A17" s="177" t="s">
        <v>84</v>
      </c>
      <c r="B17" s="105"/>
      <c r="C17" s="118">
        <f>SUM(C14:C16)</f>
        <v>0</v>
      </c>
      <c r="D17" s="182">
        <f>SUM(D14:D16)</f>
        <v>0</v>
      </c>
      <c r="E17" s="183"/>
      <c r="F17" s="118">
        <f>SUM(F14:F16)</f>
        <v>0</v>
      </c>
      <c r="G17" s="182">
        <f>SUM(G14:G16)</f>
        <v>0</v>
      </c>
      <c r="H17" s="184"/>
      <c r="I17" s="118">
        <f t="shared" ref="I17:P17" si="2">SUM(I14:I16)</f>
        <v>0</v>
      </c>
      <c r="J17" s="182">
        <f t="shared" si="2"/>
        <v>0</v>
      </c>
      <c r="K17" s="118">
        <f t="shared" si="2"/>
        <v>0</v>
      </c>
      <c r="L17" s="182">
        <f t="shared" si="2"/>
        <v>0</v>
      </c>
      <c r="M17" s="118">
        <f t="shared" si="2"/>
        <v>0</v>
      </c>
      <c r="N17" s="182">
        <f t="shared" si="2"/>
        <v>0</v>
      </c>
      <c r="O17" s="118">
        <f t="shared" si="2"/>
        <v>0</v>
      </c>
      <c r="P17" s="182">
        <f t="shared" si="2"/>
        <v>0</v>
      </c>
      <c r="Q17" s="83" t="s">
        <v>0</v>
      </c>
      <c r="R17" s="85"/>
      <c r="S17" s="112"/>
      <c r="T17" s="83"/>
    </row>
    <row r="18" spans="1:20" hidden="1">
      <c r="A18" s="178"/>
      <c r="B18" s="88"/>
      <c r="C18" s="99"/>
      <c r="D18" s="100"/>
      <c r="E18" s="114"/>
      <c r="F18" s="99"/>
      <c r="G18" s="100"/>
      <c r="H18" s="114"/>
      <c r="I18" s="99"/>
      <c r="J18" s="100"/>
      <c r="K18" s="99"/>
      <c r="L18" s="102"/>
      <c r="M18" s="99"/>
      <c r="N18" s="100"/>
      <c r="O18" s="99"/>
      <c r="P18" s="100"/>
      <c r="Q18" s="83" t="s">
        <v>0</v>
      </c>
      <c r="S18" s="104"/>
      <c r="T18" s="83"/>
    </row>
    <row r="19" spans="1:20" ht="25.5">
      <c r="A19" s="174" t="s">
        <v>111</v>
      </c>
      <c r="B19" s="88"/>
      <c r="C19" s="99"/>
      <c r="D19" s="100"/>
      <c r="E19" s="115"/>
      <c r="F19" s="99"/>
      <c r="G19" s="100"/>
      <c r="H19" s="115"/>
      <c r="I19" s="99"/>
      <c r="J19" s="100"/>
      <c r="K19" s="99"/>
      <c r="L19" s="102"/>
      <c r="M19" s="99"/>
      <c r="N19" s="100"/>
      <c r="O19" s="116"/>
      <c r="P19" s="117"/>
      <c r="Q19" s="83" t="s">
        <v>0</v>
      </c>
      <c r="S19" s="104"/>
      <c r="T19" s="83"/>
    </row>
    <row r="20" spans="1:20">
      <c r="A20" s="176" t="s">
        <v>100</v>
      </c>
      <c r="B20" s="88"/>
      <c r="C20" s="99">
        <f>23*0.03</f>
        <v>0.69</v>
      </c>
      <c r="D20" s="220">
        <f>4501705*0.03</f>
        <v>135051.15</v>
      </c>
      <c r="E20" s="115"/>
      <c r="F20" s="99">
        <f>23*0.03</f>
        <v>0.69</v>
      </c>
      <c r="G20" s="220">
        <f>1613069*0.03</f>
        <v>48392.07</v>
      </c>
      <c r="H20" s="224"/>
      <c r="I20" s="225">
        <f>23*0.03</f>
        <v>0.69</v>
      </c>
      <c r="J20" s="220">
        <f>1577944*0.03</f>
        <v>47338.32</v>
      </c>
      <c r="K20" s="99">
        <v>0</v>
      </c>
      <c r="L20" s="102">
        <v>0</v>
      </c>
      <c r="M20" s="99">
        <v>0</v>
      </c>
      <c r="N20" s="100">
        <v>0</v>
      </c>
      <c r="O20" s="99">
        <f t="shared" ref="O20:P25" si="3">+I20+K20+M20</f>
        <v>0.69</v>
      </c>
      <c r="P20" s="220">
        <f t="shared" si="3"/>
        <v>47338.32</v>
      </c>
      <c r="Q20" s="83" t="s">
        <v>0</v>
      </c>
      <c r="S20" s="104"/>
      <c r="T20" s="83"/>
    </row>
    <row r="21" spans="1:20" ht="31.5" hidden="1" customHeight="1">
      <c r="A21" s="175" t="s">
        <v>105</v>
      </c>
      <c r="B21" s="88"/>
      <c r="C21" s="99">
        <v>0</v>
      </c>
      <c r="D21" s="220"/>
      <c r="E21" s="115"/>
      <c r="F21" s="99"/>
      <c r="G21" s="220"/>
      <c r="H21" s="224"/>
      <c r="I21" s="225">
        <f t="shared" ref="I21:J25" si="4">+F21+C21</f>
        <v>0</v>
      </c>
      <c r="J21" s="220">
        <f t="shared" si="4"/>
        <v>0</v>
      </c>
      <c r="K21" s="99">
        <v>0</v>
      </c>
      <c r="L21" s="102">
        <v>0</v>
      </c>
      <c r="M21" s="99">
        <v>0</v>
      </c>
      <c r="N21" s="100">
        <v>0</v>
      </c>
      <c r="O21" s="99">
        <f t="shared" si="3"/>
        <v>0</v>
      </c>
      <c r="P21" s="220">
        <f t="shared" si="3"/>
        <v>0</v>
      </c>
      <c r="Q21" s="83" t="s">
        <v>0</v>
      </c>
      <c r="S21" s="104"/>
      <c r="T21" s="83"/>
    </row>
    <row r="22" spans="1:20" ht="25.5">
      <c r="A22" s="175" t="s">
        <v>104</v>
      </c>
      <c r="B22" s="88"/>
      <c r="C22" s="99">
        <f>23*0.67</f>
        <v>15.41</v>
      </c>
      <c r="D22" s="220">
        <f>4501705*0.67</f>
        <v>3016142.35</v>
      </c>
      <c r="E22" s="115"/>
      <c r="F22" s="99">
        <f>23*0.67</f>
        <v>15.41</v>
      </c>
      <c r="G22" s="220">
        <f>1613069*0.67</f>
        <v>1080756.23</v>
      </c>
      <c r="H22" s="224"/>
      <c r="I22" s="225">
        <f>23*0.67</f>
        <v>15.41</v>
      </c>
      <c r="J22" s="220">
        <f>1577944*0.67</f>
        <v>1057222.48</v>
      </c>
      <c r="K22" s="99">
        <v>0</v>
      </c>
      <c r="L22" s="102">
        <v>0</v>
      </c>
      <c r="M22" s="99">
        <v>0</v>
      </c>
      <c r="N22" s="100">
        <v>0</v>
      </c>
      <c r="O22" s="99">
        <f t="shared" si="3"/>
        <v>15.41</v>
      </c>
      <c r="P22" s="220">
        <f t="shared" si="3"/>
        <v>1057222.48</v>
      </c>
      <c r="Q22" s="83" t="s">
        <v>0</v>
      </c>
      <c r="S22" s="104"/>
      <c r="T22" s="83"/>
    </row>
    <row r="23" spans="1:20">
      <c r="A23" s="175" t="s">
        <v>101</v>
      </c>
      <c r="B23" s="88"/>
      <c r="C23" s="99">
        <f>23*0.3</f>
        <v>6.8999999999999995</v>
      </c>
      <c r="D23" s="220">
        <f>4501705*0.3</f>
        <v>1350511.5</v>
      </c>
      <c r="E23" s="115"/>
      <c r="F23" s="99">
        <f>23*0.3</f>
        <v>6.8999999999999995</v>
      </c>
      <c r="G23" s="220">
        <f>1613069*0.3</f>
        <v>483920.69999999995</v>
      </c>
      <c r="H23" s="224"/>
      <c r="I23" s="225">
        <f>23*0.3</f>
        <v>6.8999999999999995</v>
      </c>
      <c r="J23" s="220">
        <f>1577944*0.3</f>
        <v>473383.19999999995</v>
      </c>
      <c r="K23" s="99">
        <v>0</v>
      </c>
      <c r="L23" s="102">
        <v>0</v>
      </c>
      <c r="M23" s="99">
        <v>0</v>
      </c>
      <c r="N23" s="100">
        <v>0</v>
      </c>
      <c r="O23" s="99">
        <f t="shared" si="3"/>
        <v>6.8999999999999995</v>
      </c>
      <c r="P23" s="220">
        <f t="shared" si="3"/>
        <v>473383.19999999995</v>
      </c>
      <c r="Q23" s="83" t="s">
        <v>0</v>
      </c>
      <c r="S23" s="104"/>
      <c r="T23" s="83"/>
    </row>
    <row r="24" spans="1:20" hidden="1">
      <c r="A24" s="176" t="s">
        <v>102</v>
      </c>
      <c r="B24" s="88"/>
      <c r="C24" s="99"/>
      <c r="D24" s="220"/>
      <c r="E24" s="115"/>
      <c r="F24" s="99"/>
      <c r="G24" s="220"/>
      <c r="H24" s="224"/>
      <c r="I24" s="225">
        <f t="shared" si="4"/>
        <v>0</v>
      </c>
      <c r="J24" s="220">
        <f t="shared" si="4"/>
        <v>0</v>
      </c>
      <c r="K24" s="99"/>
      <c r="L24" s="102"/>
      <c r="M24" s="99"/>
      <c r="N24" s="100"/>
      <c r="O24" s="99">
        <f t="shared" si="3"/>
        <v>0</v>
      </c>
      <c r="P24" s="220">
        <f t="shared" si="3"/>
        <v>0</v>
      </c>
      <c r="Q24" s="83" t="s">
        <v>0</v>
      </c>
      <c r="S24" s="104"/>
      <c r="T24" s="83"/>
    </row>
    <row r="25" spans="1:20" hidden="1">
      <c r="A25" s="175" t="s">
        <v>103</v>
      </c>
      <c r="B25" s="88"/>
      <c r="C25" s="99"/>
      <c r="D25" s="220"/>
      <c r="E25" s="115"/>
      <c r="F25" s="99"/>
      <c r="G25" s="220"/>
      <c r="H25" s="224"/>
      <c r="I25" s="225">
        <f t="shared" si="4"/>
        <v>0</v>
      </c>
      <c r="J25" s="220">
        <f t="shared" si="4"/>
        <v>0</v>
      </c>
      <c r="K25" s="99"/>
      <c r="L25" s="102"/>
      <c r="M25" s="99"/>
      <c r="N25" s="100"/>
      <c r="O25" s="99">
        <f t="shared" si="3"/>
        <v>0</v>
      </c>
      <c r="P25" s="220">
        <f t="shared" si="3"/>
        <v>0</v>
      </c>
      <c r="Q25" s="83" t="s">
        <v>0</v>
      </c>
      <c r="R25" s="104"/>
      <c r="S25" s="104"/>
      <c r="T25" s="83"/>
    </row>
    <row r="26" spans="1:20">
      <c r="A26" s="177" t="s">
        <v>85</v>
      </c>
      <c r="B26" s="105"/>
      <c r="C26" s="118">
        <f>SUM(C20:C25)</f>
        <v>23</v>
      </c>
      <c r="D26" s="221">
        <f>SUM(D20:D25)</f>
        <v>4501705</v>
      </c>
      <c r="E26" s="185"/>
      <c r="F26" s="118">
        <f>SUM(F20:F25)</f>
        <v>23</v>
      </c>
      <c r="G26" s="221">
        <f>SUM(G20:G25)</f>
        <v>1613069</v>
      </c>
      <c r="H26" s="226"/>
      <c r="I26" s="227">
        <f t="shared" ref="I26:P26" si="5">SUM(I20:I25)</f>
        <v>23</v>
      </c>
      <c r="J26" s="221">
        <f t="shared" si="5"/>
        <v>1577944</v>
      </c>
      <c r="K26" s="118">
        <f t="shared" si="5"/>
        <v>0</v>
      </c>
      <c r="L26" s="186">
        <f t="shared" si="5"/>
        <v>0</v>
      </c>
      <c r="M26" s="118">
        <f t="shared" si="5"/>
        <v>0</v>
      </c>
      <c r="N26" s="182">
        <f t="shared" si="5"/>
        <v>0</v>
      </c>
      <c r="O26" s="118">
        <f t="shared" si="5"/>
        <v>23</v>
      </c>
      <c r="P26" s="221">
        <f t="shared" si="5"/>
        <v>1577944</v>
      </c>
      <c r="Q26" s="83" t="s">
        <v>0</v>
      </c>
      <c r="R26" s="112"/>
      <c r="S26" s="112"/>
      <c r="T26" s="83"/>
    </row>
    <row r="27" spans="1:20">
      <c r="A27" s="189"/>
      <c r="B27" s="104"/>
      <c r="C27" s="102"/>
      <c r="D27" s="222"/>
      <c r="E27" s="104"/>
      <c r="F27" s="102"/>
      <c r="G27" s="222"/>
      <c r="H27" s="228"/>
      <c r="I27" s="222"/>
      <c r="J27" s="229"/>
      <c r="K27" s="102"/>
      <c r="L27" s="102"/>
      <c r="M27" s="190"/>
      <c r="N27" s="190"/>
      <c r="O27" s="102"/>
      <c r="P27" s="220"/>
      <c r="Q27" s="83" t="s">
        <v>0</v>
      </c>
      <c r="R27" s="104"/>
      <c r="S27" s="104"/>
      <c r="T27" s="83"/>
    </row>
    <row r="28" spans="1:20" ht="39" hidden="1" customHeight="1">
      <c r="A28" s="174" t="s">
        <v>112</v>
      </c>
      <c r="B28" s="88"/>
      <c r="C28" s="99"/>
      <c r="D28" s="220"/>
      <c r="E28" s="101"/>
      <c r="F28" s="99"/>
      <c r="G28" s="220"/>
      <c r="H28" s="230"/>
      <c r="I28" s="225"/>
      <c r="J28" s="220"/>
      <c r="K28" s="99"/>
      <c r="L28" s="102"/>
      <c r="M28" s="99"/>
      <c r="N28" s="100"/>
      <c r="O28" s="99"/>
      <c r="P28" s="220"/>
      <c r="Q28" s="83" t="s">
        <v>0</v>
      </c>
      <c r="R28" s="104"/>
      <c r="S28" s="104"/>
      <c r="T28" s="83"/>
    </row>
    <row r="29" spans="1:20" ht="30" hidden="1" customHeight="1">
      <c r="A29" s="175" t="s">
        <v>106</v>
      </c>
      <c r="B29" s="88"/>
      <c r="C29" s="99"/>
      <c r="D29" s="220"/>
      <c r="E29" s="101"/>
      <c r="F29" s="99"/>
      <c r="G29" s="220"/>
      <c r="H29" s="230"/>
      <c r="I29" s="225">
        <f t="shared" ref="I29:J32" si="6">+F29+C29</f>
        <v>0</v>
      </c>
      <c r="J29" s="220">
        <f t="shared" si="6"/>
        <v>0</v>
      </c>
      <c r="K29" s="99"/>
      <c r="L29" s="102"/>
      <c r="M29" s="99"/>
      <c r="N29" s="100"/>
      <c r="O29" s="99">
        <f t="shared" ref="O29:P32" si="7">+I29+K29+M29</f>
        <v>0</v>
      </c>
      <c r="P29" s="220">
        <f t="shared" si="7"/>
        <v>0</v>
      </c>
      <c r="Q29" s="83" t="s">
        <v>0</v>
      </c>
      <c r="R29" s="104"/>
      <c r="S29" s="104"/>
      <c r="T29" s="83"/>
    </row>
    <row r="30" spans="1:20" ht="38.25" hidden="1">
      <c r="A30" s="175" t="s">
        <v>107</v>
      </c>
      <c r="B30" s="88"/>
      <c r="C30" s="99"/>
      <c r="D30" s="220"/>
      <c r="E30" s="101"/>
      <c r="F30" s="99"/>
      <c r="G30" s="220"/>
      <c r="H30" s="230"/>
      <c r="I30" s="225">
        <f t="shared" si="6"/>
        <v>0</v>
      </c>
      <c r="J30" s="220">
        <f t="shared" si="6"/>
        <v>0</v>
      </c>
      <c r="K30" s="99"/>
      <c r="L30" s="102"/>
      <c r="M30" s="99"/>
      <c r="N30" s="100"/>
      <c r="O30" s="99">
        <f t="shared" si="7"/>
        <v>0</v>
      </c>
      <c r="P30" s="220">
        <f t="shared" si="7"/>
        <v>0</v>
      </c>
      <c r="Q30" s="83" t="s">
        <v>0</v>
      </c>
      <c r="R30" s="104"/>
      <c r="S30" s="104"/>
      <c r="T30" s="83"/>
    </row>
    <row r="31" spans="1:20" ht="42" hidden="1" customHeight="1">
      <c r="A31" s="175" t="s">
        <v>108</v>
      </c>
      <c r="B31" s="88"/>
      <c r="C31" s="99"/>
      <c r="D31" s="220"/>
      <c r="E31" s="101"/>
      <c r="F31" s="99"/>
      <c r="G31" s="220"/>
      <c r="H31" s="230"/>
      <c r="I31" s="225">
        <f t="shared" si="6"/>
        <v>0</v>
      </c>
      <c r="J31" s="220">
        <f t="shared" si="6"/>
        <v>0</v>
      </c>
      <c r="K31" s="99"/>
      <c r="L31" s="102"/>
      <c r="M31" s="99"/>
      <c r="N31" s="100"/>
      <c r="O31" s="99">
        <f t="shared" si="7"/>
        <v>0</v>
      </c>
      <c r="P31" s="220">
        <f t="shared" si="7"/>
        <v>0</v>
      </c>
      <c r="Q31" s="83" t="s">
        <v>0</v>
      </c>
      <c r="R31" s="104"/>
      <c r="S31" s="104"/>
      <c r="T31" s="83"/>
    </row>
    <row r="32" spans="1:20" ht="25.5" hidden="1">
      <c r="A32" s="175" t="s">
        <v>109</v>
      </c>
      <c r="B32" s="88"/>
      <c r="C32" s="99"/>
      <c r="D32" s="220"/>
      <c r="E32" s="101"/>
      <c r="F32" s="99"/>
      <c r="G32" s="220"/>
      <c r="H32" s="230"/>
      <c r="I32" s="231">
        <f t="shared" si="6"/>
        <v>0</v>
      </c>
      <c r="J32" s="232">
        <f t="shared" si="6"/>
        <v>0</v>
      </c>
      <c r="K32" s="99"/>
      <c r="L32" s="102"/>
      <c r="M32" s="99"/>
      <c r="N32" s="100"/>
      <c r="O32" s="99">
        <f t="shared" si="7"/>
        <v>0</v>
      </c>
      <c r="P32" s="220">
        <f t="shared" si="7"/>
        <v>0</v>
      </c>
      <c r="Q32" s="83" t="s">
        <v>0</v>
      </c>
      <c r="R32" s="104"/>
      <c r="S32" s="104"/>
      <c r="T32" s="83"/>
    </row>
    <row r="33" spans="1:20" hidden="1">
      <c r="A33" s="177" t="s">
        <v>86</v>
      </c>
      <c r="B33" s="105"/>
      <c r="C33" s="118">
        <f>SUM(C29:C32)</f>
        <v>0</v>
      </c>
      <c r="D33" s="221">
        <f>SUM(D29:D32)</f>
        <v>0</v>
      </c>
      <c r="E33" s="183"/>
      <c r="F33" s="118">
        <f>SUM(F29:F32)</f>
        <v>0</v>
      </c>
      <c r="G33" s="221">
        <f>SUM(G29:G32)</f>
        <v>0</v>
      </c>
      <c r="H33" s="233"/>
      <c r="I33" s="227">
        <f t="shared" ref="I33:P33" si="8">SUM(I29:I32)</f>
        <v>0</v>
      </c>
      <c r="J33" s="221">
        <f t="shared" si="8"/>
        <v>0</v>
      </c>
      <c r="K33" s="118">
        <f t="shared" si="8"/>
        <v>0</v>
      </c>
      <c r="L33" s="186">
        <f t="shared" si="8"/>
        <v>0</v>
      </c>
      <c r="M33" s="185">
        <f t="shared" si="8"/>
        <v>0</v>
      </c>
      <c r="N33" s="182">
        <f t="shared" si="8"/>
        <v>0</v>
      </c>
      <c r="O33" s="118">
        <f t="shared" si="8"/>
        <v>0</v>
      </c>
      <c r="P33" s="221">
        <f t="shared" si="8"/>
        <v>0</v>
      </c>
      <c r="Q33" s="83" t="s">
        <v>0</v>
      </c>
      <c r="R33" s="112"/>
      <c r="S33" s="112"/>
      <c r="T33" s="83"/>
    </row>
    <row r="34" spans="1:20" ht="13.5" thickBot="1">
      <c r="A34" s="88"/>
      <c r="B34" s="88"/>
      <c r="C34" s="88"/>
      <c r="D34" s="93"/>
      <c r="E34" s="88"/>
      <c r="F34" s="88"/>
      <c r="G34" s="93"/>
      <c r="H34" s="93"/>
      <c r="I34" s="93"/>
      <c r="J34" s="93"/>
      <c r="K34" s="119"/>
      <c r="L34" s="119"/>
      <c r="M34" s="191"/>
      <c r="N34" s="88"/>
      <c r="O34" s="88"/>
      <c r="P34" s="93"/>
      <c r="Q34" s="83" t="s">
        <v>0</v>
      </c>
      <c r="R34" s="104"/>
      <c r="S34" s="104"/>
      <c r="T34" s="83"/>
    </row>
    <row r="35" spans="1:20" s="124" customFormat="1" ht="18.75" customHeight="1" thickBot="1">
      <c r="A35" s="120" t="s">
        <v>87</v>
      </c>
      <c r="B35" s="121"/>
      <c r="C35" s="198">
        <f>C17+C26+C33</f>
        <v>23</v>
      </c>
      <c r="D35" s="223">
        <f>D17+D26+D33</f>
        <v>4501705</v>
      </c>
      <c r="E35" s="88"/>
      <c r="F35" s="198">
        <f>F17+F26+F33</f>
        <v>23</v>
      </c>
      <c r="G35" s="223">
        <f>G17+G26+G33</f>
        <v>1613069</v>
      </c>
      <c r="H35" s="234"/>
      <c r="I35" s="235">
        <f t="shared" ref="I35:P35" si="9">I17+I26+I33</f>
        <v>23</v>
      </c>
      <c r="J35" s="223">
        <f t="shared" si="9"/>
        <v>1577944</v>
      </c>
      <c r="K35" s="198">
        <f t="shared" si="9"/>
        <v>0</v>
      </c>
      <c r="L35" s="199">
        <f t="shared" si="9"/>
        <v>0</v>
      </c>
      <c r="M35" s="198">
        <f t="shared" si="9"/>
        <v>0</v>
      </c>
      <c r="N35" s="199">
        <f t="shared" si="9"/>
        <v>0</v>
      </c>
      <c r="O35" s="198">
        <f t="shared" si="9"/>
        <v>23</v>
      </c>
      <c r="P35" s="223">
        <f t="shared" si="9"/>
        <v>1577944</v>
      </c>
      <c r="Q35" s="83" t="s">
        <v>4</v>
      </c>
      <c r="R35" s="122"/>
      <c r="S35" s="123"/>
      <c r="T35" s="83"/>
    </row>
    <row r="36" spans="1:20">
      <c r="A36" s="126"/>
      <c r="B36" s="126"/>
      <c r="C36" s="122"/>
      <c r="D36" s="123"/>
      <c r="E36" s="126"/>
      <c r="F36" s="122"/>
      <c r="G36" s="123"/>
      <c r="H36" s="126"/>
      <c r="I36" s="122"/>
      <c r="J36" s="123"/>
      <c r="K36" s="124"/>
      <c r="L36" s="124"/>
      <c r="M36" s="124"/>
      <c r="N36" s="124"/>
      <c r="O36" s="124"/>
      <c r="P36" s="124"/>
      <c r="Q36" s="124"/>
      <c r="R36" s="125"/>
      <c r="S36" s="125"/>
      <c r="T36" s="83"/>
    </row>
    <row r="37" spans="1:20">
      <c r="A37" s="188" t="s">
        <v>114</v>
      </c>
      <c r="B37" s="126"/>
      <c r="C37" s="122"/>
      <c r="D37" s="123"/>
      <c r="E37" s="126"/>
      <c r="F37" s="122"/>
      <c r="G37" s="123"/>
      <c r="H37" s="126"/>
      <c r="I37" s="122"/>
      <c r="J37" s="123"/>
      <c r="K37" s="124"/>
      <c r="L37" s="124"/>
      <c r="M37" s="124"/>
      <c r="N37" s="124"/>
      <c r="O37" s="124"/>
      <c r="P37" s="124"/>
      <c r="Q37" s="124"/>
      <c r="R37" s="125"/>
      <c r="S37" s="125"/>
      <c r="T37" s="83"/>
    </row>
    <row r="38" spans="1:20">
      <c r="A38" s="126"/>
      <c r="B38" s="126"/>
      <c r="C38" s="122"/>
      <c r="D38" s="123"/>
      <c r="E38" s="126"/>
      <c r="F38" s="122"/>
      <c r="G38" s="123"/>
      <c r="H38" s="126"/>
      <c r="I38" s="122"/>
      <c r="J38" s="123"/>
      <c r="K38" s="124"/>
      <c r="L38" s="124"/>
      <c r="M38" s="124"/>
      <c r="N38" s="124"/>
      <c r="O38" s="124"/>
      <c r="P38" s="124"/>
      <c r="Q38" s="124"/>
      <c r="R38" s="125"/>
      <c r="S38" s="125"/>
    </row>
    <row r="39" spans="1:20" ht="15.75" customHeight="1">
      <c r="A39" s="321" t="s">
        <v>143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195"/>
      <c r="R39" s="195"/>
      <c r="S39" s="195"/>
    </row>
    <row r="40" spans="1:20" ht="15">
      <c r="A40" s="301"/>
      <c r="B40" s="302"/>
      <c r="C40" s="302"/>
      <c r="D40" s="302"/>
      <c r="E40" s="302"/>
      <c r="F40" s="302"/>
      <c r="G40" s="302"/>
      <c r="H40" s="302"/>
      <c r="I40" s="302"/>
      <c r="J40" s="303"/>
      <c r="K40" s="303"/>
      <c r="L40" s="303"/>
      <c r="M40" s="303"/>
      <c r="N40" s="303"/>
      <c r="O40" s="303"/>
      <c r="P40" s="303"/>
      <c r="Q40" s="303"/>
      <c r="R40" s="303"/>
      <c r="S40" s="303"/>
    </row>
    <row r="41" spans="1:20">
      <c r="S41" s="83"/>
    </row>
  </sheetData>
  <customSheetViews>
    <customSheetView guid="{12C66D54-5067-4346-818B-6EAB1C8A9183}" scale="70" showPageBreaks="1" printArea="1" hiddenRows="1" view="pageBreakPreview">
      <selection activeCell="J23" sqref="J23"/>
      <pageMargins left="0.75" right="0.75" top="1" bottom="0.79" header="0.5" footer="0.5"/>
      <printOptions horizontalCentered="1"/>
      <pageSetup scale="54" orientation="landscape" r:id="rId1"/>
      <headerFooter alignWithMargins="0">
        <oddFooter>&amp;C&amp;"Times New Roman,Regular"Exhibit D - Resources by DOJ Strategic Goals &amp; Strategic Objectives</oddFooter>
      </headerFooter>
    </customSheetView>
    <customSheetView guid="{4148B88B-8ED7-4FDE-9459-DEB244AD0552}" scale="75" showPageBreaks="1" printArea="1" hiddenRows="1" view="pageBreakPreview">
      <selection activeCell="D45" sqref="D45"/>
      <pageMargins left="0.75" right="0.75" top="1" bottom="0.79" header="0.5" footer="0.5"/>
      <printOptions horizontalCentered="1"/>
      <pageSetup scale="54" orientation="landscape" r:id="rId2"/>
      <headerFooter alignWithMargins="0">
        <oddFooter>&amp;C&amp;"Times New Roman,Regular"Exhibit D - Resources by DOJ Strategic Goals &amp; Strategic Objectives</oddFooter>
      </headerFooter>
    </customSheetView>
    <customSheetView guid="{56C0A34E-45B4-448B-85E5-70B3A8E63333}" scale="75" showPageBreaks="1" printArea="1" hiddenRows="1" view="pageBreakPreview" topLeftCell="A7">
      <selection activeCell="F11" sqref="F11"/>
      <pageMargins left="0.75" right="0.75" top="1" bottom="0.79" header="0.5" footer="0.5"/>
      <printOptions horizontalCentered="1"/>
      <pageSetup scale="54" orientation="landscape" r:id="rId3"/>
      <headerFooter alignWithMargins="0">
        <oddFooter>&amp;C&amp;"Times New Roman,Regular"Exhibit D - Resources by DOJ Strategic Goals &amp; Strategic Objectives</oddFooter>
      </headerFooter>
    </customSheetView>
    <customSheetView guid="{3118AF25-8423-420A-806A-487665220C68}" scale="75" showPageBreaks="1" printArea="1" hiddenRows="1" view="pageBreakPreview" topLeftCell="A8">
      <selection activeCell="P43" sqref="P43"/>
      <pageMargins left="0.75" right="0.75" top="1" bottom="0.79" header="0.5" footer="0.5"/>
      <printOptions horizontalCentered="1"/>
      <pageSetup scale="54" orientation="landscape" r:id="rId4"/>
      <headerFooter alignWithMargins="0">
        <oddFooter>&amp;C&amp;"Times New Roman,Regular"Exhibit D - Resources by DOJ Strategic Goals &amp; Strategic Objectives</oddFooter>
      </headerFooter>
    </customSheetView>
  </customSheetViews>
  <mergeCells count="14">
    <mergeCell ref="A1:P1"/>
    <mergeCell ref="A3:P3"/>
    <mergeCell ref="A4:P4"/>
    <mergeCell ref="A5:P5"/>
    <mergeCell ref="C8:D9"/>
    <mergeCell ref="A40:S40"/>
    <mergeCell ref="M9:N9"/>
    <mergeCell ref="A10:A11"/>
    <mergeCell ref="F8:G9"/>
    <mergeCell ref="O8:P9"/>
    <mergeCell ref="K8:N8"/>
    <mergeCell ref="K9:L9"/>
    <mergeCell ref="I8:J9"/>
    <mergeCell ref="A39:P39"/>
  </mergeCells>
  <printOptions horizontalCentered="1"/>
  <pageMargins left="0.75" right="0.75" top="1" bottom="0.79" header="0.5" footer="0.5"/>
  <pageSetup scale="54" orientation="landscape" r:id="rId5"/>
  <headerFooter alignWithMargins="0">
    <oddFooter>&amp;C&amp;"Times New Roman,Regular"Exhibit D - Resources by DOJ Strategic Goals &amp; Strategic Objectives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  <pageSetUpPr fitToPage="1"/>
  </sheetPr>
  <dimension ref="A1:AC35"/>
  <sheetViews>
    <sheetView showGridLines="0" showOutlineSymbols="0" view="pageLayout" topLeftCell="A8" zoomScaleNormal="80" zoomScaleSheetLayoutView="100" workbookViewId="0">
      <selection activeCell="A8" sqref="A8:R8"/>
    </sheetView>
  </sheetViews>
  <sheetFormatPr defaultColWidth="8.88671875" defaultRowHeight="15.75"/>
  <cols>
    <col min="1" max="1" width="27.77734375" style="4" customWidth="1"/>
    <col min="2" max="2" width="7.5546875" style="4" bestFit="1" customWidth="1"/>
    <col min="3" max="3" width="6.77734375" style="4" customWidth="1"/>
    <col min="4" max="4" width="10.88671875" style="4" bestFit="1" customWidth="1"/>
    <col min="5" max="5" width="5.77734375" style="4" customWidth="1"/>
    <col min="6" max="6" width="5.6640625" style="4" customWidth="1"/>
    <col min="7" max="7" width="9.44140625" style="4" customWidth="1"/>
    <col min="8" max="8" width="5.5546875" style="4" customWidth="1"/>
    <col min="9" max="9" width="5.6640625" style="4" customWidth="1"/>
    <col min="10" max="10" width="7.77734375" style="4" customWidth="1"/>
    <col min="11" max="11" width="9.33203125" style="4" bestFit="1" customWidth="1"/>
    <col min="12" max="12" width="10" style="4" customWidth="1"/>
    <col min="13" max="13" width="7.5546875" style="4" bestFit="1" customWidth="1"/>
    <col min="14" max="14" width="10.21875" style="4" customWidth="1"/>
    <col min="15" max="15" width="10.88671875" style="4" bestFit="1" customWidth="1"/>
    <col min="16" max="16" width="3.88671875" style="21" bestFit="1" customWidth="1"/>
    <col min="17" max="17" width="8.88671875" style="4"/>
    <col min="18" max="18" width="15.44140625" style="4" customWidth="1"/>
    <col min="19" max="16384" width="8.88671875" style="4"/>
  </cols>
  <sheetData>
    <row r="1" spans="1:29" ht="20.25">
      <c r="A1" s="361" t="s">
        <v>139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</row>
    <row r="2" spans="1:29" ht="16.5" customHeight="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</row>
    <row r="3" spans="1:29" ht="16.5" customHeight="1">
      <c r="A3" s="363" t="s">
        <v>94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</row>
    <row r="4" spans="1:29" ht="16.5" customHeight="1">
      <c r="A4" s="365" t="s">
        <v>113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</row>
    <row r="5" spans="1:29" ht="16.5" customHeight="1">
      <c r="A5" s="365" t="s">
        <v>57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</row>
    <row r="6" spans="1:29" ht="16.5" customHeight="1">
      <c r="A6" s="330" t="s">
        <v>56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</row>
    <row r="7" spans="1:29" ht="16.5" customHeight="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</row>
    <row r="8" spans="1:29" ht="16.5" customHeight="1">
      <c r="A8" s="335"/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</row>
    <row r="9" spans="1:29" ht="16.5" customHeight="1">
      <c r="A9" s="352" t="s">
        <v>13</v>
      </c>
      <c r="B9" s="346" t="s">
        <v>141</v>
      </c>
      <c r="C9" s="347"/>
      <c r="D9" s="348"/>
      <c r="E9" s="355" t="s">
        <v>63</v>
      </c>
      <c r="F9" s="356"/>
      <c r="G9" s="357"/>
      <c r="H9" s="355" t="s">
        <v>64</v>
      </c>
      <c r="I9" s="356"/>
      <c r="J9" s="357"/>
      <c r="K9" s="336" t="s">
        <v>3</v>
      </c>
      <c r="L9" s="337"/>
      <c r="M9" s="338"/>
      <c r="N9" s="342" t="s">
        <v>88</v>
      </c>
      <c r="O9" s="344" t="s">
        <v>89</v>
      </c>
      <c r="P9" s="336" t="s">
        <v>93</v>
      </c>
      <c r="Q9" s="337"/>
      <c r="R9" s="338"/>
    </row>
    <row r="10" spans="1:29" ht="16.5" customHeight="1">
      <c r="A10" s="353"/>
      <c r="B10" s="349"/>
      <c r="C10" s="350"/>
      <c r="D10" s="351"/>
      <c r="E10" s="358"/>
      <c r="F10" s="359"/>
      <c r="G10" s="360"/>
      <c r="H10" s="358"/>
      <c r="I10" s="359"/>
      <c r="J10" s="360"/>
      <c r="K10" s="339"/>
      <c r="L10" s="340"/>
      <c r="M10" s="341"/>
      <c r="N10" s="343"/>
      <c r="O10" s="345"/>
      <c r="P10" s="339"/>
      <c r="Q10" s="340"/>
      <c r="R10" s="341"/>
    </row>
    <row r="11" spans="1:29" ht="16.5" customHeight="1" thickBot="1">
      <c r="A11" s="354"/>
      <c r="B11" s="58" t="s">
        <v>67</v>
      </c>
      <c r="C11" s="59" t="s">
        <v>15</v>
      </c>
      <c r="D11" s="59" t="s">
        <v>69</v>
      </c>
      <c r="E11" s="58" t="s">
        <v>67</v>
      </c>
      <c r="F11" s="59" t="s">
        <v>15</v>
      </c>
      <c r="G11" s="59" t="s">
        <v>69</v>
      </c>
      <c r="H11" s="58" t="s">
        <v>67</v>
      </c>
      <c r="I11" s="59" t="s">
        <v>15</v>
      </c>
      <c r="J11" s="59" t="s">
        <v>69</v>
      </c>
      <c r="K11" s="58" t="s">
        <v>67</v>
      </c>
      <c r="L11" s="59" t="s">
        <v>15</v>
      </c>
      <c r="M11" s="59" t="s">
        <v>69</v>
      </c>
      <c r="N11" s="132" t="s">
        <v>69</v>
      </c>
      <c r="O11" s="133" t="s">
        <v>69</v>
      </c>
      <c r="P11" s="58" t="s">
        <v>67</v>
      </c>
      <c r="Q11" s="59" t="s">
        <v>15</v>
      </c>
      <c r="R11" s="60" t="s">
        <v>69</v>
      </c>
    </row>
    <row r="12" spans="1:29" ht="16.5" customHeight="1">
      <c r="A12" s="211" t="s">
        <v>115</v>
      </c>
      <c r="B12" s="200" t="s">
        <v>121</v>
      </c>
      <c r="C12" s="206">
        <v>23</v>
      </c>
      <c r="D12" s="236">
        <f>5158834-D13-G15-J15-M15-N15-O15</f>
        <v>4702903</v>
      </c>
      <c r="E12" s="54"/>
      <c r="F12" s="42"/>
      <c r="G12" s="42"/>
      <c r="H12" s="54"/>
      <c r="I12" s="42"/>
      <c r="J12" s="42"/>
      <c r="K12" s="54"/>
      <c r="L12" s="42"/>
      <c r="M12" s="42"/>
      <c r="N12" s="22">
        <v>1024189</v>
      </c>
      <c r="O12" s="42">
        <v>85794</v>
      </c>
      <c r="P12" s="200" t="s">
        <v>121</v>
      </c>
      <c r="Q12" s="42">
        <f t="shared" ref="P12:Q14" si="0">C12+F12+I12+L12</f>
        <v>23</v>
      </c>
      <c r="R12" s="23">
        <f>D12+G12+J12+M12+N12+O12</f>
        <v>5812886</v>
      </c>
    </row>
    <row r="13" spans="1:29" ht="16.5" customHeight="1">
      <c r="A13" s="192" t="s">
        <v>117</v>
      </c>
      <c r="B13" s="54"/>
      <c r="C13" s="42"/>
      <c r="D13" s="236">
        <v>20948</v>
      </c>
      <c r="E13" s="54"/>
      <c r="F13" s="42"/>
      <c r="G13" s="42"/>
      <c r="H13" s="54"/>
      <c r="I13" s="42"/>
      <c r="J13" s="42"/>
      <c r="K13" s="54"/>
      <c r="L13" s="42"/>
      <c r="M13" s="42"/>
      <c r="N13" s="22"/>
      <c r="O13" s="42"/>
      <c r="P13" s="54">
        <f t="shared" si="0"/>
        <v>0</v>
      </c>
      <c r="Q13" s="42">
        <f t="shared" si="0"/>
        <v>0</v>
      </c>
      <c r="R13" s="23">
        <f>D13+G13+J13+M13+N13+O13</f>
        <v>20948</v>
      </c>
    </row>
    <row r="14" spans="1:29" ht="16.5" customHeight="1">
      <c r="A14" s="62" t="s">
        <v>116</v>
      </c>
      <c r="B14" s="202"/>
      <c r="C14" s="203"/>
      <c r="D14" s="237"/>
      <c r="E14" s="202"/>
      <c r="F14" s="203"/>
      <c r="G14" s="203">
        <v>-675000</v>
      </c>
      <c r="H14" s="202"/>
      <c r="I14" s="203"/>
      <c r="J14" s="203"/>
      <c r="K14" s="202"/>
      <c r="L14" s="203"/>
      <c r="M14" s="203"/>
      <c r="N14" s="204"/>
      <c r="O14" s="203"/>
      <c r="P14" s="202">
        <f t="shared" si="0"/>
        <v>0</v>
      </c>
      <c r="Q14" s="203">
        <f t="shared" si="0"/>
        <v>0</v>
      </c>
      <c r="R14" s="205">
        <f t="shared" ref="R14" si="1">D14+G14+J14+M14+N14+O14</f>
        <v>-675000</v>
      </c>
    </row>
    <row r="15" spans="1:29" ht="16.5" customHeight="1">
      <c r="A15" s="63" t="s">
        <v>76</v>
      </c>
      <c r="B15" s="201" t="s">
        <v>121</v>
      </c>
      <c r="C15" s="65">
        <f t="shared" ref="C15:R15" si="2">SUM(C12:C14)</f>
        <v>23</v>
      </c>
      <c r="D15" s="238">
        <f>SUM(D12:D14)</f>
        <v>4723851</v>
      </c>
      <c r="E15" s="64">
        <f t="shared" si="2"/>
        <v>0</v>
      </c>
      <c r="F15" s="65">
        <f t="shared" si="2"/>
        <v>0</v>
      </c>
      <c r="G15" s="66">
        <f t="shared" si="2"/>
        <v>-675000</v>
      </c>
      <c r="H15" s="64">
        <f t="shared" si="2"/>
        <v>0</v>
      </c>
      <c r="I15" s="65">
        <f t="shared" si="2"/>
        <v>0</v>
      </c>
      <c r="J15" s="66">
        <f t="shared" si="2"/>
        <v>0</v>
      </c>
      <c r="K15" s="64">
        <f t="shared" si="2"/>
        <v>0</v>
      </c>
      <c r="L15" s="65">
        <f t="shared" si="2"/>
        <v>0</v>
      </c>
      <c r="M15" s="66">
        <f t="shared" si="2"/>
        <v>0</v>
      </c>
      <c r="N15" s="129">
        <f t="shared" si="2"/>
        <v>1024189</v>
      </c>
      <c r="O15" s="66">
        <f t="shared" si="2"/>
        <v>85794</v>
      </c>
      <c r="P15" s="201" t="s">
        <v>121</v>
      </c>
      <c r="Q15" s="65">
        <f t="shared" si="2"/>
        <v>23</v>
      </c>
      <c r="R15" s="239">
        <f t="shared" si="2"/>
        <v>5158834</v>
      </c>
    </row>
    <row r="16" spans="1:29" ht="16.5" customHeight="1">
      <c r="A16" s="57" t="s">
        <v>59</v>
      </c>
      <c r="B16" s="52" t="s">
        <v>68</v>
      </c>
      <c r="C16" s="53"/>
      <c r="D16" s="53"/>
      <c r="E16" s="52"/>
      <c r="F16" s="53"/>
      <c r="G16" s="53"/>
      <c r="H16" s="52"/>
      <c r="I16" s="53"/>
      <c r="J16" s="53"/>
      <c r="K16" s="52"/>
      <c r="L16" s="53"/>
      <c r="M16" s="53"/>
      <c r="N16" s="24"/>
      <c r="O16" s="53"/>
      <c r="P16" s="52"/>
      <c r="Q16" s="53">
        <f>C16+F16+I16+L16</f>
        <v>0</v>
      </c>
      <c r="R16" s="68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18" ht="16.5" customHeight="1">
      <c r="A17" s="57" t="s">
        <v>58</v>
      </c>
      <c r="B17" s="201" t="s">
        <v>121</v>
      </c>
      <c r="C17" s="70">
        <f>SUM(C15:C16)</f>
        <v>23</v>
      </c>
      <c r="D17" s="70"/>
      <c r="E17" s="69"/>
      <c r="F17" s="70">
        <f>+F15+F16</f>
        <v>0</v>
      </c>
      <c r="G17" s="70"/>
      <c r="H17" s="69"/>
      <c r="I17" s="70">
        <f>+I15+I16</f>
        <v>0</v>
      </c>
      <c r="J17" s="70"/>
      <c r="K17" s="69"/>
      <c r="L17" s="70">
        <f>+L15+L16</f>
        <v>0</v>
      </c>
      <c r="M17" s="70"/>
      <c r="N17" s="130"/>
      <c r="O17" s="70"/>
      <c r="P17" s="201" t="s">
        <v>121</v>
      </c>
      <c r="Q17" s="70">
        <f>SUM(Q15:Q16)</f>
        <v>23</v>
      </c>
      <c r="R17" s="71"/>
    </row>
    <row r="18" spans="1:18" ht="16.5" customHeight="1">
      <c r="A18" s="72" t="s">
        <v>60</v>
      </c>
      <c r="B18" s="54"/>
      <c r="C18" s="42"/>
      <c r="D18" s="42"/>
      <c r="E18" s="54"/>
      <c r="F18" s="42"/>
      <c r="G18" s="42"/>
      <c r="H18" s="54"/>
      <c r="I18" s="42"/>
      <c r="J18" s="42"/>
      <c r="K18" s="54"/>
      <c r="L18" s="42"/>
      <c r="M18" s="42"/>
      <c r="N18" s="22"/>
      <c r="O18" s="42"/>
      <c r="P18" s="54"/>
      <c r="Q18" s="42"/>
      <c r="R18" s="23"/>
    </row>
    <row r="19" spans="1:18" ht="16.5" customHeight="1">
      <c r="A19" s="73" t="s">
        <v>19</v>
      </c>
      <c r="B19" s="54"/>
      <c r="C19" s="42">
        <v>0</v>
      </c>
      <c r="D19" s="42"/>
      <c r="E19" s="54"/>
      <c r="F19" s="42">
        <v>0</v>
      </c>
      <c r="G19" s="42"/>
      <c r="H19" s="54"/>
      <c r="I19" s="42">
        <v>0</v>
      </c>
      <c r="J19" s="42"/>
      <c r="K19" s="54"/>
      <c r="L19" s="42">
        <v>0</v>
      </c>
      <c r="M19" s="42"/>
      <c r="N19" s="22"/>
      <c r="O19" s="42"/>
      <c r="P19" s="54"/>
      <c r="Q19" s="42">
        <f>C19+F19+I19+L19</f>
        <v>0</v>
      </c>
      <c r="R19" s="23"/>
    </row>
    <row r="20" spans="1:18" ht="16.5" customHeight="1">
      <c r="A20" s="74" t="s">
        <v>24</v>
      </c>
      <c r="B20" s="52"/>
      <c r="C20" s="53">
        <v>0</v>
      </c>
      <c r="D20" s="53"/>
      <c r="E20" s="52"/>
      <c r="F20" s="53">
        <v>0</v>
      </c>
      <c r="G20" s="53"/>
      <c r="H20" s="52"/>
      <c r="I20" s="53">
        <v>0</v>
      </c>
      <c r="J20" s="53"/>
      <c r="K20" s="52"/>
      <c r="L20" s="53">
        <v>0</v>
      </c>
      <c r="M20" s="53"/>
      <c r="N20" s="24"/>
      <c r="O20" s="53"/>
      <c r="P20" s="52"/>
      <c r="Q20" s="53">
        <f>C20+F20+I20+L20</f>
        <v>0</v>
      </c>
      <c r="R20" s="68"/>
    </row>
    <row r="21" spans="1:18" ht="16.5" customHeight="1">
      <c r="A21" s="57" t="s">
        <v>61</v>
      </c>
      <c r="B21" s="201" t="s">
        <v>121</v>
      </c>
      <c r="C21" s="53">
        <f>C20+C19+C17</f>
        <v>23</v>
      </c>
      <c r="D21" s="75"/>
      <c r="E21" s="52"/>
      <c r="F21" s="53">
        <f>F20+F19+F17</f>
        <v>0</v>
      </c>
      <c r="G21" s="75"/>
      <c r="H21" s="52"/>
      <c r="I21" s="53">
        <f>I20+I19+I17</f>
        <v>0</v>
      </c>
      <c r="J21" s="75"/>
      <c r="K21" s="52"/>
      <c r="L21" s="53">
        <f>L20+L19+L17</f>
        <v>0</v>
      </c>
      <c r="M21" s="75"/>
      <c r="N21" s="131"/>
      <c r="O21" s="75"/>
      <c r="P21" s="201" t="s">
        <v>121</v>
      </c>
      <c r="Q21" s="53">
        <f>Q20+Q19+Q17</f>
        <v>23</v>
      </c>
      <c r="R21" s="76"/>
    </row>
    <row r="22" spans="1:18" ht="16.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6.5" customHeight="1">
      <c r="A23" s="240" t="s">
        <v>142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1"/>
      <c r="P23" s="1"/>
      <c r="Q23" s="1"/>
      <c r="R23" s="1"/>
    </row>
    <row r="24" spans="1:18" ht="16.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6.5" customHeight="1">
      <c r="A25" s="193" t="s">
        <v>118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</row>
    <row r="26" spans="1:18" ht="16.5" customHeight="1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</row>
    <row r="27" spans="1:18" ht="16.5" customHeight="1">
      <c r="A27" s="332" t="s">
        <v>148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</row>
    <row r="28" spans="1:18" ht="16.5" customHeight="1">
      <c r="A28" s="333" t="s">
        <v>149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</row>
    <row r="29" spans="1:18" ht="16.5" customHeight="1">
      <c r="A29" s="3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P29" s="10"/>
      <c r="Q29" s="10"/>
      <c r="R29" s="10"/>
    </row>
    <row r="30" spans="1:18" ht="16.5" customHeight="1">
      <c r="A30" s="208" t="s">
        <v>122</v>
      </c>
      <c r="B30" s="173"/>
      <c r="C30" s="173"/>
      <c r="D30" s="173"/>
      <c r="E30" s="173"/>
      <c r="F30" s="173"/>
      <c r="G30" s="173"/>
      <c r="H30" s="173"/>
      <c r="I30" s="127"/>
      <c r="J30" s="173"/>
      <c r="K30" s="173"/>
      <c r="L30" s="173"/>
      <c r="M30" s="173"/>
      <c r="P30" s="173"/>
      <c r="Q30" s="173"/>
      <c r="R30" s="173"/>
    </row>
    <row r="31" spans="1:18" ht="16.5" customHeight="1">
      <c r="A31" s="209" t="s">
        <v>123</v>
      </c>
      <c r="B31" s="173"/>
      <c r="C31" s="173"/>
      <c r="D31" s="173"/>
      <c r="E31" s="173"/>
      <c r="F31" s="173"/>
      <c r="G31" s="173"/>
      <c r="H31" s="173"/>
      <c r="I31" s="127"/>
      <c r="J31" s="173"/>
      <c r="K31" s="173"/>
      <c r="L31" s="173"/>
      <c r="M31" s="173"/>
      <c r="P31" s="173"/>
      <c r="Q31" s="173"/>
      <c r="R31" s="173"/>
    </row>
    <row r="32" spans="1:18" ht="16.5" customHeight="1">
      <c r="A32" s="173"/>
      <c r="B32" s="173"/>
      <c r="C32" s="173"/>
      <c r="D32" s="173"/>
      <c r="E32" s="173"/>
      <c r="F32" s="173"/>
      <c r="G32" s="173"/>
      <c r="H32" s="173"/>
      <c r="I32" s="127"/>
      <c r="J32" s="173"/>
      <c r="K32" s="173"/>
      <c r="L32" s="173"/>
      <c r="M32" s="173"/>
      <c r="P32" s="173"/>
      <c r="Q32" s="173"/>
      <c r="R32" s="173"/>
    </row>
    <row r="33" ht="16.5" customHeight="1"/>
    <row r="34" ht="16.5" customHeight="1"/>
    <row r="35" ht="16.5" customHeight="1"/>
  </sheetData>
  <customSheetViews>
    <customSheetView guid="{12C66D54-5067-4346-818B-6EAB1C8A9183}" scale="75" showPageBreaks="1" showGridLines="0" outlineSymbols="0" fitToPage="1" printArea="1" view="pageBreakPreview">
      <selection activeCell="A36" sqref="A36:O36"/>
      <pageMargins left="0.5" right="0.5" top="0.5" bottom="0.55000000000000004" header="0" footer="0"/>
      <printOptions horizontalCentered="1"/>
      <pageSetup scale="79" firstPageNumber="2" orientation="landscape" useFirstPageNumber="1" horizontalDpi="300" verticalDpi="300" r:id="rId1"/>
      <headerFooter alignWithMargins="0">
        <oddFooter>&amp;C&amp;"Times New Roman,Regular"Exhibit F - Crosswalk of 2011 Availability</oddFooter>
      </headerFooter>
    </customSheetView>
    <customSheetView guid="{4148B88B-8ED7-4FDE-9459-DEB244AD0552}" scale="75" showPageBreaks="1" showGridLines="0" outlineSymbols="0" fitToPage="1" printArea="1" hiddenColumns="1" view="pageBreakPreview">
      <selection activeCell="L12" sqref="L12"/>
      <pageMargins left="0.5" right="0.5" top="0.5" bottom="0.55000000000000004" header="0" footer="0"/>
      <printOptions horizontalCentered="1"/>
      <pageSetup scale="79" firstPageNumber="2" orientation="landscape" useFirstPageNumber="1" horizontalDpi="300" verticalDpi="300" r:id="rId2"/>
      <headerFooter alignWithMargins="0">
        <oddFooter>&amp;C&amp;"Times New Roman,Regular"Exhibit F - Crosswalk of 2011 Availability</oddFooter>
      </headerFooter>
    </customSheetView>
    <customSheetView guid="{56C0A34E-45B4-448B-85E5-70B3A8E63333}" scale="75" showPageBreaks="1" showGridLines="0" outlineSymbols="0" fitToPage="1" printArea="1" view="pageBreakPreview">
      <selection activeCell="S30" sqref="S30"/>
      <pageMargins left="0.5" right="0.5" top="0.5" bottom="0.55000000000000004" header="0" footer="0"/>
      <printOptions horizontalCentered="1"/>
      <pageSetup scale="68" firstPageNumber="2" orientation="landscape" useFirstPageNumber="1" horizontalDpi="300" verticalDpi="300" r:id="rId3"/>
      <headerFooter alignWithMargins="0">
        <oddFooter>&amp;C&amp;"Times New Roman,Regular"Exhibit F - Crosswalk of 2011 Availability</oddFooter>
      </headerFooter>
    </customSheetView>
    <customSheetView guid="{3118AF25-8423-420A-806A-487665220C68}" scale="75" showPageBreaks="1" showGridLines="0" outlineSymbols="0" fitToPage="1" printArea="1" view="pageBreakPreview">
      <selection activeCell="N22" sqref="N22"/>
      <pageMargins left="0.5" right="0.5" top="0.5" bottom="0.55000000000000004" header="0" footer="0"/>
      <printOptions horizontalCentered="1"/>
      <pageSetup scale="79" firstPageNumber="2" orientation="landscape" useFirstPageNumber="1" horizontalDpi="300" verticalDpi="300" r:id="rId4"/>
      <headerFooter alignWithMargins="0">
        <oddFooter>&amp;C&amp;"Times New Roman,Regular"Exhibit F - Crosswalk of 2011 Availability</oddFooter>
      </headerFooter>
    </customSheetView>
  </customSheetViews>
  <mergeCells count="18">
    <mergeCell ref="A1:R1"/>
    <mergeCell ref="A2:R2"/>
    <mergeCell ref="A3:R3"/>
    <mergeCell ref="A4:R4"/>
    <mergeCell ref="A5:R5"/>
    <mergeCell ref="A6:R6"/>
    <mergeCell ref="A27:R27"/>
    <mergeCell ref="A28:R28"/>
    <mergeCell ref="A7:R7"/>
    <mergeCell ref="A8:R8"/>
    <mergeCell ref="K9:M10"/>
    <mergeCell ref="N9:N10"/>
    <mergeCell ref="O9:O10"/>
    <mergeCell ref="P9:R10"/>
    <mergeCell ref="B9:D10"/>
    <mergeCell ref="A9:A11"/>
    <mergeCell ref="H9:J10"/>
    <mergeCell ref="E9:G10"/>
  </mergeCells>
  <phoneticPr fontId="0" type="noConversion"/>
  <printOptions horizontalCentered="1"/>
  <pageMargins left="0.5" right="0.5" top="0.5" bottom="0.55000000000000004" header="0" footer="0"/>
  <pageSetup scale="63" firstPageNumber="2" orientation="landscape" useFirstPageNumber="1" horizontalDpi="300" verticalDpi="300" r:id="rId5"/>
  <headerFooter alignWithMargins="0">
    <oddFooter>&amp;C&amp;"Times New Roman,Regular"Exhibit F - Crosswalk of 2012 Availability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7"/>
  <sheetViews>
    <sheetView topLeftCell="A7" zoomScale="80" zoomScaleNormal="80" zoomScaleSheetLayoutView="100" workbookViewId="0">
      <selection activeCell="A7" sqref="A7:R7"/>
    </sheetView>
  </sheetViews>
  <sheetFormatPr defaultRowHeight="15.75"/>
  <cols>
    <col min="1" max="1" width="35.21875" customWidth="1"/>
    <col min="4" max="4" width="10.44140625" bestFit="1" customWidth="1"/>
    <col min="5" max="5" width="4.109375" bestFit="1" customWidth="1"/>
    <col min="7" max="7" width="9.33203125" bestFit="1" customWidth="1"/>
    <col min="8" max="8" width="8.88671875" hidden="1" customWidth="1"/>
    <col min="9" max="9" width="8.88671875" style="127" hidden="1" customWidth="1"/>
    <col min="10" max="10" width="8.88671875" hidden="1" customWidth="1"/>
    <col min="14" max="14" width="10.109375" style="4" bestFit="1" customWidth="1"/>
    <col min="15" max="15" width="10" style="4" customWidth="1"/>
    <col min="18" max="18" width="10.109375" bestFit="1" customWidth="1"/>
    <col min="20" max="20" width="9.33203125" bestFit="1" customWidth="1"/>
  </cols>
  <sheetData>
    <row r="1" spans="1:20" ht="20.25">
      <c r="A1" s="361" t="s">
        <v>133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20" t="s">
        <v>0</v>
      </c>
      <c r="T1" s="4"/>
    </row>
    <row r="2" spans="1:20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20" t="s">
        <v>0</v>
      </c>
      <c r="T2" s="4"/>
    </row>
    <row r="3" spans="1:20" ht="18.75">
      <c r="A3" s="363" t="s">
        <v>132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20" t="s">
        <v>0</v>
      </c>
      <c r="T3" s="4"/>
    </row>
    <row r="4" spans="1:20" ht="16.5">
      <c r="A4" s="365" t="s">
        <v>113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20" t="s">
        <v>0</v>
      </c>
      <c r="T4" s="4"/>
    </row>
    <row r="5" spans="1:20" ht="16.5">
      <c r="A5" s="365" t="s">
        <v>57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20" t="s">
        <v>0</v>
      </c>
      <c r="T5" s="4"/>
    </row>
    <row r="6" spans="1:20">
      <c r="A6" s="330" t="s">
        <v>56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20" t="s">
        <v>0</v>
      </c>
      <c r="T6" s="4"/>
    </row>
    <row r="7" spans="1:20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20" t="s">
        <v>0</v>
      </c>
      <c r="T7" s="4"/>
    </row>
    <row r="8" spans="1:20">
      <c r="A8" s="335"/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20" t="s">
        <v>0</v>
      </c>
      <c r="T8" s="4"/>
    </row>
    <row r="9" spans="1:20" ht="15.75" customHeight="1">
      <c r="A9" s="352" t="s">
        <v>13</v>
      </c>
      <c r="B9" s="346" t="s">
        <v>145</v>
      </c>
      <c r="C9" s="347"/>
      <c r="D9" s="348"/>
      <c r="E9" s="355" t="s">
        <v>63</v>
      </c>
      <c r="F9" s="356"/>
      <c r="G9" s="357"/>
      <c r="H9" s="355" t="s">
        <v>64</v>
      </c>
      <c r="I9" s="356"/>
      <c r="J9" s="357"/>
      <c r="K9" s="336" t="s">
        <v>3</v>
      </c>
      <c r="L9" s="337"/>
      <c r="M9" s="338"/>
      <c r="N9" s="342" t="s">
        <v>88</v>
      </c>
      <c r="O9" s="344" t="s">
        <v>89</v>
      </c>
      <c r="P9" s="336" t="s">
        <v>134</v>
      </c>
      <c r="Q9" s="337"/>
      <c r="R9" s="338"/>
      <c r="S9" s="20" t="s">
        <v>0</v>
      </c>
      <c r="T9" s="4"/>
    </row>
    <row r="10" spans="1:20">
      <c r="A10" s="353"/>
      <c r="B10" s="349"/>
      <c r="C10" s="350"/>
      <c r="D10" s="351"/>
      <c r="E10" s="358"/>
      <c r="F10" s="359"/>
      <c r="G10" s="360"/>
      <c r="H10" s="358"/>
      <c r="I10" s="359"/>
      <c r="J10" s="360"/>
      <c r="K10" s="339"/>
      <c r="L10" s="340"/>
      <c r="M10" s="341"/>
      <c r="N10" s="343"/>
      <c r="O10" s="345"/>
      <c r="P10" s="339"/>
      <c r="Q10" s="340"/>
      <c r="R10" s="341"/>
      <c r="S10" s="20" t="s">
        <v>0</v>
      </c>
      <c r="T10" s="4"/>
    </row>
    <row r="11" spans="1:20" ht="16.5" thickBot="1">
      <c r="A11" s="354"/>
      <c r="B11" s="58" t="s">
        <v>67</v>
      </c>
      <c r="C11" s="59" t="s">
        <v>15</v>
      </c>
      <c r="D11" s="59" t="s">
        <v>69</v>
      </c>
      <c r="E11" s="58" t="s">
        <v>67</v>
      </c>
      <c r="F11" s="59" t="s">
        <v>15</v>
      </c>
      <c r="G11" s="59" t="s">
        <v>69</v>
      </c>
      <c r="H11" s="58" t="s">
        <v>67</v>
      </c>
      <c r="I11" s="59" t="s">
        <v>15</v>
      </c>
      <c r="J11" s="59" t="s">
        <v>69</v>
      </c>
      <c r="K11" s="58" t="s">
        <v>67</v>
      </c>
      <c r="L11" s="59" t="s">
        <v>15</v>
      </c>
      <c r="M11" s="59" t="s">
        <v>69</v>
      </c>
      <c r="N11" s="132" t="s">
        <v>69</v>
      </c>
      <c r="O11" s="133" t="s">
        <v>69</v>
      </c>
      <c r="P11" s="58" t="s">
        <v>67</v>
      </c>
      <c r="Q11" s="59" t="s">
        <v>15</v>
      </c>
      <c r="R11" s="60" t="s">
        <v>69</v>
      </c>
      <c r="S11" s="20" t="s">
        <v>0</v>
      </c>
      <c r="T11" s="4"/>
    </row>
    <row r="12" spans="1:20">
      <c r="A12" s="61" t="s">
        <v>115</v>
      </c>
      <c r="B12" s="200" t="s">
        <v>121</v>
      </c>
      <c r="C12" s="206">
        <v>23</v>
      </c>
      <c r="D12" s="236">
        <f>2247129-D13-G15-M15-N15-O15</f>
        <v>2173924</v>
      </c>
      <c r="E12" s="54"/>
      <c r="F12" s="42"/>
      <c r="G12" s="42"/>
      <c r="H12" s="54"/>
      <c r="I12" s="42"/>
      <c r="J12" s="42"/>
      <c r="K12" s="54"/>
      <c r="L12" s="42"/>
      <c r="M12" s="42"/>
      <c r="N12" s="22">
        <v>657129</v>
      </c>
      <c r="O12" s="42">
        <v>70000</v>
      </c>
      <c r="P12" s="200" t="s">
        <v>121</v>
      </c>
      <c r="Q12" s="42">
        <f t="shared" ref="P12:Q14" si="0">C12+F12+I12+L12</f>
        <v>23</v>
      </c>
      <c r="R12" s="23">
        <f>D12+G12+J12+M12+N12+O12</f>
        <v>2901053</v>
      </c>
      <c r="S12" s="20" t="s">
        <v>0</v>
      </c>
      <c r="T12" s="4"/>
    </row>
    <row r="13" spans="1:20">
      <c r="A13" s="192" t="s">
        <v>117</v>
      </c>
      <c r="B13" s="54"/>
      <c r="C13" s="42"/>
      <c r="D13" s="236">
        <v>21076</v>
      </c>
      <c r="E13" s="54"/>
      <c r="F13" s="42"/>
      <c r="G13" s="42"/>
      <c r="H13" s="54"/>
      <c r="I13" s="42"/>
      <c r="J13" s="42"/>
      <c r="K13" s="54"/>
      <c r="L13" s="42"/>
      <c r="M13" s="42"/>
      <c r="N13" s="22"/>
      <c r="O13" s="42"/>
      <c r="P13" s="54">
        <f t="shared" si="0"/>
        <v>0</v>
      </c>
      <c r="Q13" s="42">
        <f t="shared" si="0"/>
        <v>0</v>
      </c>
      <c r="R13" s="23">
        <f>D13+G13+J13+M13+N13+O13</f>
        <v>21076</v>
      </c>
      <c r="S13" s="20" t="s">
        <v>0</v>
      </c>
      <c r="T13" s="4"/>
    </row>
    <row r="14" spans="1:20">
      <c r="A14" s="62" t="s">
        <v>116</v>
      </c>
      <c r="B14" s="202"/>
      <c r="C14" s="203"/>
      <c r="D14" s="203"/>
      <c r="E14" s="202"/>
      <c r="F14" s="203"/>
      <c r="G14" s="203">
        <v>-675000</v>
      </c>
      <c r="H14" s="202"/>
      <c r="I14" s="203"/>
      <c r="J14" s="203"/>
      <c r="K14" s="202"/>
      <c r="L14" s="203"/>
      <c r="M14" s="203"/>
      <c r="N14" s="204"/>
      <c r="O14" s="203"/>
      <c r="P14" s="202">
        <f t="shared" si="0"/>
        <v>0</v>
      </c>
      <c r="Q14" s="203">
        <f t="shared" si="0"/>
        <v>0</v>
      </c>
      <c r="R14" s="205">
        <f t="shared" ref="R14" si="1">D14+G14+J14+M14+N14+O14</f>
        <v>-675000</v>
      </c>
      <c r="S14" s="20" t="s">
        <v>0</v>
      </c>
      <c r="T14" s="4"/>
    </row>
    <row r="15" spans="1:20">
      <c r="A15" s="63" t="s">
        <v>76</v>
      </c>
      <c r="B15" s="201" t="s">
        <v>121</v>
      </c>
      <c r="C15" s="65">
        <f t="shared" ref="C15:R15" si="2">SUM(C12:C14)</f>
        <v>23</v>
      </c>
      <c r="D15" s="66">
        <f t="shared" si="2"/>
        <v>2195000</v>
      </c>
      <c r="E15" s="64">
        <f t="shared" si="2"/>
        <v>0</v>
      </c>
      <c r="F15" s="65">
        <f t="shared" si="2"/>
        <v>0</v>
      </c>
      <c r="G15" s="66">
        <f t="shared" si="2"/>
        <v>-675000</v>
      </c>
      <c r="H15" s="64">
        <f t="shared" si="2"/>
        <v>0</v>
      </c>
      <c r="I15" s="65">
        <f t="shared" si="2"/>
        <v>0</v>
      </c>
      <c r="J15" s="66">
        <f t="shared" si="2"/>
        <v>0</v>
      </c>
      <c r="K15" s="64">
        <f t="shared" si="2"/>
        <v>0</v>
      </c>
      <c r="L15" s="65">
        <f t="shared" si="2"/>
        <v>0</v>
      </c>
      <c r="M15" s="66">
        <f t="shared" si="2"/>
        <v>0</v>
      </c>
      <c r="N15" s="129">
        <f t="shared" si="2"/>
        <v>657129</v>
      </c>
      <c r="O15" s="66">
        <f t="shared" si="2"/>
        <v>70000</v>
      </c>
      <c r="P15" s="201" t="s">
        <v>121</v>
      </c>
      <c r="Q15" s="65">
        <f t="shared" si="2"/>
        <v>23</v>
      </c>
      <c r="R15" s="67">
        <f t="shared" si="2"/>
        <v>2247129</v>
      </c>
      <c r="S15" s="20" t="s">
        <v>0</v>
      </c>
      <c r="T15" s="4"/>
    </row>
    <row r="16" spans="1:20">
      <c r="A16" s="57" t="s">
        <v>59</v>
      </c>
      <c r="B16" s="52" t="s">
        <v>68</v>
      </c>
      <c r="C16" s="53"/>
      <c r="D16" s="53"/>
      <c r="E16" s="52"/>
      <c r="F16" s="53"/>
      <c r="G16" s="53"/>
      <c r="H16" s="52"/>
      <c r="I16" s="53"/>
      <c r="J16" s="53"/>
      <c r="K16" s="52"/>
      <c r="L16" s="53"/>
      <c r="M16" s="53"/>
      <c r="N16" s="24"/>
      <c r="O16" s="53"/>
      <c r="P16" s="52"/>
      <c r="Q16" s="53">
        <f>C16+F16+I16+L16</f>
        <v>0</v>
      </c>
      <c r="R16" s="68"/>
      <c r="S16" s="20" t="s">
        <v>0</v>
      </c>
      <c r="T16" s="5"/>
    </row>
    <row r="17" spans="1:20">
      <c r="A17" s="57" t="s">
        <v>58</v>
      </c>
      <c r="B17" s="201" t="s">
        <v>121</v>
      </c>
      <c r="C17" s="70">
        <f>SUM(C15:C16)</f>
        <v>23</v>
      </c>
      <c r="D17" s="70"/>
      <c r="E17" s="69"/>
      <c r="F17" s="70">
        <f>+F15+F16</f>
        <v>0</v>
      </c>
      <c r="G17" s="70"/>
      <c r="H17" s="69"/>
      <c r="I17" s="70">
        <f>+I15+I16</f>
        <v>0</v>
      </c>
      <c r="J17" s="70"/>
      <c r="K17" s="69"/>
      <c r="L17" s="70">
        <f>+L15+L16</f>
        <v>0</v>
      </c>
      <c r="M17" s="70"/>
      <c r="N17" s="130"/>
      <c r="O17" s="70"/>
      <c r="P17" s="201" t="s">
        <v>121</v>
      </c>
      <c r="Q17" s="70">
        <f>SUM(Q15:Q16)</f>
        <v>23</v>
      </c>
      <c r="R17" s="71"/>
      <c r="S17" s="20" t="s">
        <v>0</v>
      </c>
      <c r="T17" s="4"/>
    </row>
    <row r="18" spans="1:20">
      <c r="A18" s="72" t="s">
        <v>60</v>
      </c>
      <c r="B18" s="54"/>
      <c r="C18" s="42"/>
      <c r="D18" s="42"/>
      <c r="E18" s="54"/>
      <c r="F18" s="42"/>
      <c r="G18" s="42"/>
      <c r="H18" s="54"/>
      <c r="I18" s="42"/>
      <c r="J18" s="42"/>
      <c r="K18" s="54"/>
      <c r="L18" s="42"/>
      <c r="M18" s="42"/>
      <c r="N18" s="22"/>
      <c r="O18" s="42"/>
      <c r="P18" s="54"/>
      <c r="Q18" s="42"/>
      <c r="R18" s="23"/>
      <c r="S18" s="20" t="s">
        <v>0</v>
      </c>
      <c r="T18" s="4"/>
    </row>
    <row r="19" spans="1:20">
      <c r="A19" s="73" t="s">
        <v>19</v>
      </c>
      <c r="B19" s="54"/>
      <c r="C19" s="42">
        <v>0</v>
      </c>
      <c r="D19" s="42"/>
      <c r="E19" s="54"/>
      <c r="F19" s="42">
        <v>0</v>
      </c>
      <c r="G19" s="42"/>
      <c r="H19" s="54"/>
      <c r="I19" s="42">
        <v>0</v>
      </c>
      <c r="J19" s="42"/>
      <c r="K19" s="54"/>
      <c r="L19" s="42">
        <v>0</v>
      </c>
      <c r="M19" s="42"/>
      <c r="N19" s="22"/>
      <c r="O19" s="42"/>
      <c r="P19" s="54"/>
      <c r="Q19" s="42">
        <f>C19+F19+I19+L19</f>
        <v>0</v>
      </c>
      <c r="R19" s="23"/>
      <c r="S19" s="20" t="s">
        <v>0</v>
      </c>
      <c r="T19" s="4"/>
    </row>
    <row r="20" spans="1:20">
      <c r="A20" s="74" t="s">
        <v>24</v>
      </c>
      <c r="B20" s="52"/>
      <c r="C20" s="53">
        <v>0</v>
      </c>
      <c r="D20" s="53"/>
      <c r="E20" s="52"/>
      <c r="F20" s="53">
        <v>0</v>
      </c>
      <c r="G20" s="53"/>
      <c r="H20" s="52"/>
      <c r="I20" s="53">
        <v>0</v>
      </c>
      <c r="J20" s="53"/>
      <c r="K20" s="52"/>
      <c r="L20" s="53">
        <v>0</v>
      </c>
      <c r="M20" s="53"/>
      <c r="N20" s="24"/>
      <c r="O20" s="53"/>
      <c r="P20" s="52"/>
      <c r="Q20" s="53">
        <f>C20+F20+I20+L20</f>
        <v>0</v>
      </c>
      <c r="R20" s="68"/>
      <c r="S20" s="20" t="s">
        <v>0</v>
      </c>
      <c r="T20" s="4"/>
    </row>
    <row r="21" spans="1:20">
      <c r="A21" s="57" t="s">
        <v>61</v>
      </c>
      <c r="B21" s="201" t="s">
        <v>121</v>
      </c>
      <c r="C21" s="53">
        <f>C20+C19+C17</f>
        <v>23</v>
      </c>
      <c r="D21" s="75"/>
      <c r="E21" s="52"/>
      <c r="F21" s="53">
        <f>F20+F19+F17</f>
        <v>0</v>
      </c>
      <c r="G21" s="75"/>
      <c r="H21" s="52"/>
      <c r="I21" s="53">
        <f>I20+I19+I17</f>
        <v>0</v>
      </c>
      <c r="J21" s="75"/>
      <c r="K21" s="52"/>
      <c r="L21" s="53">
        <f>L20+L19+L17</f>
        <v>0</v>
      </c>
      <c r="M21" s="75"/>
      <c r="N21" s="131"/>
      <c r="O21" s="75"/>
      <c r="P21" s="201" t="s">
        <v>121</v>
      </c>
      <c r="Q21" s="53">
        <f>Q20+Q19+Q17</f>
        <v>23</v>
      </c>
      <c r="R21" s="76"/>
      <c r="S21" s="20" t="s">
        <v>0</v>
      </c>
      <c r="T21" s="4"/>
    </row>
    <row r="22" spans="1:20" s="173" customFormat="1">
      <c r="A22" s="213"/>
      <c r="B22" s="214"/>
      <c r="C22" s="215"/>
      <c r="D22" s="216"/>
      <c r="E22" s="215"/>
      <c r="F22" s="215"/>
      <c r="G22" s="216"/>
      <c r="H22" s="215"/>
      <c r="I22" s="215"/>
      <c r="J22" s="216"/>
      <c r="K22" s="215"/>
      <c r="L22" s="215"/>
      <c r="M22" s="216"/>
      <c r="N22" s="216"/>
      <c r="O22" s="216"/>
      <c r="P22" s="214"/>
      <c r="Q22" s="215"/>
      <c r="R22" s="216"/>
      <c r="S22" s="20"/>
      <c r="T22" s="4"/>
    </row>
    <row r="23" spans="1:20" s="173" customFormat="1">
      <c r="A23" s="240" t="s">
        <v>143</v>
      </c>
      <c r="B23" s="242"/>
      <c r="C23" s="243"/>
      <c r="D23" s="244"/>
      <c r="E23" s="243"/>
      <c r="F23" s="243"/>
      <c r="G23" s="244"/>
      <c r="H23" s="243"/>
      <c r="I23" s="243"/>
      <c r="J23" s="244"/>
      <c r="K23" s="243"/>
      <c r="L23" s="243"/>
      <c r="M23" s="244"/>
      <c r="N23" s="244"/>
      <c r="O23" s="216"/>
      <c r="P23" s="214"/>
      <c r="Q23" s="215"/>
      <c r="R23" s="216"/>
      <c r="S23" s="20"/>
      <c r="T23" s="4"/>
    </row>
    <row r="24" spans="1:20" s="173" customFormat="1">
      <c r="A24" s="217"/>
      <c r="B24" s="214"/>
      <c r="C24" s="215"/>
      <c r="D24" s="216"/>
      <c r="E24" s="215"/>
      <c r="F24" s="215"/>
      <c r="G24" s="216"/>
      <c r="H24" s="215"/>
      <c r="I24" s="215"/>
      <c r="J24" s="216"/>
      <c r="K24" s="215"/>
      <c r="L24" s="215"/>
      <c r="M24" s="216"/>
      <c r="N24" s="216"/>
      <c r="O24" s="216"/>
      <c r="P24" s="214"/>
      <c r="Q24" s="215"/>
      <c r="R24" s="216"/>
      <c r="S24" s="20"/>
      <c r="T24" s="4"/>
    </row>
    <row r="25" spans="1:20" s="173" customFormat="1">
      <c r="A25" s="240" t="s">
        <v>147</v>
      </c>
      <c r="B25" s="242"/>
      <c r="C25" s="243"/>
      <c r="D25" s="244"/>
      <c r="E25" s="243"/>
      <c r="F25" s="243"/>
      <c r="G25" s="244"/>
      <c r="H25" s="243"/>
      <c r="I25" s="243"/>
      <c r="J25" s="244"/>
      <c r="K25" s="243"/>
      <c r="L25" s="243"/>
      <c r="M25" s="244"/>
      <c r="N25" s="244"/>
      <c r="O25" s="244"/>
      <c r="P25" s="214"/>
      <c r="Q25" s="215"/>
      <c r="R25" s="216"/>
      <c r="S25" s="20"/>
      <c r="T25" s="4"/>
    </row>
    <row r="26" spans="1:20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6" t="s">
        <v>4</v>
      </c>
      <c r="T26" s="4"/>
    </row>
    <row r="27" spans="1:20" s="4" customFormat="1" ht="16.5" customHeight="1">
      <c r="A27" s="193" t="s">
        <v>138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0"/>
    </row>
    <row r="28" spans="1:20" s="4" customFormat="1" ht="16.5" customHeight="1">
      <c r="A28" s="194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0"/>
    </row>
    <row r="29" spans="1:20" s="4" customFormat="1" ht="16.5" customHeight="1">
      <c r="A29" s="332" t="s">
        <v>135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10"/>
    </row>
    <row r="30" spans="1:20" s="4" customFormat="1" ht="16.5" customHeight="1">
      <c r="A30" s="333" t="s">
        <v>150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10"/>
    </row>
    <row r="31" spans="1:20" ht="18">
      <c r="A31" s="38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P31" s="10"/>
      <c r="Q31" s="10"/>
      <c r="R31" s="10"/>
      <c r="S31" s="10"/>
      <c r="T31" s="21"/>
    </row>
    <row r="32" spans="1:20">
      <c r="A32" s="208" t="s">
        <v>136</v>
      </c>
      <c r="B32" s="173"/>
      <c r="C32" s="173"/>
      <c r="D32" s="173"/>
      <c r="E32" s="173"/>
      <c r="F32" s="173"/>
      <c r="G32" s="173"/>
      <c r="H32" s="173"/>
      <c r="J32" s="173"/>
      <c r="K32" s="173"/>
      <c r="L32" s="173"/>
      <c r="M32" s="173"/>
      <c r="P32" s="173"/>
      <c r="Q32" s="173"/>
      <c r="R32" s="173"/>
    </row>
    <row r="33" spans="1:4">
      <c r="A33" s="209" t="s">
        <v>137</v>
      </c>
    </row>
    <row r="37" spans="1:4">
      <c r="D37" s="212"/>
    </row>
  </sheetData>
  <customSheetViews>
    <customSheetView guid="{12C66D54-5067-4346-818B-6EAB1C8A9183}" scale="75" showPageBreaks="1" fitToPage="1" printArea="1" hiddenColumns="1" view="pageBreakPreview">
      <selection activeCell="M44" sqref="M44"/>
      <pageMargins left="0.75" right="0.75" top="1" bottom="1" header="0.5" footer="0.5"/>
      <pageSetup scale="62" orientation="landscape" r:id="rId1"/>
      <headerFooter alignWithMargins="0">
        <oddFooter>&amp;C&amp;"Times New Roman,Regular"Exhibit G:  Crosswalk of 2012 Availability</oddFooter>
      </headerFooter>
    </customSheetView>
    <customSheetView guid="{4148B88B-8ED7-4FDE-9459-DEB244AD0552}" scale="75" showPageBreaks="1" fitToPage="1" printArea="1" hiddenColumns="1" view="pageBreakPreview">
      <selection activeCell="N11" sqref="N11"/>
      <pageMargins left="0.75" right="0.75" top="1" bottom="1" header="0.5" footer="0.5"/>
      <pageSetup scale="62" orientation="landscape" r:id="rId2"/>
      <headerFooter alignWithMargins="0">
        <oddFooter>&amp;C&amp;"Times New Roman,Regular"Exhibit G:  Crosswalk of 2012 Availability</oddFooter>
      </headerFooter>
    </customSheetView>
    <customSheetView guid="{56C0A34E-45B4-448B-85E5-70B3A8E63333}" scale="75" showPageBreaks="1" fitToPage="1" printArea="1" view="pageBreakPreview">
      <selection activeCell="E13" sqref="E13"/>
      <pageMargins left="0.75" right="0.75" top="1" bottom="1" header="0.5" footer="0.5"/>
      <pageSetup scale="54" orientation="landscape" r:id="rId3"/>
      <headerFooter alignWithMargins="0">
        <oddFooter>&amp;C&amp;"Times New Roman,Regular"Exhibit G:  Crosswalk of 2012 Availability</oddFooter>
      </headerFooter>
    </customSheetView>
    <customSheetView guid="{3118AF25-8423-420A-806A-487665220C68}" scale="75" showPageBreaks="1" fitToPage="1" printArea="1" hiddenColumns="1" view="pageBreakPreview">
      <selection activeCell="R16" sqref="R16"/>
      <pageMargins left="0.75" right="0.75" top="1" bottom="1" header="0.5" footer="0.5"/>
      <pageSetup scale="62" orientation="landscape" r:id="rId4"/>
      <headerFooter alignWithMargins="0">
        <oddFooter>&amp;C&amp;"Times New Roman,Regular"Exhibit G:  Crosswalk of 2012 Availability</oddFooter>
      </headerFooter>
    </customSheetView>
  </customSheetViews>
  <mergeCells count="18">
    <mergeCell ref="A29:R29"/>
    <mergeCell ref="A30:R30"/>
    <mergeCell ref="E9:G10"/>
    <mergeCell ref="H9:J10"/>
    <mergeCell ref="K9:M10"/>
    <mergeCell ref="P9:R10"/>
    <mergeCell ref="N9:N10"/>
    <mergeCell ref="O9:O10"/>
    <mergeCell ref="A6:R6"/>
    <mergeCell ref="A7:R7"/>
    <mergeCell ref="A8:R8"/>
    <mergeCell ref="A9:A11"/>
    <mergeCell ref="A1:R1"/>
    <mergeCell ref="A2:R2"/>
    <mergeCell ref="A3:R3"/>
    <mergeCell ref="A4:R4"/>
    <mergeCell ref="A5:R5"/>
    <mergeCell ref="B9:D10"/>
  </mergeCells>
  <phoneticPr fontId="29" type="noConversion"/>
  <pageMargins left="0.75" right="0.75" top="1" bottom="1" header="0.5" footer="0.5"/>
  <pageSetup scale="63" orientation="landscape" r:id="rId5"/>
  <headerFooter alignWithMargins="0">
    <oddFooter>&amp;C&amp;"Times New Roman,Regular"Exhibit G:  Crosswalk of 2013 Availability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AF18"/>
  <sheetViews>
    <sheetView showGridLines="0" showOutlineSymbols="0" zoomScaleNormal="100" zoomScaleSheetLayoutView="100" workbookViewId="0">
      <selection activeCell="B7" sqref="B7"/>
    </sheetView>
  </sheetViews>
  <sheetFormatPr defaultColWidth="9.6640625" defaultRowHeight="15.75"/>
  <cols>
    <col min="1" max="1" width="4.44140625" style="10" customWidth="1"/>
    <col min="2" max="2" width="45.6640625" style="10" customWidth="1"/>
    <col min="3" max="3" width="6.5546875" style="10" customWidth="1"/>
    <col min="4" max="4" width="5.6640625" style="10" customWidth="1"/>
    <col min="5" max="5" width="10.44140625" style="10" bestFit="1" customWidth="1"/>
    <col min="6" max="7" width="5.6640625" style="10" customWidth="1"/>
    <col min="8" max="8" width="11.77734375" style="10" customWidth="1"/>
    <col min="9" max="10" width="5.6640625" style="10" customWidth="1"/>
    <col min="11" max="11" width="10.44140625" style="10" bestFit="1" customWidth="1"/>
    <col min="12" max="13" width="5.6640625" style="10" customWidth="1"/>
    <col min="14" max="14" width="7.6640625" style="10" customWidth="1"/>
    <col min="15" max="15" width="1.21875" style="19" customWidth="1"/>
    <col min="16" max="16" width="27.5546875" style="10" customWidth="1"/>
    <col min="17" max="20" width="7.6640625" style="10" customWidth="1"/>
    <col min="21" max="21" width="3.6640625" style="10" customWidth="1"/>
    <col min="22" max="24" width="7.6640625" style="10" customWidth="1"/>
    <col min="25" max="25" width="3.6640625" style="10" customWidth="1"/>
    <col min="26" max="28" width="7.6640625" style="10" customWidth="1"/>
    <col min="29" max="29" width="3.6640625" style="10" customWidth="1"/>
    <col min="30" max="32" width="7.6640625" style="10" customWidth="1"/>
    <col min="33" max="16384" width="9.6640625" style="10"/>
  </cols>
  <sheetData>
    <row r="1" spans="1:21" ht="20.25">
      <c r="A1" s="382" t="s">
        <v>92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18" t="s">
        <v>0</v>
      </c>
      <c r="P1" s="1"/>
      <c r="Q1" s="1"/>
      <c r="R1" s="1"/>
      <c r="S1" s="1"/>
      <c r="T1" s="1"/>
      <c r="U1" s="1"/>
    </row>
    <row r="2" spans="1:21" ht="13.9" customHeight="1">
      <c r="A2" s="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" t="s">
        <v>0</v>
      </c>
      <c r="P2" s="1"/>
      <c r="Q2" s="1"/>
      <c r="R2" s="1"/>
      <c r="S2" s="1"/>
      <c r="T2" s="1"/>
      <c r="U2" s="1"/>
    </row>
    <row r="3" spans="1:21" ht="18.75">
      <c r="A3" s="384" t="s">
        <v>22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18" t="s">
        <v>0</v>
      </c>
      <c r="P3" s="1"/>
      <c r="Q3" s="1"/>
      <c r="R3" s="1"/>
      <c r="S3" s="1"/>
      <c r="T3" s="1"/>
      <c r="U3" s="1"/>
    </row>
    <row r="4" spans="1:21" ht="16.5">
      <c r="A4" s="386" t="s">
        <v>113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18" t="s">
        <v>0</v>
      </c>
      <c r="P4" s="1"/>
      <c r="Q4" s="1"/>
      <c r="R4" s="1"/>
      <c r="S4" s="1"/>
      <c r="T4" s="1"/>
      <c r="U4" s="1"/>
    </row>
    <row r="5" spans="1:21" ht="16.5">
      <c r="A5" s="386" t="s">
        <v>57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18" t="s">
        <v>0</v>
      </c>
      <c r="P5" s="1"/>
      <c r="Q5" s="1"/>
      <c r="R5" s="1"/>
      <c r="S5" s="1"/>
      <c r="T5" s="1"/>
      <c r="U5" s="1"/>
    </row>
    <row r="6" spans="1:21">
      <c r="A6" s="388" t="s">
        <v>56</v>
      </c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18" t="s">
        <v>0</v>
      </c>
      <c r="P6" s="1"/>
      <c r="Q6" s="1"/>
      <c r="R6" s="1"/>
      <c r="S6" s="1"/>
      <c r="T6" s="1"/>
      <c r="U6" s="1"/>
    </row>
    <row r="7" spans="1:21">
      <c r="A7" s="3"/>
      <c r="B7" s="3"/>
      <c r="C7" s="3"/>
      <c r="D7" s="3"/>
      <c r="E7" s="3"/>
      <c r="F7" s="77"/>
      <c r="G7" s="77"/>
      <c r="H7" s="77"/>
      <c r="I7" s="3"/>
      <c r="J7" s="3"/>
      <c r="K7" s="3"/>
      <c r="L7" s="3"/>
      <c r="M7" s="3"/>
      <c r="N7" s="3"/>
      <c r="O7" s="18" t="s">
        <v>0</v>
      </c>
      <c r="P7" s="1"/>
      <c r="Q7" s="1"/>
      <c r="R7" s="1"/>
      <c r="S7" s="1"/>
      <c r="T7" s="1"/>
      <c r="U7" s="1"/>
    </row>
    <row r="8" spans="1:21">
      <c r="A8" s="373" t="s">
        <v>65</v>
      </c>
      <c r="B8" s="374"/>
      <c r="C8" s="377" t="s">
        <v>97</v>
      </c>
      <c r="D8" s="378"/>
      <c r="E8" s="379"/>
      <c r="F8" s="377" t="s">
        <v>124</v>
      </c>
      <c r="G8" s="378"/>
      <c r="H8" s="379"/>
      <c r="I8" s="377" t="s">
        <v>125</v>
      </c>
      <c r="J8" s="378"/>
      <c r="K8" s="379"/>
      <c r="L8" s="377" t="s">
        <v>12</v>
      </c>
      <c r="M8" s="378"/>
      <c r="N8" s="379"/>
      <c r="O8" s="18" t="s">
        <v>0</v>
      </c>
      <c r="P8" s="1"/>
      <c r="Q8" s="1"/>
      <c r="R8" s="1"/>
      <c r="S8" s="1"/>
      <c r="T8" s="1"/>
      <c r="U8" s="1"/>
    </row>
    <row r="9" spans="1:21" ht="16.5" thickBot="1">
      <c r="A9" s="375"/>
      <c r="B9" s="376"/>
      <c r="C9" s="58" t="s">
        <v>67</v>
      </c>
      <c r="D9" s="59" t="s">
        <v>15</v>
      </c>
      <c r="E9" s="60" t="s">
        <v>69</v>
      </c>
      <c r="F9" s="58" t="s">
        <v>67</v>
      </c>
      <c r="G9" s="59" t="s">
        <v>15</v>
      </c>
      <c r="H9" s="59" t="s">
        <v>69</v>
      </c>
      <c r="I9" s="58" t="s">
        <v>67</v>
      </c>
      <c r="J9" s="59" t="s">
        <v>15</v>
      </c>
      <c r="K9" s="59" t="s">
        <v>69</v>
      </c>
      <c r="L9" s="58" t="s">
        <v>67</v>
      </c>
      <c r="M9" s="59" t="s">
        <v>15</v>
      </c>
      <c r="N9" s="60" t="s">
        <v>69</v>
      </c>
      <c r="O9" s="18" t="s">
        <v>0</v>
      </c>
      <c r="P9" s="1"/>
      <c r="Q9" s="1"/>
      <c r="R9" s="1"/>
      <c r="S9" s="1"/>
      <c r="T9" s="1"/>
      <c r="U9" s="1"/>
    </row>
    <row r="10" spans="1:21">
      <c r="A10" s="369" t="s">
        <v>119</v>
      </c>
      <c r="B10" s="370"/>
      <c r="C10" s="207">
        <v>0</v>
      </c>
      <c r="D10" s="206">
        <v>0</v>
      </c>
      <c r="E10" s="23">
        <f>13480+68+3</f>
        <v>13551</v>
      </c>
      <c r="F10" s="207">
        <v>0</v>
      </c>
      <c r="G10" s="206">
        <v>0</v>
      </c>
      <c r="H10" s="42">
        <f>12279+27.5+419.8-1273</f>
        <v>11453.3</v>
      </c>
      <c r="I10" s="207">
        <v>0</v>
      </c>
      <c r="J10" s="206">
        <v>0</v>
      </c>
      <c r="K10" s="42">
        <f>13000-1547</f>
        <v>11453</v>
      </c>
      <c r="L10" s="54">
        <f t="shared" ref="L10:N11" si="0">I10-F10</f>
        <v>0</v>
      </c>
      <c r="M10" s="42">
        <f t="shared" si="0"/>
        <v>0</v>
      </c>
      <c r="N10" s="297">
        <f t="shared" si="0"/>
        <v>-0.2999999999992724</v>
      </c>
      <c r="O10" s="18" t="s">
        <v>0</v>
      </c>
      <c r="P10" s="1"/>
      <c r="Q10" s="1"/>
      <c r="R10" s="1"/>
      <c r="S10" s="1"/>
      <c r="T10" s="1"/>
      <c r="U10" s="1"/>
    </row>
    <row r="11" spans="1:21">
      <c r="A11" s="380" t="s">
        <v>199</v>
      </c>
      <c r="B11" s="381"/>
      <c r="C11" s="207">
        <v>0</v>
      </c>
      <c r="D11" s="206">
        <v>0</v>
      </c>
      <c r="E11" s="23">
        <v>556.1</v>
      </c>
      <c r="F11" s="207">
        <v>0</v>
      </c>
      <c r="G11" s="206">
        <v>0</v>
      </c>
      <c r="H11" s="42">
        <v>28</v>
      </c>
      <c r="I11" s="207">
        <v>0</v>
      </c>
      <c r="J11" s="206">
        <v>0</v>
      </c>
      <c r="K11" s="42">
        <v>28</v>
      </c>
      <c r="L11" s="54">
        <f t="shared" si="0"/>
        <v>0</v>
      </c>
      <c r="M11" s="42">
        <f t="shared" si="0"/>
        <v>0</v>
      </c>
      <c r="N11" s="297">
        <f t="shared" si="0"/>
        <v>0</v>
      </c>
      <c r="O11" s="18" t="s">
        <v>0</v>
      </c>
      <c r="P11" s="1"/>
      <c r="Q11" s="1"/>
      <c r="R11" s="1"/>
      <c r="S11" s="1"/>
      <c r="T11" s="1"/>
      <c r="U11" s="1"/>
    </row>
    <row r="12" spans="1:21">
      <c r="A12" s="192" t="s">
        <v>198</v>
      </c>
      <c r="B12" s="292"/>
      <c r="C12" s="293"/>
      <c r="D12" s="294"/>
      <c r="E12" s="295"/>
      <c r="F12" s="293">
        <v>0</v>
      </c>
      <c r="G12" s="294">
        <v>0</v>
      </c>
      <c r="H12" s="296">
        <v>99</v>
      </c>
      <c r="I12" s="293">
        <v>0</v>
      </c>
      <c r="J12" s="294">
        <v>0</v>
      </c>
      <c r="K12" s="296">
        <v>99</v>
      </c>
      <c r="L12" s="54">
        <f t="shared" ref="L12:L13" si="1">I12-F12</f>
        <v>0</v>
      </c>
      <c r="M12" s="42">
        <f t="shared" ref="M12:M13" si="2">J12-G12</f>
        <v>0</v>
      </c>
      <c r="N12" s="297">
        <f t="shared" ref="N12:N13" si="3">K12-H12</f>
        <v>0</v>
      </c>
      <c r="O12" s="18"/>
      <c r="P12" s="1"/>
      <c r="Q12" s="1"/>
      <c r="R12" s="1"/>
      <c r="S12" s="1"/>
      <c r="T12" s="1"/>
      <c r="U12" s="1"/>
    </row>
    <row r="13" spans="1:21">
      <c r="A13" s="192" t="s">
        <v>200</v>
      </c>
      <c r="B13" s="292"/>
      <c r="C13" s="293"/>
      <c r="D13" s="294"/>
      <c r="E13" s="295"/>
      <c r="F13" s="293">
        <v>0</v>
      </c>
      <c r="G13" s="294">
        <v>0</v>
      </c>
      <c r="H13" s="296">
        <v>420</v>
      </c>
      <c r="I13" s="293">
        <v>0</v>
      </c>
      <c r="J13" s="294">
        <v>0</v>
      </c>
      <c r="K13" s="296">
        <v>420</v>
      </c>
      <c r="L13" s="54">
        <f t="shared" si="1"/>
        <v>0</v>
      </c>
      <c r="M13" s="42">
        <f t="shared" si="2"/>
        <v>0</v>
      </c>
      <c r="N13" s="297">
        <f t="shared" si="3"/>
        <v>0</v>
      </c>
      <c r="O13" s="18"/>
      <c r="P13" s="1"/>
      <c r="Q13" s="1"/>
      <c r="R13" s="1"/>
      <c r="S13" s="1"/>
      <c r="T13" s="1"/>
      <c r="U13" s="1"/>
    </row>
    <row r="14" spans="1:21">
      <c r="A14" s="367" t="s">
        <v>66</v>
      </c>
      <c r="B14" s="368"/>
      <c r="C14" s="64">
        <f t="shared" ref="C14:N14" si="4">SUM(C10:C13)</f>
        <v>0</v>
      </c>
      <c r="D14" s="65">
        <f t="shared" si="4"/>
        <v>0</v>
      </c>
      <c r="E14" s="239">
        <f t="shared" si="4"/>
        <v>14107.1</v>
      </c>
      <c r="F14" s="64">
        <f t="shared" si="4"/>
        <v>0</v>
      </c>
      <c r="G14" s="65">
        <f t="shared" si="4"/>
        <v>0</v>
      </c>
      <c r="H14" s="238">
        <f t="shared" si="4"/>
        <v>12000.3</v>
      </c>
      <c r="I14" s="298">
        <f t="shared" si="4"/>
        <v>0</v>
      </c>
      <c r="J14" s="299">
        <f t="shared" si="4"/>
        <v>0</v>
      </c>
      <c r="K14" s="238">
        <f t="shared" si="4"/>
        <v>12000</v>
      </c>
      <c r="L14" s="64">
        <f t="shared" si="4"/>
        <v>0</v>
      </c>
      <c r="M14" s="65">
        <f t="shared" si="4"/>
        <v>0</v>
      </c>
      <c r="N14" s="67">
        <f t="shared" si="4"/>
        <v>-0.2999999999992724</v>
      </c>
      <c r="O14" s="18" t="s">
        <v>4</v>
      </c>
      <c r="P14" s="1"/>
      <c r="Q14" s="1"/>
      <c r="R14" s="1"/>
      <c r="S14" s="1"/>
      <c r="T14" s="1"/>
      <c r="U14" s="1"/>
    </row>
    <row r="15" spans="1:21">
      <c r="A15" s="78"/>
      <c r="B15" s="78"/>
      <c r="C15" s="79"/>
      <c r="D15" s="79"/>
      <c r="E15" s="80"/>
      <c r="F15" s="79"/>
      <c r="G15" s="79"/>
      <c r="H15" s="80"/>
      <c r="I15" s="79"/>
      <c r="J15" s="79"/>
      <c r="K15" s="80"/>
      <c r="L15" s="79"/>
      <c r="M15" s="79"/>
      <c r="N15" s="80"/>
      <c r="O15" s="366" t="s">
        <v>4</v>
      </c>
      <c r="P15" s="366"/>
      <c r="Q15" s="1"/>
      <c r="R15" s="1"/>
      <c r="S15" s="1"/>
      <c r="T15" s="1"/>
      <c r="U15" s="1"/>
    </row>
    <row r="16" spans="1:21">
      <c r="A16" s="78"/>
      <c r="B16" s="78"/>
      <c r="C16" s="79"/>
      <c r="D16" s="79"/>
      <c r="E16" s="80"/>
      <c r="F16" s="79"/>
      <c r="G16" s="79"/>
      <c r="H16" s="80"/>
      <c r="I16" s="79"/>
      <c r="J16" s="79"/>
      <c r="K16" s="80"/>
      <c r="L16" s="79"/>
      <c r="M16" s="79"/>
      <c r="N16" s="80"/>
      <c r="O16" s="366"/>
      <c r="P16" s="366"/>
      <c r="Q16" s="1"/>
      <c r="R16" s="1"/>
      <c r="S16" s="1"/>
      <c r="T16" s="1"/>
      <c r="U16" s="1"/>
    </row>
    <row r="17" spans="1:32">
      <c r="A17" s="371">
        <f>H14-H16</f>
        <v>12000.3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66"/>
      <c r="P17" s="366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</sheetData>
  <customSheetViews>
    <customSheetView guid="{12C66D54-5067-4346-818B-6EAB1C8A9183}" scale="75" showPageBreaks="1" showGridLines="0" outlineSymbols="0" fitToPage="1" printArea="1" view="pageBreakPreview">
      <selection activeCell="A33" sqref="A33"/>
      <pageMargins left="1" right="1" top="0.5" bottom="0.55000000000000004" header="0" footer="0"/>
      <printOptions horizontalCentered="1"/>
      <pageSetup scale="70" orientation="landscape" horizontalDpi="300" verticalDpi="300" r:id="rId1"/>
      <headerFooter alignWithMargins="0">
        <oddFooter>&amp;C&amp;"Times New Roman,Regular"Exhibit H - Summary of Reimbursable Resources</oddFooter>
      </headerFooter>
    </customSheetView>
    <customSheetView guid="{4148B88B-8ED7-4FDE-9459-DEB244AD0552}" scale="75" showPageBreaks="1" showGridLines="0" outlineSymbols="0" fitToPage="1" printArea="1" view="pageBreakPreview">
      <selection activeCell="A33" sqref="A33"/>
      <pageMargins left="1" right="1" top="0.5" bottom="0.55000000000000004" header="0" footer="0"/>
      <printOptions horizontalCentered="1"/>
      <pageSetup scale="70" orientation="landscape" horizontalDpi="300" verticalDpi="300" r:id="rId2"/>
      <headerFooter alignWithMargins="0">
        <oddFooter>&amp;C&amp;"Times New Roman,Regular"Exhibit H - Summary of Reimbursable Resources</oddFooter>
      </headerFooter>
    </customSheetView>
    <customSheetView guid="{56C0A34E-45B4-448B-85E5-70B3A8E63333}" scale="75" showPageBreaks="1" showGridLines="0" outlineSymbols="0" fitToPage="1" printArea="1" view="pageBreakPreview">
      <selection activeCell="A33" sqref="A33"/>
      <pageMargins left="1" right="1" top="0.5" bottom="0.55000000000000004" header="0" footer="0"/>
      <printOptions horizontalCentered="1"/>
      <pageSetup scale="70" orientation="landscape" horizontalDpi="300" verticalDpi="300" r:id="rId3"/>
      <headerFooter alignWithMargins="0">
        <oddFooter>&amp;C&amp;"Times New Roman,Regular"Exhibit H - Summary of Reimbursable Resources</oddFooter>
      </headerFooter>
    </customSheetView>
    <customSheetView guid="{3118AF25-8423-420A-806A-487665220C68}" scale="75" showPageBreaks="1" showGridLines="0" outlineSymbols="0" fitToPage="1" printArea="1" view="pageBreakPreview">
      <selection activeCell="A33" sqref="A33"/>
      <pageMargins left="1" right="1" top="0.5" bottom="0.55000000000000004" header="0" footer="0"/>
      <printOptions horizontalCentered="1"/>
      <pageSetup scale="70" orientation="landscape" horizontalDpi="300" verticalDpi="300" r:id="rId4"/>
      <headerFooter alignWithMargins="0">
        <oddFooter>&amp;C&amp;"Times New Roman,Regular"Exhibit H - Summary of Reimbursable Resources</oddFooter>
      </headerFooter>
    </customSheetView>
  </customSheetViews>
  <mergeCells count="15">
    <mergeCell ref="A1:N1"/>
    <mergeCell ref="A3:N3"/>
    <mergeCell ref="A4:N4"/>
    <mergeCell ref="A5:N5"/>
    <mergeCell ref="A6:N6"/>
    <mergeCell ref="O15:P17"/>
    <mergeCell ref="A14:B14"/>
    <mergeCell ref="A10:B10"/>
    <mergeCell ref="A17:N17"/>
    <mergeCell ref="A8:B9"/>
    <mergeCell ref="L8:N8"/>
    <mergeCell ref="I8:K8"/>
    <mergeCell ref="F8:H8"/>
    <mergeCell ref="C8:E8"/>
    <mergeCell ref="A11:B11"/>
  </mergeCells>
  <phoneticPr fontId="0" type="noConversion"/>
  <printOptions horizontalCentered="1"/>
  <pageMargins left="1" right="1" top="0.5" bottom="0.55000000000000004" header="0" footer="0"/>
  <pageSetup scale="70" orientation="landscape" horizontalDpi="300" verticalDpi="300" r:id="rId5"/>
  <headerFooter alignWithMargins="0">
    <oddFooter>&amp;C&amp;"Times New Roman,Regular"Exhibit H - Summary of Reimbursable Resources</oddFooter>
  </headerFooter>
  <ignoredErrors>
    <ignoredError sqref="H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6"/>
  <sheetViews>
    <sheetView zoomScaleNormal="100" zoomScaleSheetLayoutView="7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D37" sqref="D37"/>
    </sheetView>
  </sheetViews>
  <sheetFormatPr defaultColWidth="8.88671875" defaultRowHeight="15"/>
  <cols>
    <col min="1" max="1" width="30.44140625" style="6" customWidth="1"/>
    <col min="2" max="2" width="10.77734375" style="6" customWidth="1"/>
    <col min="3" max="3" width="12.6640625" style="6" hidden="1" customWidth="1"/>
    <col min="4" max="4" width="10.88671875" style="6" customWidth="1"/>
    <col min="5" max="5" width="12.5546875" style="6" hidden="1" customWidth="1"/>
    <col min="6" max="6" width="9.77734375" style="6" customWidth="1"/>
    <col min="7" max="7" width="12" style="6" customWidth="1"/>
    <col min="8" max="9" width="9.77734375" style="6" customWidth="1"/>
    <col min="10" max="10" width="10.33203125" style="6" customWidth="1"/>
    <col min="11" max="11" width="13" style="6" customWidth="1"/>
    <col min="12" max="12" width="1.109375" style="17" customWidth="1"/>
    <col min="13" max="16384" width="8.88671875" style="6"/>
  </cols>
  <sheetData>
    <row r="1" spans="1:12" ht="20.25">
      <c r="A1" s="382" t="s">
        <v>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17" t="s">
        <v>0</v>
      </c>
    </row>
    <row r="2" spans="1:12" ht="20.2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3"/>
      <c r="L2" s="17" t="s">
        <v>0</v>
      </c>
    </row>
    <row r="3" spans="1:12" ht="12.6" customHeight="1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3"/>
      <c r="L3" s="17" t="s">
        <v>0</v>
      </c>
    </row>
    <row r="4" spans="1:12" ht="18.75">
      <c r="A4" s="384" t="s">
        <v>16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17" t="s">
        <v>0</v>
      </c>
    </row>
    <row r="5" spans="1:12" ht="16.5">
      <c r="A5" s="386" t="s">
        <v>113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17" t="s">
        <v>0</v>
      </c>
    </row>
    <row r="6" spans="1:12" ht="16.5">
      <c r="A6" s="409" t="str">
        <f>+'[2]B. Summary of Requirements '!A6</f>
        <v>Salaries and Expenses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17" t="s">
        <v>0</v>
      </c>
    </row>
    <row r="7" spans="1:12" ht="15.75">
      <c r="A7" s="397"/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17" t="s">
        <v>0</v>
      </c>
    </row>
    <row r="8" spans="1:12">
      <c r="A8" s="398"/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17" t="s">
        <v>0</v>
      </c>
    </row>
    <row r="9" spans="1:12" ht="40.5" customHeight="1">
      <c r="A9" s="399" t="s">
        <v>17</v>
      </c>
      <c r="B9" s="402" t="s">
        <v>126</v>
      </c>
      <c r="C9" s="403"/>
      <c r="D9" s="402" t="s">
        <v>127</v>
      </c>
      <c r="E9" s="403"/>
      <c r="F9" s="404" t="s">
        <v>125</v>
      </c>
      <c r="G9" s="405"/>
      <c r="H9" s="405"/>
      <c r="I9" s="405"/>
      <c r="J9" s="405"/>
      <c r="K9" s="406"/>
      <c r="L9" s="17" t="s">
        <v>0</v>
      </c>
    </row>
    <row r="10" spans="1:12">
      <c r="A10" s="400"/>
      <c r="B10" s="407" t="s">
        <v>7</v>
      </c>
      <c r="C10" s="407" t="s">
        <v>8</v>
      </c>
      <c r="D10" s="407" t="s">
        <v>7</v>
      </c>
      <c r="E10" s="407" t="s">
        <v>8</v>
      </c>
      <c r="F10" s="390" t="s">
        <v>1</v>
      </c>
      <c r="G10" s="392" t="s">
        <v>55</v>
      </c>
      <c r="H10" s="392" t="s">
        <v>5</v>
      </c>
      <c r="I10" s="392" t="s">
        <v>6</v>
      </c>
      <c r="J10" s="394" t="s">
        <v>7</v>
      </c>
      <c r="K10" s="390" t="s">
        <v>8</v>
      </c>
      <c r="L10" s="17" t="s">
        <v>0</v>
      </c>
    </row>
    <row r="11" spans="1:12" ht="27" customHeight="1">
      <c r="A11" s="401"/>
      <c r="B11" s="408"/>
      <c r="C11" s="408"/>
      <c r="D11" s="408"/>
      <c r="E11" s="408"/>
      <c r="F11" s="391"/>
      <c r="G11" s="393"/>
      <c r="H11" s="393"/>
      <c r="I11" s="393"/>
      <c r="J11" s="395"/>
      <c r="K11" s="396"/>
      <c r="L11" s="17" t="s">
        <v>0</v>
      </c>
    </row>
    <row r="12" spans="1:12" hidden="1">
      <c r="A12" s="43" t="s">
        <v>10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  <c r="L12" s="17" t="s">
        <v>0</v>
      </c>
    </row>
    <row r="13" spans="1:12">
      <c r="A13" s="145" t="s">
        <v>71</v>
      </c>
      <c r="B13" s="146">
        <v>12</v>
      </c>
      <c r="C13" s="146"/>
      <c r="D13" s="146">
        <v>12</v>
      </c>
      <c r="E13" s="146"/>
      <c r="F13" s="146"/>
      <c r="G13" s="146"/>
      <c r="H13" s="146"/>
      <c r="I13" s="146"/>
      <c r="J13" s="146">
        <v>12</v>
      </c>
      <c r="K13" s="147"/>
      <c r="L13" s="17" t="s">
        <v>0</v>
      </c>
    </row>
    <row r="14" spans="1:12">
      <c r="A14" s="148" t="s">
        <v>72</v>
      </c>
      <c r="B14" s="149">
        <v>1</v>
      </c>
      <c r="C14" s="149"/>
      <c r="D14" s="149">
        <v>1</v>
      </c>
      <c r="E14" s="149"/>
      <c r="F14" s="149"/>
      <c r="G14" s="149"/>
      <c r="H14" s="149"/>
      <c r="I14" s="149"/>
      <c r="J14" s="149">
        <v>1</v>
      </c>
      <c r="K14" s="150"/>
      <c r="L14" s="17" t="s">
        <v>0</v>
      </c>
    </row>
    <row r="15" spans="1:12">
      <c r="A15" s="148" t="s">
        <v>73</v>
      </c>
      <c r="B15" s="149">
        <v>4</v>
      </c>
      <c r="C15" s="149"/>
      <c r="D15" s="149">
        <v>4</v>
      </c>
      <c r="E15" s="149"/>
      <c r="F15" s="149"/>
      <c r="G15" s="149"/>
      <c r="H15" s="149"/>
      <c r="I15" s="149"/>
      <c r="J15" s="149">
        <v>4</v>
      </c>
      <c r="K15" s="150"/>
      <c r="L15" s="17" t="s">
        <v>0</v>
      </c>
    </row>
    <row r="16" spans="1:12" hidden="1">
      <c r="A16" s="148" t="s">
        <v>25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50"/>
      <c r="L16" s="17" t="s">
        <v>0</v>
      </c>
    </row>
    <row r="17" spans="1:14" hidden="1">
      <c r="A17" s="151" t="s">
        <v>26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50"/>
      <c r="L17" s="17" t="s">
        <v>0</v>
      </c>
    </row>
    <row r="18" spans="1:14" hidden="1">
      <c r="A18" s="148" t="s">
        <v>27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50"/>
      <c r="L18" s="17" t="s">
        <v>0</v>
      </c>
    </row>
    <row r="19" spans="1:14" hidden="1">
      <c r="A19" s="148" t="s">
        <v>28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  <c r="L19" s="17" t="s">
        <v>0</v>
      </c>
    </row>
    <row r="20" spans="1:14" hidden="1">
      <c r="A20" s="148" t="s">
        <v>29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50"/>
      <c r="L20" s="17" t="s">
        <v>0</v>
      </c>
    </row>
    <row r="21" spans="1:14" hidden="1">
      <c r="A21" s="152" t="s">
        <v>30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50"/>
      <c r="L21" s="17" t="s">
        <v>0</v>
      </c>
    </row>
    <row r="22" spans="1:14" hidden="1">
      <c r="A22" s="153" t="s">
        <v>95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50"/>
      <c r="L22" s="17" t="s">
        <v>0</v>
      </c>
    </row>
    <row r="23" spans="1:14" hidden="1">
      <c r="A23" s="148" t="s">
        <v>11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50"/>
      <c r="L23" s="17" t="s">
        <v>0</v>
      </c>
    </row>
    <row r="24" spans="1:14" hidden="1">
      <c r="A24" s="148" t="s">
        <v>31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50"/>
      <c r="L24" s="17" t="s">
        <v>0</v>
      </c>
    </row>
    <row r="25" spans="1:14" hidden="1">
      <c r="A25" s="148" t="s">
        <v>33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50"/>
      <c r="L25" s="17" t="s">
        <v>0</v>
      </c>
    </row>
    <row r="26" spans="1:14">
      <c r="A26" s="148" t="s">
        <v>52</v>
      </c>
      <c r="B26" s="149">
        <v>6</v>
      </c>
      <c r="C26" s="149"/>
      <c r="D26" s="149">
        <v>6</v>
      </c>
      <c r="E26" s="149"/>
      <c r="F26" s="149"/>
      <c r="G26" s="149"/>
      <c r="H26" s="149"/>
      <c r="I26" s="149"/>
      <c r="J26" s="149">
        <v>6</v>
      </c>
      <c r="K26" s="150"/>
      <c r="L26" s="17" t="s">
        <v>0</v>
      </c>
    </row>
    <row r="27" spans="1:14" hidden="1">
      <c r="A27" s="148" t="s">
        <v>32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50"/>
      <c r="L27" s="17" t="s">
        <v>0</v>
      </c>
    </row>
    <row r="28" spans="1:14" hidden="1">
      <c r="A28" s="154" t="s">
        <v>34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  <c r="L28" s="17" t="s">
        <v>0</v>
      </c>
    </row>
    <row r="29" spans="1:14" ht="15.75" thickBot="1">
      <c r="A29" s="134" t="s">
        <v>14</v>
      </c>
      <c r="B29" s="135">
        <f t="shared" ref="B29:G29" si="0">SUM(B12:B28)</f>
        <v>23</v>
      </c>
      <c r="C29" s="137">
        <f t="shared" si="0"/>
        <v>0</v>
      </c>
      <c r="D29" s="139">
        <f t="shared" si="0"/>
        <v>23</v>
      </c>
      <c r="E29" s="137">
        <f t="shared" si="0"/>
        <v>0</v>
      </c>
      <c r="F29" s="139">
        <f t="shared" si="0"/>
        <v>0</v>
      </c>
      <c r="G29" s="137">
        <f t="shared" si="0"/>
        <v>0</v>
      </c>
      <c r="H29" s="139">
        <f>SUM(H12:H28)</f>
        <v>0</v>
      </c>
      <c r="I29" s="137">
        <f>SUM(I12:I28)</f>
        <v>0</v>
      </c>
      <c r="J29" s="139">
        <f>SUM(J12:J28)</f>
        <v>23</v>
      </c>
      <c r="K29" s="137">
        <f>SUM(K12:K28)</f>
        <v>0</v>
      </c>
      <c r="L29" s="196" t="s">
        <v>0</v>
      </c>
    </row>
    <row r="30" spans="1:14">
      <c r="A30" s="140" t="s">
        <v>62</v>
      </c>
      <c r="B30" s="141">
        <f>B29</f>
        <v>23</v>
      </c>
      <c r="C30" s="142"/>
      <c r="D30" s="141">
        <f>D29</f>
        <v>23</v>
      </c>
      <c r="E30" s="142"/>
      <c r="F30" s="141"/>
      <c r="G30" s="142"/>
      <c r="H30" s="141"/>
      <c r="I30" s="143">
        <f>G30+H30</f>
        <v>0</v>
      </c>
      <c r="J30" s="144">
        <f>D30+F30+I30</f>
        <v>23</v>
      </c>
      <c r="K30" s="143">
        <f>SUM(K13:K29)</f>
        <v>0</v>
      </c>
      <c r="N30" s="128"/>
    </row>
    <row r="31" spans="1:14" hidden="1">
      <c r="A31" s="157" t="s">
        <v>74</v>
      </c>
      <c r="B31" s="158"/>
      <c r="C31" s="159"/>
      <c r="D31" s="158"/>
      <c r="E31" s="159"/>
      <c r="F31" s="158"/>
      <c r="G31" s="159"/>
      <c r="H31" s="158"/>
      <c r="I31" s="160"/>
      <c r="J31" s="161"/>
      <c r="K31" s="160"/>
      <c r="L31" s="17" t="s">
        <v>0</v>
      </c>
    </row>
    <row r="32" spans="1:14" hidden="1">
      <c r="A32" s="55" t="s">
        <v>75</v>
      </c>
      <c r="B32" s="162"/>
      <c r="C32" s="163"/>
      <c r="D32" s="162"/>
      <c r="E32" s="163"/>
      <c r="F32" s="162"/>
      <c r="G32" s="163"/>
      <c r="H32" s="162"/>
      <c r="I32" s="164">
        <f>G32+H32</f>
        <v>0</v>
      </c>
      <c r="J32" s="165">
        <f>D32+F32+I32</f>
        <v>0</v>
      </c>
      <c r="K32" s="164"/>
      <c r="L32" s="17" t="s">
        <v>0</v>
      </c>
    </row>
    <row r="33" spans="1:12" s="7" customFormat="1">
      <c r="A33" s="56" t="s">
        <v>14</v>
      </c>
      <c r="B33" s="136">
        <f>SUM(B30:B32)</f>
        <v>23</v>
      </c>
      <c r="C33" s="138">
        <f t="shared" ref="C33:J33" si="1">SUM(C30:C32)</f>
        <v>0</v>
      </c>
      <c r="D33" s="136">
        <f t="shared" si="1"/>
        <v>23</v>
      </c>
      <c r="E33" s="138">
        <f t="shared" si="1"/>
        <v>0</v>
      </c>
      <c r="F33" s="136">
        <f t="shared" si="1"/>
        <v>0</v>
      </c>
      <c r="G33" s="138">
        <f t="shared" si="1"/>
        <v>0</v>
      </c>
      <c r="H33" s="136">
        <f t="shared" si="1"/>
        <v>0</v>
      </c>
      <c r="I33" s="138">
        <f>SUM(I30:I32)</f>
        <v>0</v>
      </c>
      <c r="J33" s="136">
        <f t="shared" si="1"/>
        <v>23</v>
      </c>
      <c r="K33" s="138">
        <f>SUM(K30:K32)</f>
        <v>0</v>
      </c>
      <c r="L33" s="17" t="s">
        <v>4</v>
      </c>
    </row>
    <row r="34" spans="1:12" s="7" customFormat="1">
      <c r="A34" s="389"/>
      <c r="B34" s="389"/>
      <c r="C34" s="389"/>
      <c r="D34" s="389"/>
      <c r="E34" s="389"/>
      <c r="F34" s="389"/>
      <c r="G34" s="389"/>
      <c r="H34" s="389"/>
      <c r="I34" s="389"/>
      <c r="J34" s="389"/>
      <c r="K34" s="389"/>
      <c r="L34" s="17"/>
    </row>
    <row r="35" spans="1:12" s="7" customFormat="1">
      <c r="L35" s="196"/>
    </row>
    <row r="36" spans="1:12">
      <c r="A36" s="128"/>
      <c r="K36" s="15"/>
    </row>
  </sheetData>
  <mergeCells count="23">
    <mergeCell ref="A6:K6"/>
    <mergeCell ref="A1:K1"/>
    <mergeCell ref="A2:K2"/>
    <mergeCell ref="A3:K3"/>
    <mergeCell ref="A4:K4"/>
    <mergeCell ref="A5:K5"/>
    <mergeCell ref="A7:K7"/>
    <mergeCell ref="A8:K8"/>
    <mergeCell ref="A9:A11"/>
    <mergeCell ref="B9:C9"/>
    <mergeCell ref="D9:E9"/>
    <mergeCell ref="F9:K9"/>
    <mergeCell ref="B10:B11"/>
    <mergeCell ref="C10:C11"/>
    <mergeCell ref="D10:D11"/>
    <mergeCell ref="E10:E11"/>
    <mergeCell ref="A34:K34"/>
    <mergeCell ref="F10:F11"/>
    <mergeCell ref="G10:G11"/>
    <mergeCell ref="H10:H11"/>
    <mergeCell ref="I10:I11"/>
    <mergeCell ref="J10:J11"/>
    <mergeCell ref="K10:K11"/>
  </mergeCells>
  <printOptions horizontalCentered="1"/>
  <pageMargins left="0.75" right="0.75" top="1" bottom="1" header="0.5" footer="0.5"/>
  <pageSetup scale="86" orientation="landscape" r:id="rId1"/>
  <headerFooter alignWithMargins="0">
    <oddFooter>&amp;C&amp;"Times New Roman,Regular"Exhibit I - Detail of Permanent Positions by Category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"/>
  <sheetViews>
    <sheetView showGridLines="0" showOutlineSymbols="0" zoomScaleNormal="100" zoomScaleSheetLayoutView="75" workbookViewId="0">
      <pane xSplit="1" ySplit="11" topLeftCell="B21" activePane="bottomRight" state="frozen"/>
      <selection pane="topRight" activeCell="B1" sqref="B1"/>
      <selection pane="bottomLeft" activeCell="A12" sqref="A12"/>
      <selection pane="bottomRight" activeCell="D25" sqref="D25"/>
    </sheetView>
  </sheetViews>
  <sheetFormatPr defaultColWidth="9.6640625" defaultRowHeight="15.75"/>
  <cols>
    <col min="1" max="1" width="57" style="10" customWidth="1"/>
    <col min="2" max="2" width="8.33203125" style="10" customWidth="1"/>
    <col min="3" max="3" width="12.109375" style="10" customWidth="1"/>
    <col min="4" max="4" width="8.77734375" style="10" customWidth="1"/>
    <col min="5" max="5" width="9.77734375" style="10" customWidth="1"/>
    <col min="6" max="6" width="9.21875" style="10" customWidth="1"/>
    <col min="7" max="7" width="9.77734375" style="10" customWidth="1"/>
    <col min="8" max="8" width="7.77734375" style="10" customWidth="1"/>
    <col min="9" max="9" width="11.77734375" style="10" bestFit="1" customWidth="1"/>
    <col min="10" max="10" width="1.21875" style="19" customWidth="1"/>
    <col min="11" max="16384" width="9.6640625" style="10"/>
  </cols>
  <sheetData>
    <row r="1" spans="1:10" ht="20.25">
      <c r="A1" s="428" t="s">
        <v>54</v>
      </c>
      <c r="B1" s="383"/>
      <c r="C1" s="383"/>
      <c r="D1" s="383"/>
      <c r="E1" s="383"/>
      <c r="F1" s="383"/>
      <c r="G1" s="383"/>
      <c r="H1" s="383"/>
      <c r="I1" s="383"/>
      <c r="J1" s="81" t="s">
        <v>0</v>
      </c>
    </row>
    <row r="2" spans="1:10" ht="18.75">
      <c r="A2" s="429"/>
      <c r="B2" s="429"/>
      <c r="C2" s="429"/>
      <c r="D2" s="429"/>
      <c r="E2" s="429"/>
      <c r="F2" s="429"/>
      <c r="G2" s="429"/>
      <c r="H2" s="429"/>
      <c r="I2" s="429"/>
      <c r="J2" s="81" t="s">
        <v>0</v>
      </c>
    </row>
    <row r="3" spans="1:10">
      <c r="A3" s="415"/>
      <c r="B3" s="415"/>
      <c r="C3" s="415"/>
      <c r="D3" s="415"/>
      <c r="E3" s="415"/>
      <c r="F3" s="415"/>
      <c r="G3" s="415"/>
      <c r="H3" s="415"/>
      <c r="I3" s="415"/>
      <c r="J3" s="81" t="s">
        <v>0</v>
      </c>
    </row>
    <row r="4" spans="1:10" ht="20.25">
      <c r="A4" s="430" t="s">
        <v>77</v>
      </c>
      <c r="B4" s="427"/>
      <c r="C4" s="427"/>
      <c r="D4" s="427"/>
      <c r="E4" s="427"/>
      <c r="F4" s="427"/>
      <c r="G4" s="427"/>
      <c r="H4" s="427"/>
      <c r="I4" s="427"/>
      <c r="J4" s="81" t="s">
        <v>0</v>
      </c>
    </row>
    <row r="5" spans="1:10" ht="18.75">
      <c r="A5" s="426" t="s">
        <v>113</v>
      </c>
      <c r="B5" s="410"/>
      <c r="C5" s="410"/>
      <c r="D5" s="410"/>
      <c r="E5" s="410"/>
      <c r="F5" s="410"/>
      <c r="G5" s="410"/>
      <c r="H5" s="410"/>
      <c r="I5" s="410"/>
      <c r="J5" s="81" t="s">
        <v>0</v>
      </c>
    </row>
    <row r="6" spans="1:10" ht="18.75">
      <c r="A6" s="426" t="str">
        <f>+'[2]B. Summary of Requirements '!A6</f>
        <v>Salaries and Expenses</v>
      </c>
      <c r="B6" s="427"/>
      <c r="C6" s="427"/>
      <c r="D6" s="427"/>
      <c r="E6" s="427"/>
      <c r="F6" s="427"/>
      <c r="G6" s="427"/>
      <c r="H6" s="427"/>
      <c r="I6" s="427"/>
      <c r="J6" s="81" t="s">
        <v>0</v>
      </c>
    </row>
    <row r="7" spans="1:10">
      <c r="A7" s="415"/>
      <c r="B7" s="415"/>
      <c r="C7" s="415"/>
      <c r="D7" s="415"/>
      <c r="E7" s="415"/>
      <c r="F7" s="415"/>
      <c r="G7" s="415"/>
      <c r="H7" s="415"/>
      <c r="I7" s="415"/>
      <c r="J7" s="81" t="s">
        <v>0</v>
      </c>
    </row>
    <row r="8" spans="1:10" ht="16.5" thickBot="1">
      <c r="A8" s="416" t="s">
        <v>68</v>
      </c>
      <c r="B8" s="416"/>
      <c r="C8" s="416"/>
      <c r="D8" s="416"/>
      <c r="E8" s="416"/>
      <c r="F8" s="416"/>
      <c r="G8" s="416"/>
      <c r="H8" s="416"/>
      <c r="I8" s="416"/>
      <c r="J8" s="81" t="s">
        <v>0</v>
      </c>
    </row>
    <row r="9" spans="1:10">
      <c r="A9" s="417" t="s">
        <v>18</v>
      </c>
      <c r="B9" s="420" t="s">
        <v>128</v>
      </c>
      <c r="C9" s="421"/>
      <c r="D9" s="420" t="s">
        <v>129</v>
      </c>
      <c r="E9" s="421"/>
      <c r="F9" s="420" t="s">
        <v>125</v>
      </c>
      <c r="G9" s="421"/>
      <c r="H9" s="420" t="s">
        <v>12</v>
      </c>
      <c r="I9" s="424"/>
      <c r="J9" s="81" t="s">
        <v>0</v>
      </c>
    </row>
    <row r="10" spans="1:10" ht="53.25" customHeight="1">
      <c r="A10" s="418"/>
      <c r="B10" s="422"/>
      <c r="C10" s="423"/>
      <c r="D10" s="422"/>
      <c r="E10" s="423"/>
      <c r="F10" s="422"/>
      <c r="G10" s="423"/>
      <c r="H10" s="422"/>
      <c r="I10" s="425"/>
      <c r="J10" s="81" t="s">
        <v>0</v>
      </c>
    </row>
    <row r="11" spans="1:10" ht="16.5" thickBot="1">
      <c r="A11" s="419"/>
      <c r="B11" s="49" t="s">
        <v>67</v>
      </c>
      <c r="C11" s="50" t="s">
        <v>69</v>
      </c>
      <c r="D11" s="49" t="s">
        <v>67</v>
      </c>
      <c r="E11" s="50" t="s">
        <v>69</v>
      </c>
      <c r="F11" s="49" t="s">
        <v>67</v>
      </c>
      <c r="G11" s="50" t="s">
        <v>69</v>
      </c>
      <c r="H11" s="49" t="s">
        <v>67</v>
      </c>
      <c r="I11" s="166" t="s">
        <v>69</v>
      </c>
      <c r="J11" s="81" t="s">
        <v>0</v>
      </c>
    </row>
    <row r="12" spans="1:10">
      <c r="A12" s="44" t="s">
        <v>50</v>
      </c>
      <c r="B12" s="27">
        <v>1</v>
      </c>
      <c r="C12" s="28">
        <v>166865</v>
      </c>
      <c r="D12" s="27">
        <v>1</v>
      </c>
      <c r="E12" s="28">
        <v>166865</v>
      </c>
      <c r="F12" s="27">
        <v>1</v>
      </c>
      <c r="G12" s="28">
        <f>E12*1.005</f>
        <v>167699.32499999998</v>
      </c>
      <c r="H12" s="27">
        <f>F12-D12</f>
        <v>0</v>
      </c>
      <c r="I12" s="167"/>
      <c r="J12" s="81" t="s">
        <v>0</v>
      </c>
    </row>
    <row r="13" spans="1:10">
      <c r="A13" s="45" t="s">
        <v>49</v>
      </c>
      <c r="B13" s="27">
        <v>4</v>
      </c>
      <c r="C13" s="28">
        <v>595735</v>
      </c>
      <c r="D13" s="27">
        <v>4</v>
      </c>
      <c r="E13" s="28">
        <v>595735</v>
      </c>
      <c r="F13" s="27">
        <v>4</v>
      </c>
      <c r="G13" s="28">
        <f t="shared" ref="G13:G15" si="0">E13*1.005</f>
        <v>598713.67499999993</v>
      </c>
      <c r="H13" s="27">
        <f t="shared" ref="H13:H27" si="1">F13-D13</f>
        <v>0</v>
      </c>
      <c r="I13" s="168"/>
      <c r="J13" s="81" t="s">
        <v>0</v>
      </c>
    </row>
    <row r="14" spans="1:10">
      <c r="A14" s="45" t="s">
        <v>48</v>
      </c>
      <c r="B14" s="27">
        <v>10</v>
      </c>
      <c r="C14" s="28">
        <v>1153797</v>
      </c>
      <c r="D14" s="27">
        <v>10</v>
      </c>
      <c r="E14" s="28">
        <v>1153797</v>
      </c>
      <c r="F14" s="27">
        <v>10</v>
      </c>
      <c r="G14" s="28">
        <f t="shared" si="0"/>
        <v>1159565.9849999999</v>
      </c>
      <c r="H14" s="27">
        <f t="shared" si="1"/>
        <v>0</v>
      </c>
      <c r="I14" s="168"/>
      <c r="J14" s="81" t="s">
        <v>0</v>
      </c>
    </row>
    <row r="15" spans="1:10">
      <c r="A15" s="45" t="s">
        <v>47</v>
      </c>
      <c r="B15" s="27">
        <v>7</v>
      </c>
      <c r="C15" s="28">
        <v>685616</v>
      </c>
      <c r="D15" s="27">
        <v>7</v>
      </c>
      <c r="E15" s="28">
        <v>685616</v>
      </c>
      <c r="F15" s="27">
        <v>7</v>
      </c>
      <c r="G15" s="28">
        <f t="shared" si="0"/>
        <v>689044.08</v>
      </c>
      <c r="H15" s="27">
        <f t="shared" si="1"/>
        <v>0</v>
      </c>
      <c r="I15" s="168"/>
      <c r="J15" s="81" t="s">
        <v>0</v>
      </c>
    </row>
    <row r="16" spans="1:10">
      <c r="A16" s="45" t="s">
        <v>46</v>
      </c>
      <c r="B16" s="27"/>
      <c r="C16" s="28"/>
      <c r="D16" s="27"/>
      <c r="E16" s="28"/>
      <c r="F16" s="27"/>
      <c r="G16" s="28"/>
      <c r="H16" s="27">
        <f t="shared" si="1"/>
        <v>0</v>
      </c>
      <c r="I16" s="168"/>
      <c r="J16" s="81" t="s">
        <v>0</v>
      </c>
    </row>
    <row r="17" spans="1:10">
      <c r="A17" s="45" t="s">
        <v>45</v>
      </c>
      <c r="B17" s="27"/>
      <c r="C17" s="28"/>
      <c r="D17" s="27"/>
      <c r="E17" s="28"/>
      <c r="F17" s="27"/>
      <c r="G17" s="28"/>
      <c r="H17" s="27">
        <f t="shared" si="1"/>
        <v>0</v>
      </c>
      <c r="I17" s="168"/>
      <c r="J17" s="81" t="s">
        <v>0</v>
      </c>
    </row>
    <row r="18" spans="1:10">
      <c r="A18" s="45" t="s">
        <v>44</v>
      </c>
      <c r="B18" s="27"/>
      <c r="C18" s="28"/>
      <c r="D18" s="27"/>
      <c r="E18" s="28"/>
      <c r="F18" s="27"/>
      <c r="G18" s="28"/>
      <c r="H18" s="27">
        <f t="shared" si="1"/>
        <v>0</v>
      </c>
      <c r="I18" s="168"/>
      <c r="J18" s="81" t="s">
        <v>0</v>
      </c>
    </row>
    <row r="19" spans="1:10">
      <c r="A19" s="45" t="s">
        <v>43</v>
      </c>
      <c r="B19" s="27"/>
      <c r="C19" s="28"/>
      <c r="D19" s="27"/>
      <c r="E19" s="28"/>
      <c r="F19" s="27"/>
      <c r="G19" s="28"/>
      <c r="H19" s="27">
        <f t="shared" si="1"/>
        <v>0</v>
      </c>
      <c r="I19" s="168"/>
      <c r="J19" s="81" t="s">
        <v>0</v>
      </c>
    </row>
    <row r="20" spans="1:10">
      <c r="A20" s="45" t="s">
        <v>42</v>
      </c>
      <c r="B20" s="27"/>
      <c r="C20" s="28"/>
      <c r="D20" s="27"/>
      <c r="E20" s="28"/>
      <c r="F20" s="27"/>
      <c r="G20" s="28"/>
      <c r="H20" s="27">
        <f t="shared" si="1"/>
        <v>0</v>
      </c>
      <c r="I20" s="168"/>
      <c r="J20" s="81" t="s">
        <v>0</v>
      </c>
    </row>
    <row r="21" spans="1:10">
      <c r="A21" s="45" t="s">
        <v>41</v>
      </c>
      <c r="B21" s="27">
        <v>1</v>
      </c>
      <c r="C21" s="28">
        <v>43616</v>
      </c>
      <c r="D21" s="27">
        <v>1</v>
      </c>
      <c r="E21" s="28">
        <v>43616</v>
      </c>
      <c r="F21" s="27">
        <v>1</v>
      </c>
      <c r="G21" s="28">
        <f>E21*1.005</f>
        <v>43834.079999999994</v>
      </c>
      <c r="H21" s="27">
        <f t="shared" si="1"/>
        <v>0</v>
      </c>
      <c r="I21" s="168"/>
      <c r="J21" s="81" t="s">
        <v>0</v>
      </c>
    </row>
    <row r="22" spans="1:10">
      <c r="A22" s="45" t="s">
        <v>40</v>
      </c>
      <c r="B22" s="27"/>
      <c r="C22" s="28"/>
      <c r="D22" s="27"/>
      <c r="E22" s="28"/>
      <c r="F22" s="27"/>
      <c r="G22" s="28"/>
      <c r="H22" s="27">
        <f t="shared" si="1"/>
        <v>0</v>
      </c>
      <c r="I22" s="168"/>
      <c r="J22" s="81" t="s">
        <v>0</v>
      </c>
    </row>
    <row r="23" spans="1:10">
      <c r="A23" s="45" t="s">
        <v>39</v>
      </c>
      <c r="B23" s="27"/>
      <c r="C23" s="28"/>
      <c r="D23" s="27"/>
      <c r="E23" s="28"/>
      <c r="F23" s="27"/>
      <c r="G23" s="28"/>
      <c r="H23" s="27">
        <f t="shared" si="1"/>
        <v>0</v>
      </c>
      <c r="I23" s="168"/>
      <c r="J23" s="81" t="s">
        <v>0</v>
      </c>
    </row>
    <row r="24" spans="1:10">
      <c r="A24" s="45" t="s">
        <v>37</v>
      </c>
      <c r="B24" s="27"/>
      <c r="C24" s="28"/>
      <c r="D24" s="27"/>
      <c r="E24" s="28"/>
      <c r="F24" s="27"/>
      <c r="G24" s="28"/>
      <c r="H24" s="27">
        <f t="shared" si="1"/>
        <v>0</v>
      </c>
      <c r="I24" s="168"/>
      <c r="J24" s="81" t="s">
        <v>0</v>
      </c>
    </row>
    <row r="25" spans="1:10">
      <c r="A25" s="45" t="s">
        <v>38</v>
      </c>
      <c r="B25" s="51"/>
      <c r="C25" s="28"/>
      <c r="D25" s="27"/>
      <c r="E25" s="28"/>
      <c r="F25" s="27"/>
      <c r="G25" s="28"/>
      <c r="H25" s="27">
        <f t="shared" si="1"/>
        <v>0</v>
      </c>
      <c r="I25" s="168"/>
      <c r="J25" s="81" t="s">
        <v>0</v>
      </c>
    </row>
    <row r="26" spans="1:10">
      <c r="A26" s="45" t="s">
        <v>36</v>
      </c>
      <c r="B26" s="27"/>
      <c r="C26" s="28"/>
      <c r="D26" s="27"/>
      <c r="E26" s="28"/>
      <c r="F26" s="27"/>
      <c r="G26" s="28"/>
      <c r="H26" s="27">
        <f t="shared" si="1"/>
        <v>0</v>
      </c>
      <c r="I26" s="168"/>
      <c r="J26" s="81" t="s">
        <v>0</v>
      </c>
    </row>
    <row r="27" spans="1:10">
      <c r="A27" s="45" t="s">
        <v>35</v>
      </c>
      <c r="B27" s="29"/>
      <c r="C27" s="30"/>
      <c r="D27" s="29"/>
      <c r="E27" s="30"/>
      <c r="F27" s="29"/>
      <c r="G27" s="30"/>
      <c r="H27" s="27">
        <f t="shared" si="1"/>
        <v>0</v>
      </c>
      <c r="I27" s="169"/>
      <c r="J27" s="81" t="s">
        <v>0</v>
      </c>
    </row>
    <row r="28" spans="1:10">
      <c r="A28" s="46" t="s">
        <v>96</v>
      </c>
      <c r="B28" s="31">
        <f>SUM(B12:B27)</f>
        <v>23</v>
      </c>
      <c r="C28" s="37"/>
      <c r="D28" s="31">
        <f t="shared" ref="D28:F28" si="2">SUM(D12:D27)</f>
        <v>23</v>
      </c>
      <c r="E28" s="37"/>
      <c r="F28" s="31">
        <f t="shared" si="2"/>
        <v>23</v>
      </c>
      <c r="G28" s="37"/>
      <c r="H28" s="31">
        <f>SUM(H12:H27)</f>
        <v>0</v>
      </c>
      <c r="I28" s="170"/>
      <c r="J28" s="81" t="s">
        <v>0</v>
      </c>
    </row>
    <row r="29" spans="1:10">
      <c r="A29" s="47" t="s">
        <v>2</v>
      </c>
      <c r="B29" s="32"/>
      <c r="C29" s="14">
        <v>166865</v>
      </c>
      <c r="D29" s="32"/>
      <c r="E29" s="14">
        <v>166865</v>
      </c>
      <c r="F29" s="197"/>
      <c r="G29" s="14">
        <v>166865</v>
      </c>
      <c r="H29" s="32"/>
      <c r="I29" s="171"/>
      <c r="J29" s="81" t="s">
        <v>0</v>
      </c>
    </row>
    <row r="30" spans="1:10">
      <c r="A30" s="47" t="s">
        <v>20</v>
      </c>
      <c r="B30" s="33"/>
      <c r="C30" s="14">
        <f>SUM(C13:C27)/22</f>
        <v>112671.09090909091</v>
      </c>
      <c r="D30" s="32"/>
      <c r="E30" s="14">
        <f>SUM(E13:E27)/22</f>
        <v>112671.09090909091</v>
      </c>
      <c r="F30" s="197"/>
      <c r="G30" s="14">
        <f>SUM(G13:G27)/22</f>
        <v>113234.44636363635</v>
      </c>
      <c r="H30" s="32"/>
      <c r="I30" s="168"/>
      <c r="J30" s="81" t="s">
        <v>0</v>
      </c>
    </row>
    <row r="31" spans="1:10" ht="16.5" thickBot="1">
      <c r="A31" s="48" t="s">
        <v>21</v>
      </c>
      <c r="B31" s="34"/>
      <c r="C31" s="40">
        <v>14</v>
      </c>
      <c r="D31" s="35"/>
      <c r="E31" s="40">
        <v>14</v>
      </c>
      <c r="F31" s="35"/>
      <c r="G31" s="40">
        <v>14</v>
      </c>
      <c r="H31" s="35"/>
      <c r="I31" s="172"/>
      <c r="J31" s="81" t="s">
        <v>4</v>
      </c>
    </row>
    <row r="32" spans="1:10">
      <c r="A32" s="414"/>
      <c r="B32" s="372"/>
      <c r="C32" s="372"/>
      <c r="D32" s="372"/>
      <c r="E32" s="372"/>
      <c r="F32" s="372"/>
      <c r="G32" s="372"/>
      <c r="H32" s="372"/>
      <c r="I32" s="372"/>
      <c r="J32" s="372"/>
    </row>
    <row r="33" spans="1:10">
      <c r="A33" s="8"/>
      <c r="B33" s="8"/>
      <c r="C33" s="8"/>
      <c r="D33" s="8"/>
      <c r="E33" s="8"/>
      <c r="F33" s="8"/>
      <c r="G33" s="8"/>
      <c r="H33" s="8"/>
      <c r="I33" s="8"/>
      <c r="J33" s="82"/>
    </row>
  </sheetData>
  <mergeCells count="14">
    <mergeCell ref="A6:I6"/>
    <mergeCell ref="A1:I1"/>
    <mergeCell ref="A2:I2"/>
    <mergeCell ref="A3:I3"/>
    <mergeCell ref="A4:I4"/>
    <mergeCell ref="A5:I5"/>
    <mergeCell ref="A32:J32"/>
    <mergeCell ref="A7:I7"/>
    <mergeCell ref="A8:I8"/>
    <mergeCell ref="A9:A11"/>
    <mergeCell ref="B9:C10"/>
    <mergeCell ref="D9:E10"/>
    <mergeCell ref="F9:G10"/>
    <mergeCell ref="H9:I10"/>
  </mergeCells>
  <printOptions horizontalCentered="1"/>
  <pageMargins left="0.5" right="0.5" top="0.5" bottom="0.55000000000000004" header="0" footer="0"/>
  <pageSetup scale="67" orientation="landscape" horizontalDpi="300" verticalDpi="300" r:id="rId1"/>
  <headerFooter alignWithMargins="0">
    <oddFooter>&amp;C&amp;"Times New Roman,Regular"Exhibit K - Summary of Requirements by Grade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7"/>
  <sheetViews>
    <sheetView view="pageBreakPreview" zoomScaleNormal="100" zoomScaleSheetLayoutView="100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A36" sqref="A36"/>
    </sheetView>
  </sheetViews>
  <sheetFormatPr defaultRowHeight="14.25"/>
  <cols>
    <col min="1" max="1" width="67.33203125" style="248" customWidth="1"/>
    <col min="2" max="2" width="6.44140625" style="248" customWidth="1"/>
    <col min="3" max="3" width="9.88671875" style="248" customWidth="1"/>
    <col min="4" max="4" width="6.44140625" style="248" customWidth="1"/>
    <col min="5" max="5" width="9.88671875" style="248" customWidth="1"/>
    <col min="6" max="6" width="6.44140625" style="248" customWidth="1"/>
    <col min="7" max="7" width="9.88671875" style="248" customWidth="1"/>
    <col min="8" max="8" width="6.44140625" style="248" customWidth="1"/>
    <col min="9" max="9" width="9.88671875" style="248" customWidth="1"/>
    <col min="10" max="10" width="10.88671875" style="290" bestFit="1" customWidth="1"/>
    <col min="11" max="11" width="3.5546875" style="248" customWidth="1"/>
    <col min="12" max="12" width="90.77734375" style="266" customWidth="1"/>
    <col min="13" max="13" width="13.33203125" style="248" customWidth="1"/>
    <col min="14" max="14" width="11.88671875" style="248" customWidth="1"/>
    <col min="15" max="15" width="9.88671875" style="248" customWidth="1"/>
    <col min="16" max="17" width="6.44140625" style="248" customWidth="1"/>
    <col min="18" max="18" width="9.88671875" style="248" customWidth="1"/>
    <col min="19" max="16384" width="8.88671875" style="248"/>
  </cols>
  <sheetData>
    <row r="1" spans="1:18" ht="18">
      <c r="A1" s="435" t="s">
        <v>23</v>
      </c>
      <c r="B1" s="435"/>
      <c r="C1" s="435"/>
      <c r="D1" s="435"/>
      <c r="E1" s="435"/>
      <c r="F1" s="435"/>
      <c r="G1" s="435"/>
      <c r="H1" s="435"/>
      <c r="I1" s="435"/>
      <c r="J1" s="245" t="s">
        <v>0</v>
      </c>
      <c r="K1" s="246"/>
      <c r="L1" s="247" t="s">
        <v>151</v>
      </c>
      <c r="M1" s="246"/>
      <c r="N1" s="246"/>
      <c r="O1" s="246"/>
      <c r="P1" s="246"/>
      <c r="Q1" s="246"/>
      <c r="R1" s="246"/>
    </row>
    <row r="2" spans="1:18" ht="15">
      <c r="A2" s="436" t="s">
        <v>152</v>
      </c>
      <c r="B2" s="436"/>
      <c r="C2" s="436"/>
      <c r="D2" s="436"/>
      <c r="E2" s="436"/>
      <c r="F2" s="436"/>
      <c r="G2" s="436"/>
      <c r="H2" s="436"/>
      <c r="I2" s="436"/>
      <c r="J2" s="245" t="s">
        <v>0</v>
      </c>
      <c r="K2" s="249"/>
      <c r="L2" s="250"/>
      <c r="M2" s="249"/>
      <c r="N2" s="249"/>
      <c r="O2" s="249"/>
      <c r="P2" s="249"/>
      <c r="Q2" s="249"/>
      <c r="R2" s="249"/>
    </row>
    <row r="3" spans="1:18" ht="15">
      <c r="A3" s="437" t="s">
        <v>57</v>
      </c>
      <c r="B3" s="437"/>
      <c r="C3" s="437"/>
      <c r="D3" s="437"/>
      <c r="E3" s="437"/>
      <c r="F3" s="437"/>
      <c r="G3" s="437"/>
      <c r="H3" s="437"/>
      <c r="I3" s="437"/>
      <c r="J3" s="245" t="s">
        <v>0</v>
      </c>
      <c r="K3" s="251"/>
      <c r="L3" s="250" t="s">
        <v>153</v>
      </c>
      <c r="M3" s="251"/>
      <c r="N3" s="251"/>
      <c r="O3" s="251"/>
      <c r="P3" s="251"/>
      <c r="Q3" s="251"/>
      <c r="R3" s="251"/>
    </row>
    <row r="4" spans="1:18">
      <c r="A4" s="438" t="s">
        <v>56</v>
      </c>
      <c r="B4" s="438"/>
      <c r="C4" s="438"/>
      <c r="D4" s="438"/>
      <c r="E4" s="438"/>
      <c r="F4" s="438"/>
      <c r="G4" s="438"/>
      <c r="H4" s="438"/>
      <c r="I4" s="438"/>
      <c r="J4" s="245" t="s">
        <v>0</v>
      </c>
      <c r="K4" s="252"/>
      <c r="L4" s="250" t="s">
        <v>154</v>
      </c>
      <c r="M4" s="252"/>
      <c r="N4" s="252"/>
      <c r="O4" s="252"/>
      <c r="P4" s="252"/>
      <c r="Q4" s="252"/>
      <c r="R4" s="252"/>
    </row>
    <row r="5" spans="1:18" ht="15.75" thickBot="1">
      <c r="A5" s="438"/>
      <c r="B5" s="438"/>
      <c r="C5" s="438"/>
      <c r="D5" s="438"/>
      <c r="E5" s="438"/>
      <c r="F5" s="438"/>
      <c r="G5" s="438"/>
      <c r="H5" s="438"/>
      <c r="I5" s="438"/>
      <c r="J5" s="245" t="s">
        <v>0</v>
      </c>
      <c r="K5" s="252"/>
      <c r="L5" s="253"/>
      <c r="M5" s="252"/>
      <c r="N5" s="252"/>
      <c r="O5" s="252"/>
      <c r="P5" s="252"/>
      <c r="Q5" s="252"/>
      <c r="R5" s="252"/>
    </row>
    <row r="6" spans="1:18" ht="15">
      <c r="A6" s="431" t="s">
        <v>155</v>
      </c>
      <c r="B6" s="433" t="s">
        <v>156</v>
      </c>
      <c r="C6" s="433"/>
      <c r="D6" s="433" t="s">
        <v>157</v>
      </c>
      <c r="E6" s="433"/>
      <c r="F6" s="433" t="s">
        <v>125</v>
      </c>
      <c r="G6" s="433"/>
      <c r="H6" s="433" t="s">
        <v>12</v>
      </c>
      <c r="I6" s="434"/>
      <c r="J6" s="245" t="s">
        <v>0</v>
      </c>
      <c r="L6" s="254"/>
    </row>
    <row r="7" spans="1:18" ht="28.5">
      <c r="A7" s="432"/>
      <c r="B7" s="255" t="s">
        <v>158</v>
      </c>
      <c r="C7" s="255" t="s">
        <v>69</v>
      </c>
      <c r="D7" s="255" t="s">
        <v>158</v>
      </c>
      <c r="E7" s="255" t="s">
        <v>69</v>
      </c>
      <c r="F7" s="255" t="s">
        <v>158</v>
      </c>
      <c r="G7" s="255" t="s">
        <v>69</v>
      </c>
      <c r="H7" s="255" t="s">
        <v>158</v>
      </c>
      <c r="I7" s="256" t="s">
        <v>69</v>
      </c>
      <c r="J7" s="245" t="s">
        <v>0</v>
      </c>
      <c r="L7" s="257"/>
      <c r="M7" s="258">
        <v>0.05</v>
      </c>
    </row>
    <row r="8" spans="1:18">
      <c r="A8" s="259" t="s">
        <v>159</v>
      </c>
      <c r="B8" s="260">
        <v>23</v>
      </c>
      <c r="C8" s="260">
        <v>7167</v>
      </c>
      <c r="D8" s="260">
        <v>23</v>
      </c>
      <c r="E8" s="260">
        <v>7500</v>
      </c>
      <c r="F8" s="260">
        <v>23</v>
      </c>
      <c r="G8" s="260">
        <v>10000</v>
      </c>
      <c r="H8" s="260">
        <f>F8-D8</f>
        <v>0</v>
      </c>
      <c r="I8" s="261">
        <f>G8-E8</f>
        <v>2500</v>
      </c>
      <c r="J8" s="245" t="s">
        <v>0</v>
      </c>
      <c r="L8" s="254"/>
      <c r="M8" s="248">
        <f>C8*$M$7</f>
        <v>358.35</v>
      </c>
      <c r="N8" s="262">
        <f>C8+M8</f>
        <v>7525.35</v>
      </c>
    </row>
    <row r="9" spans="1:18">
      <c r="A9" s="263" t="s">
        <v>160</v>
      </c>
      <c r="B9" s="264">
        <v>0</v>
      </c>
      <c r="C9" s="264">
        <v>1416</v>
      </c>
      <c r="D9" s="264">
        <v>0</v>
      </c>
      <c r="E9" s="264">
        <v>1500</v>
      </c>
      <c r="F9" s="264">
        <v>0</v>
      </c>
      <c r="G9" s="264">
        <v>2000</v>
      </c>
      <c r="H9" s="264">
        <f t="shared" ref="H9:I13" si="0">F9-D9</f>
        <v>0</v>
      </c>
      <c r="I9" s="265">
        <f t="shared" si="0"/>
        <v>500</v>
      </c>
      <c r="J9" s="245" t="s">
        <v>0</v>
      </c>
      <c r="M9" s="248">
        <f t="shared" ref="M9:M36" si="1">C9*$M$7</f>
        <v>70.8</v>
      </c>
      <c r="N9" s="262">
        <f t="shared" ref="N9:N46" si="2">C9+M9</f>
        <v>1486.8</v>
      </c>
    </row>
    <row r="10" spans="1:18">
      <c r="A10" s="263" t="s">
        <v>161</v>
      </c>
      <c r="B10" s="264">
        <f>SUM(B11:B12)</f>
        <v>0</v>
      </c>
      <c r="C10" s="264">
        <f t="shared" ref="C10:G10" si="3">SUM(C11:C12)</f>
        <v>81</v>
      </c>
      <c r="D10" s="264">
        <f t="shared" si="3"/>
        <v>0</v>
      </c>
      <c r="E10" s="264">
        <f t="shared" si="3"/>
        <v>0</v>
      </c>
      <c r="F10" s="264">
        <f t="shared" si="3"/>
        <v>0</v>
      </c>
      <c r="G10" s="264">
        <f t="shared" si="3"/>
        <v>0</v>
      </c>
      <c r="H10" s="264">
        <f t="shared" si="0"/>
        <v>0</v>
      </c>
      <c r="I10" s="265">
        <f t="shared" si="0"/>
        <v>0</v>
      </c>
      <c r="J10" s="245" t="s">
        <v>0</v>
      </c>
      <c r="M10" s="248">
        <f t="shared" si="1"/>
        <v>4.05</v>
      </c>
      <c r="N10" s="262">
        <f t="shared" si="2"/>
        <v>85.05</v>
      </c>
    </row>
    <row r="11" spans="1:18">
      <c r="A11" s="267" t="s">
        <v>24</v>
      </c>
      <c r="B11" s="268">
        <v>0</v>
      </c>
      <c r="C11" s="268">
        <v>0</v>
      </c>
      <c r="D11" s="268">
        <v>0</v>
      </c>
      <c r="E11" s="268">
        <v>0</v>
      </c>
      <c r="F11" s="268">
        <v>0</v>
      </c>
      <c r="G11" s="268">
        <v>0</v>
      </c>
      <c r="H11" s="268">
        <f t="shared" si="0"/>
        <v>0</v>
      </c>
      <c r="I11" s="269">
        <f t="shared" si="0"/>
        <v>0</v>
      </c>
      <c r="J11" s="245" t="s">
        <v>0</v>
      </c>
      <c r="M11" s="248">
        <f t="shared" si="1"/>
        <v>0</v>
      </c>
      <c r="N11" s="262">
        <f t="shared" si="2"/>
        <v>0</v>
      </c>
    </row>
    <row r="12" spans="1:18">
      <c r="A12" s="267" t="s">
        <v>162</v>
      </c>
      <c r="B12" s="268">
        <v>0</v>
      </c>
      <c r="C12" s="268">
        <v>81</v>
      </c>
      <c r="D12" s="268">
        <v>0</v>
      </c>
      <c r="E12" s="268">
        <v>0</v>
      </c>
      <c r="F12" s="268">
        <v>0</v>
      </c>
      <c r="G12" s="268">
        <v>0</v>
      </c>
      <c r="H12" s="268">
        <f t="shared" si="0"/>
        <v>0</v>
      </c>
      <c r="I12" s="269">
        <f t="shared" si="0"/>
        <v>0</v>
      </c>
      <c r="J12" s="245" t="s">
        <v>0</v>
      </c>
      <c r="M12" s="248">
        <f t="shared" si="1"/>
        <v>4.05</v>
      </c>
      <c r="N12" s="262">
        <f t="shared" si="2"/>
        <v>85.05</v>
      </c>
    </row>
    <row r="13" spans="1:18">
      <c r="A13" s="263" t="s">
        <v>163</v>
      </c>
      <c r="B13" s="270">
        <v>0</v>
      </c>
      <c r="C13" s="270">
        <v>0</v>
      </c>
      <c r="D13" s="270">
        <v>0</v>
      </c>
      <c r="E13" s="270">
        <v>0</v>
      </c>
      <c r="F13" s="270">
        <v>0</v>
      </c>
      <c r="G13" s="270">
        <v>0</v>
      </c>
      <c r="H13" s="270">
        <f t="shared" si="0"/>
        <v>0</v>
      </c>
      <c r="I13" s="271">
        <f t="shared" si="0"/>
        <v>0</v>
      </c>
      <c r="J13" s="245" t="s">
        <v>0</v>
      </c>
      <c r="M13" s="248">
        <f t="shared" si="1"/>
        <v>0</v>
      </c>
      <c r="N13" s="262">
        <f t="shared" si="2"/>
        <v>0</v>
      </c>
    </row>
    <row r="14" spans="1:18" ht="15">
      <c r="A14" s="272" t="s">
        <v>164</v>
      </c>
      <c r="B14" s="273">
        <f>SUM(B8:B10,B13)</f>
        <v>23</v>
      </c>
      <c r="C14" s="273">
        <f t="shared" ref="C14:I14" si="4">SUM(C8:C10,C13)</f>
        <v>8664</v>
      </c>
      <c r="D14" s="273">
        <f t="shared" si="4"/>
        <v>23</v>
      </c>
      <c r="E14" s="273">
        <f t="shared" si="4"/>
        <v>9000</v>
      </c>
      <c r="F14" s="273">
        <f t="shared" si="4"/>
        <v>23</v>
      </c>
      <c r="G14" s="273">
        <f t="shared" si="4"/>
        <v>12000</v>
      </c>
      <c r="H14" s="273">
        <f t="shared" si="4"/>
        <v>0</v>
      </c>
      <c r="I14" s="274">
        <f t="shared" si="4"/>
        <v>3000</v>
      </c>
      <c r="J14" s="245" t="s">
        <v>0</v>
      </c>
      <c r="M14" s="248">
        <f t="shared" si="1"/>
        <v>433.20000000000005</v>
      </c>
      <c r="N14" s="262">
        <f t="shared" si="2"/>
        <v>9097.2000000000007</v>
      </c>
    </row>
    <row r="15" spans="1:18" ht="15">
      <c r="A15" s="275" t="s">
        <v>165</v>
      </c>
      <c r="B15" s="264"/>
      <c r="C15" s="264"/>
      <c r="D15" s="264"/>
      <c r="E15" s="264"/>
      <c r="F15" s="264"/>
      <c r="G15" s="264"/>
      <c r="H15" s="264"/>
      <c r="I15" s="265"/>
      <c r="J15" s="245" t="s">
        <v>0</v>
      </c>
      <c r="M15" s="248">
        <f t="shared" si="1"/>
        <v>0</v>
      </c>
      <c r="N15" s="262">
        <f t="shared" si="2"/>
        <v>0</v>
      </c>
    </row>
    <row r="16" spans="1:18">
      <c r="A16" s="263" t="s">
        <v>166</v>
      </c>
      <c r="B16" s="264"/>
      <c r="C16" s="264">
        <v>2478</v>
      </c>
      <c r="D16" s="264"/>
      <c r="E16" s="264">
        <v>3000</v>
      </c>
      <c r="F16" s="264"/>
      <c r="G16" s="264">
        <v>4000</v>
      </c>
      <c r="H16" s="264"/>
      <c r="I16" s="265">
        <f t="shared" ref="I16:I36" si="5">G16-E16</f>
        <v>1000</v>
      </c>
      <c r="J16" s="245" t="s">
        <v>0</v>
      </c>
      <c r="L16" s="266" t="s">
        <v>167</v>
      </c>
      <c r="M16" s="248">
        <f t="shared" si="1"/>
        <v>123.9</v>
      </c>
      <c r="N16" s="262">
        <f t="shared" si="2"/>
        <v>2601.9</v>
      </c>
    </row>
    <row r="17" spans="1:14">
      <c r="A17" s="263" t="s">
        <v>168</v>
      </c>
      <c r="B17" s="264"/>
      <c r="C17" s="264">
        <v>0</v>
      </c>
      <c r="D17" s="264"/>
      <c r="E17" s="264">
        <v>0</v>
      </c>
      <c r="F17" s="264"/>
      <c r="G17" s="264">
        <v>0</v>
      </c>
      <c r="H17" s="264"/>
      <c r="I17" s="265">
        <f t="shared" si="5"/>
        <v>0</v>
      </c>
      <c r="J17" s="245" t="s">
        <v>0</v>
      </c>
      <c r="M17" s="248">
        <f t="shared" si="1"/>
        <v>0</v>
      </c>
      <c r="N17" s="262">
        <f t="shared" si="2"/>
        <v>0</v>
      </c>
    </row>
    <row r="18" spans="1:14">
      <c r="A18" s="263" t="s">
        <v>169</v>
      </c>
      <c r="B18" s="264"/>
      <c r="C18" s="264">
        <v>5338</v>
      </c>
      <c r="D18" s="264"/>
      <c r="E18" s="264">
        <v>6000</v>
      </c>
      <c r="F18" s="264"/>
      <c r="G18" s="264">
        <v>14000</v>
      </c>
      <c r="H18" s="264"/>
      <c r="I18" s="265">
        <f t="shared" si="5"/>
        <v>8000</v>
      </c>
      <c r="J18" s="245" t="s">
        <v>0</v>
      </c>
      <c r="M18" s="248">
        <f t="shared" si="1"/>
        <v>266.90000000000003</v>
      </c>
      <c r="N18" s="262">
        <f t="shared" si="2"/>
        <v>5604.9</v>
      </c>
    </row>
    <row r="19" spans="1:14">
      <c r="A19" s="263" t="s">
        <v>170</v>
      </c>
      <c r="B19" s="264"/>
      <c r="C19" s="264">
        <v>2592</v>
      </c>
      <c r="D19" s="264"/>
      <c r="E19" s="264">
        <v>3000</v>
      </c>
      <c r="F19" s="264"/>
      <c r="G19" s="264">
        <v>4000</v>
      </c>
      <c r="H19" s="264"/>
      <c r="I19" s="265">
        <f t="shared" si="5"/>
        <v>1000</v>
      </c>
      <c r="J19" s="245" t="s">
        <v>0</v>
      </c>
      <c r="M19" s="248">
        <f t="shared" si="1"/>
        <v>129.6</v>
      </c>
      <c r="N19" s="262">
        <f t="shared" si="2"/>
        <v>2721.6</v>
      </c>
    </row>
    <row r="20" spans="1:14">
      <c r="A20" s="263" t="s">
        <v>171</v>
      </c>
      <c r="B20" s="264"/>
      <c r="C20" s="264">
        <v>16582</v>
      </c>
      <c r="D20" s="264"/>
      <c r="E20" s="264">
        <v>17000</v>
      </c>
      <c r="F20" s="264"/>
      <c r="G20" s="264">
        <v>21000</v>
      </c>
      <c r="H20" s="264"/>
      <c r="I20" s="265">
        <f t="shared" si="5"/>
        <v>4000</v>
      </c>
      <c r="J20" s="245" t="s">
        <v>0</v>
      </c>
      <c r="M20" s="248">
        <f t="shared" si="1"/>
        <v>829.1</v>
      </c>
      <c r="N20" s="262">
        <f t="shared" si="2"/>
        <v>17411.099999999999</v>
      </c>
    </row>
    <row r="21" spans="1:14">
      <c r="A21" s="263" t="s">
        <v>172</v>
      </c>
      <c r="B21" s="264"/>
      <c r="C21" s="264">
        <v>954</v>
      </c>
      <c r="D21" s="264"/>
      <c r="E21" s="264">
        <v>1000</v>
      </c>
      <c r="F21" s="264"/>
      <c r="G21" s="264">
        <v>1000</v>
      </c>
      <c r="H21" s="264"/>
      <c r="I21" s="265">
        <f t="shared" si="5"/>
        <v>0</v>
      </c>
      <c r="J21" s="245" t="s">
        <v>0</v>
      </c>
      <c r="M21" s="248">
        <f t="shared" si="1"/>
        <v>47.7</v>
      </c>
      <c r="N21" s="262">
        <f t="shared" si="2"/>
        <v>1001.7</v>
      </c>
    </row>
    <row r="22" spans="1:14">
      <c r="A22" s="263" t="s">
        <v>173</v>
      </c>
      <c r="B22" s="264"/>
      <c r="C22" s="264">
        <v>6188</v>
      </c>
      <c r="D22" s="264"/>
      <c r="E22" s="264">
        <v>6000</v>
      </c>
      <c r="F22" s="264"/>
      <c r="G22" s="264">
        <v>10000</v>
      </c>
      <c r="H22" s="264"/>
      <c r="I22" s="265">
        <f t="shared" si="5"/>
        <v>4000</v>
      </c>
      <c r="J22" s="245" t="s">
        <v>0</v>
      </c>
      <c r="M22" s="248">
        <f t="shared" si="1"/>
        <v>309.40000000000003</v>
      </c>
      <c r="N22" s="262">
        <f t="shared" si="2"/>
        <v>6497.4</v>
      </c>
    </row>
    <row r="23" spans="1:14">
      <c r="A23" s="263" t="s">
        <v>174</v>
      </c>
      <c r="B23" s="264"/>
      <c r="C23" s="264">
        <v>3123</v>
      </c>
      <c r="D23" s="264"/>
      <c r="E23" s="264">
        <v>3000</v>
      </c>
      <c r="F23" s="264"/>
      <c r="G23" s="264">
        <v>4000</v>
      </c>
      <c r="H23" s="264"/>
      <c r="I23" s="265">
        <f t="shared" si="5"/>
        <v>1000</v>
      </c>
      <c r="J23" s="245" t="s">
        <v>0</v>
      </c>
      <c r="M23" s="248">
        <f t="shared" si="1"/>
        <v>156.15</v>
      </c>
      <c r="N23" s="262">
        <f t="shared" si="2"/>
        <v>3279.15</v>
      </c>
    </row>
    <row r="24" spans="1:14">
      <c r="A24" s="263" t="s">
        <v>175</v>
      </c>
      <c r="B24" s="264"/>
      <c r="C24" s="264">
        <v>65801</v>
      </c>
      <c r="D24" s="264"/>
      <c r="E24" s="264">
        <v>69000</v>
      </c>
      <c r="F24" s="264"/>
      <c r="G24" s="276">
        <v>98000</v>
      </c>
      <c r="H24" s="264"/>
      <c r="I24" s="265">
        <f t="shared" si="5"/>
        <v>29000</v>
      </c>
      <c r="J24" s="245" t="s">
        <v>0</v>
      </c>
      <c r="M24" s="248">
        <f t="shared" si="1"/>
        <v>3290.05</v>
      </c>
      <c r="N24" s="262">
        <f t="shared" si="2"/>
        <v>69091.05</v>
      </c>
    </row>
    <row r="25" spans="1:14">
      <c r="A25" s="263" t="s">
        <v>176</v>
      </c>
      <c r="B25" s="264"/>
      <c r="C25" s="264">
        <f>4176275-14104-3</f>
        <v>4162168</v>
      </c>
      <c r="D25" s="264"/>
      <c r="E25" s="276">
        <f>1418000-752+68-65-2+753</f>
        <v>1418002</v>
      </c>
      <c r="F25" s="264"/>
      <c r="G25" s="276">
        <f>1286000-56-1030-67+1030</f>
        <v>1285877</v>
      </c>
      <c r="H25" s="264"/>
      <c r="I25" s="265">
        <f t="shared" si="5"/>
        <v>-132125</v>
      </c>
      <c r="J25" s="245" t="s">
        <v>0</v>
      </c>
      <c r="M25" s="248">
        <f t="shared" si="1"/>
        <v>208108.40000000002</v>
      </c>
      <c r="N25" s="262">
        <f>1236679+12753</f>
        <v>1249432</v>
      </c>
    </row>
    <row r="26" spans="1:14">
      <c r="A26" s="263" t="s">
        <v>177</v>
      </c>
      <c r="B26" s="264"/>
      <c r="C26" s="264">
        <v>38979</v>
      </c>
      <c r="D26" s="264"/>
      <c r="E26" s="264">
        <v>41000</v>
      </c>
      <c r="F26" s="264"/>
      <c r="G26" s="276">
        <v>70000</v>
      </c>
      <c r="H26" s="264"/>
      <c r="I26" s="265">
        <f t="shared" si="5"/>
        <v>29000</v>
      </c>
      <c r="J26" s="245" t="s">
        <v>0</v>
      </c>
      <c r="M26" s="248">
        <f t="shared" si="1"/>
        <v>1948.95</v>
      </c>
      <c r="N26" s="262">
        <f t="shared" si="2"/>
        <v>40927.949999999997</v>
      </c>
    </row>
    <row r="27" spans="1:14">
      <c r="A27" s="263" t="s">
        <v>178</v>
      </c>
      <c r="B27" s="264"/>
      <c r="C27" s="264">
        <v>5477</v>
      </c>
      <c r="D27" s="264"/>
      <c r="E27" s="264">
        <v>6000</v>
      </c>
      <c r="F27" s="264"/>
      <c r="G27" s="276">
        <v>10000</v>
      </c>
      <c r="H27" s="264"/>
      <c r="I27" s="265">
        <f t="shared" si="5"/>
        <v>4000</v>
      </c>
      <c r="J27" s="245" t="s">
        <v>0</v>
      </c>
      <c r="M27" s="248">
        <f t="shared" si="1"/>
        <v>273.85000000000002</v>
      </c>
      <c r="N27" s="262">
        <f t="shared" si="2"/>
        <v>5750.85</v>
      </c>
    </row>
    <row r="28" spans="1:14">
      <c r="A28" s="263" t="s">
        <v>179</v>
      </c>
      <c r="B28" s="264"/>
      <c r="C28" s="264">
        <v>0</v>
      </c>
      <c r="D28" s="264"/>
      <c r="E28" s="264">
        <v>0</v>
      </c>
      <c r="F28" s="264"/>
      <c r="G28" s="276">
        <v>0</v>
      </c>
      <c r="H28" s="264"/>
      <c r="I28" s="265">
        <f t="shared" si="5"/>
        <v>0</v>
      </c>
      <c r="J28" s="245" t="s">
        <v>0</v>
      </c>
      <c r="M28" s="248">
        <f t="shared" si="1"/>
        <v>0</v>
      </c>
      <c r="N28" s="262">
        <f t="shared" si="2"/>
        <v>0</v>
      </c>
    </row>
    <row r="29" spans="1:14">
      <c r="A29" s="263" t="s">
        <v>180</v>
      </c>
      <c r="B29" s="264"/>
      <c r="C29" s="264">
        <v>2</v>
      </c>
      <c r="D29" s="264"/>
      <c r="E29" s="276">
        <v>2</v>
      </c>
      <c r="F29" s="264"/>
      <c r="G29" s="276">
        <v>2</v>
      </c>
      <c r="H29" s="264"/>
      <c r="I29" s="265">
        <f t="shared" si="5"/>
        <v>0</v>
      </c>
      <c r="J29" s="245" t="s">
        <v>0</v>
      </c>
      <c r="M29" s="248">
        <f t="shared" si="1"/>
        <v>0.1</v>
      </c>
      <c r="N29" s="262">
        <f t="shared" si="2"/>
        <v>2.1</v>
      </c>
    </row>
    <row r="30" spans="1:14">
      <c r="A30" s="263" t="s">
        <v>181</v>
      </c>
      <c r="B30" s="264"/>
      <c r="C30" s="264">
        <v>13725</v>
      </c>
      <c r="D30" s="264"/>
      <c r="E30" s="276">
        <v>14000</v>
      </c>
      <c r="F30" s="264"/>
      <c r="G30" s="276">
        <v>18000</v>
      </c>
      <c r="H30" s="264"/>
      <c r="I30" s="265">
        <f t="shared" si="5"/>
        <v>4000</v>
      </c>
      <c r="J30" s="245" t="s">
        <v>0</v>
      </c>
      <c r="M30" s="248">
        <f t="shared" si="1"/>
        <v>686.25</v>
      </c>
      <c r="N30" s="262">
        <f t="shared" si="2"/>
        <v>14411.25</v>
      </c>
    </row>
    <row r="31" spans="1:14">
      <c r="A31" s="263" t="s">
        <v>182</v>
      </c>
      <c r="B31" s="264"/>
      <c r="C31" s="264">
        <v>0</v>
      </c>
      <c r="D31" s="264"/>
      <c r="E31" s="276">
        <v>0</v>
      </c>
      <c r="F31" s="264"/>
      <c r="G31" s="276">
        <v>0</v>
      </c>
      <c r="H31" s="264"/>
      <c r="I31" s="265">
        <f t="shared" si="5"/>
        <v>0</v>
      </c>
      <c r="J31" s="245" t="s">
        <v>0</v>
      </c>
      <c r="M31" s="248">
        <f t="shared" si="1"/>
        <v>0</v>
      </c>
      <c r="N31" s="262">
        <f t="shared" si="2"/>
        <v>0</v>
      </c>
    </row>
    <row r="32" spans="1:14">
      <c r="A32" s="263" t="s">
        <v>183</v>
      </c>
      <c r="B32" s="264"/>
      <c r="C32" s="264">
        <v>3763</v>
      </c>
      <c r="D32" s="264"/>
      <c r="E32" s="276">
        <v>4000</v>
      </c>
      <c r="F32" s="264"/>
      <c r="G32" s="276">
        <v>6000</v>
      </c>
      <c r="H32" s="264"/>
      <c r="I32" s="265">
        <f t="shared" si="5"/>
        <v>2000</v>
      </c>
      <c r="J32" s="245" t="s">
        <v>0</v>
      </c>
      <c r="M32" s="248">
        <f t="shared" si="1"/>
        <v>188.15</v>
      </c>
      <c r="N32" s="262">
        <f t="shared" si="2"/>
        <v>3951.15</v>
      </c>
    </row>
    <row r="33" spans="1:14">
      <c r="A33" s="263" t="s">
        <v>184</v>
      </c>
      <c r="B33" s="264"/>
      <c r="C33" s="264">
        <v>699</v>
      </c>
      <c r="D33" s="264"/>
      <c r="E33" s="276">
        <v>1000</v>
      </c>
      <c r="F33" s="264"/>
      <c r="G33" s="276">
        <v>8000</v>
      </c>
      <c r="H33" s="264"/>
      <c r="I33" s="265">
        <f t="shared" si="5"/>
        <v>7000</v>
      </c>
      <c r="J33" s="245" t="s">
        <v>0</v>
      </c>
      <c r="M33" s="248">
        <f t="shared" si="1"/>
        <v>34.950000000000003</v>
      </c>
      <c r="N33" s="262">
        <f t="shared" si="2"/>
        <v>733.95</v>
      </c>
    </row>
    <row r="34" spans="1:14">
      <c r="A34" s="263" t="s">
        <v>120</v>
      </c>
      <c r="B34" s="264"/>
      <c r="C34" s="264">
        <v>151000</v>
      </c>
      <c r="D34" s="264"/>
      <c r="E34" s="276">
        <v>0</v>
      </c>
      <c r="F34" s="264"/>
      <c r="G34" s="276">
        <v>0</v>
      </c>
      <c r="H34" s="264"/>
      <c r="I34" s="265">
        <f t="shared" si="5"/>
        <v>0</v>
      </c>
      <c r="J34" s="245" t="s">
        <v>0</v>
      </c>
      <c r="M34" s="248">
        <f t="shared" si="1"/>
        <v>7550</v>
      </c>
      <c r="N34" s="262">
        <f t="shared" si="2"/>
        <v>158550</v>
      </c>
    </row>
    <row r="35" spans="1:14">
      <c r="A35" s="263" t="s">
        <v>185</v>
      </c>
      <c r="B35" s="264"/>
      <c r="C35" s="264">
        <v>0</v>
      </c>
      <c r="D35" s="264"/>
      <c r="E35" s="276">
        <v>0</v>
      </c>
      <c r="F35" s="264"/>
      <c r="G35" s="276">
        <v>0</v>
      </c>
      <c r="H35" s="264"/>
      <c r="I35" s="265">
        <f t="shared" si="5"/>
        <v>0</v>
      </c>
      <c r="J35" s="245" t="s">
        <v>0</v>
      </c>
      <c r="M35" s="248">
        <f t="shared" si="1"/>
        <v>0</v>
      </c>
      <c r="N35" s="262">
        <f t="shared" si="2"/>
        <v>0</v>
      </c>
    </row>
    <row r="36" spans="1:14">
      <c r="A36" s="263" t="s">
        <v>140</v>
      </c>
      <c r="B36" s="264"/>
      <c r="C36" s="264">
        <v>65</v>
      </c>
      <c r="D36" s="264"/>
      <c r="E36" s="276">
        <v>65</v>
      </c>
      <c r="F36" s="264"/>
      <c r="G36" s="276">
        <v>65</v>
      </c>
      <c r="H36" s="264"/>
      <c r="I36" s="265">
        <f t="shared" si="5"/>
        <v>0</v>
      </c>
      <c r="J36" s="245" t="s">
        <v>0</v>
      </c>
      <c r="M36" s="248">
        <f t="shared" si="1"/>
        <v>3.25</v>
      </c>
      <c r="N36" s="262">
        <f t="shared" si="2"/>
        <v>68.25</v>
      </c>
    </row>
    <row r="37" spans="1:14" ht="15">
      <c r="A37" s="272" t="s">
        <v>186</v>
      </c>
      <c r="B37" s="277"/>
      <c r="C37" s="277">
        <f>SUM(C14:C36)</f>
        <v>4487598</v>
      </c>
      <c r="D37" s="277"/>
      <c r="E37" s="277">
        <f t="shared" ref="E37:I37" si="6">SUM(E14:E36)</f>
        <v>1601069</v>
      </c>
      <c r="F37" s="277"/>
      <c r="G37" s="277">
        <f t="shared" si="6"/>
        <v>1565944</v>
      </c>
      <c r="H37" s="277"/>
      <c r="I37" s="278">
        <f t="shared" si="6"/>
        <v>-35125</v>
      </c>
      <c r="J37" s="245" t="s">
        <v>0</v>
      </c>
      <c r="L37" s="254"/>
      <c r="M37" s="279">
        <f t="shared" ref="M37:M43" si="7">C37*M36</f>
        <v>14584693.5</v>
      </c>
      <c r="N37" s="280">
        <f>SUM(N8:N36)</f>
        <v>1600315.75</v>
      </c>
    </row>
    <row r="38" spans="1:14">
      <c r="A38" s="263" t="s">
        <v>187</v>
      </c>
      <c r="B38" s="264"/>
      <c r="C38" s="264">
        <v>-1024189</v>
      </c>
      <c r="D38" s="264"/>
      <c r="E38" s="264">
        <v>-657129</v>
      </c>
      <c r="F38" s="264"/>
      <c r="G38" s="264">
        <f>-634060</f>
        <v>-634060</v>
      </c>
      <c r="H38" s="264"/>
      <c r="I38" s="265">
        <f>G38-E38</f>
        <v>23069</v>
      </c>
      <c r="J38" s="245" t="s">
        <v>0</v>
      </c>
      <c r="L38" s="254"/>
      <c r="M38" s="248">
        <v>0</v>
      </c>
      <c r="N38" s="262"/>
    </row>
    <row r="39" spans="1:14">
      <c r="A39" s="263" t="s">
        <v>188</v>
      </c>
      <c r="B39" s="264"/>
      <c r="C39" s="264">
        <v>0</v>
      </c>
      <c r="D39" s="264"/>
      <c r="E39" s="264">
        <v>0</v>
      </c>
      <c r="F39" s="264"/>
      <c r="G39" s="264">
        <v>0</v>
      </c>
      <c r="H39" s="264"/>
      <c r="I39" s="265">
        <f t="shared" ref="I39:I42" si="8">G39-E39</f>
        <v>0</v>
      </c>
      <c r="J39" s="245" t="s">
        <v>0</v>
      </c>
      <c r="L39" s="254"/>
      <c r="M39" s="248">
        <v>0</v>
      </c>
      <c r="N39" s="262"/>
    </row>
    <row r="40" spans="1:14">
      <c r="A40" s="263" t="s">
        <v>189</v>
      </c>
      <c r="B40" s="264"/>
      <c r="C40" s="264">
        <v>-85794</v>
      </c>
      <c r="D40" s="264"/>
      <c r="E40" s="264">
        <v>-70000</v>
      </c>
      <c r="F40" s="264"/>
      <c r="G40" s="264">
        <v>-70000</v>
      </c>
      <c r="H40" s="264"/>
      <c r="I40" s="265">
        <f t="shared" si="8"/>
        <v>0</v>
      </c>
      <c r="J40" s="245" t="s">
        <v>0</v>
      </c>
      <c r="L40" s="254"/>
      <c r="M40" s="248">
        <v>0</v>
      </c>
      <c r="N40" s="262"/>
    </row>
    <row r="41" spans="1:14">
      <c r="A41" s="263" t="s">
        <v>190</v>
      </c>
      <c r="B41" s="264"/>
      <c r="C41" s="264">
        <v>657129</v>
      </c>
      <c r="D41" s="264"/>
      <c r="E41" s="264">
        <v>634060</v>
      </c>
      <c r="F41" s="264"/>
      <c r="G41" s="264">
        <v>646116</v>
      </c>
      <c r="H41" s="264"/>
      <c r="I41" s="265">
        <f t="shared" si="8"/>
        <v>12056</v>
      </c>
      <c r="J41" s="245" t="s">
        <v>0</v>
      </c>
      <c r="L41" s="254"/>
      <c r="M41" s="248">
        <v>0</v>
      </c>
      <c r="N41" s="262"/>
    </row>
    <row r="42" spans="1:14">
      <c r="A42" s="263" t="s">
        <v>191</v>
      </c>
      <c r="B42" s="264"/>
      <c r="C42" s="264">
        <v>0</v>
      </c>
      <c r="D42" s="264"/>
      <c r="E42" s="264">
        <v>0</v>
      </c>
      <c r="F42" s="264"/>
      <c r="G42" s="264">
        <v>0</v>
      </c>
      <c r="H42" s="264"/>
      <c r="I42" s="265">
        <f t="shared" si="8"/>
        <v>0</v>
      </c>
      <c r="J42" s="245" t="s">
        <v>0</v>
      </c>
      <c r="L42" s="254"/>
      <c r="M42" s="248">
        <v>0</v>
      </c>
      <c r="N42" s="262"/>
    </row>
    <row r="43" spans="1:14" ht="15.75" thickBot="1">
      <c r="A43" s="281" t="s">
        <v>192</v>
      </c>
      <c r="B43" s="282">
        <f t="shared" ref="B43:I43" si="9">SUM(B37:B42)</f>
        <v>0</v>
      </c>
      <c r="C43" s="282">
        <f>SUM(C37:C42)</f>
        <v>4034744</v>
      </c>
      <c r="D43" s="282">
        <f t="shared" si="9"/>
        <v>0</v>
      </c>
      <c r="E43" s="282">
        <f t="shared" si="9"/>
        <v>1508000</v>
      </c>
      <c r="F43" s="282">
        <f t="shared" si="9"/>
        <v>0</v>
      </c>
      <c r="G43" s="282">
        <f t="shared" si="9"/>
        <v>1508000</v>
      </c>
      <c r="H43" s="282">
        <f t="shared" si="9"/>
        <v>0</v>
      </c>
      <c r="I43" s="283">
        <f t="shared" si="9"/>
        <v>0</v>
      </c>
      <c r="J43" s="245" t="s">
        <v>0</v>
      </c>
      <c r="L43" s="254"/>
      <c r="M43" s="279">
        <f t="shared" si="7"/>
        <v>0</v>
      </c>
      <c r="N43" s="280"/>
    </row>
    <row r="44" spans="1:14">
      <c r="A44" s="284" t="s">
        <v>59</v>
      </c>
      <c r="B44" s="285"/>
      <c r="C44" s="285"/>
      <c r="D44" s="285"/>
      <c r="E44" s="285"/>
      <c r="F44" s="285"/>
      <c r="G44" s="285"/>
      <c r="H44" s="285"/>
      <c r="I44" s="286"/>
      <c r="J44" s="245" t="s">
        <v>0</v>
      </c>
      <c r="M44" s="248">
        <v>0</v>
      </c>
      <c r="N44" s="262">
        <f t="shared" si="2"/>
        <v>0</v>
      </c>
    </row>
    <row r="45" spans="1:14">
      <c r="A45" s="263" t="s">
        <v>193</v>
      </c>
      <c r="B45" s="264">
        <v>23</v>
      </c>
      <c r="C45" s="264">
        <v>14107</v>
      </c>
      <c r="D45" s="264">
        <v>23</v>
      </c>
      <c r="E45" s="264">
        <v>12000</v>
      </c>
      <c r="F45" s="264">
        <v>23</v>
      </c>
      <c r="G45" s="264">
        <v>12000</v>
      </c>
      <c r="H45" s="264">
        <f>F45-D45</f>
        <v>0</v>
      </c>
      <c r="I45" s="265"/>
      <c r="J45" s="245" t="s">
        <v>0</v>
      </c>
      <c r="L45" s="266" t="s">
        <v>194</v>
      </c>
      <c r="M45" s="248">
        <v>0</v>
      </c>
      <c r="N45" s="262">
        <v>12753</v>
      </c>
    </row>
    <row r="46" spans="1:14">
      <c r="A46" s="263"/>
      <c r="B46" s="264"/>
      <c r="C46" s="264"/>
      <c r="D46" s="264"/>
      <c r="E46" s="264"/>
      <c r="F46" s="264"/>
      <c r="G46" s="264"/>
      <c r="H46" s="264"/>
      <c r="I46" s="265"/>
      <c r="J46" s="245" t="s">
        <v>0</v>
      </c>
      <c r="L46" s="254"/>
      <c r="M46" s="248">
        <v>0</v>
      </c>
      <c r="N46" s="262">
        <f t="shared" si="2"/>
        <v>0</v>
      </c>
    </row>
    <row r="47" spans="1:14">
      <c r="A47" s="263" t="s">
        <v>195</v>
      </c>
      <c r="B47" s="264"/>
      <c r="C47" s="264">
        <v>0</v>
      </c>
      <c r="D47" s="264"/>
      <c r="E47" s="264">
        <v>0</v>
      </c>
      <c r="F47" s="264"/>
      <c r="G47" s="264">
        <v>0</v>
      </c>
      <c r="H47" s="264"/>
      <c r="I47" s="265">
        <f t="shared" ref="I47:I48" si="10">G47-E47</f>
        <v>0</v>
      </c>
      <c r="J47" s="245" t="s">
        <v>0</v>
      </c>
    </row>
    <row r="48" spans="1:14" ht="15" thickBot="1">
      <c r="A48" s="287" t="s">
        <v>196</v>
      </c>
      <c r="B48" s="288"/>
      <c r="C48" s="288">
        <v>0</v>
      </c>
      <c r="D48" s="288"/>
      <c r="E48" s="288">
        <v>0</v>
      </c>
      <c r="F48" s="288"/>
      <c r="G48" s="288">
        <v>0</v>
      </c>
      <c r="H48" s="288"/>
      <c r="I48" s="289">
        <f t="shared" si="10"/>
        <v>0</v>
      </c>
      <c r="J48" s="245" t="s">
        <v>0</v>
      </c>
      <c r="N48" s="262">
        <f>N37+N45</f>
        <v>1613068.75</v>
      </c>
    </row>
    <row r="49" spans="1:14">
      <c r="E49" s="262"/>
      <c r="G49" s="262"/>
      <c r="J49" s="290" t="s">
        <v>4</v>
      </c>
    </row>
    <row r="50" spans="1:14">
      <c r="A50" s="291" t="s">
        <v>146</v>
      </c>
      <c r="N50" s="262">
        <f>1613069-N48</f>
        <v>0.25</v>
      </c>
    </row>
    <row r="51" spans="1:14">
      <c r="A51" s="248" t="s">
        <v>197</v>
      </c>
      <c r="G51" s="262"/>
      <c r="N51" s="262"/>
    </row>
    <row r="52" spans="1:14">
      <c r="E52" s="262"/>
    </row>
    <row r="53" spans="1:14">
      <c r="E53" s="262"/>
      <c r="G53" s="262"/>
    </row>
    <row r="54" spans="1:14">
      <c r="E54" s="262"/>
      <c r="G54" s="262"/>
    </row>
    <row r="57" spans="1:14">
      <c r="G57" s="262"/>
    </row>
  </sheetData>
  <mergeCells count="10">
    <mergeCell ref="A1:I1"/>
    <mergeCell ref="A2:I2"/>
    <mergeCell ref="A3:I3"/>
    <mergeCell ref="A4:I4"/>
    <mergeCell ref="A5:I5"/>
    <mergeCell ref="A6:A7"/>
    <mergeCell ref="B6:C6"/>
    <mergeCell ref="D6:E6"/>
    <mergeCell ref="F6:G6"/>
    <mergeCell ref="H6:I6"/>
  </mergeCells>
  <printOptions horizontalCentered="1"/>
  <pageMargins left="0.6" right="0.6" top="0.56999999999999995" bottom="0.55000000000000004" header="0.3" footer="0.3"/>
  <pageSetup scale="71" orientation="landscape" r:id="rId1"/>
  <headerFooter>
    <oddHeader>&amp;L&amp;"Arial,Bold"&amp;12L. Summary of Requirements by Object Class</oddHeader>
    <oddFooter>&amp;C&amp;"Arial,Regular"Exhibit L - Summary of Requirements by Object Class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A. Organization Chart</vt:lpstr>
      <vt:lpstr>D. Strategic Goals &amp; Objectives</vt:lpstr>
      <vt:lpstr>F. 2012 Crosswalk</vt:lpstr>
      <vt:lpstr>G. 2013 Crosswalk</vt:lpstr>
      <vt:lpstr>H. Reimbursable Resources</vt:lpstr>
      <vt:lpstr>I. Permanent Positions</vt:lpstr>
      <vt:lpstr>K. Summary by Grade</vt:lpstr>
      <vt:lpstr>L. Summary by OC</vt:lpstr>
      <vt:lpstr>Sheet1</vt:lpstr>
      <vt:lpstr>'A. Organization Chart'!Print_Area</vt:lpstr>
      <vt:lpstr>'D. Strategic Goals &amp; Objectives'!Print_Area</vt:lpstr>
      <vt:lpstr>'F. 2012 Crosswalk'!Print_Area</vt:lpstr>
      <vt:lpstr>'G. 2013 Crosswalk'!Print_Area</vt:lpstr>
      <vt:lpstr>'H. Reimbursable Resources'!Print_Area</vt:lpstr>
      <vt:lpstr>'I. Permanent Positions'!Print_Area</vt:lpstr>
      <vt:lpstr>'K. Summary by Grade'!Print_Area</vt:lpstr>
      <vt:lpstr>'L. Summary by OC'!Print_Area</vt:lpstr>
      <vt:lpstr>'H. Reimbursable Resources'!REIMPRO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sdale</dc:creator>
  <cp:lastModifiedBy>Katie Morris</cp:lastModifiedBy>
  <cp:lastPrinted>2013-03-27T17:54:54Z</cp:lastPrinted>
  <dcterms:created xsi:type="dcterms:W3CDTF">2003-08-28T20:51:00Z</dcterms:created>
  <dcterms:modified xsi:type="dcterms:W3CDTF">2013-03-29T17:47:19Z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