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988" yWindow="0" windowWidth="18612" windowHeight="9456" tabRatio="806"/>
  </bookViews>
  <sheets>
    <sheet name="B. Summ of Req." sheetId="20" r:id="rId1"/>
    <sheet name="B. Summ of Req. by DU" sheetId="4" r:id="rId2"/>
    <sheet name="C. Program Changes by DU" sheetId="5" state="hidden" r:id="rId3"/>
    <sheet name="C. Program Changes by DU (2)" sheetId="19" state="hidden" r:id="rId4"/>
    <sheet name="D. Strategic Goals &amp; Objectives" sheetId="8" r:id="rId5"/>
    <sheet name="E. ATB Justification" sheetId="21" r:id="rId6"/>
    <sheet name="F. 2012 Crosswalk" sheetId="10" r:id="rId7"/>
    <sheet name="G. 2013 Crosswalk" sheetId="11" r:id="rId8"/>
    <sheet name="H. Reimbursable Resources" sheetId="12" r:id="rId9"/>
    <sheet name="I. Permanent Positions" sheetId="13" r:id="rId10"/>
    <sheet name="J. Financial Analysis" sheetId="16" state="hidden" r:id="rId11"/>
    <sheet name="K. Summary by Grade" sheetId="18" r:id="rId12"/>
    <sheet name="L. Summary by OC" sheetId="14" r:id="rId13"/>
  </sheets>
  <externalReferences>
    <externalReference r:id="rId14"/>
  </externalReferences>
  <definedNames>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'B. Summ of Req.'!$A$1:$D$31</definedName>
    <definedName name="_xlnm.Print_Area" localSheetId="1">'B. Summ of Req. by DU'!$A$1:$M$37</definedName>
    <definedName name="_xlnm.Print_Area" localSheetId="2">'C. Program Changes by DU'!$A$1:$N$36</definedName>
    <definedName name="_xlnm.Print_Area" localSheetId="3">'C. Program Changes by DU (2)'!$A$1:$N$21</definedName>
    <definedName name="_xlnm.Print_Area" localSheetId="4">'D. Strategic Goals &amp; Objectives'!$A$1:$N$16</definedName>
    <definedName name="_xlnm.Print_Area" localSheetId="5">'E. ATB Justification'!$A$1:$G$31</definedName>
    <definedName name="_xlnm.Print_Area" localSheetId="6">'F. 2012 Crosswalk'!$A$1:$O$30</definedName>
    <definedName name="_xlnm.Print_Area" localSheetId="7">'G. 2013 Crosswalk'!$A$1:$M$33</definedName>
    <definedName name="_xlnm.Print_Area" localSheetId="8">'H. Reimbursable Resources'!$A$1:$M$30</definedName>
    <definedName name="_xlnm.Print_Area" localSheetId="9">'I. Permanent Positions'!$A$1:$J$21</definedName>
    <definedName name="_xlnm.Print_Area" localSheetId="10">'J. Financial Analysis'!$A$1:$O$73</definedName>
    <definedName name="_xlnm.Print_Area" localSheetId="11">'K. Summary by Grade'!$A$1:$L$30</definedName>
    <definedName name="_xlnm.Print_Area" localSheetId="12">'L. Summary by OC'!$A$1:$I$50</definedName>
    <definedName name="_xlnm.Print_Area">#REF!</definedName>
    <definedName name="_xlnm.Print_Titles" localSheetId="5">'E. ATB Justification'!$1:$6</definedName>
    <definedName name="_xlnm.Print_Titles" localSheetId="10">'J. Financial Analysis'!$1:$5</definedName>
    <definedName name="REIMPRO">#REF!</definedName>
    <definedName name="REIMSOR">#REF!</definedName>
    <definedName name="Test">#REF!</definedName>
  </definedNames>
  <calcPr calcId="125725"/>
</workbook>
</file>

<file path=xl/calcChain.xml><?xml version="1.0" encoding="utf-8"?>
<calcChain xmlns="http://schemas.openxmlformats.org/spreadsheetml/2006/main">
  <c r="F30" i="21"/>
  <c r="E30"/>
  <c r="D12" i="20"/>
  <c r="M10" i="12" l="1"/>
  <c r="M11"/>
  <c r="M12"/>
  <c r="M13"/>
  <c r="M14"/>
  <c r="M15"/>
  <c r="M16"/>
  <c r="M17"/>
  <c r="M18"/>
  <c r="M19"/>
  <c r="M20"/>
  <c r="M21"/>
  <c r="M22"/>
  <c r="M9"/>
  <c r="L10"/>
  <c r="L11"/>
  <c r="L12"/>
  <c r="L13"/>
  <c r="L14"/>
  <c r="L15"/>
  <c r="L16"/>
  <c r="L17"/>
  <c r="L18"/>
  <c r="L19"/>
  <c r="L20"/>
  <c r="L21"/>
  <c r="L22"/>
  <c r="L9"/>
  <c r="K10"/>
  <c r="K11"/>
  <c r="K12"/>
  <c r="K13"/>
  <c r="K14"/>
  <c r="K15"/>
  <c r="K16"/>
  <c r="K17"/>
  <c r="K18"/>
  <c r="K19"/>
  <c r="K20"/>
  <c r="K21"/>
  <c r="K22"/>
  <c r="K9"/>
  <c r="E25" i="14" l="1"/>
  <c r="B9"/>
  <c r="B8"/>
  <c r="F11" i="4"/>
  <c r="C10" i="11"/>
  <c r="C9"/>
  <c r="D11" i="4"/>
  <c r="G26" i="14" l="1"/>
  <c r="G25"/>
  <c r="G20"/>
  <c r="G16"/>
  <c r="I24"/>
  <c r="F9" i="18" l="1"/>
  <c r="F25"/>
  <c r="F24"/>
  <c r="F23"/>
  <c r="F22"/>
  <c r="F21"/>
  <c r="F20"/>
  <c r="F19"/>
  <c r="F18"/>
  <c r="F17"/>
  <c r="F16"/>
  <c r="F15"/>
  <c r="F14"/>
  <c r="F13"/>
  <c r="F12"/>
  <c r="F11"/>
  <c r="F10"/>
  <c r="C16" i="20"/>
  <c r="D16"/>
  <c r="B16"/>
  <c r="A2" i="21" l="1"/>
  <c r="C26" i="14" l="1"/>
  <c r="C25"/>
  <c r="I9" i="11"/>
  <c r="N12" i="10"/>
  <c r="I26" i="14"/>
  <c r="G13"/>
  <c r="G10"/>
  <c r="G9"/>
  <c r="G8"/>
  <c r="B46"/>
  <c r="D46"/>
  <c r="H28" i="18" l="1"/>
  <c r="J28" s="1"/>
  <c r="H27"/>
  <c r="J27" s="1"/>
  <c r="H29"/>
  <c r="J29" s="1"/>
  <c r="G25"/>
  <c r="G11"/>
  <c r="G12"/>
  <c r="G13"/>
  <c r="G14"/>
  <c r="G15"/>
  <c r="G16"/>
  <c r="G17"/>
  <c r="G18"/>
  <c r="G19"/>
  <c r="G20"/>
  <c r="G21"/>
  <c r="G22"/>
  <c r="G23"/>
  <c r="G24"/>
  <c r="G10"/>
  <c r="G9"/>
  <c r="J19" i="13"/>
  <c r="J18"/>
  <c r="D19"/>
  <c r="D20"/>
  <c r="E20"/>
  <c r="J20" s="1"/>
  <c r="D18"/>
  <c r="J10"/>
  <c r="J11"/>
  <c r="J12"/>
  <c r="J13"/>
  <c r="J14"/>
  <c r="J16"/>
  <c r="J9"/>
  <c r="E15"/>
  <c r="J15" s="1"/>
  <c r="E16"/>
  <c r="D10"/>
  <c r="D11"/>
  <c r="D12"/>
  <c r="D13"/>
  <c r="D14"/>
  <c r="D15"/>
  <c r="D16"/>
  <c r="D9"/>
  <c r="C14" i="11"/>
  <c r="L14" s="1"/>
  <c r="I20" i="18" l="1"/>
  <c r="J20" s="1"/>
  <c r="H20"/>
  <c r="I12"/>
  <c r="J12" s="1"/>
  <c r="H12"/>
  <c r="I9"/>
  <c r="J9" s="1"/>
  <c r="H9"/>
  <c r="I22"/>
  <c r="J22" s="1"/>
  <c r="H22"/>
  <c r="I18"/>
  <c r="J18" s="1"/>
  <c r="H18"/>
  <c r="I14"/>
  <c r="J14" s="1"/>
  <c r="H14"/>
  <c r="I25"/>
  <c r="J25" s="1"/>
  <c r="H25"/>
  <c r="I10"/>
  <c r="J10" s="1"/>
  <c r="H10"/>
  <c r="I21"/>
  <c r="J21" s="1"/>
  <c r="H21"/>
  <c r="I17"/>
  <c r="J17" s="1"/>
  <c r="H17"/>
  <c r="I13"/>
  <c r="J13" s="1"/>
  <c r="H13"/>
  <c r="I24"/>
  <c r="J24" s="1"/>
  <c r="H24"/>
  <c r="I16"/>
  <c r="J16" s="1"/>
  <c r="H16"/>
  <c r="I23"/>
  <c r="J23" s="1"/>
  <c r="H23"/>
  <c r="I19"/>
  <c r="J19" s="1"/>
  <c r="H19"/>
  <c r="I15"/>
  <c r="J15" s="1"/>
  <c r="H15"/>
  <c r="I11"/>
  <c r="J11" s="1"/>
  <c r="H11"/>
  <c r="J29" i="12"/>
  <c r="I29"/>
  <c r="H29"/>
  <c r="G29"/>
  <c r="F29"/>
  <c r="E29"/>
  <c r="D29"/>
  <c r="C29"/>
  <c r="B29"/>
  <c r="M28"/>
  <c r="L28"/>
  <c r="K28"/>
  <c r="A28"/>
  <c r="M27"/>
  <c r="L27"/>
  <c r="L29" s="1"/>
  <c r="K27"/>
  <c r="K29" s="1"/>
  <c r="A27"/>
  <c r="M23"/>
  <c r="L23"/>
  <c r="K23"/>
  <c r="I23"/>
  <c r="H23"/>
  <c r="F23"/>
  <c r="E23"/>
  <c r="C23"/>
  <c r="B23"/>
  <c r="J22"/>
  <c r="D22"/>
  <c r="J18"/>
  <c r="G23"/>
  <c r="A10" i="10"/>
  <c r="A10" i="11" s="1"/>
  <c r="A9" i="10"/>
  <c r="A9" i="11" s="1"/>
  <c r="G13" i="21"/>
  <c r="G14"/>
  <c r="G12"/>
  <c r="F15"/>
  <c r="E15"/>
  <c r="C11" i="4"/>
  <c r="B11"/>
  <c r="B11" i="10" s="1"/>
  <c r="E11" i="4"/>
  <c r="E9" s="1"/>
  <c r="E10" s="1"/>
  <c r="G11"/>
  <c r="F10" i="8" s="1"/>
  <c r="D23" i="20"/>
  <c r="D22"/>
  <c r="C11" i="10" l="1"/>
  <c r="C9" i="4"/>
  <c r="C10" s="1"/>
  <c r="M29" i="12"/>
  <c r="G15" i="21"/>
  <c r="G30" s="1"/>
  <c r="G9" i="4"/>
  <c r="G10" s="1"/>
  <c r="B9"/>
  <c r="B9" i="10" s="1"/>
  <c r="B9" i="11" s="1"/>
  <c r="J23" i="12"/>
  <c r="C9" i="10" l="1"/>
  <c r="C10"/>
  <c r="B10" i="4"/>
  <c r="B10" i="10" s="1"/>
  <c r="B10" i="11" s="1"/>
  <c r="A2" i="5"/>
  <c r="A2" i="19"/>
  <c r="A2" i="8"/>
  <c r="A2" i="10"/>
  <c r="A2" i="11"/>
  <c r="A2" i="12"/>
  <c r="A2" i="13"/>
  <c r="A2" i="16"/>
  <c r="A2" i="18"/>
  <c r="A2" i="14"/>
  <c r="A2" i="4"/>
  <c r="E10" i="21" l="1"/>
  <c r="F10"/>
  <c r="G10"/>
  <c r="E24"/>
  <c r="F24"/>
  <c r="E29"/>
  <c r="F29"/>
  <c r="G29"/>
  <c r="G24" l="1"/>
  <c r="D24" i="20" l="1"/>
  <c r="C24"/>
  <c r="B24"/>
  <c r="D11" i="10" l="1"/>
  <c r="B25" i="20"/>
  <c r="B26" s="1"/>
  <c r="B28" s="1"/>
  <c r="B29" s="1"/>
  <c r="C25"/>
  <c r="C26" s="1"/>
  <c r="C28" s="1"/>
  <c r="C29" s="1"/>
  <c r="D10" i="8"/>
  <c r="D25" i="20"/>
  <c r="D26" l="1"/>
  <c r="J11" i="4"/>
  <c r="D10" i="10"/>
  <c r="D10" i="11" s="1"/>
  <c r="D9" i="10"/>
  <c r="D9" i="11" s="1"/>
  <c r="D28" i="20" l="1"/>
  <c r="D29" s="1"/>
  <c r="J9" i="4"/>
  <c r="J10" s="1"/>
  <c r="N17" i="10"/>
  <c r="N16"/>
  <c r="O10"/>
  <c r="O9"/>
  <c r="G11"/>
  <c r="F11"/>
  <c r="F13" s="1"/>
  <c r="F18" s="1"/>
  <c r="E11"/>
  <c r="L19" i="11" l="1"/>
  <c r="L18"/>
  <c r="L10"/>
  <c r="L9"/>
  <c r="K10"/>
  <c r="K9"/>
  <c r="N9" i="10" l="1"/>
  <c r="N10"/>
  <c r="A25" i="4" l="1"/>
  <c r="A24"/>
  <c r="B10" i="14" l="1"/>
  <c r="B14" s="1"/>
  <c r="D9" s="1"/>
  <c r="K16" i="5"/>
  <c r="K9" i="19"/>
  <c r="D8" i="14" l="1"/>
  <c r="F8" s="1"/>
  <c r="F9"/>
  <c r="M12" i="11"/>
  <c r="M10" i="10"/>
  <c r="M9"/>
  <c r="M12" i="4" l="1"/>
  <c r="J27" s="1"/>
  <c r="I16" i="13" l="1"/>
  <c r="I15"/>
  <c r="I14"/>
  <c r="I13"/>
  <c r="I12"/>
  <c r="I11"/>
  <c r="I10"/>
  <c r="I9"/>
  <c r="N20" i="19"/>
  <c r="M20"/>
  <c r="L20"/>
  <c r="K20"/>
  <c r="N19"/>
  <c r="M19"/>
  <c r="L19"/>
  <c r="K19"/>
  <c r="N18"/>
  <c r="M18"/>
  <c r="L18"/>
  <c r="K18"/>
  <c r="N17"/>
  <c r="N21" s="1"/>
  <c r="M17"/>
  <c r="L17"/>
  <c r="L21" s="1"/>
  <c r="K17"/>
  <c r="N12"/>
  <c r="M12"/>
  <c r="L12"/>
  <c r="K12"/>
  <c r="N11"/>
  <c r="M11"/>
  <c r="L11"/>
  <c r="K11"/>
  <c r="N10"/>
  <c r="M10"/>
  <c r="L10"/>
  <c r="K10"/>
  <c r="K13" s="1"/>
  <c r="N9"/>
  <c r="N13" s="1"/>
  <c r="M9"/>
  <c r="M13" s="1"/>
  <c r="L9"/>
  <c r="L13" s="1"/>
  <c r="J21"/>
  <c r="I21"/>
  <c r="H21"/>
  <c r="G21"/>
  <c r="F21"/>
  <c r="E21"/>
  <c r="D21"/>
  <c r="C21"/>
  <c r="K21"/>
  <c r="J13"/>
  <c r="I13"/>
  <c r="H13"/>
  <c r="G13"/>
  <c r="F13"/>
  <c r="E13"/>
  <c r="D13"/>
  <c r="C13"/>
  <c r="M32" i="5"/>
  <c r="N35"/>
  <c r="M35"/>
  <c r="L35"/>
  <c r="K35"/>
  <c r="N34"/>
  <c r="M34"/>
  <c r="L34"/>
  <c r="K34"/>
  <c r="N33"/>
  <c r="M33"/>
  <c r="L33"/>
  <c r="K33"/>
  <c r="N32"/>
  <c r="N36" s="1"/>
  <c r="L32"/>
  <c r="K32"/>
  <c r="K36" s="1"/>
  <c r="N19"/>
  <c r="M19"/>
  <c r="L19"/>
  <c r="K19"/>
  <c r="N18"/>
  <c r="M18"/>
  <c r="L18"/>
  <c r="K18"/>
  <c r="N17"/>
  <c r="M17"/>
  <c r="L17"/>
  <c r="K17"/>
  <c r="M16"/>
  <c r="L16"/>
  <c r="N16"/>
  <c r="N20" s="1"/>
  <c r="H36"/>
  <c r="D36"/>
  <c r="H28"/>
  <c r="D28"/>
  <c r="H20"/>
  <c r="D20"/>
  <c r="H12"/>
  <c r="D12"/>
  <c r="K20"/>
  <c r="M20" l="1"/>
  <c r="L20"/>
  <c r="L36"/>
  <c r="M36"/>
  <c r="M21" i="19"/>
  <c r="L25" i="18"/>
  <c r="K25"/>
  <c r="L24"/>
  <c r="K24"/>
  <c r="L23"/>
  <c r="K23"/>
  <c r="L22"/>
  <c r="K22"/>
  <c r="L21"/>
  <c r="K21"/>
  <c r="L20"/>
  <c r="K20"/>
  <c r="L19"/>
  <c r="K19"/>
  <c r="L18"/>
  <c r="K18"/>
  <c r="L17"/>
  <c r="K17"/>
  <c r="L16"/>
  <c r="K16"/>
  <c r="L15"/>
  <c r="K15"/>
  <c r="L14"/>
  <c r="K14"/>
  <c r="L13"/>
  <c r="K13"/>
  <c r="L12"/>
  <c r="K12"/>
  <c r="L11"/>
  <c r="K11"/>
  <c r="L10"/>
  <c r="K10"/>
  <c r="J26"/>
  <c r="I26"/>
  <c r="H26"/>
  <c r="G26"/>
  <c r="F26"/>
  <c r="E26"/>
  <c r="L9"/>
  <c r="K9"/>
  <c r="O72" i="16"/>
  <c r="O71"/>
  <c r="O70"/>
  <c r="O69"/>
  <c r="O68"/>
  <c r="O67"/>
  <c r="O66"/>
  <c r="O65"/>
  <c r="O64"/>
  <c r="O63"/>
  <c r="O62"/>
  <c r="O61"/>
  <c r="O60"/>
  <c r="O58"/>
  <c r="M56"/>
  <c r="L56"/>
  <c r="L57" s="1"/>
  <c r="L59" s="1"/>
  <c r="L73" s="1"/>
  <c r="K56"/>
  <c r="K57" s="1"/>
  <c r="K59" s="1"/>
  <c r="K73" s="1"/>
  <c r="J56"/>
  <c r="I56"/>
  <c r="H56"/>
  <c r="H57" s="1"/>
  <c r="H59" s="1"/>
  <c r="H73" s="1"/>
  <c r="G56"/>
  <c r="G59" s="1"/>
  <c r="G73" s="1"/>
  <c r="F56"/>
  <c r="E56"/>
  <c r="D56"/>
  <c r="D57" s="1"/>
  <c r="D59" s="1"/>
  <c r="D73" s="1"/>
  <c r="C56"/>
  <c r="C57" s="1"/>
  <c r="C59" s="1"/>
  <c r="C73" s="1"/>
  <c r="B56"/>
  <c r="O55"/>
  <c r="N55"/>
  <c r="O54"/>
  <c r="N54"/>
  <c r="O53"/>
  <c r="N53"/>
  <c r="O52"/>
  <c r="N52"/>
  <c r="O51"/>
  <c r="N51"/>
  <c r="O50"/>
  <c r="N50"/>
  <c r="O49"/>
  <c r="N49"/>
  <c r="O48"/>
  <c r="N48"/>
  <c r="O47"/>
  <c r="N47"/>
  <c r="O46"/>
  <c r="N46"/>
  <c r="O45"/>
  <c r="N45"/>
  <c r="O44"/>
  <c r="N44"/>
  <c r="M21"/>
  <c r="L21"/>
  <c r="K21"/>
  <c r="J21"/>
  <c r="J22" s="1"/>
  <c r="I21"/>
  <c r="H21"/>
  <c r="G21"/>
  <c r="F21"/>
  <c r="E21"/>
  <c r="E22" s="1"/>
  <c r="D21"/>
  <c r="C21"/>
  <c r="B21"/>
  <c r="N56" l="1"/>
  <c r="O56"/>
  <c r="L26" i="18"/>
  <c r="K26"/>
  <c r="F22" i="16"/>
  <c r="F24" s="1"/>
  <c r="F38" s="1"/>
  <c r="J24"/>
  <c r="J38" s="1"/>
  <c r="I22"/>
  <c r="I24" s="1"/>
  <c r="I38" s="1"/>
  <c r="E24"/>
  <c r="E38" s="1"/>
  <c r="M24"/>
  <c r="M38" s="1"/>
  <c r="D22"/>
  <c r="D24" s="1"/>
  <c r="D38" s="1"/>
  <c r="H22"/>
  <c r="H24" s="1"/>
  <c r="H38" s="1"/>
  <c r="L22"/>
  <c r="L24" s="1"/>
  <c r="L38" s="1"/>
  <c r="B57"/>
  <c r="B59" s="1"/>
  <c r="B73" s="1"/>
  <c r="F57"/>
  <c r="F59" s="1"/>
  <c r="F73" s="1"/>
  <c r="J57"/>
  <c r="J59" s="1"/>
  <c r="J73" s="1"/>
  <c r="B22"/>
  <c r="C22"/>
  <c r="C24" s="1"/>
  <c r="G24"/>
  <c r="G38" s="1"/>
  <c r="K22"/>
  <c r="K24" s="1"/>
  <c r="K38" s="1"/>
  <c r="E57"/>
  <c r="E59" s="1"/>
  <c r="E73" s="1"/>
  <c r="I57"/>
  <c r="I59" s="1"/>
  <c r="I73" s="1"/>
  <c r="M59"/>
  <c r="M73" s="1"/>
  <c r="N57" l="1"/>
  <c r="C38"/>
  <c r="O59"/>
  <c r="O73" s="1"/>
  <c r="O57"/>
  <c r="B24"/>
  <c r="I39" i="14"/>
  <c r="I41"/>
  <c r="I42"/>
  <c r="I43"/>
  <c r="I38"/>
  <c r="B38" i="16" l="1"/>
  <c r="N59"/>
  <c r="N73" s="1"/>
  <c r="I36" i="14"/>
  <c r="I35"/>
  <c r="I34"/>
  <c r="I33"/>
  <c r="I32"/>
  <c r="I31"/>
  <c r="I30"/>
  <c r="I29"/>
  <c r="I28"/>
  <c r="I27"/>
  <c r="I25"/>
  <c r="I23"/>
  <c r="I22"/>
  <c r="I21"/>
  <c r="I20"/>
  <c r="I19"/>
  <c r="I18"/>
  <c r="I17"/>
  <c r="I16"/>
  <c r="I13"/>
  <c r="H13"/>
  <c r="I12"/>
  <c r="H12"/>
  <c r="I11"/>
  <c r="H11"/>
  <c r="I9"/>
  <c r="H9"/>
  <c r="F10"/>
  <c r="D10"/>
  <c r="C14"/>
  <c r="B44"/>
  <c r="I8"/>
  <c r="H8"/>
  <c r="G21" i="13"/>
  <c r="F21"/>
  <c r="E21"/>
  <c r="D21"/>
  <c r="C21"/>
  <c r="B21"/>
  <c r="J17"/>
  <c r="H17"/>
  <c r="H18" s="1"/>
  <c r="I18" s="1"/>
  <c r="G17"/>
  <c r="F17"/>
  <c r="E17"/>
  <c r="D17"/>
  <c r="C17"/>
  <c r="B17"/>
  <c r="C37" i="14" l="1"/>
  <c r="C44" s="1"/>
  <c r="F44"/>
  <c r="F14"/>
  <c r="G14"/>
  <c r="G37" s="1"/>
  <c r="G44" s="1"/>
  <c r="D44"/>
  <c r="E14"/>
  <c r="E37" s="1"/>
  <c r="I17" i="13"/>
  <c r="I10" i="14"/>
  <c r="I14" s="1"/>
  <c r="H10"/>
  <c r="H44" s="1"/>
  <c r="H19" i="13"/>
  <c r="E44" i="14" l="1"/>
  <c r="H20" i="13"/>
  <c r="I20" s="1"/>
  <c r="I19"/>
  <c r="I37" i="14"/>
  <c r="I44" s="1"/>
  <c r="H14"/>
  <c r="J21" i="13"/>
  <c r="H21" l="1"/>
  <c r="I21"/>
  <c r="J11" i="11"/>
  <c r="I11"/>
  <c r="H11"/>
  <c r="G11"/>
  <c r="G15" s="1"/>
  <c r="G20" s="1"/>
  <c r="F11"/>
  <c r="E11"/>
  <c r="D11"/>
  <c r="D13" s="1"/>
  <c r="C11"/>
  <c r="C15" s="1"/>
  <c r="C20" s="1"/>
  <c r="B11"/>
  <c r="M10"/>
  <c r="M9"/>
  <c r="J11" i="10"/>
  <c r="I11"/>
  <c r="I13" s="1"/>
  <c r="H11"/>
  <c r="L11"/>
  <c r="K11"/>
  <c r="C13"/>
  <c r="C18" s="1"/>
  <c r="I18" l="1"/>
  <c r="L11" i="11"/>
  <c r="L15" s="1"/>
  <c r="L20" s="1"/>
  <c r="M11"/>
  <c r="M13" s="1"/>
  <c r="K11"/>
  <c r="N11" i="10"/>
  <c r="M11"/>
  <c r="O11"/>
  <c r="N13" l="1"/>
  <c r="N18" s="1"/>
  <c r="L11" i="8"/>
  <c r="L12" s="1"/>
  <c r="K11"/>
  <c r="K12" s="1"/>
  <c r="J11"/>
  <c r="J12" s="1"/>
  <c r="I11"/>
  <c r="I12" s="1"/>
  <c r="F11"/>
  <c r="F12" s="1"/>
  <c r="D11"/>
  <c r="D12" s="1"/>
  <c r="J36" i="5" l="1"/>
  <c r="I36"/>
  <c r="G36"/>
  <c r="F36"/>
  <c r="E36"/>
  <c r="C36"/>
  <c r="J28"/>
  <c r="I28"/>
  <c r="G28"/>
  <c r="F28"/>
  <c r="E28"/>
  <c r="C28"/>
  <c r="J20"/>
  <c r="I20"/>
  <c r="G20"/>
  <c r="F20"/>
  <c r="E20"/>
  <c r="C20"/>
  <c r="J12"/>
  <c r="I12"/>
  <c r="G12"/>
  <c r="F12"/>
  <c r="E12"/>
  <c r="C12"/>
  <c r="L19" i="4"/>
  <c r="I34" s="1"/>
  <c r="L18"/>
  <c r="I33" s="1"/>
  <c r="I32"/>
  <c r="I31"/>
  <c r="L14"/>
  <c r="G26"/>
  <c r="G28" s="1"/>
  <c r="F26"/>
  <c r="F30" s="1"/>
  <c r="F35" s="1"/>
  <c r="E26"/>
  <c r="D26"/>
  <c r="D28" s="1"/>
  <c r="C26"/>
  <c r="C30" s="1"/>
  <c r="C35" s="1"/>
  <c r="B26"/>
  <c r="J13"/>
  <c r="I11"/>
  <c r="I15" s="1"/>
  <c r="I20" s="1"/>
  <c r="H11"/>
  <c r="G13"/>
  <c r="D13"/>
  <c r="C15"/>
  <c r="C20" s="1"/>
  <c r="C10" i="8" s="1"/>
  <c r="C11" s="1"/>
  <c r="C12" s="1"/>
  <c r="M10" i="4"/>
  <c r="J25" s="1"/>
  <c r="M9"/>
  <c r="J24" s="1"/>
  <c r="I29" l="1"/>
  <c r="F46" i="14"/>
  <c r="H46" s="1"/>
  <c r="M13" i="4"/>
  <c r="J28" s="1"/>
  <c r="M11"/>
  <c r="H10" i="8" s="1"/>
  <c r="J26" i="4"/>
  <c r="L10"/>
  <c r="I25" s="1"/>
  <c r="K10"/>
  <c r="H25" s="1"/>
  <c r="K9"/>
  <c r="H24" s="1"/>
  <c r="F15"/>
  <c r="L9"/>
  <c r="I24" s="1"/>
  <c r="I26" l="1"/>
  <c r="N10" i="8"/>
  <c r="N11" s="1"/>
  <c r="N12" s="1"/>
  <c r="H11"/>
  <c r="H12" s="1"/>
  <c r="H26" i="4"/>
  <c r="L11"/>
  <c r="L15"/>
  <c r="I30" s="1"/>
  <c r="F20"/>
  <c r="K11"/>
  <c r="L20" l="1"/>
  <c r="E11" i="8"/>
  <c r="E12" s="1"/>
  <c r="I35" i="4" l="1"/>
  <c r="G11" i="8" l="1"/>
  <c r="G12" s="1"/>
  <c r="M10"/>
  <c r="M11" s="1"/>
  <c r="M12" s="1"/>
</calcChain>
</file>

<file path=xl/sharedStrings.xml><?xml version="1.0" encoding="utf-8"?>
<sst xmlns="http://schemas.openxmlformats.org/spreadsheetml/2006/main" count="1085" uniqueCount="239">
  <si>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</si>
  <si>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</si>
  <si>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</si>
  <si>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</si>
  <si>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</si>
  <si>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</si>
  <si>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</si>
  <si>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</si>
  <si>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</si>
  <si>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</si>
  <si>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</si>
  <si>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</si>
  <si>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2014 Current Services</t>
  </si>
  <si>
    <t>Increase 1</t>
  </si>
  <si>
    <t>Increase 2</t>
  </si>
  <si>
    <t>Increase 3</t>
  </si>
  <si>
    <t>Offset 1</t>
  </si>
  <si>
    <t>Offset 2</t>
  </si>
  <si>
    <t>Offset 3</t>
  </si>
  <si>
    <t>Total Program Changes</t>
  </si>
  <si>
    <t>2014 Total Request</t>
  </si>
  <si>
    <t>end of line</t>
  </si>
  <si>
    <t>end of sheet</t>
  </si>
  <si>
    <t>2014 Increases</t>
  </si>
  <si>
    <t>2014 Offsets</t>
  </si>
  <si>
    <t>2014 Request</t>
  </si>
  <si>
    <t>Decision Unit 1</t>
  </si>
  <si>
    <t>Decision Unit 2</t>
  </si>
  <si>
    <t>Decision Unit 3</t>
  </si>
  <si>
    <t>Decision Unit 4</t>
  </si>
  <si>
    <t>Total</t>
  </si>
  <si>
    <t>Reimbursable FTE</t>
  </si>
  <si>
    <t>Other FTE:</t>
  </si>
  <si>
    <t>LEAP</t>
  </si>
  <si>
    <t>Overtime</t>
  </si>
  <si>
    <t>Direct FTE</t>
  </si>
  <si>
    <t>FY 2014 Program Increases/Offsets by Decision Unit</t>
  </si>
  <si>
    <t>Program Increases</t>
  </si>
  <si>
    <t>Increase 4</t>
  </si>
  <si>
    <t>Total Increases</t>
  </si>
  <si>
    <t>Total Offsets</t>
  </si>
  <si>
    <t>Program Offsets</t>
  </si>
  <si>
    <t>Offset 4</t>
  </si>
  <si>
    <t>Total Program Increases</t>
  </si>
  <si>
    <t>Total Program Offsets</t>
  </si>
  <si>
    <t>Agt./
Atty.</t>
  </si>
  <si>
    <t>Resources by Department of Justice Strategic Goal/Objective</t>
  </si>
  <si>
    <t>Strategic Goal and Strategic Objective</t>
  </si>
  <si>
    <t>Direct Amount</t>
  </si>
  <si>
    <t>2012 Appropriation Enacted with Balance Rescissions</t>
  </si>
  <si>
    <t>Direct/
Reimb FTE</t>
  </si>
  <si>
    <t>Goal 2</t>
  </si>
  <si>
    <t>Prevent Crime, Protect the Rights of the American People, and enforce Federal Law</t>
  </si>
  <si>
    <t>Subtotal, Goal 2</t>
  </si>
  <si>
    <t>Protect the federal fisc and defend the interests of the United States.</t>
  </si>
  <si>
    <t>TOTAL</t>
  </si>
  <si>
    <t>Subtotal, Technical Adjustments</t>
  </si>
  <si>
    <t>Transfers</t>
  </si>
  <si>
    <t>Subtotal, Transfers</t>
  </si>
  <si>
    <t>25.6 Medical Care</t>
  </si>
  <si>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</si>
  <si>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</si>
  <si>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</si>
  <si>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</si>
  <si>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</si>
  <si>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</si>
  <si>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</si>
  <si>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</si>
  <si>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</si>
  <si>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</si>
  <si>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</si>
  <si>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</si>
  <si>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</si>
  <si>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</si>
  <si>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</si>
  <si>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</si>
  <si>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</si>
  <si>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</si>
  <si>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</si>
  <si>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</si>
  <si>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</si>
  <si>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</si>
  <si>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Business &amp; Industry (1100-1199)</t>
  </si>
  <si>
    <t>Information Technology Mgmt  (2210)</t>
  </si>
  <si>
    <t>Security Specialists (080)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</si>
  <si>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</si>
  <si>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</si>
  <si>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</si>
  <si>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</si>
  <si>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</si>
  <si>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</si>
  <si>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</si>
  <si>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</si>
  <si>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</si>
  <si>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</si>
  <si>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</si>
  <si>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</si>
  <si>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</si>
  <si>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</si>
  <si>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</si>
  <si>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</si>
  <si>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</si>
  <si>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</si>
  <si>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</si>
  <si>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</si>
  <si>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</si>
  <si>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</si>
  <si>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</si>
  <si>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</si>
  <si>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</si>
  <si>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</si>
  <si>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</si>
  <si>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</si>
  <si>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</si>
  <si>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</si>
  <si>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</si>
  <si>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</si>
  <si>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</si>
  <si>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</si>
  <si>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</si>
  <si>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</si>
  <si>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</si>
  <si>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</si>
  <si>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</si>
  <si>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</si>
  <si>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</si>
  <si>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</si>
  <si>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</si>
  <si>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</si>
  <si>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</si>
  <si>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</si>
  <si>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</si>
  <si>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</si>
  <si>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</si>
  <si>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</si>
  <si>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</si>
  <si>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</si>
  <si>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</si>
  <si>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</si>
  <si>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</si>
  <si>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</si>
  <si>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</si>
  <si>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</si>
  <si>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GS-4</t>
  </si>
  <si>
    <t>GS-3</t>
  </si>
  <si>
    <t>GS-2</t>
  </si>
  <si>
    <t>GS-1</t>
  </si>
  <si>
    <t>-</t>
  </si>
  <si>
    <t>Total, Appropriated Positions</t>
  </si>
  <si>
    <t>Average SES Salary</t>
  </si>
  <si>
    <t>Average GS Salary</t>
  </si>
  <si>
    <t>Average GS Grade</t>
  </si>
  <si>
    <t>Base Adjustments</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</si>
  <si>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</si>
  <si>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</si>
  <si>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</si>
  <si>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</si>
  <si>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</si>
  <si>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</si>
  <si>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</si>
  <si>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</si>
  <si>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</si>
  <si>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</si>
  <si>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</si>
  <si>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</si>
  <si>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</si>
  <si>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</si>
  <si>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</si>
  <si>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</si>
  <si>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</si>
  <si>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</si>
  <si>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Summary of Requirements by Grade</t>
  </si>
  <si>
    <t>SES/SL</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</si>
  <si>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</si>
  <si>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</si>
  <si>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</si>
  <si>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</si>
  <si>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</si>
  <si>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</si>
  <si>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</si>
  <si>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</si>
  <si>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Carryover:</t>
  </si>
  <si>
    <t>Recoveries/Refunds:</t>
  </si>
  <si>
    <t>Total Technical Adjustments</t>
  </si>
  <si>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</si>
  <si>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</si>
  <si>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</si>
  <si>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</si>
  <si>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</si>
  <si>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</si>
  <si>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</si>
  <si>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</si>
  <si>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2012 - 2014 Total Change</t>
  </si>
  <si>
    <t>Note: The FTE for FY 2012 is actual and for FY 2013 and FY 2014 are estimates.</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</si>
  <si>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</si>
  <si>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</si>
  <si>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</si>
  <si>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</si>
  <si>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</si>
  <si>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</si>
  <si>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</si>
  <si>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Environment and Natural Resources Division</t>
  </si>
  <si>
    <t xml:space="preserve">JCON and JCON S/TS - To Components </t>
  </si>
  <si>
    <t>Office of Information Policy (OIP) - From Components</t>
  </si>
  <si>
    <t>Professional Responsibility Advisory Office (PRAO) - From Components</t>
  </si>
  <si>
    <t>Civil Litigation</t>
  </si>
  <si>
    <t>Criminal Litigation</t>
  </si>
  <si>
    <r>
      <t xml:space="preserve">2014 Pay Raise:
</t>
    </r>
    <r>
      <rPr>
        <sz val="9"/>
        <color theme="1"/>
        <rFont val="Arial"/>
        <family val="2"/>
      </rPr>
      <t>This request provides for a proposed 1 percent pay raise to be effective in January of 2014.  The amount requested, $578,000, represents the pay amounts for 3/4 of the fiscal year plus appropriate benefits ($454,000 for pay and $124,000 for benefits.)</t>
    </r>
  </si>
  <si>
    <r>
      <t xml:space="preserve">Annualization of 2013 Pay Raise:
</t>
    </r>
    <r>
      <rPr>
        <sz val="9"/>
        <color theme="1"/>
        <rFont val="Arial"/>
        <family val="2"/>
      </rPr>
      <t>This pay annualization represents first quarter amounts (October through December) of the 2013 pay increase of 0.5% included in the 2013 President's Budget.  The amount requested $98,000, represents the pay amounts for 1/4 of the fiscal year plus appropriate benefits ($77,000 for pay and $21,000 for benefits).</t>
    </r>
  </si>
  <si>
    <r>
      <rPr>
        <u/>
        <sz val="9"/>
        <color theme="1"/>
        <rFont val="Arial"/>
        <family val="2"/>
      </rPr>
      <t>Employee Compensation Fund:</t>
    </r>
    <r>
      <rPr>
        <sz val="9"/>
        <color theme="1"/>
        <rFont val="Arial"/>
        <family val="2"/>
      </rPr>
      <t xml:space="preserve">
The -$10,000 request reflects anticipated changes in payments to the Department of Labor for injury benefits under the Federal Employee Compensation Act.</t>
    </r>
  </si>
  <si>
    <r>
      <t>Health Insurance:</t>
    </r>
    <r>
      <rPr>
        <sz val="9"/>
        <color theme="1"/>
        <rFont val="Arial"/>
        <family val="2"/>
      </rPr>
      <t xml:space="preserve">
Effective January 2014, the component's contribution to Federal employees' health insurance increases by 2.8 percent.  Applied against the 2013 estimate, the additional amount required is $115,000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</si>
  <si>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$154,000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</si>
  <si>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$125,000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</si>
  <si>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reduction of -$138,000 is required to meet these commitments.</t>
    </r>
  </si>
  <si>
    <t>Includes $2,000,000 in FY 2010 Deepwater Supplemental Appropriations.</t>
  </si>
  <si>
    <t>Includes $4,000 received in recoveries.</t>
  </si>
  <si>
    <t>Department of Agriculture</t>
  </si>
  <si>
    <t>Department of Commerce</t>
  </si>
  <si>
    <t>Department of Defense</t>
  </si>
  <si>
    <t>Department of Energy</t>
  </si>
  <si>
    <t>Department of Health and Human Services</t>
  </si>
  <si>
    <t>Department of Homeland Security</t>
  </si>
  <si>
    <t>Department of Interior</t>
  </si>
  <si>
    <t>Department of Justice</t>
  </si>
  <si>
    <t>Department of State</t>
  </si>
  <si>
    <t>Department of Treasury</t>
  </si>
  <si>
    <t>Environmental Protection Agency</t>
  </si>
  <si>
    <t>Federal Trade Commission</t>
  </si>
  <si>
    <t>Securities and Exchange Commission</t>
  </si>
  <si>
    <t>Others</t>
  </si>
  <si>
    <t>FY 2013 Continuing Resolution</t>
  </si>
  <si>
    <t>Includes $300,000 received in Automated Litigation Support funding.</t>
  </si>
  <si>
    <t>Supplemental Appropriation</t>
  </si>
  <si>
    <t>Subtract - Reallocations</t>
  </si>
  <si>
    <t xml:space="preserve">Total 2013 Continuing Resolution </t>
  </si>
  <si>
    <r>
      <t>Professional Responsibility Advisory Office (PRAO):</t>
    </r>
    <r>
      <rPr>
        <sz val="9"/>
        <color theme="1"/>
        <rFont val="Arial"/>
        <family val="2"/>
      </rPr>
      <t xml:space="preserve">
The component transfers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t>
    </r>
  </si>
  <si>
    <r>
      <t xml:space="preserve">Office of Information Policy (OIP):
</t>
    </r>
    <r>
      <rPr>
        <sz val="9"/>
        <color theme="1"/>
        <rFont val="Arial"/>
        <family val="2"/>
      </rPr>
      <t xml:space="preserve">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
    </r>
  </si>
  <si>
    <r>
      <t xml:space="preserve">JCON and JCON S/TS: 
</t>
    </r>
    <r>
      <rPr>
        <sz val="9"/>
        <color theme="1"/>
        <rFont val="Arial"/>
        <family val="2"/>
      </rPr>
      <t>A transfer of $305,151 is included in support of the Department’s Justice Consolidated Office Network (JCON) and JCON S/TS programs which will be moved to the Working Capital Fund and provided as a billable service in FY 2013.</t>
    </r>
  </si>
  <si>
    <t>Includes $1,500,000 in Automated Litigation Support funding.</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</si>
</sst>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6">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trike/>
      <sz val="11"/>
      <color theme="1"/>
      <name val="Arial"/>
      <family val="2"/>
    </font>
    <font>
      <sz val="9"/>
      <name val="Times New Roman"/>
      <family val="1"/>
    </font>
  </fonts>
  <fills count="2">
    <fill>
      <patternFill patternType="none"/>
    </fill>
    <fill>
      <patternFill patternType="gray125"/>
    </fill>
  </fills>
  <borders count="10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style="medium">
        <color auto="1"/>
      </top>
      <bottom style="thin">
        <color indexed="64"/>
      </bottom>
      <diagonal/>
    </border>
    <border>
      <left/>
      <right style="medium">
        <color auto="1"/>
      </right>
      <top style="dashed">
        <color theme="0" tint="-0.14996795556505021"/>
      </top>
      <bottom style="medium">
        <color auto="1"/>
      </bottom>
      <diagonal/>
    </border>
  </borders>
  <cellStyleXfs count="20">
    <xf numFmtId="0" fontId="0" fillId="0" borderId="0"/>
    <xf numFmtId="43" fontId="14" fillId="0" borderId="0" applyFont="0" applyFill="0" applyBorder="0" applyAlignment="0" applyProtection="0"/>
    <xf numFmtId="44" fontId="14"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32" fillId="0" borderId="0"/>
    <xf numFmtId="0" fontId="3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cellStyleXfs>
  <cellXfs count="353">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4" xfId="0" applyFont="1" applyBorder="1" applyAlignment="1">
      <alignment horizontal="center" vertical="top" wrapText="1"/>
    </xf>
    <xf numFmtId="0" fontId="18" fillId="0" borderId="16" xfId="0" applyFont="1" applyBorder="1" applyAlignment="1">
      <alignment horizontal="right"/>
    </xf>
    <xf numFmtId="0" fontId="13" fillId="0" borderId="18" xfId="0" applyFont="1" applyBorder="1"/>
    <xf numFmtId="0" fontId="13" fillId="0" borderId="19" xfId="0" applyFont="1" applyBorder="1"/>
    <xf numFmtId="0" fontId="13" fillId="0" borderId="20" xfId="0" applyFont="1" applyBorder="1" applyAlignment="1">
      <alignment horizontal="left" indent="3"/>
    </xf>
    <xf numFmtId="0" fontId="13" fillId="0" borderId="20" xfId="0" applyFont="1" applyBorder="1" applyAlignment="1">
      <alignment horizontal="left" indent="5"/>
    </xf>
    <xf numFmtId="0" fontId="13" fillId="0" borderId="23" xfId="0" applyFont="1" applyBorder="1" applyAlignment="1">
      <alignment horizontal="left" indent="5"/>
    </xf>
    <xf numFmtId="0" fontId="13" fillId="0" borderId="6" xfId="0" applyFont="1" applyBorder="1" applyAlignment="1">
      <alignment horizontal="left" indent="3"/>
    </xf>
    <xf numFmtId="0" fontId="21" fillId="0" borderId="0" xfId="0" applyFont="1" applyAlignment="1"/>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31" xfId="0" applyFont="1" applyBorder="1" applyAlignment="1">
      <alignment horizontal="right"/>
    </xf>
    <xf numFmtId="0" fontId="12" fillId="0" borderId="17" xfId="0" applyFont="1" applyBorder="1" applyAlignment="1">
      <alignment horizontal="left" indent="3"/>
    </xf>
    <xf numFmtId="0" fontId="12" fillId="0" borderId="20" xfId="0" applyFont="1" applyBorder="1" applyAlignment="1">
      <alignment horizontal="left" indent="3"/>
    </xf>
    <xf numFmtId="0" fontId="12" fillId="0" borderId="36" xfId="0" applyFont="1" applyBorder="1" applyAlignment="1">
      <alignment horizontal="left" indent="3"/>
    </xf>
    <xf numFmtId="0" fontId="12" fillId="0" borderId="0" xfId="0" applyFont="1" applyAlignment="1">
      <alignment vertical="top" wrapText="1"/>
    </xf>
    <xf numFmtId="0" fontId="12" fillId="0" borderId="14" xfId="0" applyFont="1" applyBorder="1" applyAlignment="1">
      <alignment horizontal="center" vertical="top" wrapText="1"/>
    </xf>
    <xf numFmtId="3" fontId="13" fillId="0" borderId="21" xfId="0" applyNumberFormat="1" applyFont="1" applyBorder="1"/>
    <xf numFmtId="3" fontId="12" fillId="0" borderId="21" xfId="0" applyNumberFormat="1" applyFont="1" applyBorder="1"/>
    <xf numFmtId="3" fontId="12" fillId="0" borderId="22" xfId="0" applyNumberFormat="1" applyFont="1" applyBorder="1"/>
    <xf numFmtId="3" fontId="18" fillId="0" borderId="38" xfId="0" applyNumberFormat="1" applyFont="1" applyBorder="1"/>
    <xf numFmtId="3" fontId="18" fillId="0" borderId="39" xfId="0" applyNumberFormat="1" applyFont="1" applyBorder="1"/>
    <xf numFmtId="0" fontId="18" fillId="0" borderId="45" xfId="0" applyFont="1" applyBorder="1" applyAlignment="1">
      <alignment vertical="top"/>
    </xf>
    <xf numFmtId="0" fontId="13" fillId="0" borderId="46" xfId="0" applyFont="1" applyBorder="1" applyAlignment="1">
      <alignment vertical="top"/>
    </xf>
    <xf numFmtId="0" fontId="13" fillId="0" borderId="47" xfId="0" applyFont="1" applyBorder="1"/>
    <xf numFmtId="0" fontId="13" fillId="0" borderId="48" xfId="0" applyFont="1" applyBorder="1"/>
    <xf numFmtId="0" fontId="18" fillId="0" borderId="31" xfId="0" applyFont="1" applyBorder="1" applyAlignment="1">
      <alignment horizontal="center"/>
    </xf>
    <xf numFmtId="3" fontId="18" fillId="0" borderId="7" xfId="0" applyNumberFormat="1" applyFont="1" applyBorder="1"/>
    <xf numFmtId="0" fontId="18" fillId="0" borderId="29" xfId="0" applyFont="1" applyBorder="1" applyAlignment="1">
      <alignment vertical="top" wrapText="1"/>
    </xf>
    <xf numFmtId="0" fontId="12" fillId="0" borderId="30" xfId="0" applyFont="1" applyBorder="1" applyAlignment="1">
      <alignment vertical="top" wrapText="1"/>
    </xf>
    <xf numFmtId="0" fontId="18" fillId="0" borderId="37" xfId="0" applyFont="1" applyBorder="1" applyAlignment="1">
      <alignment horizontal="right" vertical="top"/>
    </xf>
    <xf numFmtId="0" fontId="15" fillId="0" borderId="0" xfId="0" applyFont="1" applyAlignment="1">
      <alignment horizontal="center"/>
    </xf>
    <xf numFmtId="0" fontId="23" fillId="0" borderId="34" xfId="0" applyFont="1" applyBorder="1" applyAlignment="1">
      <alignment vertical="center" wrapText="1"/>
    </xf>
    <xf numFmtId="0" fontId="26" fillId="0" borderId="0" xfId="0" applyFont="1" applyAlignment="1"/>
    <xf numFmtId="0" fontId="24" fillId="0" borderId="0" xfId="0" applyFont="1"/>
    <xf numFmtId="0" fontId="23" fillId="0" borderId="50" xfId="0" applyFont="1" applyBorder="1" applyAlignment="1">
      <alignment vertical="top"/>
    </xf>
    <xf numFmtId="0" fontId="24" fillId="0" borderId="46" xfId="0" applyFont="1" applyBorder="1" applyAlignment="1">
      <alignment vertical="top"/>
    </xf>
    <xf numFmtId="0" fontId="24" fillId="0" borderId="47" xfId="0" applyFont="1" applyBorder="1"/>
    <xf numFmtId="0" fontId="23" fillId="0" borderId="45" xfId="0" applyFont="1" applyBorder="1" applyAlignment="1">
      <alignment vertical="top"/>
    </xf>
    <xf numFmtId="0" fontId="26" fillId="0" borderId="0" xfId="0" applyFont="1"/>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8" xfId="0" applyFont="1" applyBorder="1"/>
    <xf numFmtId="3" fontId="24" fillId="0" borderId="21" xfId="0" applyNumberFormat="1" applyFont="1" applyBorder="1"/>
    <xf numFmtId="3" fontId="23" fillId="0" borderId="38" xfId="0" applyNumberFormat="1" applyFont="1" applyBorder="1"/>
    <xf numFmtId="3" fontId="24" fillId="0" borderId="18" xfId="0" applyNumberFormat="1" applyFont="1" applyBorder="1"/>
    <xf numFmtId="0" fontId="24" fillId="0" borderId="45" xfId="0" applyFont="1" applyBorder="1" applyAlignment="1">
      <alignment vertical="top"/>
    </xf>
    <xf numFmtId="3" fontId="23" fillId="0" borderId="21" xfId="0" applyNumberFormat="1" applyFont="1" applyBorder="1"/>
    <xf numFmtId="0" fontId="24" fillId="0" borderId="54" xfId="0" applyFont="1" applyBorder="1" applyAlignment="1">
      <alignment vertical="top"/>
    </xf>
    <xf numFmtId="3" fontId="23" fillId="0" borderId="53" xfId="0" applyNumberFormat="1" applyFont="1" applyBorder="1"/>
    <xf numFmtId="0" fontId="24" fillId="0" borderId="50" xfId="0" applyFont="1" applyBorder="1" applyAlignment="1">
      <alignment vertical="top"/>
    </xf>
    <xf numFmtId="0" fontId="23" fillId="0" borderId="3" xfId="0" applyFont="1" applyBorder="1" applyAlignment="1">
      <alignment horizontal="center" vertical="center" wrapText="1"/>
    </xf>
    <xf numFmtId="0" fontId="24" fillId="0" borderId="19" xfId="0" applyFont="1" applyBorder="1"/>
    <xf numFmtId="3" fontId="24" fillId="0" borderId="22" xfId="0" applyNumberFormat="1" applyFont="1" applyBorder="1"/>
    <xf numFmtId="3" fontId="23" fillId="0" borderId="39" xfId="0" applyNumberFormat="1" applyFont="1" applyBorder="1"/>
    <xf numFmtId="3" fontId="24" fillId="0" borderId="19" xfId="0" applyNumberFormat="1" applyFont="1" applyBorder="1"/>
    <xf numFmtId="3" fontId="23" fillId="0" borderId="58" xfId="0" applyNumberFormat="1" applyFont="1" applyBorder="1"/>
    <xf numFmtId="0" fontId="15" fillId="0" borderId="34" xfId="0" applyFont="1" applyBorder="1" applyAlignment="1"/>
    <xf numFmtId="0" fontId="19" fillId="0" borderId="0" xfId="0" applyFont="1" applyAlignment="1"/>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4" xfId="0" applyFont="1" applyBorder="1" applyAlignment="1">
      <alignment horizontal="center" vertical="top" wrapText="1"/>
    </xf>
    <xf numFmtId="0" fontId="13" fillId="0" borderId="46" xfId="0" applyFont="1" applyBorder="1"/>
    <xf numFmtId="0" fontId="13" fillId="0" borderId="50" xfId="0" applyFont="1" applyBorder="1" applyAlignment="1">
      <alignment horizontal="left" indent="1"/>
    </xf>
    <xf numFmtId="0" fontId="13" fillId="0" borderId="46" xfId="0" applyFont="1" applyBorder="1" applyAlignment="1">
      <alignment horizontal="left" indent="1"/>
    </xf>
    <xf numFmtId="0" fontId="18" fillId="0" borderId="9" xfId="0" applyFont="1" applyBorder="1" applyAlignment="1">
      <alignment horizontal="center"/>
    </xf>
    <xf numFmtId="0" fontId="11" fillId="0" borderId="17" xfId="0" applyFont="1" applyBorder="1" applyAlignment="1">
      <alignment horizontal="left" indent="2"/>
    </xf>
    <xf numFmtId="0" fontId="11" fillId="0" borderId="20" xfId="0" applyFont="1" applyBorder="1" applyAlignment="1">
      <alignment horizontal="left" indent="2"/>
    </xf>
    <xf numFmtId="0" fontId="28" fillId="0" borderId="20" xfId="0" applyFont="1" applyBorder="1" applyAlignment="1">
      <alignment horizontal="left" indent="8"/>
    </xf>
    <xf numFmtId="0" fontId="18" fillId="0" borderId="20" xfId="0" applyFont="1" applyBorder="1"/>
    <xf numFmtId="0" fontId="18" fillId="0" borderId="20" xfId="0" applyFont="1" applyBorder="1" applyAlignment="1">
      <alignment horizontal="center"/>
    </xf>
    <xf numFmtId="0" fontId="18" fillId="0" borderId="66" xfId="0" applyFont="1" applyBorder="1" applyAlignment="1">
      <alignment horizontal="center"/>
    </xf>
    <xf numFmtId="0" fontId="11" fillId="0" borderId="66" xfId="0" applyFont="1" applyBorder="1" applyAlignment="1">
      <alignment horizontal="left" wrapText="1" indent="2"/>
    </xf>
    <xf numFmtId="0" fontId="11" fillId="0" borderId="69" xfId="0" applyFont="1" applyBorder="1"/>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8" xfId="0" applyFont="1" applyBorder="1" applyAlignment="1">
      <alignment horizontal="left" indent="1"/>
    </xf>
    <xf numFmtId="0" fontId="11" fillId="0" borderId="53" xfId="0" applyFont="1" applyBorder="1" applyAlignment="1">
      <alignment horizontal="left" indent="1"/>
    </xf>
    <xf numFmtId="0" fontId="11" fillId="0" borderId="38" xfId="0" applyFont="1" applyBorder="1" applyAlignment="1">
      <alignment horizontal="left" indent="1"/>
    </xf>
    <xf numFmtId="0" fontId="11" fillId="0" borderId="53" xfId="0" applyFont="1" applyBorder="1" applyAlignment="1">
      <alignment horizontal="left" indent="3"/>
    </xf>
    <xf numFmtId="0" fontId="11" fillId="0" borderId="15" xfId="0" applyFont="1" applyBorder="1" applyAlignment="1">
      <alignment horizontal="left" indent="1"/>
    </xf>
    <xf numFmtId="0" fontId="18" fillId="0" borderId="1" xfId="0" applyFont="1" applyBorder="1" applyAlignment="1">
      <alignment horizontal="right" indent="1"/>
    </xf>
    <xf numFmtId="0" fontId="18" fillId="0" borderId="76" xfId="0" applyFont="1" applyBorder="1"/>
    <xf numFmtId="3" fontId="18" fillId="0" borderId="20" xfId="0" applyNumberFormat="1" applyFont="1" applyBorder="1"/>
    <xf numFmtId="3" fontId="18" fillId="0" borderId="21" xfId="0" applyNumberFormat="1" applyFont="1" applyBorder="1"/>
    <xf numFmtId="0" fontId="18" fillId="0" borderId="77" xfId="0" applyFont="1" applyBorder="1" applyAlignment="1">
      <alignment horizontal="left" indent="1"/>
    </xf>
    <xf numFmtId="3" fontId="18" fillId="0" borderId="22" xfId="0" applyNumberFormat="1" applyFont="1" applyBorder="1"/>
    <xf numFmtId="0" fontId="18" fillId="0" borderId="77" xfId="0" applyFont="1" applyBorder="1"/>
    <xf numFmtId="0" fontId="18" fillId="0" borderId="77" xfId="0" applyFont="1" applyBorder="1" applyAlignment="1">
      <alignment horizontal="left" indent="3"/>
    </xf>
    <xf numFmtId="0" fontId="18" fillId="0" borderId="75" xfId="0" applyFont="1" applyBorder="1" applyAlignment="1">
      <alignment horizontal="left"/>
    </xf>
    <xf numFmtId="0" fontId="18" fillId="0" borderId="77" xfId="0" applyFont="1" applyBorder="1" applyAlignment="1">
      <alignment horizontal="left"/>
    </xf>
    <xf numFmtId="0" fontId="18" fillId="0" borderId="76" xfId="0" applyFont="1" applyBorder="1" applyAlignment="1">
      <alignment horizontal="left" indent="1"/>
    </xf>
    <xf numFmtId="0" fontId="18" fillId="0" borderId="80" xfId="0" applyFont="1" applyBorder="1"/>
    <xf numFmtId="0" fontId="13" fillId="0" borderId="36" xfId="0" applyFont="1" applyBorder="1" applyAlignment="1">
      <alignment horizontal="left" indent="3"/>
    </xf>
    <xf numFmtId="165" fontId="12" fillId="0" borderId="82" xfId="2" applyNumberFormat="1" applyFont="1" applyBorder="1" applyAlignment="1">
      <alignment horizontal="left"/>
    </xf>
    <xf numFmtId="165" fontId="12" fillId="0" borderId="82" xfId="2" applyNumberFormat="1" applyFont="1" applyBorder="1" applyAlignment="1">
      <alignment horizontal="center"/>
    </xf>
    <xf numFmtId="164" fontId="12" fillId="0" borderId="28" xfId="1" applyNumberFormat="1" applyFont="1" applyBorder="1" applyAlignment="1">
      <alignment horizontal="left"/>
    </xf>
    <xf numFmtId="0" fontId="13" fillId="0" borderId="70" xfId="0" applyFont="1" applyBorder="1" applyAlignment="1">
      <alignment horizontal="left" indent="3"/>
    </xf>
    <xf numFmtId="0" fontId="10" fillId="0" borderId="17" xfId="0" applyFont="1" applyBorder="1" applyAlignment="1">
      <alignment horizontal="left" indent="2"/>
    </xf>
    <xf numFmtId="0" fontId="10" fillId="0" borderId="78" xfId="0" applyFont="1" applyBorder="1" applyAlignment="1">
      <alignment horizontal="left"/>
    </xf>
    <xf numFmtId="0" fontId="10" fillId="0" borderId="83" xfId="0" applyFont="1" applyBorder="1" applyAlignment="1">
      <alignment horizontal="left"/>
    </xf>
    <xf numFmtId="165" fontId="10" fillId="0" borderId="84" xfId="2" applyNumberFormat="1" applyFont="1" applyBorder="1" applyAlignment="1">
      <alignment horizontal="left"/>
    </xf>
    <xf numFmtId="165" fontId="10" fillId="0" borderId="84" xfId="2" applyNumberFormat="1" applyFont="1" applyBorder="1" applyAlignment="1">
      <alignment horizontal="center"/>
    </xf>
    <xf numFmtId="164" fontId="10" fillId="0" borderId="85" xfId="1" applyNumberFormat="1" applyFont="1" applyBorder="1" applyAlignment="1">
      <alignment horizontal="left"/>
    </xf>
    <xf numFmtId="0" fontId="10" fillId="0" borderId="88" xfId="0" applyFont="1" applyBorder="1" applyAlignment="1">
      <alignment horizontal="left"/>
    </xf>
    <xf numFmtId="165" fontId="10" fillId="0" borderId="89" xfId="2" applyNumberFormat="1" applyFont="1" applyBorder="1" applyAlignment="1">
      <alignment horizontal="left"/>
    </xf>
    <xf numFmtId="165" fontId="10" fillId="0" borderId="89" xfId="2" applyNumberFormat="1" applyFont="1" applyBorder="1" applyAlignment="1">
      <alignment horizontal="center"/>
    </xf>
    <xf numFmtId="164" fontId="10" fillId="0" borderId="90" xfId="1" applyNumberFormat="1" applyFont="1" applyBorder="1" applyAlignment="1">
      <alignment horizontal="left"/>
    </xf>
    <xf numFmtId="165" fontId="12" fillId="0" borderId="89" xfId="2" applyNumberFormat="1" applyFont="1" applyBorder="1" applyAlignment="1">
      <alignment horizontal="left"/>
    </xf>
    <xf numFmtId="165" fontId="12" fillId="0" borderId="89" xfId="2" applyNumberFormat="1" applyFont="1" applyBorder="1" applyAlignment="1">
      <alignment horizontal="center"/>
    </xf>
    <xf numFmtId="164" fontId="12" fillId="0" borderId="90" xfId="1" applyNumberFormat="1" applyFont="1" applyBorder="1" applyAlignment="1">
      <alignment horizontal="left"/>
    </xf>
    <xf numFmtId="0" fontId="10" fillId="0" borderId="1" xfId="0" applyFont="1" applyBorder="1" applyAlignment="1">
      <alignment horizontal="center" vertical="top" wrapText="1"/>
    </xf>
    <xf numFmtId="0" fontId="10" fillId="0" borderId="70" xfId="0" applyFont="1" applyBorder="1" applyAlignment="1">
      <alignment horizontal="left" indent="3"/>
    </xf>
    <xf numFmtId="0" fontId="10" fillId="0" borderId="20" xfId="0" applyFont="1" applyBorder="1" applyAlignment="1">
      <alignment horizontal="left" indent="3"/>
    </xf>
    <xf numFmtId="0" fontId="10" fillId="0" borderId="6" xfId="0" applyFont="1" applyBorder="1" applyAlignment="1">
      <alignment horizontal="left" indent="3"/>
    </xf>
    <xf numFmtId="0" fontId="18" fillId="0" borderId="0" xfId="0" applyFont="1" applyBorder="1" applyAlignment="1">
      <alignment vertical="center" wrapText="1"/>
    </xf>
    <xf numFmtId="0" fontId="9" fillId="0" borderId="1" xfId="0" applyFont="1" applyBorder="1" applyAlignment="1">
      <alignment horizontal="center" vertical="top" wrapText="1"/>
    </xf>
    <xf numFmtId="0" fontId="9" fillId="0" borderId="20" xfId="0" applyFont="1" applyBorder="1" applyAlignment="1">
      <alignment horizontal="left" indent="3"/>
    </xf>
    <xf numFmtId="0" fontId="9" fillId="0" borderId="6" xfId="0" applyFont="1" applyBorder="1" applyAlignment="1">
      <alignment horizontal="left" indent="3"/>
    </xf>
    <xf numFmtId="0" fontId="9" fillId="0" borderId="88" xfId="0" applyFont="1" applyBorder="1" applyAlignment="1">
      <alignment horizontal="left"/>
    </xf>
    <xf numFmtId="0" fontId="9" fillId="0" borderId="54" xfId="0" applyFont="1" applyBorder="1"/>
    <xf numFmtId="0" fontId="9" fillId="0" borderId="20" xfId="0" applyFont="1" applyBorder="1" applyAlignment="1">
      <alignment horizontal="left" indent="2"/>
    </xf>
    <xf numFmtId="0" fontId="18" fillId="0" borderId="4" xfId="0" applyFont="1" applyBorder="1" applyAlignment="1">
      <alignment horizontal="center" vertical="center" wrapText="1"/>
    </xf>
    <xf numFmtId="0" fontId="8" fillId="0" borderId="53" xfId="0" applyFont="1" applyBorder="1" applyAlignment="1">
      <alignment horizontal="left" indent="1"/>
    </xf>
    <xf numFmtId="0" fontId="7" fillId="0" borderId="36" xfId="0" applyFont="1" applyBorder="1" applyAlignment="1">
      <alignment horizontal="left" indent="2"/>
    </xf>
    <xf numFmtId="0" fontId="9" fillId="0" borderId="96" xfId="0" applyFont="1" applyBorder="1" applyAlignment="1">
      <alignment horizontal="left" indent="1"/>
    </xf>
    <xf numFmtId="0" fontId="9" fillId="0" borderId="10" xfId="0" applyFont="1" applyBorder="1" applyAlignment="1">
      <alignment horizontal="left" indent="1"/>
    </xf>
    <xf numFmtId="0" fontId="7" fillId="0" borderId="20" xfId="0" applyFont="1" applyBorder="1" applyAlignment="1">
      <alignment horizontal="left" indent="2"/>
    </xf>
    <xf numFmtId="3" fontId="18" fillId="0" borderId="50" xfId="0" applyNumberFormat="1" applyFont="1" applyBorder="1"/>
    <xf numFmtId="3" fontId="18" fillId="0" borderId="53" xfId="0" applyNumberFormat="1" applyFont="1" applyBorder="1"/>
    <xf numFmtId="3" fontId="18" fillId="0" borderId="97" xfId="0" applyNumberFormat="1" applyFont="1" applyBorder="1"/>
    <xf numFmtId="3" fontId="18" fillId="0" borderId="47" xfId="0" applyNumberFormat="1" applyFont="1" applyBorder="1"/>
    <xf numFmtId="3" fontId="18" fillId="0" borderId="70" xfId="0" applyNumberFormat="1" applyFont="1" applyBorder="1"/>
    <xf numFmtId="3" fontId="18" fillId="0" borderId="58" xfId="0" applyNumberFormat="1" applyFont="1" applyBorder="1"/>
    <xf numFmtId="3" fontId="18" fillId="0" borderId="36" xfId="0" applyNumberFormat="1" applyFont="1" applyBorder="1"/>
    <xf numFmtId="3" fontId="18" fillId="0" borderId="98" xfId="0" applyNumberFormat="1" applyFont="1" applyBorder="1"/>
    <xf numFmtId="3" fontId="30" fillId="0" borderId="21" xfId="0" applyNumberFormat="1" applyFont="1" applyBorder="1"/>
    <xf numFmtId="0" fontId="6" fillId="0" borderId="1" xfId="0" applyFont="1" applyBorder="1" applyAlignment="1">
      <alignment horizontal="center" vertical="top" wrapText="1"/>
    </xf>
    <xf numFmtId="3" fontId="13" fillId="0" borderId="18" xfId="0" applyNumberFormat="1" applyFont="1" applyBorder="1"/>
    <xf numFmtId="3" fontId="13" fillId="0" borderId="19" xfId="0" applyNumberFormat="1" applyFont="1" applyBorder="1"/>
    <xf numFmtId="3" fontId="13" fillId="0" borderId="22" xfId="0" applyNumberFormat="1" applyFont="1" applyBorder="1"/>
    <xf numFmtId="3" fontId="13" fillId="0" borderId="2" xfId="0" applyNumberFormat="1" applyFont="1" applyBorder="1"/>
    <xf numFmtId="3" fontId="13" fillId="0" borderId="11" xfId="0" applyNumberFormat="1" applyFont="1" applyBorder="1"/>
    <xf numFmtId="3" fontId="18" fillId="0" borderId="1" xfId="0" applyNumberFormat="1" applyFont="1" applyBorder="1"/>
    <xf numFmtId="3" fontId="18" fillId="0" borderId="14" xfId="0" applyNumberFormat="1" applyFont="1" applyBorder="1"/>
    <xf numFmtId="3" fontId="18" fillId="0" borderId="18" xfId="0" applyNumberFormat="1" applyFont="1" applyBorder="1"/>
    <xf numFmtId="3" fontId="10" fillId="0" borderId="18" xfId="0" applyNumberFormat="1" applyFont="1" applyBorder="1"/>
    <xf numFmtId="3" fontId="10" fillId="0" borderId="19" xfId="0" applyNumberFormat="1" applyFont="1" applyBorder="1"/>
    <xf numFmtId="3" fontId="10" fillId="0" borderId="38" xfId="0" applyNumberFormat="1" applyFont="1" applyBorder="1"/>
    <xf numFmtId="3" fontId="10" fillId="0" borderId="39" xfId="0" applyNumberFormat="1" applyFont="1" applyBorder="1"/>
    <xf numFmtId="3" fontId="13" fillId="0" borderId="53" xfId="0" applyNumberFormat="1" applyFont="1" applyBorder="1"/>
    <xf numFmtId="3" fontId="13" fillId="0" borderId="58" xfId="0" applyNumberFormat="1" applyFont="1" applyBorder="1"/>
    <xf numFmtId="3" fontId="13" fillId="0" borderId="24" xfId="0" applyNumberFormat="1" applyFont="1" applyBorder="1"/>
    <xf numFmtId="3" fontId="13" fillId="0" borderId="25" xfId="0" applyNumberFormat="1" applyFont="1" applyBorder="1"/>
    <xf numFmtId="3" fontId="13" fillId="0" borderId="7" xfId="0" applyNumberFormat="1" applyFont="1" applyBorder="1"/>
    <xf numFmtId="3" fontId="13" fillId="0" borderId="8" xfId="0" applyNumberFormat="1" applyFont="1" applyBorder="1"/>
    <xf numFmtId="3" fontId="13" fillId="0" borderId="38" xfId="0" applyNumberFormat="1" applyFont="1" applyBorder="1"/>
    <xf numFmtId="3" fontId="13" fillId="0" borderId="39" xfId="0" applyNumberFormat="1" applyFont="1" applyBorder="1"/>
    <xf numFmtId="3" fontId="12" fillId="0" borderId="18" xfId="0" applyNumberFormat="1" applyFont="1" applyBorder="1"/>
    <xf numFmtId="3" fontId="12" fillId="0" borderId="19" xfId="0" applyNumberFormat="1" applyFont="1" applyBorder="1"/>
    <xf numFmtId="3" fontId="12" fillId="0" borderId="38" xfId="0" applyNumberFormat="1" applyFont="1" applyBorder="1"/>
    <xf numFmtId="3" fontId="12" fillId="0" borderId="39" xfId="0" applyNumberFormat="1" applyFont="1" applyBorder="1"/>
    <xf numFmtId="3" fontId="18" fillId="0" borderId="8" xfId="0" applyNumberFormat="1" applyFont="1" applyBorder="1"/>
    <xf numFmtId="0" fontId="12" fillId="0" borderId="29" xfId="0" applyFont="1" applyBorder="1" applyAlignment="1">
      <alignment horizontal="center"/>
    </xf>
    <xf numFmtId="0" fontId="12" fillId="0" borderId="30" xfId="0" applyFont="1" applyBorder="1" applyAlignment="1">
      <alignment horizontal="center"/>
    </xf>
    <xf numFmtId="0" fontId="12" fillId="0" borderId="37" xfId="0" applyFont="1" applyBorder="1" applyAlignment="1">
      <alignment horizontal="center"/>
    </xf>
    <xf numFmtId="0" fontId="5" fillId="0" borderId="29" xfId="0" applyFont="1" applyBorder="1" applyAlignment="1">
      <alignment horizontal="center"/>
    </xf>
    <xf numFmtId="3" fontId="12" fillId="0" borderId="53" xfId="0" applyNumberFormat="1" applyFont="1" applyBorder="1"/>
    <xf numFmtId="3" fontId="12" fillId="0" borderId="15" xfId="0" applyNumberFormat="1" applyFont="1" applyBorder="1"/>
    <xf numFmtId="3" fontId="13" fillId="0" borderId="86" xfId="0" applyNumberFormat="1" applyFont="1" applyBorder="1"/>
    <xf numFmtId="3" fontId="13" fillId="0" borderId="87" xfId="0" applyNumberFormat="1" applyFont="1" applyBorder="1"/>
    <xf numFmtId="3" fontId="13" fillId="0" borderId="91" xfId="0" applyNumberFormat="1" applyFont="1" applyBorder="1"/>
    <xf numFmtId="3" fontId="13" fillId="0" borderId="92" xfId="0" applyNumberFormat="1" applyFont="1" applyBorder="1"/>
    <xf numFmtId="3" fontId="13" fillId="0" borderId="74" xfId="0" applyNumberFormat="1" applyFont="1" applyBorder="1"/>
    <xf numFmtId="3" fontId="18" fillId="0" borderId="86" xfId="2" applyNumberFormat="1" applyFont="1" applyBorder="1"/>
    <xf numFmtId="3" fontId="13" fillId="0" borderId="94" xfId="0" applyNumberFormat="1" applyFont="1" applyBorder="1"/>
    <xf numFmtId="3" fontId="18" fillId="0" borderId="91" xfId="2" applyNumberFormat="1" applyFont="1" applyBorder="1"/>
    <xf numFmtId="3" fontId="13" fillId="0" borderId="95" xfId="0" applyNumberFormat="1" applyFont="1" applyBorder="1"/>
    <xf numFmtId="3" fontId="13" fillId="0" borderId="65" xfId="0" applyNumberFormat="1" applyFont="1" applyBorder="1"/>
    <xf numFmtId="3" fontId="13" fillId="0" borderId="93" xfId="0" applyNumberFormat="1" applyFont="1" applyBorder="1"/>
    <xf numFmtId="3" fontId="28" fillId="0" borderId="21" xfId="0" applyNumberFormat="1" applyFont="1" applyBorder="1"/>
    <xf numFmtId="3" fontId="28" fillId="0" borderId="22" xfId="0" applyNumberFormat="1" applyFont="1" applyBorder="1"/>
    <xf numFmtId="3" fontId="18" fillId="0" borderId="57" xfId="0" applyNumberFormat="1" applyFont="1" applyBorder="1"/>
    <xf numFmtId="3" fontId="18" fillId="0" borderId="59" xfId="0" applyNumberFormat="1" applyFont="1" applyBorder="1"/>
    <xf numFmtId="3" fontId="13" fillId="0" borderId="68" xfId="0" applyNumberFormat="1" applyFont="1" applyBorder="1"/>
    <xf numFmtId="3" fontId="13" fillId="0" borderId="67" xfId="0" applyNumberFormat="1" applyFont="1" applyBorder="1"/>
    <xf numFmtId="3" fontId="13" fillId="0" borderId="57" xfId="0" applyNumberFormat="1" applyFont="1" applyBorder="1"/>
    <xf numFmtId="3" fontId="13" fillId="0" borderId="59" xfId="0" applyNumberFormat="1" applyFont="1" applyBorder="1"/>
    <xf numFmtId="3" fontId="18" fillId="0" borderId="54" xfId="0" applyNumberFormat="1" applyFont="1" applyBorder="1"/>
    <xf numFmtId="3" fontId="18" fillId="0" borderId="24" xfId="0" applyNumberFormat="1" applyFont="1" applyBorder="1"/>
    <xf numFmtId="0" fontId="4" fillId="0" borderId="20" xfId="0" applyFont="1" applyBorder="1" applyAlignment="1">
      <alignment horizontal="left" indent="2"/>
    </xf>
    <xf numFmtId="0" fontId="4" fillId="0" borderId="0" xfId="0" applyFont="1"/>
    <xf numFmtId="0" fontId="24" fillId="0" borderId="32" xfId="0" applyFont="1" applyBorder="1" applyAlignment="1">
      <alignment vertical="top"/>
    </xf>
    <xf numFmtId="3" fontId="24" fillId="0" borderId="53" xfId="0" applyNumberFormat="1" applyFont="1" applyBorder="1"/>
    <xf numFmtId="3" fontId="24" fillId="0" borderId="58" xfId="0" applyNumberFormat="1" applyFont="1" applyBorder="1"/>
    <xf numFmtId="3" fontId="4" fillId="0" borderId="0" xfId="0" applyNumberFormat="1" applyFont="1"/>
    <xf numFmtId="164" fontId="4" fillId="0" borderId="0" xfId="1" applyNumberFormat="1" applyFont="1"/>
    <xf numFmtId="0" fontId="4" fillId="0" borderId="77" xfId="0" applyFont="1" applyBorder="1" applyAlignment="1">
      <alignment horizontal="left" indent="1"/>
    </xf>
    <xf numFmtId="3" fontId="4" fillId="0" borderId="22" xfId="0" applyNumberFormat="1" applyFont="1" applyBorder="1"/>
    <xf numFmtId="3" fontId="4" fillId="0" borderId="99" xfId="0" applyNumberFormat="1" applyFont="1" applyBorder="1"/>
    <xf numFmtId="0" fontId="4" fillId="0" borderId="77" xfId="0" applyFont="1" applyBorder="1" applyAlignment="1">
      <alignment horizontal="left" indent="6"/>
    </xf>
    <xf numFmtId="3" fontId="4" fillId="0" borderId="20" xfId="0" applyNumberFormat="1" applyFont="1" applyBorder="1"/>
    <xf numFmtId="3" fontId="4" fillId="0" borderId="21" xfId="0" applyNumberFormat="1" applyFont="1" applyBorder="1"/>
    <xf numFmtId="0" fontId="4" fillId="0" borderId="77" xfId="0" applyFont="1" applyBorder="1" applyAlignment="1">
      <alignment horizontal="left" indent="3"/>
    </xf>
    <xf numFmtId="0" fontId="4" fillId="0" borderId="77" xfId="0" applyFont="1" applyBorder="1" applyAlignment="1">
      <alignment horizontal="left" indent="4"/>
    </xf>
    <xf numFmtId="0" fontId="4" fillId="0" borderId="26" xfId="0" applyFont="1" applyBorder="1" applyAlignment="1">
      <alignment horizontal="left"/>
    </xf>
    <xf numFmtId="0" fontId="33"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24" fillId="0" borderId="42" xfId="0" applyFont="1" applyBorder="1" applyAlignment="1">
      <alignment horizontal="left" vertical="top"/>
    </xf>
    <xf numFmtId="0" fontId="24" fillId="0" borderId="30" xfId="0" applyFont="1" applyBorder="1" applyAlignment="1">
      <alignment horizontal="left" vertical="top"/>
    </xf>
    <xf numFmtId="0" fontId="18" fillId="0" borderId="4" xfId="0" applyFont="1" applyBorder="1" applyAlignment="1">
      <alignment horizontal="center" vertical="center" wrapText="1"/>
    </xf>
    <xf numFmtId="0" fontId="4" fillId="0" borderId="20" xfId="0" applyFont="1" applyBorder="1" applyAlignment="1">
      <alignment horizontal="left" indent="3"/>
    </xf>
    <xf numFmtId="0" fontId="4" fillId="0" borderId="10" xfId="0" applyFont="1" applyBorder="1" applyAlignment="1">
      <alignment horizontal="left" indent="3"/>
    </xf>
    <xf numFmtId="3" fontId="24" fillId="0" borderId="24" xfId="0" applyNumberFormat="1" applyFont="1" applyBorder="1"/>
    <xf numFmtId="0" fontId="24" fillId="0" borderId="101" xfId="0" applyFont="1" applyBorder="1" applyAlignment="1">
      <alignment horizontal="left" vertical="top"/>
    </xf>
    <xf numFmtId="0" fontId="24" fillId="0" borderId="102" xfId="0" applyFont="1" applyBorder="1" applyAlignment="1">
      <alignment horizontal="left" vertical="top"/>
    </xf>
    <xf numFmtId="0" fontId="4" fillId="0" borderId="1" xfId="0" applyFont="1" applyBorder="1" applyAlignment="1">
      <alignment horizontal="center" vertical="top" wrapText="1"/>
    </xf>
    <xf numFmtId="0" fontId="4" fillId="0" borderId="14" xfId="0" applyFont="1" applyBorder="1" applyAlignment="1">
      <alignment horizontal="center" vertical="top" wrapText="1"/>
    </xf>
    <xf numFmtId="3" fontId="4" fillId="0" borderId="38" xfId="0" applyNumberFormat="1" applyFont="1" applyBorder="1"/>
    <xf numFmtId="3" fontId="4" fillId="0" borderId="39" xfId="0" applyNumberFormat="1" applyFont="1" applyBorder="1"/>
    <xf numFmtId="0" fontId="1" fillId="0" borderId="0" xfId="0" applyFont="1" applyFill="1" applyAlignment="1">
      <alignment horizontal="left"/>
    </xf>
    <xf numFmtId="3" fontId="13" fillId="0" borderId="0" xfId="0" applyNumberFormat="1" applyFont="1"/>
    <xf numFmtId="3" fontId="18" fillId="0" borderId="65" xfId="0" applyNumberFormat="1" applyFont="1" applyBorder="1" applyAlignment="1">
      <alignment horizontal="center"/>
    </xf>
    <xf numFmtId="3" fontId="4" fillId="0" borderId="18" xfId="0" applyNumberFormat="1" applyFont="1" applyBorder="1"/>
    <xf numFmtId="0" fontId="4" fillId="0" borderId="0" xfId="0" applyFont="1" applyAlignment="1">
      <alignment wrapText="1"/>
    </xf>
    <xf numFmtId="0" fontId="24" fillId="0" borderId="49" xfId="0" applyFont="1" applyFill="1" applyBorder="1" applyAlignment="1">
      <alignment vertical="top"/>
    </xf>
    <xf numFmtId="3" fontId="23" fillId="0" borderId="57" xfId="0" applyNumberFormat="1" applyFont="1" applyFill="1" applyBorder="1"/>
    <xf numFmtId="0" fontId="4" fillId="0" borderId="0" xfId="0" applyFont="1" applyFill="1"/>
    <xf numFmtId="3" fontId="4" fillId="0" borderId="21" xfId="0" applyNumberFormat="1" applyFont="1" applyFill="1" applyBorder="1"/>
    <xf numFmtId="3" fontId="34" fillId="0" borderId="50" xfId="0" applyNumberFormat="1" applyFont="1" applyBorder="1"/>
    <xf numFmtId="3" fontId="34" fillId="0" borderId="53" xfId="0" applyNumberFormat="1" applyFont="1" applyBorder="1"/>
    <xf numFmtId="3" fontId="34" fillId="0" borderId="97" xfId="0" applyNumberFormat="1" applyFont="1" applyBorder="1"/>
    <xf numFmtId="3" fontId="18" fillId="0" borderId="17" xfId="0" applyNumberFormat="1" applyFont="1" applyBorder="1"/>
    <xf numFmtId="3" fontId="30" fillId="0" borderId="20" xfId="0" applyNumberFormat="1" applyFont="1" applyBorder="1"/>
    <xf numFmtId="3" fontId="30" fillId="0" borderId="22" xfId="0" applyNumberFormat="1" applyFont="1" applyBorder="1"/>
    <xf numFmtId="3" fontId="18" fillId="0" borderId="19" xfId="0" applyNumberFormat="1" applyFont="1" applyBorder="1"/>
    <xf numFmtId="3" fontId="18" fillId="0" borderId="103" xfId="0" applyNumberFormat="1" applyFont="1" applyBorder="1"/>
    <xf numFmtId="3" fontId="18" fillId="0" borderId="4" xfId="0" applyNumberFormat="1" applyFont="1" applyBorder="1"/>
    <xf numFmtId="3" fontId="18" fillId="0" borderId="61" xfId="0" applyNumberFormat="1" applyFont="1" applyBorder="1"/>
    <xf numFmtId="3" fontId="4" fillId="0" borderId="66" xfId="0" applyNumberFormat="1" applyFont="1" applyBorder="1"/>
    <xf numFmtId="3" fontId="4" fillId="0" borderId="104" xfId="0" applyNumberFormat="1" applyFont="1" applyBorder="1"/>
    <xf numFmtId="3" fontId="4" fillId="0" borderId="57" xfId="0" applyNumberFormat="1" applyFont="1" applyBorder="1"/>
    <xf numFmtId="0" fontId="27" fillId="0" borderId="42" xfId="0" applyFont="1" applyBorder="1" applyAlignment="1">
      <alignment horizontal="left" vertical="top" wrapText="1"/>
    </xf>
    <xf numFmtId="0" fontId="4" fillId="0" borderId="0" xfId="0" applyFont="1" applyAlignment="1">
      <alignment horizontal="left" vertical="top"/>
    </xf>
    <xf numFmtId="0" fontId="29"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0" xfId="0" applyFont="1" applyAlignment="1">
      <alignment horizont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5" fillId="0" borderId="34" xfId="0" applyFont="1" applyBorder="1" applyAlignment="1">
      <alignment horizontal="center"/>
    </xf>
    <xf numFmtId="0" fontId="15" fillId="0" borderId="0" xfId="0" applyFont="1" applyBorder="1" applyAlignment="1">
      <alignment horizontal="center"/>
    </xf>
    <xf numFmtId="0" fontId="20" fillId="0" borderId="0" xfId="0" applyFont="1" applyAlignment="1">
      <alignment horizontal="left" vertical="top"/>
    </xf>
    <xf numFmtId="0" fontId="18" fillId="0" borderId="1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4" xfId="0" applyFont="1" applyBorder="1" applyAlignment="1">
      <alignment horizontal="center"/>
    </xf>
    <xf numFmtId="0" fontId="22" fillId="0" borderId="0" xfId="0" applyFont="1" applyAlignment="1">
      <alignment horizontal="center"/>
    </xf>
    <xf numFmtId="0" fontId="1"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3" fillId="0" borderId="52" xfId="0" applyFont="1" applyBorder="1" applyAlignment="1">
      <alignment horizontal="left" vertical="top" wrapText="1"/>
    </xf>
    <xf numFmtId="0" fontId="23" fillId="0" borderId="43" xfId="0" applyFont="1" applyBorder="1" applyAlignment="1">
      <alignment horizontal="right" vertical="top"/>
    </xf>
    <xf numFmtId="0" fontId="23" fillId="0" borderId="37" xfId="0" applyFont="1" applyBorder="1" applyAlignment="1">
      <alignment horizontal="right" vertical="top"/>
    </xf>
    <xf numFmtId="0" fontId="23" fillId="0" borderId="51" xfId="0" applyFont="1" applyBorder="1" applyAlignment="1">
      <alignment horizontal="left" vertical="top" wrapText="1"/>
    </xf>
    <xf numFmtId="0" fontId="4" fillId="0" borderId="0" xfId="0" applyFont="1" applyBorder="1" applyAlignment="1">
      <alignment horizontal="center"/>
    </xf>
    <xf numFmtId="0" fontId="27" fillId="0" borderId="101" xfId="0" applyFont="1" applyBorder="1" applyAlignment="1">
      <alignment horizontal="left" vertical="top" wrapText="1"/>
    </xf>
    <xf numFmtId="0" fontId="27" fillId="0" borderId="102" xfId="0" applyFont="1"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23" fillId="0" borderId="41" xfId="0" applyFont="1" applyBorder="1" applyAlignment="1">
      <alignment horizontal="left" vertical="top" wrapText="1"/>
    </xf>
    <xf numFmtId="0" fontId="24" fillId="0" borderId="42" xfId="0" applyFont="1" applyBorder="1" applyAlignment="1">
      <alignment horizontal="left" vertical="top" wrapText="1"/>
    </xf>
    <xf numFmtId="0" fontId="24" fillId="0" borderId="42" xfId="0" applyFont="1" applyBorder="1" applyAlignment="1">
      <alignment horizontal="left" vertical="top"/>
    </xf>
    <xf numFmtId="0" fontId="24" fillId="0" borderId="30" xfId="0" applyFont="1" applyBorder="1" applyAlignment="1">
      <alignment horizontal="left" vertical="top"/>
    </xf>
    <xf numFmtId="0" fontId="27" fillId="0" borderId="42" xfId="0" applyFont="1" applyBorder="1" applyAlignment="1">
      <alignment horizontal="left" vertical="top" wrapText="1"/>
    </xf>
    <xf numFmtId="0" fontId="27" fillId="0" borderId="42" xfId="0" applyFont="1" applyBorder="1" applyAlignment="1">
      <alignment horizontal="left" vertical="top"/>
    </xf>
    <xf numFmtId="0" fontId="27" fillId="0" borderId="30" xfId="0" applyFont="1" applyBorder="1" applyAlignment="1">
      <alignment horizontal="left" vertical="top"/>
    </xf>
    <xf numFmtId="0" fontId="0" fillId="0" borderId="101" xfId="0" applyBorder="1" applyAlignment="1">
      <alignment horizontal="left" vertical="top" wrapText="1"/>
    </xf>
    <xf numFmtId="0" fontId="0" fillId="0" borderId="102" xfId="0" applyBorder="1" applyAlignment="1">
      <alignment horizontal="left" vertical="top" wrapText="1"/>
    </xf>
    <xf numFmtId="0" fontId="24" fillId="0" borderId="101" xfId="0" applyFont="1" applyBorder="1" applyAlignment="1">
      <alignment horizontal="left" vertical="top" wrapText="1"/>
    </xf>
    <xf numFmtId="0" fontId="24" fillId="0" borderId="102" xfId="0" applyFont="1" applyBorder="1" applyAlignment="1">
      <alignment horizontal="left" vertical="top" wrapText="1"/>
    </xf>
    <xf numFmtId="0" fontId="24" fillId="0" borderId="52" xfId="0" applyFont="1" applyBorder="1" applyAlignment="1">
      <alignment horizontal="left" vertical="top" wrapText="1"/>
    </xf>
    <xf numFmtId="0" fontId="24" fillId="0" borderId="55" xfId="0" applyFont="1" applyBorder="1" applyAlignment="1">
      <alignment horizontal="left" vertical="top" wrapText="1"/>
    </xf>
    <xf numFmtId="0" fontId="23" fillId="0" borderId="52" xfId="0" applyFont="1" applyBorder="1" applyAlignment="1">
      <alignment horizontal="left" vertical="top"/>
    </xf>
    <xf numFmtId="0" fontId="23" fillId="0" borderId="55" xfId="0" applyFont="1" applyBorder="1" applyAlignment="1">
      <alignment horizontal="left" vertical="top"/>
    </xf>
    <xf numFmtId="0" fontId="35" fillId="0" borderId="0" xfId="0" applyFont="1" applyBorder="1" applyAlignment="1">
      <alignment vertical="top" wrapText="1"/>
    </xf>
    <xf numFmtId="0" fontId="0" fillId="0" borderId="0" xfId="0" applyBorder="1" applyAlignment="1">
      <alignment vertical="top" wrapText="1"/>
    </xf>
    <xf numFmtId="0" fontId="23" fillId="0" borderId="56" xfId="0" applyFont="1" applyFill="1" applyBorder="1" applyAlignment="1">
      <alignment horizontal="center" vertical="top"/>
    </xf>
    <xf numFmtId="0" fontId="23" fillId="0" borderId="31" xfId="0" applyFont="1" applyFill="1" applyBorder="1" applyAlignment="1">
      <alignment horizontal="center" vertical="top"/>
    </xf>
    <xf numFmtId="0" fontId="18" fillId="0" borderId="63" xfId="0" applyFont="1" applyBorder="1" applyAlignment="1">
      <alignment horizontal="center" vertical="center" wrapText="1"/>
    </xf>
    <xf numFmtId="0" fontId="18" fillId="0" borderId="100" xfId="0" applyFont="1" applyBorder="1" applyAlignment="1">
      <alignment horizontal="center" vertical="center" wrapText="1"/>
    </xf>
    <xf numFmtId="0" fontId="13" fillId="0" borderId="0" xfId="0" applyFont="1" applyAlignment="1">
      <alignment horizontal="center" wrapText="1"/>
    </xf>
    <xf numFmtId="0" fontId="4" fillId="0" borderId="0" xfId="0" applyFont="1" applyAlignment="1">
      <alignment horizontal="left" wrapText="1"/>
    </xf>
    <xf numFmtId="0" fontId="18" fillId="0" borderId="4"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18" fillId="0" borderId="71" xfId="0" applyFont="1" applyBorder="1" applyAlignment="1">
      <alignment horizontal="center" vertical="center" wrapText="1"/>
    </xf>
    <xf numFmtId="0" fontId="18" fillId="0" borderId="79" xfId="0" applyFont="1" applyBorder="1" applyAlignment="1">
      <alignment horizontal="left" indent="2"/>
    </xf>
    <xf numFmtId="0" fontId="18" fillId="0" borderId="34" xfId="0" applyFont="1" applyBorder="1" applyAlignment="1">
      <alignment horizontal="left" indent="2"/>
    </xf>
    <xf numFmtId="0" fontId="18" fillId="0" borderId="81" xfId="0" applyFont="1" applyBorder="1" applyAlignment="1">
      <alignment horizontal="center" vertical="center"/>
    </xf>
    <xf numFmtId="0" fontId="18" fillId="0" borderId="40" xfId="0" applyFont="1" applyBorder="1" applyAlignment="1">
      <alignment horizontal="center" vertical="center"/>
    </xf>
    <xf numFmtId="0" fontId="18" fillId="0" borderId="27" xfId="0" applyFont="1" applyBorder="1" applyAlignment="1">
      <alignment horizontal="center" vertical="center"/>
    </xf>
    <xf numFmtId="0" fontId="18" fillId="0" borderId="78" xfId="0" applyFont="1" applyBorder="1" applyAlignment="1">
      <alignment horizontal="center" vertical="center"/>
    </xf>
    <xf numFmtId="0" fontId="18" fillId="0" borderId="82" xfId="0" applyFont="1" applyBorder="1" applyAlignment="1">
      <alignment horizontal="center" vertical="center"/>
    </xf>
    <xf numFmtId="0" fontId="18" fillId="0" borderId="28" xfId="0" applyFont="1" applyBorder="1" applyAlignment="1">
      <alignment horizontal="center" vertical="center"/>
    </xf>
    <xf numFmtId="0" fontId="18" fillId="0" borderId="9" xfId="0" applyFont="1" applyBorder="1" applyAlignment="1">
      <alignment horizontal="center"/>
    </xf>
    <xf numFmtId="0" fontId="18" fillId="0" borderId="71" xfId="0" applyFont="1" applyBorder="1" applyAlignment="1">
      <alignment horizontal="center"/>
    </xf>
    <xf numFmtId="0" fontId="18" fillId="0" borderId="64" xfId="0" applyFont="1" applyBorder="1" applyAlignment="1">
      <alignment horizontal="center"/>
    </xf>
    <xf numFmtId="0" fontId="18" fillId="0" borderId="83" xfId="0" applyFont="1" applyBorder="1" applyAlignment="1">
      <alignment horizontal="left" indent="2"/>
    </xf>
    <xf numFmtId="0" fontId="18" fillId="0" borderId="84" xfId="0" applyFont="1" applyBorder="1" applyAlignment="1">
      <alignment horizontal="left" indent="2"/>
    </xf>
    <xf numFmtId="0" fontId="18" fillId="0" borderId="88" xfId="0" applyFont="1" applyBorder="1" applyAlignment="1">
      <alignment horizontal="left" indent="2"/>
    </xf>
    <xf numFmtId="0" fontId="18" fillId="0" borderId="89"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rd-data-202\users\RBRUFFY\WORK\BUDGET\2014\Congressional%20Submission\Submitted%20Uploaded%20Final%20FY%2014%20CJ\ENRD%20DRAFT%20CNG%20FY14%20Exhibit%20Shell%20-%20CJ%20508%20Com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 Summ of Req."/>
      <sheetName val="B. Summ of Req. by DU"/>
      <sheetName val="C. Program Changes by DU"/>
      <sheetName val="C. Program Changes by DU (2)"/>
      <sheetName val="D. Strategic Goals &amp; Objectives"/>
      <sheetName val="E. ATB Justification"/>
      <sheetName val="F. 2012 Crosswalk"/>
      <sheetName val="G. 2013 Crosswalk"/>
      <sheetName val="H. Reimbursable Resources"/>
      <sheetName val="I. Permanent Positions"/>
      <sheetName val="J. Financial Analysis"/>
      <sheetName val="K. Summary by Grade"/>
      <sheetName val="L. Summary by OC"/>
    </sheetNames>
    <sheetDataSet>
      <sheetData sheetId="0"/>
      <sheetData sheetId="1">
        <row r="9">
          <cell r="A9" t="str">
            <v>Civil Litigation</v>
          </cell>
        </row>
        <row r="10">
          <cell r="A10" t="str">
            <v>Criminal Litigation</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E32"/>
  <sheetViews>
    <sheetView tabSelected="1" view="pageBreakPreview" topLeftCell="A4" zoomScale="90" zoomScaleNormal="100" zoomScaleSheetLayoutView="90" workbookViewId="0">
      <selection activeCell="I26" sqref="I26"/>
    </sheetView>
  </sheetViews>
  <sheetFormatPr defaultColWidth="9.109375" defaultRowHeight="13.8"/>
  <cols>
    <col min="1" max="1" width="113.5546875" style="208" customWidth="1"/>
    <col min="2" max="3" width="14.5546875" style="212" customWidth="1"/>
    <col min="4" max="4" width="14.5546875" style="213" customWidth="1"/>
    <col min="5" max="5" width="11.5546875" style="4" bestFit="1" customWidth="1"/>
    <col min="6" max="6" width="4.88671875" style="208" customWidth="1"/>
    <col min="7" max="16384" width="9.109375" style="208"/>
  </cols>
  <sheetData>
    <row r="1" spans="1:5" ht="17.399999999999999">
      <c r="A1" s="265" t="s">
        <v>0</v>
      </c>
      <c r="B1" s="265"/>
      <c r="C1" s="265"/>
      <c r="D1" s="265"/>
      <c r="E1" s="4" t="s">
        <v>21</v>
      </c>
    </row>
    <row r="2" spans="1:5" ht="15">
      <c r="A2" s="266" t="s">
        <v>201</v>
      </c>
      <c r="B2" s="266"/>
      <c r="C2" s="266"/>
      <c r="D2" s="266"/>
      <c r="E2" s="4" t="s">
        <v>21</v>
      </c>
    </row>
    <row r="3" spans="1:5">
      <c r="A3" s="267" t="s">
        <v>1</v>
      </c>
      <c r="B3" s="267"/>
      <c r="C3" s="267"/>
      <c r="D3" s="267"/>
      <c r="E3" s="4" t="s">
        <v>21</v>
      </c>
    </row>
    <row r="4" spans="1:5">
      <c r="A4" s="268" t="s">
        <v>2</v>
      </c>
      <c r="B4" s="268"/>
      <c r="C4" s="268"/>
      <c r="D4" s="268"/>
      <c r="E4" s="4" t="s">
        <v>21</v>
      </c>
    </row>
    <row r="5" spans="1:5" ht="14.4" thickBot="1">
      <c r="E5" s="4" t="s">
        <v>21</v>
      </c>
    </row>
    <row r="6" spans="1:5">
      <c r="B6" s="269" t="s">
        <v>3</v>
      </c>
      <c r="C6" s="270"/>
      <c r="D6" s="271"/>
      <c r="E6" s="4" t="s">
        <v>21</v>
      </c>
    </row>
    <row r="7" spans="1:5" ht="14.4" thickBot="1">
      <c r="B7" s="1" t="s">
        <v>4</v>
      </c>
      <c r="C7" s="2" t="s">
        <v>156</v>
      </c>
      <c r="D7" s="3" t="s">
        <v>5</v>
      </c>
      <c r="E7" s="4" t="s">
        <v>21</v>
      </c>
    </row>
    <row r="8" spans="1:5">
      <c r="A8" s="109" t="s">
        <v>6</v>
      </c>
      <c r="B8" s="256">
        <v>537</v>
      </c>
      <c r="C8" s="257">
        <v>531</v>
      </c>
      <c r="D8" s="258">
        <v>108009</v>
      </c>
      <c r="E8" s="4" t="s">
        <v>21</v>
      </c>
    </row>
    <row r="9" spans="1:5">
      <c r="A9" s="108"/>
      <c r="B9" s="145"/>
      <c r="C9" s="146"/>
      <c r="D9" s="147"/>
      <c r="E9" s="4" t="s">
        <v>21</v>
      </c>
    </row>
    <row r="10" spans="1:5">
      <c r="A10" s="99" t="s">
        <v>7</v>
      </c>
      <c r="B10" s="249"/>
      <c r="C10" s="250"/>
      <c r="D10" s="251"/>
      <c r="E10" s="4" t="s">
        <v>21</v>
      </c>
    </row>
    <row r="11" spans="1:5">
      <c r="A11" s="214" t="s">
        <v>185</v>
      </c>
      <c r="B11" s="205"/>
      <c r="C11" s="206"/>
      <c r="D11" s="216">
        <v>661</v>
      </c>
      <c r="E11" s="4" t="s">
        <v>21</v>
      </c>
    </row>
    <row r="12" spans="1:5">
      <c r="A12" s="102" t="s">
        <v>234</v>
      </c>
      <c r="B12" s="252">
        <v>537</v>
      </c>
      <c r="C12" s="162">
        <v>520</v>
      </c>
      <c r="D12" s="255">
        <f>D8+D11</f>
        <v>108670</v>
      </c>
      <c r="E12" s="4" t="s">
        <v>21</v>
      </c>
    </row>
    <row r="13" spans="1:5">
      <c r="A13" s="102"/>
      <c r="B13" s="100"/>
      <c r="C13" s="101"/>
      <c r="D13" s="103"/>
      <c r="E13" s="4" t="s">
        <v>21</v>
      </c>
    </row>
    <row r="14" spans="1:5">
      <c r="A14" s="104" t="s">
        <v>8</v>
      </c>
      <c r="B14" s="100"/>
      <c r="C14" s="101"/>
      <c r="D14" s="103"/>
      <c r="E14" s="4" t="s">
        <v>21</v>
      </c>
    </row>
    <row r="15" spans="1:5">
      <c r="A15" s="217" t="s">
        <v>186</v>
      </c>
      <c r="B15" s="253">
        <v>0</v>
      </c>
      <c r="C15" s="153">
        <v>0</v>
      </c>
      <c r="D15" s="254">
        <v>-661</v>
      </c>
      <c r="E15" s="4" t="s">
        <v>21</v>
      </c>
    </row>
    <row r="16" spans="1:5">
      <c r="A16" s="105" t="s">
        <v>183</v>
      </c>
      <c r="B16" s="100">
        <f>SUM(B15)</f>
        <v>0</v>
      </c>
      <c r="C16" s="101">
        <f t="shared" ref="C16:D16" si="0">SUM(C15)</f>
        <v>0</v>
      </c>
      <c r="D16" s="103">
        <f t="shared" si="0"/>
        <v>-661</v>
      </c>
      <c r="E16" s="4" t="s">
        <v>21</v>
      </c>
    </row>
    <row r="17" spans="1:5">
      <c r="A17" s="104" t="s">
        <v>152</v>
      </c>
      <c r="B17" s="100"/>
      <c r="C17" s="101"/>
      <c r="D17" s="103"/>
      <c r="E17" s="4" t="s">
        <v>21</v>
      </c>
    </row>
    <row r="18" spans="1:5">
      <c r="A18" s="220" t="s">
        <v>9</v>
      </c>
      <c r="B18" s="100"/>
      <c r="C18" s="101"/>
      <c r="D18" s="103"/>
      <c r="E18" s="4" t="s">
        <v>21</v>
      </c>
    </row>
    <row r="19" spans="1:5">
      <c r="A19" s="221" t="s">
        <v>202</v>
      </c>
      <c r="B19" s="218">
        <v>0</v>
      </c>
      <c r="C19" s="219">
        <v>0</v>
      </c>
      <c r="D19" s="215">
        <v>305</v>
      </c>
      <c r="E19" s="4" t="s">
        <v>21</v>
      </c>
    </row>
    <row r="20" spans="1:5">
      <c r="A20" s="221" t="s">
        <v>203</v>
      </c>
      <c r="B20" s="218">
        <v>0</v>
      </c>
      <c r="C20" s="219">
        <v>0</v>
      </c>
      <c r="D20" s="215">
        <v>-21</v>
      </c>
      <c r="E20" s="4" t="s">
        <v>21</v>
      </c>
    </row>
    <row r="21" spans="1:5">
      <c r="A21" s="221" t="s">
        <v>204</v>
      </c>
      <c r="B21" s="218">
        <v>0</v>
      </c>
      <c r="C21" s="219">
        <v>0</v>
      </c>
      <c r="D21" s="215">
        <v>-152</v>
      </c>
      <c r="E21" s="4" t="s">
        <v>21</v>
      </c>
    </row>
    <row r="22" spans="1:5">
      <c r="A22" s="220" t="s">
        <v>10</v>
      </c>
      <c r="B22" s="218">
        <v>0</v>
      </c>
      <c r="C22" s="219">
        <v>0</v>
      </c>
      <c r="D22" s="215">
        <f>578+98-10+115+154</f>
        <v>935</v>
      </c>
      <c r="E22" s="4" t="s">
        <v>21</v>
      </c>
    </row>
    <row r="23" spans="1:5">
      <c r="A23" s="220" t="s">
        <v>11</v>
      </c>
      <c r="B23" s="218">
        <v>0</v>
      </c>
      <c r="C23" s="219">
        <v>0</v>
      </c>
      <c r="D23" s="215">
        <f>125-138+3569</f>
        <v>3556</v>
      </c>
      <c r="E23" s="4" t="s">
        <v>21</v>
      </c>
    </row>
    <row r="24" spans="1:5">
      <c r="A24" s="105" t="s">
        <v>153</v>
      </c>
      <c r="B24" s="100">
        <f>SUM(B19:B23)</f>
        <v>0</v>
      </c>
      <c r="C24" s="101">
        <f>SUM(C19:C23)</f>
        <v>0</v>
      </c>
      <c r="D24" s="103">
        <f>SUM(D19:D23)</f>
        <v>4623</v>
      </c>
      <c r="E24" s="4" t="s">
        <v>21</v>
      </c>
    </row>
    <row r="25" spans="1:5">
      <c r="A25" s="102" t="s">
        <v>154</v>
      </c>
      <c r="B25" s="151">
        <f>B24+B16</f>
        <v>0</v>
      </c>
      <c r="C25" s="34">
        <f>C24+C16</f>
        <v>0</v>
      </c>
      <c r="D25" s="35">
        <f>D24+D16</f>
        <v>3962</v>
      </c>
      <c r="E25" s="4" t="s">
        <v>21</v>
      </c>
    </row>
    <row r="26" spans="1:5">
      <c r="A26" s="106" t="s">
        <v>12</v>
      </c>
      <c r="B26" s="149">
        <f>B12+B25</f>
        <v>537</v>
      </c>
      <c r="C26" s="146">
        <f>C12+C25</f>
        <v>520</v>
      </c>
      <c r="D26" s="150">
        <f>D12+D25</f>
        <v>112632</v>
      </c>
      <c r="E26" s="4" t="s">
        <v>21</v>
      </c>
    </row>
    <row r="27" spans="1:5">
      <c r="A27" s="102" t="s">
        <v>19</v>
      </c>
      <c r="B27" s="148">
        <v>0</v>
      </c>
      <c r="C27" s="34">
        <v>0</v>
      </c>
      <c r="D27" s="152">
        <v>0</v>
      </c>
      <c r="E27" s="4" t="s">
        <v>21</v>
      </c>
    </row>
    <row r="28" spans="1:5">
      <c r="A28" s="107" t="s">
        <v>20</v>
      </c>
      <c r="B28" s="252">
        <f>B26</f>
        <v>537</v>
      </c>
      <c r="C28" s="162">
        <f t="shared" ref="C28:D28" si="1">C26</f>
        <v>520</v>
      </c>
      <c r="D28" s="255">
        <f t="shared" si="1"/>
        <v>112632</v>
      </c>
      <c r="E28" s="4" t="s">
        <v>21</v>
      </c>
    </row>
    <row r="29" spans="1:5" ht="14.4" thickBot="1">
      <c r="A29" s="222" t="s">
        <v>192</v>
      </c>
      <c r="B29" s="259">
        <f>B28-B8</f>
        <v>0</v>
      </c>
      <c r="C29" s="261">
        <f t="shared" ref="C29:D29" si="2">C28-C8</f>
        <v>-11</v>
      </c>
      <c r="D29" s="260">
        <f t="shared" si="2"/>
        <v>4623</v>
      </c>
      <c r="E29" s="4" t="s">
        <v>21</v>
      </c>
    </row>
    <row r="30" spans="1:5">
      <c r="A30" s="4"/>
      <c r="E30" s="4" t="s">
        <v>21</v>
      </c>
    </row>
    <row r="31" spans="1:5" ht="16.2">
      <c r="A31" s="263" t="s">
        <v>193</v>
      </c>
      <c r="B31" s="264"/>
      <c r="C31" s="264"/>
      <c r="D31" s="264"/>
      <c r="E31" s="4" t="s">
        <v>22</v>
      </c>
    </row>
    <row r="32" spans="1:5">
      <c r="E32" s="208"/>
    </row>
  </sheetData>
  <mergeCells count="6">
    <mergeCell ref="A31:D31"/>
    <mergeCell ref="A1:D1"/>
    <mergeCell ref="A2:D2"/>
    <mergeCell ref="A3:D3"/>
    <mergeCell ref="A4:D4"/>
    <mergeCell ref="B6:D6"/>
  </mergeCells>
  <printOptions horizontalCentered="1"/>
  <pageMargins left="0.7" right="0.7" top="0.63" bottom="0.63" header="0.3" footer="0.3"/>
  <pageSetup scale="77" fitToHeight="9999" orientation="landscape" r:id="rId1"/>
  <headerFooter>
    <oddHeader>&amp;L&amp;"Arial,Bold"&amp;12B. Summary of Requirements</oddHeader>
    <oddFooter>&amp;C&amp;"Arial,Regular"Exhibit B - Summary of Requirements</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R23"/>
  <sheetViews>
    <sheetView view="pageBreakPreview" zoomScale="80" zoomScaleNormal="100" zoomScaleSheetLayoutView="80" workbookViewId="0">
      <selection sqref="A1:J21"/>
    </sheetView>
  </sheetViews>
  <sheetFormatPr defaultColWidth="9.109375" defaultRowHeight="13.8"/>
  <cols>
    <col min="1" max="1" width="45.88671875" style="9" customWidth="1"/>
    <col min="2" max="9" width="13.6640625" style="9" customWidth="1"/>
    <col min="10" max="10" width="15" style="9" customWidth="1"/>
    <col min="11" max="11" width="14" style="4" bestFit="1" customWidth="1"/>
    <col min="12" max="12" width="4.5546875" style="9" customWidth="1"/>
    <col min="13" max="14" width="8.33203125" style="9" customWidth="1"/>
    <col min="15" max="15" width="12.6640625" style="9" customWidth="1"/>
    <col min="16" max="17" width="8.33203125" style="9" customWidth="1"/>
    <col min="18" max="18" width="12.6640625" style="9" customWidth="1"/>
    <col min="19" max="16384" width="9.109375" style="9"/>
  </cols>
  <sheetData>
    <row r="1" spans="1:18" ht="17.399999999999999">
      <c r="A1" s="265" t="s">
        <v>74</v>
      </c>
      <c r="B1" s="265"/>
      <c r="C1" s="265"/>
      <c r="D1" s="265"/>
      <c r="E1" s="265"/>
      <c r="F1" s="265"/>
      <c r="G1" s="265"/>
      <c r="H1" s="265"/>
      <c r="I1" s="265"/>
      <c r="J1" s="265"/>
      <c r="K1" s="72" t="s">
        <v>21</v>
      </c>
      <c r="L1" s="6"/>
      <c r="M1" s="6"/>
      <c r="N1" s="6"/>
      <c r="O1" s="6"/>
      <c r="P1" s="6"/>
      <c r="Q1" s="6"/>
      <c r="R1" s="6"/>
    </row>
    <row r="2" spans="1:18" ht="15">
      <c r="A2" s="266" t="str">
        <f>+'B. Summ of Req.'!A2:D2</f>
        <v>Environment and Natural Resources Division</v>
      </c>
      <c r="B2" s="266"/>
      <c r="C2" s="266"/>
      <c r="D2" s="266"/>
      <c r="E2" s="266"/>
      <c r="F2" s="266"/>
      <c r="G2" s="266"/>
      <c r="H2" s="266"/>
      <c r="I2" s="266"/>
      <c r="J2" s="266"/>
      <c r="K2" s="72" t="s">
        <v>21</v>
      </c>
      <c r="L2" s="7"/>
      <c r="M2" s="7"/>
      <c r="N2" s="7"/>
      <c r="O2" s="7"/>
      <c r="P2" s="7"/>
      <c r="Q2" s="7"/>
      <c r="R2" s="7"/>
    </row>
    <row r="3" spans="1:18">
      <c r="A3" s="278" t="s">
        <v>1</v>
      </c>
      <c r="B3" s="278"/>
      <c r="C3" s="278"/>
      <c r="D3" s="278"/>
      <c r="E3" s="278"/>
      <c r="F3" s="278"/>
      <c r="G3" s="278"/>
      <c r="H3" s="278"/>
      <c r="I3" s="278"/>
      <c r="J3" s="278"/>
      <c r="K3" s="72" t="s">
        <v>21</v>
      </c>
      <c r="L3" s="10"/>
      <c r="M3" s="10"/>
      <c r="N3" s="10"/>
      <c r="O3" s="10"/>
      <c r="P3" s="10"/>
      <c r="Q3" s="10"/>
      <c r="R3" s="10"/>
    </row>
    <row r="4" spans="1:18">
      <c r="A4" s="272" t="s">
        <v>2</v>
      </c>
      <c r="B4" s="272"/>
      <c r="C4" s="272"/>
      <c r="D4" s="272"/>
      <c r="E4" s="272"/>
      <c r="F4" s="272"/>
      <c r="G4" s="272"/>
      <c r="H4" s="272"/>
      <c r="I4" s="272"/>
      <c r="J4" s="272"/>
      <c r="K4" s="72" t="s">
        <v>21</v>
      </c>
      <c r="L4" s="8"/>
      <c r="M4" s="8"/>
      <c r="N4" s="8"/>
      <c r="O4" s="8"/>
      <c r="P4" s="8"/>
      <c r="Q4" s="8"/>
      <c r="R4" s="8"/>
    </row>
    <row r="5" spans="1:18">
      <c r="A5" s="272"/>
      <c r="B5" s="272"/>
      <c r="C5" s="272"/>
      <c r="D5" s="272"/>
      <c r="E5" s="272"/>
      <c r="F5" s="272"/>
      <c r="G5" s="272"/>
      <c r="H5" s="272"/>
      <c r="I5" s="272"/>
      <c r="J5" s="272"/>
      <c r="K5" s="72" t="s">
        <v>21</v>
      </c>
      <c r="L5" s="8"/>
      <c r="M5" s="8"/>
      <c r="N5" s="8"/>
      <c r="O5" s="8"/>
      <c r="P5" s="8"/>
      <c r="Q5" s="8"/>
      <c r="R5" s="8"/>
    </row>
    <row r="6" spans="1:18" ht="14.4" thickBot="1">
      <c r="A6" s="272"/>
      <c r="B6" s="272"/>
      <c r="C6" s="272"/>
      <c r="D6" s="272"/>
      <c r="E6" s="272"/>
      <c r="F6" s="272"/>
      <c r="G6" s="272"/>
      <c r="H6" s="272"/>
      <c r="I6" s="272"/>
      <c r="J6" s="272"/>
      <c r="K6" s="72" t="s">
        <v>21</v>
      </c>
      <c r="L6" s="8"/>
      <c r="M6" s="8"/>
      <c r="N6" s="8"/>
      <c r="O6" s="8"/>
      <c r="P6" s="8"/>
      <c r="Q6" s="8"/>
      <c r="R6" s="8"/>
    </row>
    <row r="7" spans="1:18" s="23" customFormat="1">
      <c r="A7" s="284" t="s">
        <v>76</v>
      </c>
      <c r="B7" s="328" t="s">
        <v>49</v>
      </c>
      <c r="C7" s="279"/>
      <c r="D7" s="328" t="s">
        <v>7</v>
      </c>
      <c r="E7" s="279"/>
      <c r="F7" s="326" t="s">
        <v>25</v>
      </c>
      <c r="G7" s="321"/>
      <c r="H7" s="321"/>
      <c r="I7" s="321"/>
      <c r="J7" s="327"/>
      <c r="K7" s="72" t="s">
        <v>21</v>
      </c>
    </row>
    <row r="8" spans="1:18" s="23" customFormat="1" ht="27.6">
      <c r="A8" s="286"/>
      <c r="B8" s="73" t="s">
        <v>4</v>
      </c>
      <c r="C8" s="73" t="s">
        <v>72</v>
      </c>
      <c r="D8" s="73" t="s">
        <v>4</v>
      </c>
      <c r="E8" s="73" t="s">
        <v>72</v>
      </c>
      <c r="F8" s="73" t="s">
        <v>75</v>
      </c>
      <c r="G8" s="73" t="s">
        <v>37</v>
      </c>
      <c r="H8" s="154" t="s">
        <v>41</v>
      </c>
      <c r="I8" s="73" t="s">
        <v>85</v>
      </c>
      <c r="J8" s="75" t="s">
        <v>86</v>
      </c>
      <c r="K8" s="72" t="s">
        <v>21</v>
      </c>
    </row>
    <row r="9" spans="1:18">
      <c r="A9" s="137" t="s">
        <v>84</v>
      </c>
      <c r="B9" s="169">
        <v>1</v>
      </c>
      <c r="C9" s="169">
        <v>0</v>
      </c>
      <c r="D9" s="169">
        <f>+B9</f>
        <v>1</v>
      </c>
      <c r="E9" s="169">
        <v>0</v>
      </c>
      <c r="F9" s="169">
        <v>0</v>
      </c>
      <c r="G9" s="169">
        <v>0</v>
      </c>
      <c r="H9" s="169">
        <v>0</v>
      </c>
      <c r="I9" s="169">
        <f t="shared" ref="I9:I20" si="0">D9+F9+G9+H9</f>
        <v>1</v>
      </c>
      <c r="J9" s="170">
        <f>+E9</f>
        <v>0</v>
      </c>
      <c r="K9" s="72" t="s">
        <v>21</v>
      </c>
    </row>
    <row r="10" spans="1:18">
      <c r="A10" s="76" t="s">
        <v>77</v>
      </c>
      <c r="B10" s="31">
        <v>8</v>
      </c>
      <c r="C10" s="31">
        <v>0</v>
      </c>
      <c r="D10" s="169">
        <f t="shared" ref="D10:D16" si="1">+B10</f>
        <v>8</v>
      </c>
      <c r="E10" s="169">
        <v>1</v>
      </c>
      <c r="F10" s="31">
        <v>0</v>
      </c>
      <c r="G10" s="31">
        <v>0</v>
      </c>
      <c r="H10" s="31">
        <v>0</v>
      </c>
      <c r="I10" s="31">
        <f t="shared" si="0"/>
        <v>8</v>
      </c>
      <c r="J10" s="170">
        <f t="shared" ref="J10:J16" si="2">+E10</f>
        <v>1</v>
      </c>
      <c r="K10" s="72" t="s">
        <v>21</v>
      </c>
    </row>
    <row r="11" spans="1:18">
      <c r="A11" s="76" t="s">
        <v>78</v>
      </c>
      <c r="B11" s="31">
        <v>69</v>
      </c>
      <c r="C11" s="31">
        <v>21</v>
      </c>
      <c r="D11" s="169">
        <f t="shared" si="1"/>
        <v>69</v>
      </c>
      <c r="E11" s="169">
        <v>23</v>
      </c>
      <c r="F11" s="31">
        <v>0</v>
      </c>
      <c r="G11" s="31">
        <v>0</v>
      </c>
      <c r="H11" s="31">
        <v>0</v>
      </c>
      <c r="I11" s="31">
        <f t="shared" si="0"/>
        <v>69</v>
      </c>
      <c r="J11" s="170">
        <f t="shared" si="2"/>
        <v>23</v>
      </c>
      <c r="K11" s="72" t="s">
        <v>21</v>
      </c>
    </row>
    <row r="12" spans="1:18">
      <c r="A12" s="76" t="s">
        <v>79</v>
      </c>
      <c r="B12" s="31">
        <v>7</v>
      </c>
      <c r="C12" s="31">
        <v>0</v>
      </c>
      <c r="D12" s="169">
        <f t="shared" si="1"/>
        <v>7</v>
      </c>
      <c r="E12" s="169">
        <v>0</v>
      </c>
      <c r="F12" s="31">
        <v>0</v>
      </c>
      <c r="G12" s="31">
        <v>0</v>
      </c>
      <c r="H12" s="31">
        <v>0</v>
      </c>
      <c r="I12" s="31">
        <f t="shared" si="0"/>
        <v>7</v>
      </c>
      <c r="J12" s="170">
        <f t="shared" si="2"/>
        <v>0</v>
      </c>
      <c r="K12" s="72" t="s">
        <v>21</v>
      </c>
    </row>
    <row r="13" spans="1:18">
      <c r="A13" s="76" t="s">
        <v>80</v>
      </c>
      <c r="B13" s="31">
        <v>370</v>
      </c>
      <c r="C13" s="31">
        <v>63</v>
      </c>
      <c r="D13" s="169">
        <f t="shared" si="1"/>
        <v>370</v>
      </c>
      <c r="E13" s="169">
        <v>69</v>
      </c>
      <c r="F13" s="31">
        <v>0</v>
      </c>
      <c r="G13" s="31">
        <v>0</v>
      </c>
      <c r="H13" s="31">
        <v>0</v>
      </c>
      <c r="I13" s="31">
        <f t="shared" si="0"/>
        <v>370</v>
      </c>
      <c r="J13" s="170">
        <f t="shared" si="2"/>
        <v>69</v>
      </c>
      <c r="K13" s="72" t="s">
        <v>21</v>
      </c>
    </row>
    <row r="14" spans="1:18">
      <c r="A14" s="76" t="s">
        <v>81</v>
      </c>
      <c r="B14" s="31">
        <v>63</v>
      </c>
      <c r="C14" s="31">
        <v>20</v>
      </c>
      <c r="D14" s="169">
        <f t="shared" si="1"/>
        <v>63</v>
      </c>
      <c r="E14" s="169">
        <v>22</v>
      </c>
      <c r="F14" s="31">
        <v>0</v>
      </c>
      <c r="G14" s="31">
        <v>0</v>
      </c>
      <c r="H14" s="31">
        <v>0</v>
      </c>
      <c r="I14" s="31">
        <f t="shared" si="0"/>
        <v>63</v>
      </c>
      <c r="J14" s="170">
        <f t="shared" si="2"/>
        <v>22</v>
      </c>
      <c r="K14" s="72" t="s">
        <v>21</v>
      </c>
    </row>
    <row r="15" spans="1:18">
      <c r="A15" s="76" t="s">
        <v>82</v>
      </c>
      <c r="B15" s="31">
        <v>5</v>
      </c>
      <c r="C15" s="31">
        <v>0</v>
      </c>
      <c r="D15" s="169">
        <f t="shared" si="1"/>
        <v>5</v>
      </c>
      <c r="E15" s="169">
        <f t="shared" ref="E15:E16" si="3">+C15</f>
        <v>0</v>
      </c>
      <c r="F15" s="31">
        <v>0</v>
      </c>
      <c r="G15" s="31">
        <v>0</v>
      </c>
      <c r="H15" s="31">
        <v>0</v>
      </c>
      <c r="I15" s="31">
        <f t="shared" si="0"/>
        <v>5</v>
      </c>
      <c r="J15" s="170">
        <f t="shared" si="2"/>
        <v>0</v>
      </c>
      <c r="K15" s="72" t="s">
        <v>21</v>
      </c>
    </row>
    <row r="16" spans="1:18">
      <c r="A16" s="76" t="s">
        <v>83</v>
      </c>
      <c r="B16" s="31">
        <v>14</v>
      </c>
      <c r="C16" s="31">
        <v>0</v>
      </c>
      <c r="D16" s="169">
        <f t="shared" si="1"/>
        <v>14</v>
      </c>
      <c r="E16" s="169">
        <f t="shared" si="3"/>
        <v>0</v>
      </c>
      <c r="F16" s="31">
        <v>0</v>
      </c>
      <c r="G16" s="31">
        <v>0</v>
      </c>
      <c r="H16" s="31">
        <v>0</v>
      </c>
      <c r="I16" s="31">
        <f t="shared" si="0"/>
        <v>14</v>
      </c>
      <c r="J16" s="170">
        <f t="shared" si="2"/>
        <v>0</v>
      </c>
      <c r="K16" s="72" t="s">
        <v>21</v>
      </c>
    </row>
    <row r="17" spans="1:11">
      <c r="A17" s="79" t="s">
        <v>30</v>
      </c>
      <c r="B17" s="160">
        <f t="shared" ref="B17:J17" si="4">SUM(B9:B16)</f>
        <v>537</v>
      </c>
      <c r="C17" s="160">
        <f t="shared" si="4"/>
        <v>104</v>
      </c>
      <c r="D17" s="160">
        <f t="shared" si="4"/>
        <v>537</v>
      </c>
      <c r="E17" s="160">
        <f t="shared" si="4"/>
        <v>115</v>
      </c>
      <c r="F17" s="160">
        <f t="shared" si="4"/>
        <v>0</v>
      </c>
      <c r="G17" s="160">
        <f t="shared" si="4"/>
        <v>0</v>
      </c>
      <c r="H17" s="160">
        <f t="shared" si="4"/>
        <v>0</v>
      </c>
      <c r="I17" s="160">
        <f t="shared" si="4"/>
        <v>537</v>
      </c>
      <c r="J17" s="161">
        <f t="shared" si="4"/>
        <v>115</v>
      </c>
      <c r="K17" s="72" t="s">
        <v>21</v>
      </c>
    </row>
    <row r="18" spans="1:11">
      <c r="A18" s="77" t="s">
        <v>87</v>
      </c>
      <c r="B18" s="167">
        <v>478</v>
      </c>
      <c r="C18" s="167">
        <v>93</v>
      </c>
      <c r="D18" s="167">
        <f>+B18</f>
        <v>478</v>
      </c>
      <c r="E18" s="167">
        <v>103</v>
      </c>
      <c r="F18" s="167">
        <v>0</v>
      </c>
      <c r="G18" s="167">
        <v>0</v>
      </c>
      <c r="H18" s="167">
        <f>SUM(H10:H17)</f>
        <v>0</v>
      </c>
      <c r="I18" s="167">
        <f t="shared" si="0"/>
        <v>478</v>
      </c>
      <c r="J18" s="168">
        <f>+E18</f>
        <v>103</v>
      </c>
      <c r="K18" s="72" t="s">
        <v>21</v>
      </c>
    </row>
    <row r="19" spans="1:11">
      <c r="A19" s="78" t="s">
        <v>88</v>
      </c>
      <c r="B19" s="31">
        <v>59</v>
      </c>
      <c r="C19" s="31">
        <v>11</v>
      </c>
      <c r="D19" s="167">
        <f t="shared" ref="D19:D20" si="5">+B19</f>
        <v>59</v>
      </c>
      <c r="E19" s="167">
        <v>12</v>
      </c>
      <c r="F19" s="31">
        <v>0</v>
      </c>
      <c r="G19" s="31">
        <v>0</v>
      </c>
      <c r="H19" s="31">
        <f>SUM(H10:H18)</f>
        <v>0</v>
      </c>
      <c r="I19" s="31">
        <f t="shared" si="0"/>
        <v>59</v>
      </c>
      <c r="J19" s="168">
        <f t="shared" ref="J19:J20" si="6">+E19</f>
        <v>12</v>
      </c>
      <c r="K19" s="72" t="s">
        <v>21</v>
      </c>
    </row>
    <row r="20" spans="1:11">
      <c r="A20" s="78" t="s">
        <v>89</v>
      </c>
      <c r="B20" s="31">
        <v>0</v>
      </c>
      <c r="C20" s="31">
        <v>0</v>
      </c>
      <c r="D20" s="167">
        <f t="shared" si="5"/>
        <v>0</v>
      </c>
      <c r="E20" s="167">
        <f t="shared" ref="E20" si="7">+C20</f>
        <v>0</v>
      </c>
      <c r="F20" s="31">
        <v>0</v>
      </c>
      <c r="G20" s="31">
        <v>0</v>
      </c>
      <c r="H20" s="31">
        <f>SUM(H11:H19)</f>
        <v>0</v>
      </c>
      <c r="I20" s="31">
        <f t="shared" si="0"/>
        <v>0</v>
      </c>
      <c r="J20" s="168">
        <f t="shared" si="6"/>
        <v>0</v>
      </c>
      <c r="K20" s="72" t="s">
        <v>21</v>
      </c>
    </row>
    <row r="21" spans="1:11">
      <c r="A21" s="79" t="s">
        <v>30</v>
      </c>
      <c r="B21" s="160">
        <f>SUM(B18:B20)</f>
        <v>537</v>
      </c>
      <c r="C21" s="160">
        <f t="shared" ref="C21:J21" si="8">SUM(C18:C20)</f>
        <v>104</v>
      </c>
      <c r="D21" s="160">
        <f t="shared" si="8"/>
        <v>537</v>
      </c>
      <c r="E21" s="160">
        <f t="shared" si="8"/>
        <v>115</v>
      </c>
      <c r="F21" s="160">
        <f t="shared" si="8"/>
        <v>0</v>
      </c>
      <c r="G21" s="160">
        <f t="shared" si="8"/>
        <v>0</v>
      </c>
      <c r="H21" s="160">
        <f t="shared" si="8"/>
        <v>0</v>
      </c>
      <c r="I21" s="160">
        <f t="shared" si="8"/>
        <v>537</v>
      </c>
      <c r="J21" s="161">
        <f t="shared" si="8"/>
        <v>115</v>
      </c>
      <c r="K21" s="72" t="s">
        <v>22</v>
      </c>
    </row>
    <row r="23" spans="1:11">
      <c r="C23" s="241"/>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2" fitToHeight="9999"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dimension ref="A1:W74"/>
  <sheetViews>
    <sheetView view="pageBreakPreview" topLeftCell="E1" zoomScale="80" zoomScaleNormal="100" zoomScaleSheetLayoutView="80" workbookViewId="0">
      <selection activeCell="R1" sqref="R1:R1048576"/>
    </sheetView>
  </sheetViews>
  <sheetFormatPr defaultColWidth="9.109375" defaultRowHeight="13.8"/>
  <cols>
    <col min="1" max="1" width="63.5546875" style="9" customWidth="1"/>
    <col min="2" max="2" width="8.6640625" style="9" customWidth="1"/>
    <col min="3" max="3" width="12.6640625" style="9" customWidth="1"/>
    <col min="4" max="4" width="8.6640625" style="9" customWidth="1"/>
    <col min="5" max="5" width="12.6640625" style="9" customWidth="1"/>
    <col min="6" max="6" width="8.6640625" style="9" customWidth="1"/>
    <col min="7" max="7" width="12.6640625" style="9" customWidth="1"/>
    <col min="8" max="8" width="8.6640625" style="9" customWidth="1"/>
    <col min="9" max="9" width="12.6640625" style="9" customWidth="1"/>
    <col min="10" max="10" width="8.6640625" style="9" customWidth="1"/>
    <col min="11" max="11" width="12.6640625" style="9" customWidth="1"/>
    <col min="12" max="12" width="8.6640625" style="9" customWidth="1"/>
    <col min="13" max="15" width="12.6640625" style="9" customWidth="1"/>
    <col min="16" max="16" width="14" style="4" bestFit="1" customWidth="1"/>
    <col min="17" max="17" width="4.5546875" style="9" customWidth="1"/>
    <col min="18" max="19" width="8.33203125" style="9" customWidth="1"/>
    <col min="20" max="20" width="12.6640625" style="9" customWidth="1"/>
    <col min="21" max="22" width="8.33203125" style="9" customWidth="1"/>
    <col min="23" max="23" width="12.6640625" style="9" customWidth="1"/>
    <col min="24" max="16384" width="9.109375" style="9"/>
  </cols>
  <sheetData>
    <row r="1" spans="1:23" ht="17.399999999999999">
      <c r="A1" s="265" t="s">
        <v>122</v>
      </c>
      <c r="B1" s="265"/>
      <c r="C1" s="265"/>
      <c r="D1" s="265"/>
      <c r="E1" s="265"/>
      <c r="F1" s="265"/>
      <c r="G1" s="265"/>
      <c r="H1" s="265"/>
      <c r="I1" s="265"/>
      <c r="J1" s="265"/>
      <c r="K1" s="265"/>
      <c r="L1" s="265"/>
      <c r="M1" s="265"/>
      <c r="N1" s="265"/>
      <c r="O1" s="265"/>
      <c r="P1" s="72" t="s">
        <v>21</v>
      </c>
      <c r="Q1" s="6"/>
      <c r="R1" s="6"/>
      <c r="S1" s="6"/>
      <c r="T1" s="6"/>
      <c r="U1" s="6"/>
      <c r="V1" s="6"/>
      <c r="W1" s="6"/>
    </row>
    <row r="2" spans="1:23" ht="15">
      <c r="A2" s="266" t="str">
        <f>+'B. Summ of Req.'!A2:D2</f>
        <v>Environment and Natural Resources Division</v>
      </c>
      <c r="B2" s="266"/>
      <c r="C2" s="266"/>
      <c r="D2" s="266"/>
      <c r="E2" s="266"/>
      <c r="F2" s="266"/>
      <c r="G2" s="266"/>
      <c r="H2" s="266"/>
      <c r="I2" s="266"/>
      <c r="J2" s="266"/>
      <c r="K2" s="266"/>
      <c r="L2" s="266"/>
      <c r="M2" s="266"/>
      <c r="N2" s="266"/>
      <c r="O2" s="266"/>
      <c r="P2" s="72" t="s">
        <v>21</v>
      </c>
      <c r="Q2" s="7"/>
      <c r="R2" s="7"/>
      <c r="S2" s="7"/>
      <c r="T2" s="7"/>
      <c r="U2" s="7"/>
      <c r="V2" s="7"/>
      <c r="W2" s="7"/>
    </row>
    <row r="3" spans="1:23">
      <c r="A3" s="278" t="s">
        <v>1</v>
      </c>
      <c r="B3" s="278"/>
      <c r="C3" s="278"/>
      <c r="D3" s="278"/>
      <c r="E3" s="278"/>
      <c r="F3" s="278"/>
      <c r="G3" s="278"/>
      <c r="H3" s="278"/>
      <c r="I3" s="278"/>
      <c r="J3" s="278"/>
      <c r="K3" s="278"/>
      <c r="L3" s="278"/>
      <c r="M3" s="278"/>
      <c r="N3" s="278"/>
      <c r="O3" s="278"/>
      <c r="P3" s="72" t="s">
        <v>21</v>
      </c>
      <c r="Q3" s="10"/>
      <c r="R3" s="10"/>
      <c r="S3" s="10"/>
      <c r="T3" s="10"/>
      <c r="U3" s="10"/>
      <c r="V3" s="10"/>
      <c r="W3" s="10"/>
    </row>
    <row r="4" spans="1:23">
      <c r="A4" s="272" t="s">
        <v>2</v>
      </c>
      <c r="B4" s="272"/>
      <c r="C4" s="272"/>
      <c r="D4" s="272"/>
      <c r="E4" s="272"/>
      <c r="F4" s="272"/>
      <c r="G4" s="272"/>
      <c r="H4" s="272"/>
      <c r="I4" s="272"/>
      <c r="J4" s="272"/>
      <c r="K4" s="272"/>
      <c r="L4" s="272"/>
      <c r="M4" s="272"/>
      <c r="N4" s="272"/>
      <c r="O4" s="272"/>
      <c r="P4" s="72" t="s">
        <v>21</v>
      </c>
      <c r="Q4" s="8"/>
      <c r="R4" s="8"/>
      <c r="S4" s="8"/>
      <c r="T4" s="8"/>
      <c r="U4" s="8"/>
      <c r="V4" s="8"/>
      <c r="W4" s="8"/>
    </row>
    <row r="5" spans="1:23">
      <c r="A5" s="272"/>
      <c r="B5" s="272"/>
      <c r="C5" s="272"/>
      <c r="D5" s="272"/>
      <c r="E5" s="272"/>
      <c r="F5" s="272"/>
      <c r="G5" s="272"/>
      <c r="H5" s="272"/>
      <c r="I5" s="272"/>
      <c r="J5" s="272"/>
      <c r="K5" s="272"/>
      <c r="L5" s="272"/>
      <c r="M5" s="272"/>
      <c r="N5" s="45"/>
      <c r="O5" s="45"/>
      <c r="P5" s="72" t="s">
        <v>21</v>
      </c>
      <c r="Q5" s="8"/>
      <c r="R5" s="8"/>
      <c r="S5" s="8"/>
      <c r="T5" s="8"/>
      <c r="U5" s="8"/>
      <c r="V5" s="8"/>
      <c r="W5" s="8"/>
    </row>
    <row r="6" spans="1:23" s="23" customFormat="1">
      <c r="A6" s="334" t="s">
        <v>123</v>
      </c>
      <c r="B6" s="332" t="s">
        <v>26</v>
      </c>
      <c r="C6" s="337"/>
      <c r="D6" s="337"/>
      <c r="E6" s="337"/>
      <c r="F6" s="337"/>
      <c r="G6" s="337"/>
      <c r="H6" s="332" t="s">
        <v>27</v>
      </c>
      <c r="I6" s="337"/>
      <c r="J6" s="337"/>
      <c r="K6" s="337"/>
      <c r="L6" s="337"/>
      <c r="M6" s="333"/>
      <c r="N6" s="74"/>
      <c r="O6" s="74"/>
      <c r="P6" s="72" t="s">
        <v>21</v>
      </c>
    </row>
    <row r="7" spans="1:23" s="23" customFormat="1" ht="15" customHeight="1">
      <c r="A7" s="335"/>
      <c r="B7" s="332" t="s">
        <v>124</v>
      </c>
      <c r="C7" s="333"/>
      <c r="D7" s="332" t="s">
        <v>125</v>
      </c>
      <c r="E7" s="333"/>
      <c r="F7" s="332" t="s">
        <v>41</v>
      </c>
      <c r="G7" s="333"/>
      <c r="H7" s="332" t="s">
        <v>124</v>
      </c>
      <c r="I7" s="333"/>
      <c r="J7" s="332" t="s">
        <v>125</v>
      </c>
      <c r="K7" s="333"/>
      <c r="L7" s="332" t="s">
        <v>41</v>
      </c>
      <c r="M7" s="333"/>
      <c r="N7" s="74"/>
      <c r="O7" s="74"/>
      <c r="P7" s="72" t="s">
        <v>21</v>
      </c>
    </row>
    <row r="8" spans="1:23" s="23" customFormat="1" ht="27.6">
      <c r="A8" s="336"/>
      <c r="B8" s="21" t="s">
        <v>4</v>
      </c>
      <c r="C8" s="21" t="s">
        <v>5</v>
      </c>
      <c r="D8" s="21" t="s">
        <v>4</v>
      </c>
      <c r="E8" s="21" t="s">
        <v>5</v>
      </c>
      <c r="F8" s="21" t="s">
        <v>4</v>
      </c>
      <c r="G8" s="21" t="s">
        <v>5</v>
      </c>
      <c r="H8" s="21" t="s">
        <v>4</v>
      </c>
      <c r="I8" s="21" t="s">
        <v>5</v>
      </c>
      <c r="J8" s="21" t="s">
        <v>4</v>
      </c>
      <c r="K8" s="21" t="s">
        <v>5</v>
      </c>
      <c r="L8" s="21" t="s">
        <v>4</v>
      </c>
      <c r="M8" s="21" t="s">
        <v>5</v>
      </c>
      <c r="N8" s="88"/>
      <c r="O8" s="88"/>
      <c r="P8" s="72" t="s">
        <v>21</v>
      </c>
    </row>
    <row r="9" spans="1:23" s="23" customFormat="1">
      <c r="A9" s="93" t="s">
        <v>126</v>
      </c>
      <c r="B9" s="175">
        <v>0</v>
      </c>
      <c r="C9" s="175">
        <v>0</v>
      </c>
      <c r="D9" s="175">
        <v>0</v>
      </c>
      <c r="E9" s="175">
        <v>0</v>
      </c>
      <c r="F9" s="175">
        <v>0</v>
      </c>
      <c r="G9" s="175">
        <v>0</v>
      </c>
      <c r="H9" s="175">
        <v>0</v>
      </c>
      <c r="I9" s="175">
        <v>0</v>
      </c>
      <c r="J9" s="175">
        <v>0</v>
      </c>
      <c r="K9" s="175">
        <v>0</v>
      </c>
      <c r="L9" s="175">
        <v>0</v>
      </c>
      <c r="M9" s="175">
        <v>0</v>
      </c>
      <c r="N9" s="89"/>
      <c r="O9" s="89"/>
      <c r="P9" s="72" t="s">
        <v>21</v>
      </c>
    </row>
    <row r="10" spans="1:23" s="23" customFormat="1">
      <c r="A10" s="94" t="s">
        <v>127</v>
      </c>
      <c r="B10" s="184">
        <v>0</v>
      </c>
      <c r="C10" s="184">
        <v>0</v>
      </c>
      <c r="D10" s="184">
        <v>0</v>
      </c>
      <c r="E10" s="184">
        <v>0</v>
      </c>
      <c r="F10" s="184">
        <v>0</v>
      </c>
      <c r="G10" s="184">
        <v>0</v>
      </c>
      <c r="H10" s="184">
        <v>0</v>
      </c>
      <c r="I10" s="184">
        <v>0</v>
      </c>
      <c r="J10" s="184">
        <v>0</v>
      </c>
      <c r="K10" s="184">
        <v>0</v>
      </c>
      <c r="L10" s="184">
        <v>0</v>
      </c>
      <c r="M10" s="184">
        <v>0</v>
      </c>
      <c r="N10" s="89"/>
      <c r="O10" s="89"/>
      <c r="P10" s="72" t="s">
        <v>21</v>
      </c>
    </row>
    <row r="11" spans="1:23" s="23" customFormat="1">
      <c r="A11" s="94" t="s">
        <v>128</v>
      </c>
      <c r="B11" s="184">
        <v>0</v>
      </c>
      <c r="C11" s="184">
        <v>0</v>
      </c>
      <c r="D11" s="184">
        <v>0</v>
      </c>
      <c r="E11" s="184">
        <v>0</v>
      </c>
      <c r="F11" s="184">
        <v>0</v>
      </c>
      <c r="G11" s="184">
        <v>0</v>
      </c>
      <c r="H11" s="184">
        <v>0</v>
      </c>
      <c r="I11" s="184">
        <v>0</v>
      </c>
      <c r="J11" s="184">
        <v>0</v>
      </c>
      <c r="K11" s="184">
        <v>0</v>
      </c>
      <c r="L11" s="184">
        <v>0</v>
      </c>
      <c r="M11" s="184">
        <v>0</v>
      </c>
      <c r="N11" s="89"/>
      <c r="O11" s="89"/>
      <c r="P11" s="72" t="s">
        <v>21</v>
      </c>
    </row>
    <row r="12" spans="1:23" s="23" customFormat="1">
      <c r="A12" s="94" t="s">
        <v>129</v>
      </c>
      <c r="B12" s="184">
        <v>0</v>
      </c>
      <c r="C12" s="184">
        <v>0</v>
      </c>
      <c r="D12" s="184">
        <v>0</v>
      </c>
      <c r="E12" s="184">
        <v>0</v>
      </c>
      <c r="F12" s="184">
        <v>0</v>
      </c>
      <c r="G12" s="184">
        <v>0</v>
      </c>
      <c r="H12" s="184">
        <v>0</v>
      </c>
      <c r="I12" s="184">
        <v>0</v>
      </c>
      <c r="J12" s="184">
        <v>0</v>
      </c>
      <c r="K12" s="184">
        <v>0</v>
      </c>
      <c r="L12" s="184">
        <v>0</v>
      </c>
      <c r="M12" s="184">
        <v>0</v>
      </c>
      <c r="N12" s="89"/>
      <c r="O12" s="89"/>
      <c r="P12" s="72" t="s">
        <v>21</v>
      </c>
    </row>
    <row r="13" spans="1:23" s="23" customFormat="1">
      <c r="A13" s="94" t="s">
        <v>130</v>
      </c>
      <c r="B13" s="184">
        <v>0</v>
      </c>
      <c r="C13" s="184">
        <v>0</v>
      </c>
      <c r="D13" s="184">
        <v>0</v>
      </c>
      <c r="E13" s="184">
        <v>0</v>
      </c>
      <c r="F13" s="184">
        <v>0</v>
      </c>
      <c r="G13" s="184">
        <v>0</v>
      </c>
      <c r="H13" s="184">
        <v>0</v>
      </c>
      <c r="I13" s="184">
        <v>0</v>
      </c>
      <c r="J13" s="184">
        <v>0</v>
      </c>
      <c r="K13" s="184">
        <v>0</v>
      </c>
      <c r="L13" s="184">
        <v>0</v>
      </c>
      <c r="M13" s="184">
        <v>0</v>
      </c>
      <c r="N13" s="89"/>
      <c r="O13" s="89"/>
      <c r="P13" s="72" t="s">
        <v>21</v>
      </c>
    </row>
    <row r="14" spans="1:23" s="23" customFormat="1">
      <c r="A14" s="94" t="s">
        <v>131</v>
      </c>
      <c r="B14" s="184">
        <v>0</v>
      </c>
      <c r="C14" s="184">
        <v>0</v>
      </c>
      <c r="D14" s="184">
        <v>0</v>
      </c>
      <c r="E14" s="184">
        <v>0</v>
      </c>
      <c r="F14" s="184">
        <v>0</v>
      </c>
      <c r="G14" s="184">
        <v>0</v>
      </c>
      <c r="H14" s="184">
        <v>0</v>
      </c>
      <c r="I14" s="184">
        <v>0</v>
      </c>
      <c r="J14" s="184">
        <v>0</v>
      </c>
      <c r="K14" s="184">
        <v>0</v>
      </c>
      <c r="L14" s="184">
        <v>0</v>
      </c>
      <c r="M14" s="184">
        <v>0</v>
      </c>
      <c r="N14" s="89"/>
      <c r="O14" s="89"/>
      <c r="P14" s="72" t="s">
        <v>21</v>
      </c>
    </row>
    <row r="15" spans="1:23" s="23" customFormat="1">
      <c r="A15" s="94" t="s">
        <v>132</v>
      </c>
      <c r="B15" s="184">
        <v>0</v>
      </c>
      <c r="C15" s="184">
        <v>0</v>
      </c>
      <c r="D15" s="184">
        <v>0</v>
      </c>
      <c r="E15" s="184">
        <v>0</v>
      </c>
      <c r="F15" s="184">
        <v>0</v>
      </c>
      <c r="G15" s="184">
        <v>0</v>
      </c>
      <c r="H15" s="184">
        <v>0</v>
      </c>
      <c r="I15" s="184">
        <v>0</v>
      </c>
      <c r="J15" s="184">
        <v>0</v>
      </c>
      <c r="K15" s="184">
        <v>0</v>
      </c>
      <c r="L15" s="184">
        <v>0</v>
      </c>
      <c r="M15" s="184">
        <v>0</v>
      </c>
      <c r="N15" s="89"/>
      <c r="O15" s="89"/>
      <c r="P15" s="72" t="s">
        <v>21</v>
      </c>
    </row>
    <row r="16" spans="1:23" s="23" customFormat="1">
      <c r="A16" s="94" t="s">
        <v>133</v>
      </c>
      <c r="B16" s="184">
        <v>0</v>
      </c>
      <c r="C16" s="184">
        <v>0</v>
      </c>
      <c r="D16" s="184">
        <v>0</v>
      </c>
      <c r="E16" s="184">
        <v>0</v>
      </c>
      <c r="F16" s="184">
        <v>0</v>
      </c>
      <c r="G16" s="184">
        <v>0</v>
      </c>
      <c r="H16" s="184">
        <v>0</v>
      </c>
      <c r="I16" s="184">
        <v>0</v>
      </c>
      <c r="J16" s="184">
        <v>0</v>
      </c>
      <c r="K16" s="184">
        <v>0</v>
      </c>
      <c r="L16" s="184">
        <v>0</v>
      </c>
      <c r="M16" s="184">
        <v>0</v>
      </c>
      <c r="N16" s="89"/>
      <c r="O16" s="89"/>
      <c r="P16" s="72" t="s">
        <v>21</v>
      </c>
    </row>
    <row r="17" spans="1:16" s="23" customFormat="1">
      <c r="A17" s="94" t="s">
        <v>134</v>
      </c>
      <c r="B17" s="184">
        <v>0</v>
      </c>
      <c r="C17" s="184">
        <v>0</v>
      </c>
      <c r="D17" s="184">
        <v>0</v>
      </c>
      <c r="E17" s="184">
        <v>0</v>
      </c>
      <c r="F17" s="184">
        <v>0</v>
      </c>
      <c r="G17" s="184">
        <v>0</v>
      </c>
      <c r="H17" s="184">
        <v>0</v>
      </c>
      <c r="I17" s="184">
        <v>0</v>
      </c>
      <c r="J17" s="184">
        <v>0</v>
      </c>
      <c r="K17" s="184">
        <v>0</v>
      </c>
      <c r="L17" s="184">
        <v>0</v>
      </c>
      <c r="M17" s="184">
        <v>0</v>
      </c>
      <c r="N17" s="89"/>
      <c r="O17" s="89"/>
      <c r="P17" s="72" t="s">
        <v>21</v>
      </c>
    </row>
    <row r="18" spans="1:16" s="23" customFormat="1">
      <c r="A18" s="94" t="s">
        <v>135</v>
      </c>
      <c r="B18" s="184">
        <v>0</v>
      </c>
      <c r="C18" s="184">
        <v>0</v>
      </c>
      <c r="D18" s="184">
        <v>0</v>
      </c>
      <c r="E18" s="184">
        <v>0</v>
      </c>
      <c r="F18" s="184">
        <v>0</v>
      </c>
      <c r="G18" s="184">
        <v>0</v>
      </c>
      <c r="H18" s="184">
        <v>0</v>
      </c>
      <c r="I18" s="184">
        <v>0</v>
      </c>
      <c r="J18" s="184">
        <v>0</v>
      </c>
      <c r="K18" s="184">
        <v>0</v>
      </c>
      <c r="L18" s="184">
        <v>0</v>
      </c>
      <c r="M18" s="184">
        <v>0</v>
      </c>
      <c r="N18" s="89"/>
      <c r="O18" s="89"/>
      <c r="P18" s="72" t="s">
        <v>21</v>
      </c>
    </row>
    <row r="19" spans="1:16" s="23" customFormat="1">
      <c r="A19" s="94" t="s">
        <v>136</v>
      </c>
      <c r="B19" s="184">
        <v>0</v>
      </c>
      <c r="C19" s="184">
        <v>0</v>
      </c>
      <c r="D19" s="184">
        <v>0</v>
      </c>
      <c r="E19" s="184">
        <v>0</v>
      </c>
      <c r="F19" s="184">
        <v>0</v>
      </c>
      <c r="G19" s="184">
        <v>0</v>
      </c>
      <c r="H19" s="184">
        <v>0</v>
      </c>
      <c r="I19" s="184">
        <v>0</v>
      </c>
      <c r="J19" s="184">
        <v>0</v>
      </c>
      <c r="K19" s="184">
        <v>0</v>
      </c>
      <c r="L19" s="184">
        <v>0</v>
      </c>
      <c r="M19" s="184">
        <v>0</v>
      </c>
      <c r="N19" s="89"/>
      <c r="O19" s="89"/>
      <c r="P19" s="72" t="s">
        <v>21</v>
      </c>
    </row>
    <row r="20" spans="1:16" s="23" customFormat="1">
      <c r="A20" s="95" t="s">
        <v>137</v>
      </c>
      <c r="B20" s="177">
        <v>0</v>
      </c>
      <c r="C20" s="177">
        <v>0</v>
      </c>
      <c r="D20" s="177">
        <v>0</v>
      </c>
      <c r="E20" s="177">
        <v>0</v>
      </c>
      <c r="F20" s="177">
        <v>0</v>
      </c>
      <c r="G20" s="177">
        <v>0</v>
      </c>
      <c r="H20" s="177">
        <v>0</v>
      </c>
      <c r="I20" s="177">
        <v>0</v>
      </c>
      <c r="J20" s="177">
        <v>0</v>
      </c>
      <c r="K20" s="177">
        <v>0</v>
      </c>
      <c r="L20" s="177">
        <v>0</v>
      </c>
      <c r="M20" s="177">
        <v>0</v>
      </c>
      <c r="N20" s="89"/>
      <c r="O20" s="89"/>
      <c r="P20" s="72" t="s">
        <v>21</v>
      </c>
    </row>
    <row r="21" spans="1:16" s="23" customFormat="1">
      <c r="A21" s="93" t="s">
        <v>138</v>
      </c>
      <c r="B21" s="175">
        <f>SUM(B9:B20)</f>
        <v>0</v>
      </c>
      <c r="C21" s="175">
        <f>SUM(C9:C20)</f>
        <v>0</v>
      </c>
      <c r="D21" s="175">
        <f>SUM(D9:D20)</f>
        <v>0</v>
      </c>
      <c r="E21" s="175">
        <f>SUM(E9:E20)</f>
        <v>0</v>
      </c>
      <c r="F21" s="175">
        <f>SUM(F9:F20)</f>
        <v>0</v>
      </c>
      <c r="G21" s="175">
        <f t="shared" ref="G21" si="0">SUM(G9:G20)</f>
        <v>0</v>
      </c>
      <c r="H21" s="175">
        <f>SUM(H9:H20)</f>
        <v>0</v>
      </c>
      <c r="I21" s="175">
        <f t="shared" ref="I21" si="1">SUM(I9:I20)</f>
        <v>0</v>
      </c>
      <c r="J21" s="175">
        <f>SUM(J9:J20)</f>
        <v>0</v>
      </c>
      <c r="K21" s="175">
        <f t="shared" ref="K21" si="2">SUM(K9:K20)</f>
        <v>0</v>
      </c>
      <c r="L21" s="175">
        <f>SUM(L9:L20)</f>
        <v>0</v>
      </c>
      <c r="M21" s="175">
        <f t="shared" ref="M21" si="3">SUM(M9:M20)</f>
        <v>0</v>
      </c>
      <c r="N21" s="89"/>
      <c r="O21" s="89"/>
      <c r="P21" s="72" t="s">
        <v>21</v>
      </c>
    </row>
    <row r="22" spans="1:16" s="23" customFormat="1">
      <c r="A22" s="96" t="s">
        <v>139</v>
      </c>
      <c r="B22" s="184">
        <f>-B21*0.5</f>
        <v>0</v>
      </c>
      <c r="C22" s="184">
        <f t="shared" ref="C22:L22" si="4">-C21*0.5</f>
        <v>0</v>
      </c>
      <c r="D22" s="184">
        <f t="shared" si="4"/>
        <v>0</v>
      </c>
      <c r="E22" s="184">
        <f t="shared" si="4"/>
        <v>0</v>
      </c>
      <c r="F22" s="184">
        <f t="shared" si="4"/>
        <v>0</v>
      </c>
      <c r="G22" s="184"/>
      <c r="H22" s="184">
        <f t="shared" si="4"/>
        <v>0</v>
      </c>
      <c r="I22" s="184">
        <f t="shared" si="4"/>
        <v>0</v>
      </c>
      <c r="J22" s="184">
        <f t="shared" si="4"/>
        <v>0</v>
      </c>
      <c r="K22" s="184">
        <f t="shared" si="4"/>
        <v>0</v>
      </c>
      <c r="L22" s="184">
        <f t="shared" si="4"/>
        <v>0</v>
      </c>
      <c r="M22" s="184"/>
      <c r="N22" s="89"/>
      <c r="O22" s="89"/>
      <c r="P22" s="72" t="s">
        <v>21</v>
      </c>
    </row>
    <row r="23" spans="1:16" s="23" customFormat="1">
      <c r="A23" s="94" t="s">
        <v>174</v>
      </c>
      <c r="B23" s="184"/>
      <c r="C23" s="184">
        <v>0</v>
      </c>
      <c r="D23" s="184"/>
      <c r="E23" s="184">
        <v>0</v>
      </c>
      <c r="F23" s="184"/>
      <c r="G23" s="184">
        <v>0</v>
      </c>
      <c r="H23" s="184"/>
      <c r="I23" s="184">
        <v>0</v>
      </c>
      <c r="J23" s="184"/>
      <c r="K23" s="184">
        <v>0</v>
      </c>
      <c r="L23" s="184"/>
      <c r="M23" s="184">
        <v>0</v>
      </c>
      <c r="N23" s="89"/>
      <c r="O23" s="89"/>
      <c r="P23" s="72" t="s">
        <v>21</v>
      </c>
    </row>
    <row r="24" spans="1:16">
      <c r="A24" s="95" t="s">
        <v>140</v>
      </c>
      <c r="B24" s="177">
        <f>SUM(B21:B23)</f>
        <v>0</v>
      </c>
      <c r="C24" s="177">
        <f t="shared" ref="C24:M24" si="5">SUM(C21:C23)</f>
        <v>0</v>
      </c>
      <c r="D24" s="177">
        <f t="shared" si="5"/>
        <v>0</v>
      </c>
      <c r="E24" s="177">
        <f t="shared" si="5"/>
        <v>0</v>
      </c>
      <c r="F24" s="177">
        <f t="shared" si="5"/>
        <v>0</v>
      </c>
      <c r="G24" s="177">
        <f t="shared" si="5"/>
        <v>0</v>
      </c>
      <c r="H24" s="177">
        <f t="shared" si="5"/>
        <v>0</v>
      </c>
      <c r="I24" s="177">
        <f t="shared" si="5"/>
        <v>0</v>
      </c>
      <c r="J24" s="177">
        <f t="shared" si="5"/>
        <v>0</v>
      </c>
      <c r="K24" s="177">
        <f t="shared" si="5"/>
        <v>0</v>
      </c>
      <c r="L24" s="177">
        <f t="shared" si="5"/>
        <v>0</v>
      </c>
      <c r="M24" s="177">
        <f t="shared" si="5"/>
        <v>0</v>
      </c>
      <c r="N24" s="89"/>
      <c r="O24" s="89"/>
      <c r="P24" s="72" t="s">
        <v>21</v>
      </c>
    </row>
    <row r="25" spans="1:16">
      <c r="A25" s="94" t="s">
        <v>98</v>
      </c>
      <c r="B25" s="184"/>
      <c r="C25" s="184">
        <v>0</v>
      </c>
      <c r="D25" s="184"/>
      <c r="E25" s="184">
        <v>0</v>
      </c>
      <c r="F25" s="184"/>
      <c r="G25" s="184">
        <v>0</v>
      </c>
      <c r="H25" s="184"/>
      <c r="I25" s="184">
        <v>0</v>
      </c>
      <c r="J25" s="184"/>
      <c r="K25" s="184">
        <v>0</v>
      </c>
      <c r="L25" s="184"/>
      <c r="M25" s="184">
        <v>0</v>
      </c>
      <c r="N25" s="89"/>
      <c r="O25" s="89"/>
      <c r="P25" s="72" t="s">
        <v>21</v>
      </c>
    </row>
    <row r="26" spans="1:16">
      <c r="A26" s="94" t="s">
        <v>99</v>
      </c>
      <c r="B26" s="184"/>
      <c r="C26" s="184">
        <v>0</v>
      </c>
      <c r="D26" s="184"/>
      <c r="E26" s="184">
        <v>0</v>
      </c>
      <c r="F26" s="184"/>
      <c r="G26" s="184">
        <v>0</v>
      </c>
      <c r="H26" s="184"/>
      <c r="I26" s="184">
        <v>0</v>
      </c>
      <c r="J26" s="184"/>
      <c r="K26" s="184">
        <v>0</v>
      </c>
      <c r="L26" s="184"/>
      <c r="M26" s="184">
        <v>0</v>
      </c>
      <c r="N26" s="89"/>
      <c r="O26" s="89"/>
      <c r="P26" s="72" t="s">
        <v>21</v>
      </c>
    </row>
    <row r="27" spans="1:16">
      <c r="A27" s="140" t="s">
        <v>175</v>
      </c>
      <c r="B27" s="184"/>
      <c r="C27" s="184">
        <v>0</v>
      </c>
      <c r="D27" s="184"/>
      <c r="E27" s="184">
        <v>0</v>
      </c>
      <c r="F27" s="184"/>
      <c r="G27" s="184">
        <v>0</v>
      </c>
      <c r="H27" s="184"/>
      <c r="I27" s="184">
        <v>0</v>
      </c>
      <c r="J27" s="184"/>
      <c r="K27" s="184">
        <v>0</v>
      </c>
      <c r="L27" s="184"/>
      <c r="M27" s="184">
        <v>0</v>
      </c>
      <c r="N27" s="89"/>
      <c r="O27" s="89"/>
      <c r="P27" s="72" t="s">
        <v>21</v>
      </c>
    </row>
    <row r="28" spans="1:16">
      <c r="A28" s="94" t="s">
        <v>100</v>
      </c>
      <c r="B28" s="184"/>
      <c r="C28" s="184">
        <v>0</v>
      </c>
      <c r="D28" s="184"/>
      <c r="E28" s="184">
        <v>0</v>
      </c>
      <c r="F28" s="184"/>
      <c r="G28" s="184">
        <v>0</v>
      </c>
      <c r="H28" s="184"/>
      <c r="I28" s="184">
        <v>0</v>
      </c>
      <c r="J28" s="184"/>
      <c r="K28" s="184">
        <v>0</v>
      </c>
      <c r="L28" s="184"/>
      <c r="M28" s="184">
        <v>0</v>
      </c>
      <c r="N28" s="89"/>
      <c r="O28" s="89"/>
      <c r="P28" s="72" t="s">
        <v>21</v>
      </c>
    </row>
    <row r="29" spans="1:16">
      <c r="A29" s="94" t="s">
        <v>102</v>
      </c>
      <c r="B29" s="184"/>
      <c r="C29" s="184">
        <v>0</v>
      </c>
      <c r="D29" s="184"/>
      <c r="E29" s="184">
        <v>0</v>
      </c>
      <c r="F29" s="184"/>
      <c r="G29" s="184">
        <v>0</v>
      </c>
      <c r="H29" s="184"/>
      <c r="I29" s="184">
        <v>0</v>
      </c>
      <c r="J29" s="184"/>
      <c r="K29" s="184">
        <v>0</v>
      </c>
      <c r="L29" s="184"/>
      <c r="M29" s="184">
        <v>0</v>
      </c>
      <c r="N29" s="89"/>
      <c r="O29" s="89"/>
      <c r="P29" s="72" t="s">
        <v>21</v>
      </c>
    </row>
    <row r="30" spans="1:16">
      <c r="A30" s="94" t="s">
        <v>103</v>
      </c>
      <c r="B30" s="184"/>
      <c r="C30" s="184">
        <v>0</v>
      </c>
      <c r="D30" s="184"/>
      <c r="E30" s="184">
        <v>0</v>
      </c>
      <c r="F30" s="184"/>
      <c r="G30" s="184">
        <v>0</v>
      </c>
      <c r="H30" s="184"/>
      <c r="I30" s="184">
        <v>0</v>
      </c>
      <c r="J30" s="184"/>
      <c r="K30" s="184">
        <v>0</v>
      </c>
      <c r="L30" s="184"/>
      <c r="M30" s="184">
        <v>0</v>
      </c>
      <c r="N30" s="89"/>
      <c r="O30" s="89"/>
      <c r="P30" s="72" t="s">
        <v>21</v>
      </c>
    </row>
    <row r="31" spans="1:16">
      <c r="A31" s="94" t="s">
        <v>104</v>
      </c>
      <c r="B31" s="184"/>
      <c r="C31" s="184">
        <v>0</v>
      </c>
      <c r="D31" s="184"/>
      <c r="E31" s="184">
        <v>0</v>
      </c>
      <c r="F31" s="184"/>
      <c r="G31" s="184">
        <v>0</v>
      </c>
      <c r="H31" s="184"/>
      <c r="I31" s="184">
        <v>0</v>
      </c>
      <c r="J31" s="184"/>
      <c r="K31" s="184">
        <v>0</v>
      </c>
      <c r="L31" s="184"/>
      <c r="M31" s="184">
        <v>0</v>
      </c>
      <c r="N31" s="89"/>
      <c r="O31" s="89"/>
      <c r="P31" s="72" t="s">
        <v>21</v>
      </c>
    </row>
    <row r="32" spans="1:16">
      <c r="A32" s="94" t="s">
        <v>105</v>
      </c>
      <c r="B32" s="184"/>
      <c r="C32" s="184">
        <v>0</v>
      </c>
      <c r="D32" s="184"/>
      <c r="E32" s="184">
        <v>0</v>
      </c>
      <c r="F32" s="184"/>
      <c r="G32" s="184">
        <v>0</v>
      </c>
      <c r="H32" s="184"/>
      <c r="I32" s="184">
        <v>0</v>
      </c>
      <c r="J32" s="184"/>
      <c r="K32" s="184">
        <v>0</v>
      </c>
      <c r="L32" s="184"/>
      <c r="M32" s="184">
        <v>0</v>
      </c>
      <c r="N32" s="89"/>
      <c r="O32" s="89"/>
      <c r="P32" s="72" t="s">
        <v>21</v>
      </c>
    </row>
    <row r="33" spans="1:16">
      <c r="A33" s="94" t="s">
        <v>106</v>
      </c>
      <c r="B33" s="184"/>
      <c r="C33" s="184">
        <v>0</v>
      </c>
      <c r="D33" s="184"/>
      <c r="E33" s="184">
        <v>0</v>
      </c>
      <c r="F33" s="184"/>
      <c r="G33" s="184">
        <v>0</v>
      </c>
      <c r="H33" s="184"/>
      <c r="I33" s="184">
        <v>0</v>
      </c>
      <c r="J33" s="184"/>
      <c r="K33" s="184">
        <v>0</v>
      </c>
      <c r="L33" s="184"/>
      <c r="M33" s="184">
        <v>0</v>
      </c>
      <c r="N33" s="89"/>
      <c r="O33" s="89"/>
      <c r="P33" s="72" t="s">
        <v>21</v>
      </c>
    </row>
    <row r="34" spans="1:16">
      <c r="A34" s="94" t="s">
        <v>108</v>
      </c>
      <c r="B34" s="184"/>
      <c r="C34" s="184">
        <v>0</v>
      </c>
      <c r="D34" s="184"/>
      <c r="E34" s="184">
        <v>0</v>
      </c>
      <c r="F34" s="184"/>
      <c r="G34" s="184">
        <v>0</v>
      </c>
      <c r="H34" s="184"/>
      <c r="I34" s="184">
        <v>0</v>
      </c>
      <c r="J34" s="184"/>
      <c r="K34" s="184">
        <v>0</v>
      </c>
      <c r="L34" s="184"/>
      <c r="M34" s="184">
        <v>0</v>
      </c>
      <c r="N34" s="89"/>
      <c r="O34" s="89"/>
      <c r="P34" s="72" t="s">
        <v>21</v>
      </c>
    </row>
    <row r="35" spans="1:16">
      <c r="A35" s="94" t="s">
        <v>109</v>
      </c>
      <c r="B35" s="184"/>
      <c r="C35" s="184">
        <v>0</v>
      </c>
      <c r="D35" s="184"/>
      <c r="E35" s="184">
        <v>0</v>
      </c>
      <c r="F35" s="184"/>
      <c r="G35" s="184">
        <v>0</v>
      </c>
      <c r="H35" s="184"/>
      <c r="I35" s="184">
        <v>0</v>
      </c>
      <c r="J35" s="184"/>
      <c r="K35" s="184">
        <v>0</v>
      </c>
      <c r="L35" s="184"/>
      <c r="M35" s="184">
        <v>0</v>
      </c>
      <c r="N35" s="89"/>
      <c r="O35" s="89"/>
      <c r="P35" s="72" t="s">
        <v>21</v>
      </c>
    </row>
    <row r="36" spans="1:16">
      <c r="A36" s="94" t="s">
        <v>111</v>
      </c>
      <c r="B36" s="184"/>
      <c r="C36" s="184">
        <v>0</v>
      </c>
      <c r="D36" s="184"/>
      <c r="E36" s="184">
        <v>0</v>
      </c>
      <c r="F36" s="184"/>
      <c r="G36" s="184">
        <v>0</v>
      </c>
      <c r="H36" s="184"/>
      <c r="I36" s="184">
        <v>0</v>
      </c>
      <c r="J36" s="184"/>
      <c r="K36" s="184">
        <v>0</v>
      </c>
      <c r="L36" s="184"/>
      <c r="M36" s="184">
        <v>0</v>
      </c>
      <c r="N36" s="89"/>
      <c r="O36" s="89"/>
      <c r="P36" s="72" t="s">
        <v>21</v>
      </c>
    </row>
    <row r="37" spans="1:16">
      <c r="A37" s="97" t="s">
        <v>112</v>
      </c>
      <c r="B37" s="185"/>
      <c r="C37" s="185">
        <v>0</v>
      </c>
      <c r="D37" s="185"/>
      <c r="E37" s="185">
        <v>0</v>
      </c>
      <c r="F37" s="185"/>
      <c r="G37" s="185">
        <v>0</v>
      </c>
      <c r="H37" s="185"/>
      <c r="I37" s="185">
        <v>0</v>
      </c>
      <c r="J37" s="185"/>
      <c r="K37" s="185">
        <v>0</v>
      </c>
      <c r="L37" s="185"/>
      <c r="M37" s="185">
        <v>0</v>
      </c>
      <c r="N37" s="89"/>
      <c r="O37" s="89"/>
      <c r="P37" s="72" t="s">
        <v>21</v>
      </c>
    </row>
    <row r="38" spans="1:16">
      <c r="A38" s="98" t="s">
        <v>173</v>
      </c>
      <c r="B38" s="160">
        <f>SUM(B24:B37)</f>
        <v>0</v>
      </c>
      <c r="C38" s="160">
        <f t="shared" ref="C38:M38" si="6">SUM(C24:C37)</f>
        <v>0</v>
      </c>
      <c r="D38" s="160">
        <f t="shared" si="6"/>
        <v>0</v>
      </c>
      <c r="E38" s="160">
        <f t="shared" si="6"/>
        <v>0</v>
      </c>
      <c r="F38" s="160">
        <f t="shared" si="6"/>
        <v>0</v>
      </c>
      <c r="G38" s="160">
        <f t="shared" si="6"/>
        <v>0</v>
      </c>
      <c r="H38" s="160">
        <f t="shared" si="6"/>
        <v>0</v>
      </c>
      <c r="I38" s="160">
        <f t="shared" si="6"/>
        <v>0</v>
      </c>
      <c r="J38" s="160">
        <f t="shared" si="6"/>
        <v>0</v>
      </c>
      <c r="K38" s="160">
        <f t="shared" si="6"/>
        <v>0</v>
      </c>
      <c r="L38" s="160">
        <f t="shared" si="6"/>
        <v>0</v>
      </c>
      <c r="M38" s="160">
        <f t="shared" si="6"/>
        <v>0</v>
      </c>
      <c r="N38" s="90"/>
      <c r="O38" s="90"/>
      <c r="P38" s="72" t="s">
        <v>21</v>
      </c>
    </row>
    <row r="39" spans="1:16">
      <c r="A39" s="91"/>
      <c r="B39" s="90"/>
      <c r="C39" s="90"/>
      <c r="D39" s="90"/>
      <c r="E39" s="90"/>
      <c r="F39" s="90"/>
      <c r="G39" s="90"/>
      <c r="H39" s="90"/>
      <c r="I39" s="90"/>
      <c r="J39" s="90"/>
      <c r="K39" s="90"/>
      <c r="L39" s="90"/>
      <c r="M39" s="90"/>
      <c r="N39" s="90"/>
      <c r="O39" s="90"/>
      <c r="P39" s="72" t="s">
        <v>21</v>
      </c>
    </row>
    <row r="40" spans="1:16">
      <c r="A40" s="92"/>
      <c r="B40" s="92"/>
      <c r="C40" s="92"/>
      <c r="D40" s="92"/>
      <c r="E40" s="92"/>
      <c r="F40" s="92"/>
      <c r="G40" s="92"/>
      <c r="H40" s="92"/>
      <c r="I40" s="92"/>
      <c r="J40" s="92"/>
      <c r="K40" s="92"/>
      <c r="L40" s="92"/>
      <c r="M40" s="92"/>
      <c r="P40" s="72" t="s">
        <v>21</v>
      </c>
    </row>
    <row r="41" spans="1:16">
      <c r="A41" s="334" t="s">
        <v>123</v>
      </c>
      <c r="B41" s="332" t="s">
        <v>28</v>
      </c>
      <c r="C41" s="337"/>
      <c r="D41" s="337"/>
      <c r="E41" s="337"/>
      <c r="F41" s="337"/>
      <c r="G41" s="337"/>
      <c r="H41" s="332" t="s">
        <v>29</v>
      </c>
      <c r="I41" s="337"/>
      <c r="J41" s="337"/>
      <c r="K41" s="337"/>
      <c r="L41" s="337"/>
      <c r="M41" s="333"/>
      <c r="N41" s="329" t="s">
        <v>19</v>
      </c>
      <c r="O41" s="330"/>
      <c r="P41" s="72" t="s">
        <v>21</v>
      </c>
    </row>
    <row r="42" spans="1:16" ht="15" customHeight="1">
      <c r="A42" s="335"/>
      <c r="B42" s="332" t="s">
        <v>124</v>
      </c>
      <c r="C42" s="333"/>
      <c r="D42" s="332" t="s">
        <v>125</v>
      </c>
      <c r="E42" s="333"/>
      <c r="F42" s="332" t="s">
        <v>41</v>
      </c>
      <c r="G42" s="333"/>
      <c r="H42" s="332" t="s">
        <v>124</v>
      </c>
      <c r="I42" s="333"/>
      <c r="J42" s="332" t="s">
        <v>125</v>
      </c>
      <c r="K42" s="333"/>
      <c r="L42" s="332" t="s">
        <v>41</v>
      </c>
      <c r="M42" s="333"/>
      <c r="N42" s="331"/>
      <c r="O42" s="280"/>
      <c r="P42" s="72" t="s">
        <v>21</v>
      </c>
    </row>
    <row r="43" spans="1:16" ht="27.6">
      <c r="A43" s="336"/>
      <c r="B43" s="21" t="s">
        <v>4</v>
      </c>
      <c r="C43" s="21" t="s">
        <v>5</v>
      </c>
      <c r="D43" s="21" t="s">
        <v>4</v>
      </c>
      <c r="E43" s="21" t="s">
        <v>5</v>
      </c>
      <c r="F43" s="21" t="s">
        <v>4</v>
      </c>
      <c r="G43" s="21" t="s">
        <v>5</v>
      </c>
      <c r="H43" s="21" t="s">
        <v>4</v>
      </c>
      <c r="I43" s="21" t="s">
        <v>5</v>
      </c>
      <c r="J43" s="21" t="s">
        <v>4</v>
      </c>
      <c r="K43" s="21" t="s">
        <v>5</v>
      </c>
      <c r="L43" s="21" t="s">
        <v>4</v>
      </c>
      <c r="M43" s="21" t="s">
        <v>5</v>
      </c>
      <c r="N43" s="21" t="s">
        <v>4</v>
      </c>
      <c r="O43" s="21" t="s">
        <v>5</v>
      </c>
      <c r="P43" s="72" t="s">
        <v>21</v>
      </c>
    </row>
    <row r="44" spans="1:16">
      <c r="A44" s="93" t="s">
        <v>126</v>
      </c>
      <c r="B44" s="175">
        <v>0</v>
      </c>
      <c r="C44" s="175">
        <v>0</v>
      </c>
      <c r="D44" s="175">
        <v>0</v>
      </c>
      <c r="E44" s="175">
        <v>0</v>
      </c>
      <c r="F44" s="175">
        <v>0</v>
      </c>
      <c r="G44" s="175">
        <v>0</v>
      </c>
      <c r="H44" s="175">
        <v>0</v>
      </c>
      <c r="I44" s="175">
        <v>0</v>
      </c>
      <c r="J44" s="175">
        <v>0</v>
      </c>
      <c r="K44" s="175">
        <v>0</v>
      </c>
      <c r="L44" s="175">
        <v>0</v>
      </c>
      <c r="M44" s="175">
        <v>0</v>
      </c>
      <c r="N44" s="175">
        <f t="shared" ref="N44:N59" si="7">B9+D9+F9+H9+J9+L9+B44+D44+F44+H44+J44+L44</f>
        <v>0</v>
      </c>
      <c r="O44" s="175">
        <f t="shared" ref="O44:O59" si="8">C9+E9+G9+I9+K9+M9+C44+E44+G44+I44+K44+M44</f>
        <v>0</v>
      </c>
      <c r="P44" s="72" t="s">
        <v>21</v>
      </c>
    </row>
    <row r="45" spans="1:16">
      <c r="A45" s="94" t="s">
        <v>127</v>
      </c>
      <c r="B45" s="184">
        <v>0</v>
      </c>
      <c r="C45" s="184">
        <v>0</v>
      </c>
      <c r="D45" s="184">
        <v>0</v>
      </c>
      <c r="E45" s="184">
        <v>0</v>
      </c>
      <c r="F45" s="184">
        <v>0</v>
      </c>
      <c r="G45" s="184">
        <v>0</v>
      </c>
      <c r="H45" s="184">
        <v>0</v>
      </c>
      <c r="I45" s="184">
        <v>0</v>
      </c>
      <c r="J45" s="184">
        <v>0</v>
      </c>
      <c r="K45" s="184">
        <v>0</v>
      </c>
      <c r="L45" s="184">
        <v>0</v>
      </c>
      <c r="M45" s="184">
        <v>0</v>
      </c>
      <c r="N45" s="184">
        <f t="shared" si="7"/>
        <v>0</v>
      </c>
      <c r="O45" s="184">
        <f t="shared" si="8"/>
        <v>0</v>
      </c>
      <c r="P45" s="72" t="s">
        <v>21</v>
      </c>
    </row>
    <row r="46" spans="1:16">
      <c r="A46" s="94" t="s">
        <v>128</v>
      </c>
      <c r="B46" s="184">
        <v>0</v>
      </c>
      <c r="C46" s="184">
        <v>0</v>
      </c>
      <c r="D46" s="184">
        <v>0</v>
      </c>
      <c r="E46" s="184">
        <v>0</v>
      </c>
      <c r="F46" s="184">
        <v>0</v>
      </c>
      <c r="G46" s="184">
        <v>0</v>
      </c>
      <c r="H46" s="184">
        <v>0</v>
      </c>
      <c r="I46" s="184">
        <v>0</v>
      </c>
      <c r="J46" s="184">
        <v>0</v>
      </c>
      <c r="K46" s="184">
        <v>0</v>
      </c>
      <c r="L46" s="184">
        <v>0</v>
      </c>
      <c r="M46" s="184">
        <v>0</v>
      </c>
      <c r="N46" s="184">
        <f t="shared" si="7"/>
        <v>0</v>
      </c>
      <c r="O46" s="184">
        <f t="shared" si="8"/>
        <v>0</v>
      </c>
      <c r="P46" s="72" t="s">
        <v>21</v>
      </c>
    </row>
    <row r="47" spans="1:16">
      <c r="A47" s="94" t="s">
        <v>129</v>
      </c>
      <c r="B47" s="184">
        <v>0</v>
      </c>
      <c r="C47" s="184">
        <v>0</v>
      </c>
      <c r="D47" s="184">
        <v>0</v>
      </c>
      <c r="E47" s="184">
        <v>0</v>
      </c>
      <c r="F47" s="184">
        <v>0</v>
      </c>
      <c r="G47" s="184">
        <v>0</v>
      </c>
      <c r="H47" s="184">
        <v>0</v>
      </c>
      <c r="I47" s="184">
        <v>0</v>
      </c>
      <c r="J47" s="184">
        <v>0</v>
      </c>
      <c r="K47" s="184">
        <v>0</v>
      </c>
      <c r="L47" s="184">
        <v>0</v>
      </c>
      <c r="M47" s="184">
        <v>0</v>
      </c>
      <c r="N47" s="184">
        <f t="shared" si="7"/>
        <v>0</v>
      </c>
      <c r="O47" s="184">
        <f t="shared" si="8"/>
        <v>0</v>
      </c>
      <c r="P47" s="72" t="s">
        <v>21</v>
      </c>
    </row>
    <row r="48" spans="1:16">
      <c r="A48" s="94" t="s">
        <v>130</v>
      </c>
      <c r="B48" s="184">
        <v>0</v>
      </c>
      <c r="C48" s="184">
        <v>0</v>
      </c>
      <c r="D48" s="184">
        <v>0</v>
      </c>
      <c r="E48" s="184">
        <v>0</v>
      </c>
      <c r="F48" s="184">
        <v>0</v>
      </c>
      <c r="G48" s="184">
        <v>0</v>
      </c>
      <c r="H48" s="184">
        <v>0</v>
      </c>
      <c r="I48" s="184">
        <v>0</v>
      </c>
      <c r="J48" s="184">
        <v>0</v>
      </c>
      <c r="K48" s="184">
        <v>0</v>
      </c>
      <c r="L48" s="184">
        <v>0</v>
      </c>
      <c r="M48" s="184">
        <v>0</v>
      </c>
      <c r="N48" s="184">
        <f t="shared" si="7"/>
        <v>0</v>
      </c>
      <c r="O48" s="184">
        <f t="shared" si="8"/>
        <v>0</v>
      </c>
      <c r="P48" s="72" t="s">
        <v>21</v>
      </c>
    </row>
    <row r="49" spans="1:16">
      <c r="A49" s="94" t="s">
        <v>131</v>
      </c>
      <c r="B49" s="184">
        <v>0</v>
      </c>
      <c r="C49" s="184">
        <v>0</v>
      </c>
      <c r="D49" s="184">
        <v>0</v>
      </c>
      <c r="E49" s="184">
        <v>0</v>
      </c>
      <c r="F49" s="184">
        <v>0</v>
      </c>
      <c r="G49" s="184">
        <v>0</v>
      </c>
      <c r="H49" s="184">
        <v>0</v>
      </c>
      <c r="I49" s="184">
        <v>0</v>
      </c>
      <c r="J49" s="184">
        <v>0</v>
      </c>
      <c r="K49" s="184">
        <v>0</v>
      </c>
      <c r="L49" s="184">
        <v>0</v>
      </c>
      <c r="M49" s="184">
        <v>0</v>
      </c>
      <c r="N49" s="184">
        <f t="shared" si="7"/>
        <v>0</v>
      </c>
      <c r="O49" s="184">
        <f t="shared" si="8"/>
        <v>0</v>
      </c>
      <c r="P49" s="72" t="s">
        <v>21</v>
      </c>
    </row>
    <row r="50" spans="1:16">
      <c r="A50" s="94" t="s">
        <v>132</v>
      </c>
      <c r="B50" s="184">
        <v>0</v>
      </c>
      <c r="C50" s="184">
        <v>0</v>
      </c>
      <c r="D50" s="184">
        <v>0</v>
      </c>
      <c r="E50" s="184">
        <v>0</v>
      </c>
      <c r="F50" s="184">
        <v>0</v>
      </c>
      <c r="G50" s="184">
        <v>0</v>
      </c>
      <c r="H50" s="184">
        <v>0</v>
      </c>
      <c r="I50" s="184">
        <v>0</v>
      </c>
      <c r="J50" s="184">
        <v>0</v>
      </c>
      <c r="K50" s="184">
        <v>0</v>
      </c>
      <c r="L50" s="184">
        <v>0</v>
      </c>
      <c r="M50" s="184">
        <v>0</v>
      </c>
      <c r="N50" s="184">
        <f t="shared" si="7"/>
        <v>0</v>
      </c>
      <c r="O50" s="184">
        <f t="shared" si="8"/>
        <v>0</v>
      </c>
      <c r="P50" s="72" t="s">
        <v>21</v>
      </c>
    </row>
    <row r="51" spans="1:16">
      <c r="A51" s="94" t="s">
        <v>133</v>
      </c>
      <c r="B51" s="184">
        <v>0</v>
      </c>
      <c r="C51" s="184">
        <v>0</v>
      </c>
      <c r="D51" s="184">
        <v>0</v>
      </c>
      <c r="E51" s="184">
        <v>0</v>
      </c>
      <c r="F51" s="184">
        <v>0</v>
      </c>
      <c r="G51" s="184">
        <v>0</v>
      </c>
      <c r="H51" s="184">
        <v>0</v>
      </c>
      <c r="I51" s="184">
        <v>0</v>
      </c>
      <c r="J51" s="184">
        <v>0</v>
      </c>
      <c r="K51" s="184">
        <v>0</v>
      </c>
      <c r="L51" s="184">
        <v>0</v>
      </c>
      <c r="M51" s="184">
        <v>0</v>
      </c>
      <c r="N51" s="184">
        <f t="shared" si="7"/>
        <v>0</v>
      </c>
      <c r="O51" s="184">
        <f t="shared" si="8"/>
        <v>0</v>
      </c>
      <c r="P51" s="72" t="s">
        <v>21</v>
      </c>
    </row>
    <row r="52" spans="1:16">
      <c r="A52" s="94" t="s">
        <v>134</v>
      </c>
      <c r="B52" s="184">
        <v>0</v>
      </c>
      <c r="C52" s="184">
        <v>0</v>
      </c>
      <c r="D52" s="184">
        <v>0</v>
      </c>
      <c r="E52" s="184">
        <v>0</v>
      </c>
      <c r="F52" s="184">
        <v>0</v>
      </c>
      <c r="G52" s="184">
        <v>0</v>
      </c>
      <c r="H52" s="184">
        <v>0</v>
      </c>
      <c r="I52" s="184">
        <v>0</v>
      </c>
      <c r="J52" s="184">
        <v>0</v>
      </c>
      <c r="K52" s="184">
        <v>0</v>
      </c>
      <c r="L52" s="184">
        <v>0</v>
      </c>
      <c r="M52" s="184">
        <v>0</v>
      </c>
      <c r="N52" s="184">
        <f t="shared" si="7"/>
        <v>0</v>
      </c>
      <c r="O52" s="184">
        <f t="shared" si="8"/>
        <v>0</v>
      </c>
      <c r="P52" s="72" t="s">
        <v>21</v>
      </c>
    </row>
    <row r="53" spans="1:16">
      <c r="A53" s="94" t="s">
        <v>135</v>
      </c>
      <c r="B53" s="184">
        <v>0</v>
      </c>
      <c r="C53" s="184">
        <v>0</v>
      </c>
      <c r="D53" s="184">
        <v>0</v>
      </c>
      <c r="E53" s="184">
        <v>0</v>
      </c>
      <c r="F53" s="184">
        <v>0</v>
      </c>
      <c r="G53" s="184">
        <v>0</v>
      </c>
      <c r="H53" s="184">
        <v>0</v>
      </c>
      <c r="I53" s="184">
        <v>0</v>
      </c>
      <c r="J53" s="184">
        <v>0</v>
      </c>
      <c r="K53" s="184">
        <v>0</v>
      </c>
      <c r="L53" s="184">
        <v>0</v>
      </c>
      <c r="M53" s="184">
        <v>0</v>
      </c>
      <c r="N53" s="184">
        <f t="shared" si="7"/>
        <v>0</v>
      </c>
      <c r="O53" s="184">
        <f t="shared" si="8"/>
        <v>0</v>
      </c>
      <c r="P53" s="72" t="s">
        <v>21</v>
      </c>
    </row>
    <row r="54" spans="1:16">
      <c r="A54" s="94" t="s">
        <v>136</v>
      </c>
      <c r="B54" s="184">
        <v>0</v>
      </c>
      <c r="C54" s="184">
        <v>0</v>
      </c>
      <c r="D54" s="184">
        <v>0</v>
      </c>
      <c r="E54" s="184">
        <v>0</v>
      </c>
      <c r="F54" s="184">
        <v>0</v>
      </c>
      <c r="G54" s="184">
        <v>0</v>
      </c>
      <c r="H54" s="184">
        <v>0</v>
      </c>
      <c r="I54" s="184">
        <v>0</v>
      </c>
      <c r="J54" s="184">
        <v>0</v>
      </c>
      <c r="K54" s="184">
        <v>0</v>
      </c>
      <c r="L54" s="184">
        <v>0</v>
      </c>
      <c r="M54" s="184">
        <v>0</v>
      </c>
      <c r="N54" s="184">
        <f t="shared" si="7"/>
        <v>0</v>
      </c>
      <c r="O54" s="184">
        <f t="shared" si="8"/>
        <v>0</v>
      </c>
      <c r="P54" s="72" t="s">
        <v>21</v>
      </c>
    </row>
    <row r="55" spans="1:16">
      <c r="A55" s="95" t="s">
        <v>137</v>
      </c>
      <c r="B55" s="177">
        <v>0</v>
      </c>
      <c r="C55" s="177">
        <v>0</v>
      </c>
      <c r="D55" s="177">
        <v>0</v>
      </c>
      <c r="E55" s="177">
        <v>0</v>
      </c>
      <c r="F55" s="177">
        <v>0</v>
      </c>
      <c r="G55" s="177">
        <v>0</v>
      </c>
      <c r="H55" s="177">
        <v>0</v>
      </c>
      <c r="I55" s="177">
        <v>0</v>
      </c>
      <c r="J55" s="177">
        <v>0</v>
      </c>
      <c r="K55" s="177">
        <v>0</v>
      </c>
      <c r="L55" s="177">
        <v>0</v>
      </c>
      <c r="M55" s="177">
        <v>0</v>
      </c>
      <c r="N55" s="177">
        <f t="shared" si="7"/>
        <v>0</v>
      </c>
      <c r="O55" s="177">
        <f t="shared" si="8"/>
        <v>0</v>
      </c>
      <c r="P55" s="72" t="s">
        <v>21</v>
      </c>
    </row>
    <row r="56" spans="1:16">
      <c r="A56" s="93" t="s">
        <v>138</v>
      </c>
      <c r="B56" s="175">
        <f>SUM(B44:B55)</f>
        <v>0</v>
      </c>
      <c r="C56" s="175">
        <f>SUM(C44:C55)</f>
        <v>0</v>
      </c>
      <c r="D56" s="175">
        <f>SUM(D44:D55)</f>
        <v>0</v>
      </c>
      <c r="E56" s="175">
        <f>SUM(E44:E55)</f>
        <v>0</v>
      </c>
      <c r="F56" s="175">
        <f>SUM(F44:F55)</f>
        <v>0</v>
      </c>
      <c r="G56" s="175">
        <f t="shared" ref="G56" si="9">SUM(G44:G55)</f>
        <v>0</v>
      </c>
      <c r="H56" s="175">
        <f>SUM(H44:H55)</f>
        <v>0</v>
      </c>
      <c r="I56" s="175">
        <f t="shared" ref="I56" si="10">SUM(I44:I55)</f>
        <v>0</v>
      </c>
      <c r="J56" s="175">
        <f>SUM(J44:J55)</f>
        <v>0</v>
      </c>
      <c r="K56" s="175">
        <f t="shared" ref="K56" si="11">SUM(K44:K55)</f>
        <v>0</v>
      </c>
      <c r="L56" s="175">
        <f>SUM(L44:L55)</f>
        <v>0</v>
      </c>
      <c r="M56" s="175">
        <f t="shared" ref="M56" si="12">SUM(M44:M55)</f>
        <v>0</v>
      </c>
      <c r="N56" s="175">
        <f>B21+D21+F21+H21+J21+L21+B56+D56+F56+H56+J56+L56</f>
        <v>0</v>
      </c>
      <c r="O56" s="175">
        <f t="shared" si="8"/>
        <v>0</v>
      </c>
      <c r="P56" s="72" t="s">
        <v>21</v>
      </c>
    </row>
    <row r="57" spans="1:16">
      <c r="A57" s="96" t="s">
        <v>139</v>
      </c>
      <c r="B57" s="184">
        <f>-B56*0.5</f>
        <v>0</v>
      </c>
      <c r="C57" s="184">
        <f t="shared" ref="C57:L57" si="13">-C56*0.5</f>
        <v>0</v>
      </c>
      <c r="D57" s="184">
        <f t="shared" si="13"/>
        <v>0</v>
      </c>
      <c r="E57" s="184">
        <f t="shared" si="13"/>
        <v>0</v>
      </c>
      <c r="F57" s="184">
        <f t="shared" si="13"/>
        <v>0</v>
      </c>
      <c r="G57" s="184"/>
      <c r="H57" s="184">
        <f t="shared" si="13"/>
        <v>0</v>
      </c>
      <c r="I57" s="184">
        <f t="shared" si="13"/>
        <v>0</v>
      </c>
      <c r="J57" s="184">
        <f t="shared" si="13"/>
        <v>0</v>
      </c>
      <c r="K57" s="184">
        <f t="shared" si="13"/>
        <v>0</v>
      </c>
      <c r="L57" s="184">
        <f t="shared" si="13"/>
        <v>0</v>
      </c>
      <c r="M57" s="184"/>
      <c r="N57" s="184">
        <f t="shared" si="7"/>
        <v>0</v>
      </c>
      <c r="O57" s="184">
        <f t="shared" si="8"/>
        <v>0</v>
      </c>
      <c r="P57" s="72" t="s">
        <v>21</v>
      </c>
    </row>
    <row r="58" spans="1:16">
      <c r="A58" s="94" t="s">
        <v>174</v>
      </c>
      <c r="B58" s="184"/>
      <c r="C58" s="184">
        <v>0</v>
      </c>
      <c r="D58" s="184"/>
      <c r="E58" s="184">
        <v>0</v>
      </c>
      <c r="F58" s="184"/>
      <c r="G58" s="184">
        <v>0</v>
      </c>
      <c r="H58" s="184"/>
      <c r="I58" s="184">
        <v>0</v>
      </c>
      <c r="J58" s="184"/>
      <c r="K58" s="184">
        <v>0</v>
      </c>
      <c r="L58" s="184"/>
      <c r="M58" s="184">
        <v>0</v>
      </c>
      <c r="N58" s="184"/>
      <c r="O58" s="184">
        <f t="shared" si="8"/>
        <v>0</v>
      </c>
      <c r="P58" s="72" t="s">
        <v>21</v>
      </c>
    </row>
    <row r="59" spans="1:16">
      <c r="A59" s="95" t="s">
        <v>140</v>
      </c>
      <c r="B59" s="177">
        <f>SUM(B56:B58)</f>
        <v>0</v>
      </c>
      <c r="C59" s="177">
        <f t="shared" ref="C59:M59" si="14">SUM(C56:C58)</f>
        <v>0</v>
      </c>
      <c r="D59" s="177">
        <f t="shared" si="14"/>
        <v>0</v>
      </c>
      <c r="E59" s="177">
        <f t="shared" si="14"/>
        <v>0</v>
      </c>
      <c r="F59" s="177">
        <f t="shared" si="14"/>
        <v>0</v>
      </c>
      <c r="G59" s="177">
        <f t="shared" si="14"/>
        <v>0</v>
      </c>
      <c r="H59" s="177">
        <f t="shared" si="14"/>
        <v>0</v>
      </c>
      <c r="I59" s="177">
        <f t="shared" si="14"/>
        <v>0</v>
      </c>
      <c r="J59" s="177">
        <f t="shared" si="14"/>
        <v>0</v>
      </c>
      <c r="K59" s="177">
        <f t="shared" si="14"/>
        <v>0</v>
      </c>
      <c r="L59" s="177">
        <f t="shared" si="14"/>
        <v>0</v>
      </c>
      <c r="M59" s="177">
        <f t="shared" si="14"/>
        <v>0</v>
      </c>
      <c r="N59" s="177">
        <f t="shared" si="7"/>
        <v>0</v>
      </c>
      <c r="O59" s="177">
        <f t="shared" si="8"/>
        <v>0</v>
      </c>
      <c r="P59" s="72" t="s">
        <v>21</v>
      </c>
    </row>
    <row r="60" spans="1:16">
      <c r="A60" s="94" t="s">
        <v>98</v>
      </c>
      <c r="B60" s="184"/>
      <c r="C60" s="184">
        <v>0</v>
      </c>
      <c r="D60" s="184"/>
      <c r="E60" s="184">
        <v>0</v>
      </c>
      <c r="F60" s="184"/>
      <c r="G60" s="184">
        <v>0</v>
      </c>
      <c r="H60" s="184"/>
      <c r="I60" s="184">
        <v>0</v>
      </c>
      <c r="J60" s="184"/>
      <c r="K60" s="184">
        <v>0</v>
      </c>
      <c r="L60" s="184"/>
      <c r="M60" s="184">
        <v>0</v>
      </c>
      <c r="N60" s="184"/>
      <c r="O60" s="184">
        <f t="shared" ref="O60:O72" si="15">C25+E25+G25+I25+K25+M25+C60+E60+G60+I60+K60+M60</f>
        <v>0</v>
      </c>
      <c r="P60" s="72" t="s">
        <v>21</v>
      </c>
    </row>
    <row r="61" spans="1:16">
      <c r="A61" s="94" t="s">
        <v>99</v>
      </c>
      <c r="B61" s="184"/>
      <c r="C61" s="184">
        <v>0</v>
      </c>
      <c r="D61" s="184"/>
      <c r="E61" s="184">
        <v>0</v>
      </c>
      <c r="F61" s="184"/>
      <c r="G61" s="184">
        <v>0</v>
      </c>
      <c r="H61" s="184"/>
      <c r="I61" s="184">
        <v>0</v>
      </c>
      <c r="J61" s="184"/>
      <c r="K61" s="184">
        <v>0</v>
      </c>
      <c r="L61" s="184"/>
      <c r="M61" s="184">
        <v>0</v>
      </c>
      <c r="N61" s="184"/>
      <c r="O61" s="184">
        <f t="shared" si="15"/>
        <v>0</v>
      </c>
      <c r="P61" s="72" t="s">
        <v>21</v>
      </c>
    </row>
    <row r="62" spans="1:16">
      <c r="A62" s="140" t="s">
        <v>175</v>
      </c>
      <c r="B62" s="184"/>
      <c r="C62" s="184">
        <v>0</v>
      </c>
      <c r="D62" s="184"/>
      <c r="E62" s="184">
        <v>0</v>
      </c>
      <c r="F62" s="184"/>
      <c r="G62" s="184">
        <v>0</v>
      </c>
      <c r="H62" s="184"/>
      <c r="I62" s="184">
        <v>0</v>
      </c>
      <c r="J62" s="184"/>
      <c r="K62" s="184">
        <v>0</v>
      </c>
      <c r="L62" s="184"/>
      <c r="M62" s="184">
        <v>0</v>
      </c>
      <c r="N62" s="184"/>
      <c r="O62" s="184">
        <f t="shared" si="15"/>
        <v>0</v>
      </c>
      <c r="P62" s="72" t="s">
        <v>21</v>
      </c>
    </row>
    <row r="63" spans="1:16">
      <c r="A63" s="94" t="s">
        <v>100</v>
      </c>
      <c r="B63" s="184"/>
      <c r="C63" s="184">
        <v>0</v>
      </c>
      <c r="D63" s="184"/>
      <c r="E63" s="184">
        <v>0</v>
      </c>
      <c r="F63" s="184"/>
      <c r="G63" s="184">
        <v>0</v>
      </c>
      <c r="H63" s="184"/>
      <c r="I63" s="184">
        <v>0</v>
      </c>
      <c r="J63" s="184"/>
      <c r="K63" s="184">
        <v>0</v>
      </c>
      <c r="L63" s="184"/>
      <c r="M63" s="184">
        <v>0</v>
      </c>
      <c r="N63" s="184"/>
      <c r="O63" s="184">
        <f t="shared" si="15"/>
        <v>0</v>
      </c>
      <c r="P63" s="72" t="s">
        <v>21</v>
      </c>
    </row>
    <row r="64" spans="1:16">
      <c r="A64" s="94" t="s">
        <v>102</v>
      </c>
      <c r="B64" s="184"/>
      <c r="C64" s="184">
        <v>0</v>
      </c>
      <c r="D64" s="184"/>
      <c r="E64" s="184">
        <v>0</v>
      </c>
      <c r="F64" s="184"/>
      <c r="G64" s="184">
        <v>0</v>
      </c>
      <c r="H64" s="184"/>
      <c r="I64" s="184">
        <v>0</v>
      </c>
      <c r="J64" s="184"/>
      <c r="K64" s="184">
        <v>0</v>
      </c>
      <c r="L64" s="184"/>
      <c r="M64" s="184">
        <v>0</v>
      </c>
      <c r="N64" s="184"/>
      <c r="O64" s="184">
        <f t="shared" si="15"/>
        <v>0</v>
      </c>
      <c r="P64" s="72" t="s">
        <v>21</v>
      </c>
    </row>
    <row r="65" spans="1:16">
      <c r="A65" s="94" t="s">
        <v>103</v>
      </c>
      <c r="B65" s="184"/>
      <c r="C65" s="184">
        <v>0</v>
      </c>
      <c r="D65" s="184"/>
      <c r="E65" s="184">
        <v>0</v>
      </c>
      <c r="F65" s="184"/>
      <c r="G65" s="184">
        <v>0</v>
      </c>
      <c r="H65" s="184"/>
      <c r="I65" s="184">
        <v>0</v>
      </c>
      <c r="J65" s="184"/>
      <c r="K65" s="184">
        <v>0</v>
      </c>
      <c r="L65" s="184"/>
      <c r="M65" s="184">
        <v>0</v>
      </c>
      <c r="N65" s="184"/>
      <c r="O65" s="184">
        <f t="shared" si="15"/>
        <v>0</v>
      </c>
      <c r="P65" s="72" t="s">
        <v>21</v>
      </c>
    </row>
    <row r="66" spans="1:16">
      <c r="A66" s="94" t="s">
        <v>104</v>
      </c>
      <c r="B66" s="184"/>
      <c r="C66" s="184">
        <v>0</v>
      </c>
      <c r="D66" s="184"/>
      <c r="E66" s="184">
        <v>0</v>
      </c>
      <c r="F66" s="184"/>
      <c r="G66" s="184">
        <v>0</v>
      </c>
      <c r="H66" s="184"/>
      <c r="I66" s="184">
        <v>0</v>
      </c>
      <c r="J66" s="184"/>
      <c r="K66" s="184">
        <v>0</v>
      </c>
      <c r="L66" s="184"/>
      <c r="M66" s="184">
        <v>0</v>
      </c>
      <c r="N66" s="184"/>
      <c r="O66" s="184">
        <f t="shared" si="15"/>
        <v>0</v>
      </c>
      <c r="P66" s="72" t="s">
        <v>21</v>
      </c>
    </row>
    <row r="67" spans="1:16">
      <c r="A67" s="94" t="s">
        <v>105</v>
      </c>
      <c r="B67" s="184"/>
      <c r="C67" s="184">
        <v>0</v>
      </c>
      <c r="D67" s="184"/>
      <c r="E67" s="184">
        <v>0</v>
      </c>
      <c r="F67" s="184"/>
      <c r="G67" s="184">
        <v>0</v>
      </c>
      <c r="H67" s="184"/>
      <c r="I67" s="184">
        <v>0</v>
      </c>
      <c r="J67" s="184"/>
      <c r="K67" s="184">
        <v>0</v>
      </c>
      <c r="L67" s="184"/>
      <c r="M67" s="184">
        <v>0</v>
      </c>
      <c r="N67" s="184"/>
      <c r="O67" s="184">
        <f t="shared" si="15"/>
        <v>0</v>
      </c>
      <c r="P67" s="72" t="s">
        <v>21</v>
      </c>
    </row>
    <row r="68" spans="1:16">
      <c r="A68" s="94" t="s">
        <v>106</v>
      </c>
      <c r="B68" s="184"/>
      <c r="C68" s="184">
        <v>0</v>
      </c>
      <c r="D68" s="184"/>
      <c r="E68" s="184">
        <v>0</v>
      </c>
      <c r="F68" s="184"/>
      <c r="G68" s="184">
        <v>0</v>
      </c>
      <c r="H68" s="184"/>
      <c r="I68" s="184">
        <v>0</v>
      </c>
      <c r="J68" s="184"/>
      <c r="K68" s="184">
        <v>0</v>
      </c>
      <c r="L68" s="184"/>
      <c r="M68" s="184">
        <v>0</v>
      </c>
      <c r="N68" s="184"/>
      <c r="O68" s="184">
        <f t="shared" si="15"/>
        <v>0</v>
      </c>
      <c r="P68" s="72" t="s">
        <v>21</v>
      </c>
    </row>
    <row r="69" spans="1:16">
      <c r="A69" s="94" t="s">
        <v>108</v>
      </c>
      <c r="B69" s="184"/>
      <c r="C69" s="184">
        <v>0</v>
      </c>
      <c r="D69" s="184"/>
      <c r="E69" s="184">
        <v>0</v>
      </c>
      <c r="F69" s="184"/>
      <c r="G69" s="184">
        <v>0</v>
      </c>
      <c r="H69" s="184"/>
      <c r="I69" s="184">
        <v>0</v>
      </c>
      <c r="J69" s="184"/>
      <c r="K69" s="184">
        <v>0</v>
      </c>
      <c r="L69" s="184"/>
      <c r="M69" s="184">
        <v>0</v>
      </c>
      <c r="N69" s="184"/>
      <c r="O69" s="184">
        <f t="shared" si="15"/>
        <v>0</v>
      </c>
      <c r="P69" s="72" t="s">
        <v>21</v>
      </c>
    </row>
    <row r="70" spans="1:16">
      <c r="A70" s="94" t="s">
        <v>109</v>
      </c>
      <c r="B70" s="184"/>
      <c r="C70" s="184">
        <v>0</v>
      </c>
      <c r="D70" s="184"/>
      <c r="E70" s="184">
        <v>0</v>
      </c>
      <c r="F70" s="184"/>
      <c r="G70" s="184">
        <v>0</v>
      </c>
      <c r="H70" s="184"/>
      <c r="I70" s="184">
        <v>0</v>
      </c>
      <c r="J70" s="184"/>
      <c r="K70" s="184">
        <v>0</v>
      </c>
      <c r="L70" s="184"/>
      <c r="M70" s="184">
        <v>0</v>
      </c>
      <c r="N70" s="184"/>
      <c r="O70" s="184">
        <f t="shared" si="15"/>
        <v>0</v>
      </c>
      <c r="P70" s="72" t="s">
        <v>21</v>
      </c>
    </row>
    <row r="71" spans="1:16">
      <c r="A71" s="94" t="s">
        <v>111</v>
      </c>
      <c r="B71" s="184"/>
      <c r="C71" s="184">
        <v>0</v>
      </c>
      <c r="D71" s="184"/>
      <c r="E71" s="184">
        <v>0</v>
      </c>
      <c r="F71" s="184"/>
      <c r="G71" s="184">
        <v>0</v>
      </c>
      <c r="H71" s="184"/>
      <c r="I71" s="184">
        <v>0</v>
      </c>
      <c r="J71" s="184"/>
      <c r="K71" s="184">
        <v>0</v>
      </c>
      <c r="L71" s="184"/>
      <c r="M71" s="184">
        <v>0</v>
      </c>
      <c r="N71" s="184"/>
      <c r="O71" s="184">
        <f t="shared" si="15"/>
        <v>0</v>
      </c>
      <c r="P71" s="72" t="s">
        <v>21</v>
      </c>
    </row>
    <row r="72" spans="1:16">
      <c r="A72" s="97" t="s">
        <v>112</v>
      </c>
      <c r="B72" s="185"/>
      <c r="C72" s="185">
        <v>0</v>
      </c>
      <c r="D72" s="185"/>
      <c r="E72" s="185">
        <v>0</v>
      </c>
      <c r="F72" s="185"/>
      <c r="G72" s="185">
        <v>0</v>
      </c>
      <c r="H72" s="185"/>
      <c r="I72" s="185">
        <v>0</v>
      </c>
      <c r="J72" s="185"/>
      <c r="K72" s="185">
        <v>0</v>
      </c>
      <c r="L72" s="185"/>
      <c r="M72" s="185">
        <v>0</v>
      </c>
      <c r="N72" s="185"/>
      <c r="O72" s="185">
        <f t="shared" si="15"/>
        <v>0</v>
      </c>
      <c r="P72" s="72" t="s">
        <v>21</v>
      </c>
    </row>
    <row r="73" spans="1:16">
      <c r="A73" s="98" t="s">
        <v>173</v>
      </c>
      <c r="B73" s="160">
        <f>SUM(B59:B72)</f>
        <v>0</v>
      </c>
      <c r="C73" s="160">
        <f t="shared" ref="C73:O73" si="16">SUM(C59:C72)</f>
        <v>0</v>
      </c>
      <c r="D73" s="160">
        <f t="shared" si="16"/>
        <v>0</v>
      </c>
      <c r="E73" s="160">
        <f t="shared" si="16"/>
        <v>0</v>
      </c>
      <c r="F73" s="160">
        <f t="shared" si="16"/>
        <v>0</v>
      </c>
      <c r="G73" s="160">
        <f t="shared" si="16"/>
        <v>0</v>
      </c>
      <c r="H73" s="160">
        <f t="shared" si="16"/>
        <v>0</v>
      </c>
      <c r="I73" s="160">
        <f t="shared" si="16"/>
        <v>0</v>
      </c>
      <c r="J73" s="160">
        <f t="shared" si="16"/>
        <v>0</v>
      </c>
      <c r="K73" s="160">
        <f t="shared" si="16"/>
        <v>0</v>
      </c>
      <c r="L73" s="160">
        <f t="shared" si="16"/>
        <v>0</v>
      </c>
      <c r="M73" s="160">
        <f t="shared" si="16"/>
        <v>0</v>
      </c>
      <c r="N73" s="160">
        <f t="shared" si="16"/>
        <v>0</v>
      </c>
      <c r="O73" s="160">
        <f t="shared" si="16"/>
        <v>0</v>
      </c>
      <c r="P73" s="72" t="s">
        <v>21</v>
      </c>
    </row>
    <row r="74" spans="1:16">
      <c r="P74" s="72" t="s">
        <v>22</v>
      </c>
    </row>
  </sheetData>
  <mergeCells count="24">
    <mergeCell ref="A1:O1"/>
    <mergeCell ref="A2:O2"/>
    <mergeCell ref="A3:O3"/>
    <mergeCell ref="A4:O4"/>
    <mergeCell ref="A5:M5"/>
    <mergeCell ref="F7:G7"/>
    <mergeCell ref="H7:I7"/>
    <mergeCell ref="J7:K7"/>
    <mergeCell ref="L7:M7"/>
    <mergeCell ref="A41:A43"/>
    <mergeCell ref="B41:G41"/>
    <mergeCell ref="H41:M41"/>
    <mergeCell ref="A6:A8"/>
    <mergeCell ref="B6:G6"/>
    <mergeCell ref="H6:M6"/>
    <mergeCell ref="B7:C7"/>
    <mergeCell ref="D7:E7"/>
    <mergeCell ref="N41:O42"/>
    <mergeCell ref="B42:C42"/>
    <mergeCell ref="D42:E42"/>
    <mergeCell ref="F42:G42"/>
    <mergeCell ref="H42:I42"/>
    <mergeCell ref="J42:K42"/>
    <mergeCell ref="L42:M42"/>
  </mergeCells>
  <printOptions horizontalCentered="1"/>
  <pageMargins left="0.7" right="0.7" top="0.52" bottom="0.39" header="0.3" footer="0.23"/>
  <pageSetup scale="48" fitToHeight="9999"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T33"/>
  <sheetViews>
    <sheetView view="pageBreakPreview" zoomScale="80" zoomScaleNormal="100" zoomScaleSheetLayoutView="80" workbookViewId="0">
      <selection sqref="A1:L30"/>
    </sheetView>
  </sheetViews>
  <sheetFormatPr defaultColWidth="9.109375" defaultRowHeight="13.8"/>
  <cols>
    <col min="1" max="1" width="9.44140625" style="9" customWidth="1"/>
    <col min="2" max="2" width="13.5546875" style="9" customWidth="1"/>
    <col min="3" max="3" width="3.6640625" style="9" customWidth="1"/>
    <col min="4" max="4" width="10.6640625" style="9" bestFit="1" customWidth="1"/>
    <col min="5" max="5" width="8.33203125" style="9" customWidth="1"/>
    <col min="6" max="6" width="12.6640625" style="9" customWidth="1"/>
    <col min="7" max="7" width="8.33203125" style="9" customWidth="1"/>
    <col min="8" max="8" width="12.6640625" style="9" customWidth="1"/>
    <col min="9" max="9" width="8.33203125" style="9" customWidth="1"/>
    <col min="10" max="10" width="12.6640625" style="9" customWidth="1"/>
    <col min="11" max="11" width="8.33203125" style="9" customWidth="1"/>
    <col min="12" max="12" width="12.6640625" style="9" customWidth="1"/>
    <col min="13" max="13" width="14" style="4" bestFit="1" customWidth="1"/>
    <col min="14" max="14" width="4.5546875" style="9" customWidth="1"/>
    <col min="15" max="16" width="8.33203125" style="9" customWidth="1"/>
    <col min="17" max="17" width="12.6640625" style="9" customWidth="1"/>
    <col min="18" max="19" width="8.33203125" style="9" customWidth="1"/>
    <col min="20" max="20" width="12.6640625" style="9" customWidth="1"/>
    <col min="21" max="16384" width="9.109375" style="9"/>
  </cols>
  <sheetData>
    <row r="1" spans="1:20" ht="17.399999999999999">
      <c r="A1" s="265" t="s">
        <v>171</v>
      </c>
      <c r="B1" s="265"/>
      <c r="C1" s="265"/>
      <c r="D1" s="265"/>
      <c r="E1" s="265"/>
      <c r="F1" s="265"/>
      <c r="G1" s="265"/>
      <c r="H1" s="265"/>
      <c r="I1" s="265"/>
      <c r="J1" s="265"/>
      <c r="K1" s="265"/>
      <c r="L1" s="265"/>
      <c r="M1" s="72" t="s">
        <v>21</v>
      </c>
      <c r="N1" s="6"/>
      <c r="O1" s="6"/>
      <c r="P1" s="6"/>
      <c r="Q1" s="6"/>
      <c r="R1" s="6"/>
      <c r="S1" s="6"/>
      <c r="T1" s="6"/>
    </row>
    <row r="2" spans="1:20" ht="15">
      <c r="A2" s="266" t="str">
        <f>+'B. Summ of Req.'!A2:D2</f>
        <v>Environment and Natural Resources Division</v>
      </c>
      <c r="B2" s="266"/>
      <c r="C2" s="266"/>
      <c r="D2" s="266"/>
      <c r="E2" s="266"/>
      <c r="F2" s="266"/>
      <c r="G2" s="266"/>
      <c r="H2" s="266"/>
      <c r="I2" s="266"/>
      <c r="J2" s="266"/>
      <c r="K2" s="266"/>
      <c r="L2" s="266"/>
      <c r="M2" s="72" t="s">
        <v>21</v>
      </c>
      <c r="N2" s="7"/>
      <c r="O2" s="7"/>
      <c r="P2" s="7"/>
      <c r="Q2" s="7"/>
      <c r="R2" s="7"/>
      <c r="S2" s="7"/>
      <c r="T2" s="7"/>
    </row>
    <row r="3" spans="1:20">
      <c r="A3" s="275" t="s">
        <v>1</v>
      </c>
      <c r="B3" s="275"/>
      <c r="C3" s="275"/>
      <c r="D3" s="275"/>
      <c r="E3" s="275"/>
      <c r="F3" s="275"/>
      <c r="G3" s="275"/>
      <c r="H3" s="275"/>
      <c r="I3" s="275"/>
      <c r="J3" s="275"/>
      <c r="K3" s="275"/>
      <c r="L3" s="275"/>
      <c r="M3" s="72" t="s">
        <v>21</v>
      </c>
      <c r="N3" s="10"/>
      <c r="O3" s="10"/>
      <c r="P3" s="10"/>
      <c r="Q3" s="10"/>
      <c r="R3" s="10"/>
      <c r="S3" s="10"/>
      <c r="T3" s="10"/>
    </row>
    <row r="4" spans="1:20">
      <c r="A4" s="272" t="s">
        <v>2</v>
      </c>
      <c r="B4" s="272"/>
      <c r="C4" s="272"/>
      <c r="D4" s="272"/>
      <c r="E4" s="272"/>
      <c r="F4" s="272"/>
      <c r="G4" s="272"/>
      <c r="H4" s="272"/>
      <c r="I4" s="272"/>
      <c r="J4" s="272"/>
      <c r="K4" s="272"/>
      <c r="L4" s="272"/>
      <c r="M4" s="72" t="s">
        <v>21</v>
      </c>
      <c r="N4" s="8"/>
      <c r="O4" s="8"/>
      <c r="P4" s="8"/>
      <c r="Q4" s="8"/>
      <c r="R4" s="8"/>
      <c r="S4" s="8"/>
      <c r="T4" s="8"/>
    </row>
    <row r="5" spans="1:20">
      <c r="A5" s="272"/>
      <c r="B5" s="272"/>
      <c r="C5" s="272"/>
      <c r="D5" s="272"/>
      <c r="E5" s="272"/>
      <c r="F5" s="272"/>
      <c r="G5" s="272"/>
      <c r="H5" s="272"/>
      <c r="I5" s="272"/>
      <c r="J5" s="272"/>
      <c r="K5" s="272"/>
      <c r="L5" s="272"/>
      <c r="M5" s="72" t="s">
        <v>21</v>
      </c>
      <c r="N5" s="8"/>
      <c r="O5" s="8"/>
      <c r="P5" s="8"/>
      <c r="Q5" s="8"/>
      <c r="R5" s="8"/>
      <c r="S5" s="8"/>
      <c r="T5" s="8"/>
    </row>
    <row r="6" spans="1:20" ht="14.4" thickBot="1">
      <c r="A6" s="272"/>
      <c r="B6" s="272"/>
      <c r="C6" s="272"/>
      <c r="D6" s="272"/>
      <c r="E6" s="272"/>
      <c r="F6" s="272"/>
      <c r="G6" s="272"/>
      <c r="H6" s="272"/>
      <c r="I6" s="272"/>
      <c r="J6" s="272"/>
      <c r="K6" s="272"/>
      <c r="L6" s="272"/>
      <c r="M6" s="72" t="s">
        <v>21</v>
      </c>
      <c r="N6" s="8"/>
      <c r="O6" s="8"/>
      <c r="P6" s="8"/>
      <c r="Q6" s="8"/>
      <c r="R6" s="8"/>
      <c r="S6" s="8"/>
      <c r="T6" s="8"/>
    </row>
    <row r="7" spans="1:20" ht="30.75" customHeight="1">
      <c r="A7" s="340" t="s">
        <v>141</v>
      </c>
      <c r="B7" s="341"/>
      <c r="C7" s="341"/>
      <c r="D7" s="342"/>
      <c r="E7" s="276" t="s">
        <v>6</v>
      </c>
      <c r="F7" s="276"/>
      <c r="G7" s="276" t="s">
        <v>7</v>
      </c>
      <c r="H7" s="276"/>
      <c r="I7" s="276" t="s">
        <v>25</v>
      </c>
      <c r="J7" s="276"/>
      <c r="K7" s="276" t="s">
        <v>71</v>
      </c>
      <c r="L7" s="277"/>
      <c r="M7" s="72" t="s">
        <v>21</v>
      </c>
    </row>
    <row r="8" spans="1:20" ht="27.6">
      <c r="A8" s="343"/>
      <c r="B8" s="344"/>
      <c r="C8" s="344"/>
      <c r="D8" s="345"/>
      <c r="E8" s="11" t="s">
        <v>4</v>
      </c>
      <c r="F8" s="11" t="s">
        <v>5</v>
      </c>
      <c r="G8" s="11" t="s">
        <v>4</v>
      </c>
      <c r="H8" s="11" t="s">
        <v>5</v>
      </c>
      <c r="I8" s="11" t="s">
        <v>4</v>
      </c>
      <c r="J8" s="11" t="s">
        <v>5</v>
      </c>
      <c r="K8" s="11" t="s">
        <v>4</v>
      </c>
      <c r="L8" s="12" t="s">
        <v>5</v>
      </c>
      <c r="M8" s="72" t="s">
        <v>21</v>
      </c>
    </row>
    <row r="9" spans="1:20">
      <c r="A9" s="117" t="s">
        <v>142</v>
      </c>
      <c r="B9" s="118">
        <v>145700</v>
      </c>
      <c r="C9" s="119" t="s">
        <v>147</v>
      </c>
      <c r="D9" s="120">
        <v>199700</v>
      </c>
      <c r="E9" s="186">
        <v>1</v>
      </c>
      <c r="F9" s="186">
        <f>E9*132.7</f>
        <v>132.69999999999999</v>
      </c>
      <c r="G9" s="186">
        <f>+E9</f>
        <v>1</v>
      </c>
      <c r="H9" s="186">
        <f>G9*132.7*1.005</f>
        <v>133.36349999999999</v>
      </c>
      <c r="I9" s="186">
        <f>+G9</f>
        <v>1</v>
      </c>
      <c r="J9" s="186">
        <f>I9*132.7*1.015</f>
        <v>134.69049999999999</v>
      </c>
      <c r="K9" s="186">
        <f>I9-G9</f>
        <v>0</v>
      </c>
      <c r="L9" s="187">
        <f>J9-H9</f>
        <v>1.3269999999999982</v>
      </c>
      <c r="M9" s="72" t="s">
        <v>21</v>
      </c>
    </row>
    <row r="10" spans="1:20">
      <c r="A10" s="136" t="s">
        <v>172</v>
      </c>
      <c r="B10" s="122">
        <v>119554</v>
      </c>
      <c r="C10" s="123" t="s">
        <v>147</v>
      </c>
      <c r="D10" s="124">
        <v>179700</v>
      </c>
      <c r="E10" s="188">
        <v>21</v>
      </c>
      <c r="F10" s="188">
        <f>E10*149.6</f>
        <v>3141.6</v>
      </c>
      <c r="G10" s="188">
        <f>+E10</f>
        <v>21</v>
      </c>
      <c r="H10" s="188">
        <f>G10*149.6*1.005</f>
        <v>3157.3079999999995</v>
      </c>
      <c r="I10" s="188">
        <f>+G10</f>
        <v>21</v>
      </c>
      <c r="J10" s="188">
        <f>I10*149.6*1.015</f>
        <v>3188.7239999999997</v>
      </c>
      <c r="K10" s="188">
        <f t="shared" ref="K10:K25" si="0">I10-G10</f>
        <v>0</v>
      </c>
      <c r="L10" s="189">
        <f t="shared" ref="L10:L25" si="1">J10-H10</f>
        <v>31.416000000000167</v>
      </c>
      <c r="M10" s="72" t="s">
        <v>21</v>
      </c>
    </row>
    <row r="11" spans="1:20">
      <c r="A11" s="121" t="s">
        <v>127</v>
      </c>
      <c r="B11" s="122">
        <v>123758</v>
      </c>
      <c r="C11" s="123" t="s">
        <v>147</v>
      </c>
      <c r="D11" s="124">
        <v>155500</v>
      </c>
      <c r="E11" s="188">
        <v>313</v>
      </c>
      <c r="F11" s="188">
        <f>E11*139.6</f>
        <v>43694.799999999996</v>
      </c>
      <c r="G11" s="188">
        <f t="shared" ref="G11:G24" si="2">+E11</f>
        <v>313</v>
      </c>
      <c r="H11" s="188">
        <f>G11*139.6*1.005</f>
        <v>43913.27399999999</v>
      </c>
      <c r="I11" s="188">
        <f t="shared" ref="I11:I24" si="3">+G11</f>
        <v>313</v>
      </c>
      <c r="J11" s="188">
        <f>I11*139.6*1.015</f>
        <v>44350.221999999994</v>
      </c>
      <c r="K11" s="188">
        <f t="shared" si="0"/>
        <v>0</v>
      </c>
      <c r="L11" s="189">
        <f t="shared" si="1"/>
        <v>436.94800000000396</v>
      </c>
      <c r="M11" s="72" t="s">
        <v>21</v>
      </c>
    </row>
    <row r="12" spans="1:20">
      <c r="A12" s="121" t="s">
        <v>128</v>
      </c>
      <c r="B12" s="122">
        <v>105211</v>
      </c>
      <c r="C12" s="123" t="s">
        <v>147</v>
      </c>
      <c r="D12" s="124">
        <v>136771</v>
      </c>
      <c r="E12" s="188">
        <v>34</v>
      </c>
      <c r="F12" s="188">
        <f>E12*121</f>
        <v>4114</v>
      </c>
      <c r="G12" s="188">
        <f t="shared" si="2"/>
        <v>34</v>
      </c>
      <c r="H12" s="188">
        <f>G12*121*1.005</f>
        <v>4134.57</v>
      </c>
      <c r="I12" s="188">
        <f t="shared" si="3"/>
        <v>34</v>
      </c>
      <c r="J12" s="188">
        <f>I12*121*1.015</f>
        <v>4175.71</v>
      </c>
      <c r="K12" s="188">
        <f t="shared" si="0"/>
        <v>0</v>
      </c>
      <c r="L12" s="189">
        <f t="shared" si="1"/>
        <v>41.140000000000327</v>
      </c>
      <c r="M12" s="72" t="s">
        <v>21</v>
      </c>
    </row>
    <row r="13" spans="1:20">
      <c r="A13" s="121" t="s">
        <v>129</v>
      </c>
      <c r="B13" s="122">
        <v>89033</v>
      </c>
      <c r="C13" s="123" t="s">
        <v>147</v>
      </c>
      <c r="D13" s="124">
        <v>115742</v>
      </c>
      <c r="E13" s="188">
        <v>28</v>
      </c>
      <c r="F13" s="188">
        <f>E13*102.4</f>
        <v>2867.2000000000003</v>
      </c>
      <c r="G13" s="188">
        <f t="shared" si="2"/>
        <v>28</v>
      </c>
      <c r="H13" s="188">
        <f>G13*102.4*1.005</f>
        <v>2881.5360000000001</v>
      </c>
      <c r="I13" s="188">
        <f t="shared" si="3"/>
        <v>28</v>
      </c>
      <c r="J13" s="188">
        <f>I13*102.4*1.015</f>
        <v>2910.2080000000001</v>
      </c>
      <c r="K13" s="188">
        <f t="shared" si="0"/>
        <v>0</v>
      </c>
      <c r="L13" s="189">
        <f t="shared" si="1"/>
        <v>28.672000000000025</v>
      </c>
      <c r="M13" s="72" t="s">
        <v>21</v>
      </c>
    </row>
    <row r="14" spans="1:20">
      <c r="A14" s="121" t="s">
        <v>130</v>
      </c>
      <c r="B14" s="122">
        <v>74872</v>
      </c>
      <c r="C14" s="123" t="s">
        <v>147</v>
      </c>
      <c r="D14" s="124">
        <v>97333</v>
      </c>
      <c r="E14" s="188">
        <v>22</v>
      </c>
      <c r="F14" s="188">
        <f>E14*86.1</f>
        <v>1894.1999999999998</v>
      </c>
      <c r="G14" s="188">
        <f t="shared" si="2"/>
        <v>22</v>
      </c>
      <c r="H14" s="188">
        <f>G14*86.1*1.005</f>
        <v>1903.6709999999996</v>
      </c>
      <c r="I14" s="188">
        <f t="shared" si="3"/>
        <v>22</v>
      </c>
      <c r="J14" s="188">
        <f>I14*86.1*1.015</f>
        <v>1922.6129999999996</v>
      </c>
      <c r="K14" s="188">
        <f t="shared" si="0"/>
        <v>0</v>
      </c>
      <c r="L14" s="189">
        <f t="shared" si="1"/>
        <v>18.942000000000007</v>
      </c>
      <c r="M14" s="72" t="s">
        <v>21</v>
      </c>
    </row>
    <row r="15" spans="1:20">
      <c r="A15" s="121" t="s">
        <v>131</v>
      </c>
      <c r="B15" s="122">
        <v>62467</v>
      </c>
      <c r="C15" s="123" t="s">
        <v>147</v>
      </c>
      <c r="D15" s="124">
        <v>81204</v>
      </c>
      <c r="E15" s="188">
        <v>30</v>
      </c>
      <c r="F15" s="188">
        <f>E15*71.8</f>
        <v>2154</v>
      </c>
      <c r="G15" s="188">
        <f t="shared" si="2"/>
        <v>30</v>
      </c>
      <c r="H15" s="188">
        <f>G15*71.8*1.005</f>
        <v>2164.77</v>
      </c>
      <c r="I15" s="188">
        <f t="shared" si="3"/>
        <v>30</v>
      </c>
      <c r="J15" s="188">
        <f>I15*71.8*1.015</f>
        <v>2186.31</v>
      </c>
      <c r="K15" s="188">
        <f t="shared" si="0"/>
        <v>0</v>
      </c>
      <c r="L15" s="189">
        <f t="shared" si="1"/>
        <v>21.539999999999964</v>
      </c>
      <c r="M15" s="72" t="s">
        <v>21</v>
      </c>
    </row>
    <row r="16" spans="1:20">
      <c r="A16" s="121" t="s">
        <v>132</v>
      </c>
      <c r="B16" s="122">
        <v>56857</v>
      </c>
      <c r="C16" s="123" t="s">
        <v>147</v>
      </c>
      <c r="D16" s="124">
        <v>73917</v>
      </c>
      <c r="E16" s="188">
        <v>2</v>
      </c>
      <c r="F16" s="188">
        <f>E16*65.4</f>
        <v>130.80000000000001</v>
      </c>
      <c r="G16" s="188">
        <f t="shared" si="2"/>
        <v>2</v>
      </c>
      <c r="H16" s="188">
        <f>G16*65.4*1.005</f>
        <v>131.45400000000001</v>
      </c>
      <c r="I16" s="188">
        <f t="shared" si="3"/>
        <v>2</v>
      </c>
      <c r="J16" s="188">
        <f>I16*65.4*1.015</f>
        <v>132.762</v>
      </c>
      <c r="K16" s="188">
        <f t="shared" si="0"/>
        <v>0</v>
      </c>
      <c r="L16" s="189">
        <f t="shared" si="1"/>
        <v>1.3079999999999927</v>
      </c>
      <c r="M16" s="72" t="s">
        <v>21</v>
      </c>
    </row>
    <row r="17" spans="1:13">
      <c r="A17" s="121" t="s">
        <v>133</v>
      </c>
      <c r="B17" s="125">
        <v>51630</v>
      </c>
      <c r="C17" s="126" t="s">
        <v>147</v>
      </c>
      <c r="D17" s="127">
        <v>67114</v>
      </c>
      <c r="E17" s="188">
        <v>33</v>
      </c>
      <c r="F17" s="188">
        <f>E17*59.3</f>
        <v>1956.8999999999999</v>
      </c>
      <c r="G17" s="188">
        <f t="shared" si="2"/>
        <v>33</v>
      </c>
      <c r="H17" s="188">
        <f>G17*59.3*1.005</f>
        <v>1966.6844999999996</v>
      </c>
      <c r="I17" s="188">
        <f t="shared" si="3"/>
        <v>33</v>
      </c>
      <c r="J17" s="188">
        <f>I17*59.3*1.015</f>
        <v>1986.2534999999996</v>
      </c>
      <c r="K17" s="188">
        <f t="shared" si="0"/>
        <v>0</v>
      </c>
      <c r="L17" s="189">
        <f t="shared" si="1"/>
        <v>19.56899999999996</v>
      </c>
      <c r="M17" s="72" t="s">
        <v>21</v>
      </c>
    </row>
    <row r="18" spans="1:13">
      <c r="A18" s="121" t="s">
        <v>134</v>
      </c>
      <c r="B18" s="125">
        <v>46745</v>
      </c>
      <c r="C18" s="126" t="s">
        <v>147</v>
      </c>
      <c r="D18" s="127">
        <v>60765</v>
      </c>
      <c r="E18" s="188">
        <v>22</v>
      </c>
      <c r="F18" s="188">
        <f>E18*53.8</f>
        <v>1183.5999999999999</v>
      </c>
      <c r="G18" s="188">
        <f t="shared" si="2"/>
        <v>22</v>
      </c>
      <c r="H18" s="188">
        <f>G18*53.8*1.005</f>
        <v>1189.5179999999998</v>
      </c>
      <c r="I18" s="188">
        <f t="shared" si="3"/>
        <v>22</v>
      </c>
      <c r="J18" s="188">
        <f>I18*53.8*1.015</f>
        <v>1201.3539999999998</v>
      </c>
      <c r="K18" s="188">
        <f t="shared" si="0"/>
        <v>0</v>
      </c>
      <c r="L18" s="189">
        <f t="shared" si="1"/>
        <v>11.836000000000013</v>
      </c>
      <c r="M18" s="72" t="s">
        <v>21</v>
      </c>
    </row>
    <row r="19" spans="1:13">
      <c r="A19" s="121" t="s">
        <v>135</v>
      </c>
      <c r="B19" s="125">
        <v>42209</v>
      </c>
      <c r="C19" s="126" t="s">
        <v>147</v>
      </c>
      <c r="D19" s="127">
        <v>54875</v>
      </c>
      <c r="E19" s="188">
        <v>20</v>
      </c>
      <c r="F19" s="188">
        <f>E19*48.3</f>
        <v>966</v>
      </c>
      <c r="G19" s="188">
        <f t="shared" si="2"/>
        <v>20</v>
      </c>
      <c r="H19" s="188">
        <f>G19*48.3*1.005</f>
        <v>970.82999999999993</v>
      </c>
      <c r="I19" s="188">
        <f t="shared" si="3"/>
        <v>20</v>
      </c>
      <c r="J19" s="188">
        <f>I19*48.3*1.015</f>
        <v>980.4899999999999</v>
      </c>
      <c r="K19" s="188">
        <f t="shared" si="0"/>
        <v>0</v>
      </c>
      <c r="L19" s="189">
        <f t="shared" si="1"/>
        <v>9.6599999999999682</v>
      </c>
      <c r="M19" s="72" t="s">
        <v>21</v>
      </c>
    </row>
    <row r="20" spans="1:13">
      <c r="A20" s="121" t="s">
        <v>136</v>
      </c>
      <c r="B20" s="125">
        <v>37983</v>
      </c>
      <c r="C20" s="126" t="s">
        <v>147</v>
      </c>
      <c r="D20" s="127">
        <v>49375</v>
      </c>
      <c r="E20" s="188">
        <v>1</v>
      </c>
      <c r="F20" s="188">
        <f>E20*43.7</f>
        <v>43.7</v>
      </c>
      <c r="G20" s="188">
        <f t="shared" si="2"/>
        <v>1</v>
      </c>
      <c r="H20" s="188">
        <f>G20*43.7*1.005</f>
        <v>43.918500000000002</v>
      </c>
      <c r="I20" s="188">
        <f t="shared" si="3"/>
        <v>1</v>
      </c>
      <c r="J20" s="188">
        <f>I20*43.7*1.015</f>
        <v>44.355499999999999</v>
      </c>
      <c r="K20" s="188">
        <f t="shared" si="0"/>
        <v>0</v>
      </c>
      <c r="L20" s="189">
        <f t="shared" si="1"/>
        <v>0.43699999999999761</v>
      </c>
      <c r="M20" s="72" t="s">
        <v>21</v>
      </c>
    </row>
    <row r="21" spans="1:13">
      <c r="A21" s="121" t="s">
        <v>137</v>
      </c>
      <c r="B21" s="125">
        <v>37075</v>
      </c>
      <c r="C21" s="126" t="s">
        <v>147</v>
      </c>
      <c r="D21" s="127">
        <v>44293</v>
      </c>
      <c r="E21" s="188">
        <v>1</v>
      </c>
      <c r="F21" s="188">
        <f>E21*40.7</f>
        <v>40.700000000000003</v>
      </c>
      <c r="G21" s="188">
        <f t="shared" si="2"/>
        <v>1</v>
      </c>
      <c r="H21" s="188">
        <f>G21*40.7*1.005</f>
        <v>40.903500000000001</v>
      </c>
      <c r="I21" s="188">
        <f t="shared" si="3"/>
        <v>1</v>
      </c>
      <c r="J21" s="188">
        <f>I21*40.7*1.015</f>
        <v>41.310499999999998</v>
      </c>
      <c r="K21" s="188">
        <f t="shared" si="0"/>
        <v>0</v>
      </c>
      <c r="L21" s="189">
        <f t="shared" si="1"/>
        <v>0.40699999999999648</v>
      </c>
      <c r="M21" s="72" t="s">
        <v>21</v>
      </c>
    </row>
    <row r="22" spans="1:13">
      <c r="A22" s="121" t="s">
        <v>143</v>
      </c>
      <c r="B22" s="125">
        <v>30456</v>
      </c>
      <c r="C22" s="126" t="s">
        <v>147</v>
      </c>
      <c r="D22" s="127">
        <v>39590</v>
      </c>
      <c r="E22" s="188">
        <v>5</v>
      </c>
      <c r="F22" s="188">
        <f>E22*35</f>
        <v>175</v>
      </c>
      <c r="G22" s="188">
        <f t="shared" si="2"/>
        <v>5</v>
      </c>
      <c r="H22" s="188">
        <f>G22*35*1.005</f>
        <v>175.87499999999997</v>
      </c>
      <c r="I22" s="188">
        <f t="shared" si="3"/>
        <v>5</v>
      </c>
      <c r="J22" s="188">
        <f>I22*35*1.015</f>
        <v>177.62499999999997</v>
      </c>
      <c r="K22" s="188">
        <f t="shared" si="0"/>
        <v>0</v>
      </c>
      <c r="L22" s="189">
        <f t="shared" si="1"/>
        <v>1.75</v>
      </c>
      <c r="M22" s="72" t="s">
        <v>21</v>
      </c>
    </row>
    <row r="23" spans="1:13">
      <c r="A23" s="121" t="s">
        <v>144</v>
      </c>
      <c r="B23" s="125">
        <v>27130</v>
      </c>
      <c r="C23" s="126" t="s">
        <v>147</v>
      </c>
      <c r="D23" s="127">
        <v>35269</v>
      </c>
      <c r="E23" s="188">
        <v>4</v>
      </c>
      <c r="F23" s="188">
        <f>E23*31.2</f>
        <v>124.8</v>
      </c>
      <c r="G23" s="188">
        <f t="shared" si="2"/>
        <v>4</v>
      </c>
      <c r="H23" s="188">
        <f>G23*31.2*1.005</f>
        <v>125.42399999999998</v>
      </c>
      <c r="I23" s="188">
        <f t="shared" si="3"/>
        <v>4</v>
      </c>
      <c r="J23" s="188">
        <f>I23*31.2*1.015</f>
        <v>126.67199999999998</v>
      </c>
      <c r="K23" s="188">
        <f t="shared" si="0"/>
        <v>0</v>
      </c>
      <c r="L23" s="189">
        <f t="shared" si="1"/>
        <v>1.2480000000000047</v>
      </c>
      <c r="M23" s="72" t="s">
        <v>21</v>
      </c>
    </row>
    <row r="24" spans="1:13">
      <c r="A24" s="121" t="s">
        <v>145</v>
      </c>
      <c r="B24" s="125">
        <v>24865</v>
      </c>
      <c r="C24" s="126" t="s">
        <v>147</v>
      </c>
      <c r="D24" s="127">
        <v>31292</v>
      </c>
      <c r="E24" s="188">
        <v>0</v>
      </c>
      <c r="F24" s="188">
        <f>E24*28.1</f>
        <v>0</v>
      </c>
      <c r="G24" s="188">
        <f t="shared" si="2"/>
        <v>0</v>
      </c>
      <c r="H24" s="188">
        <f>G24*28.1*1.005</f>
        <v>0</v>
      </c>
      <c r="I24" s="188">
        <f t="shared" si="3"/>
        <v>0</v>
      </c>
      <c r="J24" s="188">
        <f>I24*28.1*1.015</f>
        <v>0</v>
      </c>
      <c r="K24" s="188">
        <f t="shared" si="0"/>
        <v>0</v>
      </c>
      <c r="L24" s="189">
        <f t="shared" si="1"/>
        <v>0</v>
      </c>
      <c r="M24" s="72" t="s">
        <v>21</v>
      </c>
    </row>
    <row r="25" spans="1:13">
      <c r="A25" s="116" t="s">
        <v>146</v>
      </c>
      <c r="B25" s="111">
        <v>22115</v>
      </c>
      <c r="C25" s="112" t="s">
        <v>147</v>
      </c>
      <c r="D25" s="113">
        <v>27663</v>
      </c>
      <c r="E25" s="158">
        <v>0</v>
      </c>
      <c r="F25" s="158">
        <f>E25*24.9</f>
        <v>0</v>
      </c>
      <c r="G25" s="158">
        <f>+E25</f>
        <v>0</v>
      </c>
      <c r="H25" s="158">
        <f>G25*24.9*1.005</f>
        <v>0</v>
      </c>
      <c r="I25" s="158">
        <f>+G25</f>
        <v>0</v>
      </c>
      <c r="J25" s="158">
        <f>I25*24.9*1.015</f>
        <v>0</v>
      </c>
      <c r="K25" s="158">
        <f t="shared" si="0"/>
        <v>0</v>
      </c>
      <c r="L25" s="190">
        <f t="shared" si="1"/>
        <v>0</v>
      </c>
      <c r="M25" s="72" t="s">
        <v>21</v>
      </c>
    </row>
    <row r="26" spans="1:13">
      <c r="A26" s="346" t="s">
        <v>148</v>
      </c>
      <c r="B26" s="347"/>
      <c r="C26" s="347"/>
      <c r="D26" s="348"/>
      <c r="E26" s="160">
        <f t="shared" ref="E26:L26" si="4">SUM(E9:E25)</f>
        <v>537</v>
      </c>
      <c r="F26" s="160">
        <f t="shared" si="4"/>
        <v>62619.999999999993</v>
      </c>
      <c r="G26" s="160">
        <f t="shared" si="4"/>
        <v>537</v>
      </c>
      <c r="H26" s="160">
        <f t="shared" si="4"/>
        <v>62933.099999999984</v>
      </c>
      <c r="I26" s="160">
        <f t="shared" si="4"/>
        <v>537</v>
      </c>
      <c r="J26" s="160">
        <f t="shared" si="4"/>
        <v>63559.299999999981</v>
      </c>
      <c r="K26" s="160">
        <f t="shared" si="4"/>
        <v>0</v>
      </c>
      <c r="L26" s="161">
        <f t="shared" si="4"/>
        <v>626.20000000000448</v>
      </c>
      <c r="M26" s="72" t="s">
        <v>21</v>
      </c>
    </row>
    <row r="27" spans="1:13">
      <c r="A27" s="349" t="s">
        <v>149</v>
      </c>
      <c r="B27" s="350"/>
      <c r="C27" s="350"/>
      <c r="D27" s="350"/>
      <c r="E27" s="186"/>
      <c r="F27" s="191">
        <v>171074</v>
      </c>
      <c r="G27" s="186"/>
      <c r="H27" s="191">
        <f>+F27+0.25*0.005*F27</f>
        <v>171287.8425</v>
      </c>
      <c r="I27" s="186"/>
      <c r="J27" s="191">
        <f>+H27+0.01*H27*0.75</f>
        <v>172572.50131875</v>
      </c>
      <c r="K27" s="186"/>
      <c r="L27" s="192"/>
      <c r="M27" s="72" t="s">
        <v>21</v>
      </c>
    </row>
    <row r="28" spans="1:13">
      <c r="A28" s="351" t="s">
        <v>150</v>
      </c>
      <c r="B28" s="352"/>
      <c r="C28" s="352"/>
      <c r="D28" s="352"/>
      <c r="E28" s="188"/>
      <c r="F28" s="193">
        <v>116976</v>
      </c>
      <c r="G28" s="188"/>
      <c r="H28" s="193">
        <f>+F28+0.25*0.005*F28</f>
        <v>117122.22</v>
      </c>
      <c r="I28" s="188"/>
      <c r="J28" s="193">
        <f>+H28+0.01*H28*0.75</f>
        <v>118000.63665</v>
      </c>
      <c r="K28" s="188"/>
      <c r="L28" s="194"/>
      <c r="M28" s="72" t="s">
        <v>21</v>
      </c>
    </row>
    <row r="29" spans="1:13" ht="14.4" thickBot="1">
      <c r="A29" s="338" t="s">
        <v>151</v>
      </c>
      <c r="B29" s="339"/>
      <c r="C29" s="339"/>
      <c r="D29" s="339"/>
      <c r="E29" s="195"/>
      <c r="F29" s="242" t="s">
        <v>128</v>
      </c>
      <c r="G29" s="195"/>
      <c r="H29" s="242" t="str">
        <f>+F29</f>
        <v>GS-14</v>
      </c>
      <c r="I29" s="195"/>
      <c r="J29" s="242" t="str">
        <f>+H29</f>
        <v>GS-14</v>
      </c>
      <c r="K29" s="195"/>
      <c r="L29" s="196"/>
      <c r="M29" s="72" t="s">
        <v>21</v>
      </c>
    </row>
    <row r="30" spans="1:13">
      <c r="M30" s="72" t="s">
        <v>22</v>
      </c>
    </row>
    <row r="32" spans="1:13">
      <c r="M32" s="72"/>
    </row>
    <row r="33" spans="13:13">
      <c r="M33" s="72"/>
    </row>
  </sheetData>
  <mergeCells count="15">
    <mergeCell ref="A29:D29"/>
    <mergeCell ref="A7:D8"/>
    <mergeCell ref="A26:D26"/>
    <mergeCell ref="A27:D27"/>
    <mergeCell ref="A28:D28"/>
    <mergeCell ref="E7:F7"/>
    <mergeCell ref="G7:H7"/>
    <mergeCell ref="I7:J7"/>
    <mergeCell ref="K7:L7"/>
    <mergeCell ref="A1:L1"/>
    <mergeCell ref="A2:L2"/>
    <mergeCell ref="A3:L3"/>
    <mergeCell ref="A4:L4"/>
    <mergeCell ref="A5:L5"/>
    <mergeCell ref="A6:L6"/>
  </mergeCells>
  <printOptions horizontalCentered="1"/>
  <pageMargins left="0.7" right="0.7" top="0.75" bottom="0.75" header="0.3" footer="0.3"/>
  <pageSetup fitToHeight="9999"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Q50"/>
  <sheetViews>
    <sheetView view="pageBreakPreview" zoomScale="90" zoomScaleNormal="100" zoomScaleSheetLayoutView="90" workbookViewId="0">
      <pane xSplit="1" ySplit="7" topLeftCell="B8" activePane="bottomRight" state="frozen"/>
      <selection activeCell="G32" sqref="G32"/>
      <selection pane="topRight" activeCell="G32" sqref="G32"/>
      <selection pane="bottomLeft" activeCell="G32" sqref="G32"/>
      <selection pane="bottomRight" activeCell="I38" sqref="I38"/>
    </sheetView>
  </sheetViews>
  <sheetFormatPr defaultColWidth="9.109375" defaultRowHeight="13.8"/>
  <cols>
    <col min="1" max="1" width="86.5546875" style="9" customWidth="1"/>
    <col min="2" max="2" width="8.33203125" style="9" customWidth="1"/>
    <col min="3" max="3" width="12.6640625" style="9" customWidth="1"/>
    <col min="4" max="4" width="8.33203125" style="9" customWidth="1"/>
    <col min="5" max="5" width="12.6640625" style="9" customWidth="1"/>
    <col min="6" max="6" width="8.33203125" style="9" customWidth="1"/>
    <col min="7" max="7" width="12.6640625" style="9" customWidth="1"/>
    <col min="8" max="8" width="8.33203125" style="9" customWidth="1"/>
    <col min="9" max="9" width="12.6640625" style="9" customWidth="1"/>
    <col min="10" max="10" width="14" style="4" bestFit="1" customWidth="1"/>
    <col min="11" max="11" width="4.5546875" style="9" customWidth="1"/>
    <col min="12" max="13" width="8.33203125" style="9" customWidth="1"/>
    <col min="14" max="14" width="12.6640625" style="9" customWidth="1"/>
    <col min="15" max="16" width="8.33203125" style="9" customWidth="1"/>
    <col min="17" max="17" width="12.6640625" style="9" customWidth="1"/>
    <col min="18" max="16384" width="9.109375" style="9"/>
  </cols>
  <sheetData>
    <row r="1" spans="1:17" ht="17.399999999999999">
      <c r="A1" s="265" t="s">
        <v>90</v>
      </c>
      <c r="B1" s="265"/>
      <c r="C1" s="265"/>
      <c r="D1" s="265"/>
      <c r="E1" s="265"/>
      <c r="F1" s="265"/>
      <c r="G1" s="265"/>
      <c r="H1" s="265"/>
      <c r="I1" s="265"/>
      <c r="J1" s="72" t="s">
        <v>21</v>
      </c>
      <c r="K1" s="6"/>
      <c r="L1" s="6"/>
      <c r="M1" s="6"/>
      <c r="N1" s="6"/>
      <c r="O1" s="6"/>
      <c r="P1" s="6"/>
      <c r="Q1" s="6"/>
    </row>
    <row r="2" spans="1:17" ht="15">
      <c r="A2" s="266" t="str">
        <f>+'B. Summ of Req.'!A2:D2</f>
        <v>Environment and Natural Resources Division</v>
      </c>
      <c r="B2" s="266"/>
      <c r="C2" s="266"/>
      <c r="D2" s="266"/>
      <c r="E2" s="266"/>
      <c r="F2" s="266"/>
      <c r="G2" s="266"/>
      <c r="H2" s="266"/>
      <c r="I2" s="266"/>
      <c r="J2" s="72" t="s">
        <v>21</v>
      </c>
      <c r="K2" s="7"/>
      <c r="L2" s="7"/>
      <c r="M2" s="7"/>
      <c r="N2" s="7"/>
      <c r="O2" s="7"/>
      <c r="P2" s="7"/>
      <c r="Q2" s="7"/>
    </row>
    <row r="3" spans="1:17">
      <c r="A3" s="275" t="s">
        <v>1</v>
      </c>
      <c r="B3" s="275"/>
      <c r="C3" s="275"/>
      <c r="D3" s="275"/>
      <c r="E3" s="275"/>
      <c r="F3" s="275"/>
      <c r="G3" s="275"/>
      <c r="H3" s="275"/>
      <c r="I3" s="275"/>
      <c r="J3" s="72" t="s">
        <v>21</v>
      </c>
      <c r="K3" s="10"/>
      <c r="L3" s="10"/>
      <c r="M3" s="10"/>
      <c r="N3" s="10"/>
      <c r="O3" s="10"/>
      <c r="P3" s="10"/>
      <c r="Q3" s="10"/>
    </row>
    <row r="4" spans="1:17">
      <c r="A4" s="272" t="s">
        <v>2</v>
      </c>
      <c r="B4" s="272"/>
      <c r="C4" s="272"/>
      <c r="D4" s="272"/>
      <c r="E4" s="272"/>
      <c r="F4" s="272"/>
      <c r="G4" s="272"/>
      <c r="H4" s="272"/>
      <c r="I4" s="272"/>
      <c r="J4" s="72" t="s">
        <v>21</v>
      </c>
      <c r="K4" s="8"/>
      <c r="L4" s="8"/>
      <c r="M4" s="8"/>
      <c r="N4" s="8"/>
      <c r="O4" s="8"/>
      <c r="P4" s="8"/>
      <c r="Q4" s="8"/>
    </row>
    <row r="5" spans="1:17" ht="14.4" thickBot="1">
      <c r="A5" s="272"/>
      <c r="B5" s="272"/>
      <c r="C5" s="272"/>
      <c r="D5" s="272"/>
      <c r="E5" s="272"/>
      <c r="F5" s="272"/>
      <c r="G5" s="272"/>
      <c r="H5" s="272"/>
      <c r="I5" s="272"/>
      <c r="J5" s="72" t="s">
        <v>21</v>
      </c>
      <c r="K5" s="8"/>
      <c r="L5" s="8"/>
      <c r="M5" s="8"/>
      <c r="N5" s="8"/>
      <c r="O5" s="8"/>
      <c r="P5" s="8"/>
      <c r="Q5" s="8"/>
    </row>
    <row r="6" spans="1:17">
      <c r="A6" s="273" t="s">
        <v>91</v>
      </c>
      <c r="B6" s="276" t="s">
        <v>70</v>
      </c>
      <c r="C6" s="276"/>
      <c r="D6" s="276" t="s">
        <v>196</v>
      </c>
      <c r="E6" s="276"/>
      <c r="F6" s="276" t="s">
        <v>25</v>
      </c>
      <c r="G6" s="276"/>
      <c r="H6" s="276" t="s">
        <v>71</v>
      </c>
      <c r="I6" s="277"/>
      <c r="J6" s="72" t="s">
        <v>21</v>
      </c>
    </row>
    <row r="7" spans="1:17" ht="27.6">
      <c r="A7" s="274"/>
      <c r="B7" s="73" t="s">
        <v>35</v>
      </c>
      <c r="C7" s="11" t="s">
        <v>5</v>
      </c>
      <c r="D7" s="11" t="s">
        <v>35</v>
      </c>
      <c r="E7" s="11" t="s">
        <v>5</v>
      </c>
      <c r="F7" s="11" t="s">
        <v>35</v>
      </c>
      <c r="G7" s="11" t="s">
        <v>5</v>
      </c>
      <c r="H7" s="11" t="s">
        <v>35</v>
      </c>
      <c r="I7" s="12" t="s">
        <v>5</v>
      </c>
      <c r="J7" s="72" t="s">
        <v>21</v>
      </c>
    </row>
    <row r="8" spans="1:17">
      <c r="A8" s="80" t="s">
        <v>92</v>
      </c>
      <c r="B8" s="155">
        <f>526-30</f>
        <v>496</v>
      </c>
      <c r="C8" s="243">
        <v>54725</v>
      </c>
      <c r="D8" s="155">
        <f>520-D9</f>
        <v>485.72504708097927</v>
      </c>
      <c r="E8" s="243">
        <v>57521</v>
      </c>
      <c r="F8" s="155">
        <f>+D8</f>
        <v>485.72504708097927</v>
      </c>
      <c r="G8" s="243">
        <f>+E8+578+98-10</f>
        <v>58187</v>
      </c>
      <c r="H8" s="155">
        <f>F8-D8</f>
        <v>0</v>
      </c>
      <c r="I8" s="156">
        <f>G8-E8</f>
        <v>666</v>
      </c>
      <c r="J8" s="72" t="s">
        <v>21</v>
      </c>
    </row>
    <row r="9" spans="1:17">
      <c r="A9" s="81" t="s">
        <v>93</v>
      </c>
      <c r="B9" s="31">
        <f>56-21</f>
        <v>35</v>
      </c>
      <c r="C9" s="219">
        <v>4351</v>
      </c>
      <c r="D9" s="31">
        <f>+B9/B14*D14</f>
        <v>34.274952919020713</v>
      </c>
      <c r="E9" s="219">
        <v>4369</v>
      </c>
      <c r="F9" s="31">
        <f>+D9</f>
        <v>34.274952919020713</v>
      </c>
      <c r="G9" s="219">
        <f>+E9</f>
        <v>4369</v>
      </c>
      <c r="H9" s="31">
        <f t="shared" ref="H9:H13" si="0">F9-D9</f>
        <v>0</v>
      </c>
      <c r="I9" s="157">
        <f t="shared" ref="I9:I13" si="1">G9-E9</f>
        <v>0</v>
      </c>
      <c r="J9" s="72" t="s">
        <v>21</v>
      </c>
    </row>
    <row r="10" spans="1:17">
      <c r="A10" s="138" t="s">
        <v>174</v>
      </c>
      <c r="B10" s="31">
        <f>SUM(B11:B12)</f>
        <v>0</v>
      </c>
      <c r="C10" s="219">
        <v>604</v>
      </c>
      <c r="D10" s="31">
        <f t="shared" ref="D10:F10" si="2">SUM(D11:D12)</f>
        <v>0</v>
      </c>
      <c r="E10" s="219">
        <v>606.5</v>
      </c>
      <c r="F10" s="31">
        <f t="shared" si="2"/>
        <v>0</v>
      </c>
      <c r="G10" s="219">
        <f>+E10</f>
        <v>606.5</v>
      </c>
      <c r="H10" s="31">
        <f t="shared" si="0"/>
        <v>0</v>
      </c>
      <c r="I10" s="157">
        <f t="shared" si="1"/>
        <v>0</v>
      </c>
      <c r="J10" s="72" t="s">
        <v>21</v>
      </c>
    </row>
    <row r="11" spans="1:17" ht="14.4">
      <c r="A11" s="82" t="s">
        <v>34</v>
      </c>
      <c r="B11" s="197">
        <v>0</v>
      </c>
      <c r="C11" s="197">
        <v>0</v>
      </c>
      <c r="D11" s="197">
        <v>0</v>
      </c>
      <c r="E11" s="197">
        <v>0</v>
      </c>
      <c r="F11" s="197">
        <v>0</v>
      </c>
      <c r="G11" s="197">
        <v>0</v>
      </c>
      <c r="H11" s="197">
        <f t="shared" si="0"/>
        <v>0</v>
      </c>
      <c r="I11" s="198">
        <f t="shared" si="1"/>
        <v>0</v>
      </c>
      <c r="J11" s="72" t="s">
        <v>21</v>
      </c>
    </row>
    <row r="12" spans="1:17" ht="14.4">
      <c r="A12" s="82" t="s">
        <v>94</v>
      </c>
      <c r="B12" s="197">
        <v>0</v>
      </c>
      <c r="C12" s="197">
        <v>0</v>
      </c>
      <c r="D12" s="197">
        <v>0</v>
      </c>
      <c r="E12" s="197">
        <v>0</v>
      </c>
      <c r="F12" s="197">
        <v>0</v>
      </c>
      <c r="G12" s="197">
        <v>0</v>
      </c>
      <c r="H12" s="197">
        <f t="shared" si="0"/>
        <v>0</v>
      </c>
      <c r="I12" s="198">
        <f t="shared" si="1"/>
        <v>0</v>
      </c>
      <c r="J12" s="72" t="s">
        <v>21</v>
      </c>
    </row>
    <row r="13" spans="1:17">
      <c r="A13" s="81" t="s">
        <v>95</v>
      </c>
      <c r="B13" s="173">
        <v>0</v>
      </c>
      <c r="C13" s="238">
        <v>155</v>
      </c>
      <c r="D13" s="173">
        <v>0</v>
      </c>
      <c r="E13" s="238">
        <v>155</v>
      </c>
      <c r="F13" s="173">
        <v>0</v>
      </c>
      <c r="G13" s="238">
        <f>+E13</f>
        <v>155</v>
      </c>
      <c r="H13" s="173">
        <f t="shared" si="0"/>
        <v>0</v>
      </c>
      <c r="I13" s="174">
        <f t="shared" si="1"/>
        <v>0</v>
      </c>
      <c r="J13" s="72" t="s">
        <v>21</v>
      </c>
    </row>
    <row r="14" spans="1:17">
      <c r="A14" s="84" t="s">
        <v>30</v>
      </c>
      <c r="B14" s="146">
        <f>SUM(B8:B10,B13)</f>
        <v>531</v>
      </c>
      <c r="C14" s="146">
        <f t="shared" ref="C14:I14" si="3">SUM(C8:C10,C13)</f>
        <v>59835</v>
      </c>
      <c r="D14" s="146">
        <v>520</v>
      </c>
      <c r="E14" s="146">
        <f t="shared" si="3"/>
        <v>62651.5</v>
      </c>
      <c r="F14" s="146">
        <f t="shared" si="3"/>
        <v>520</v>
      </c>
      <c r="G14" s="146">
        <f t="shared" si="3"/>
        <v>63317.5</v>
      </c>
      <c r="H14" s="146">
        <f t="shared" si="3"/>
        <v>0</v>
      </c>
      <c r="I14" s="150">
        <f t="shared" si="3"/>
        <v>666</v>
      </c>
      <c r="J14" s="72" t="s">
        <v>21</v>
      </c>
    </row>
    <row r="15" spans="1:17">
      <c r="A15" s="83" t="s">
        <v>96</v>
      </c>
      <c r="B15" s="31"/>
      <c r="C15" s="31"/>
      <c r="D15" s="31"/>
      <c r="E15" s="31"/>
      <c r="F15" s="31"/>
      <c r="G15" s="31"/>
      <c r="H15" s="31"/>
      <c r="I15" s="157"/>
      <c r="J15" s="72" t="s">
        <v>21</v>
      </c>
    </row>
    <row r="16" spans="1:17">
      <c r="A16" s="81" t="s">
        <v>97</v>
      </c>
      <c r="B16" s="31"/>
      <c r="C16" s="219">
        <v>18132</v>
      </c>
      <c r="D16" s="31"/>
      <c r="E16" s="219">
        <v>18209</v>
      </c>
      <c r="F16" s="31"/>
      <c r="G16" s="219">
        <f>18209+115+154</f>
        <v>18478</v>
      </c>
      <c r="H16" s="31"/>
      <c r="I16" s="157">
        <f t="shared" ref="I16:I36" si="4">G16-E16</f>
        <v>269</v>
      </c>
      <c r="J16" s="72" t="s">
        <v>21</v>
      </c>
    </row>
    <row r="17" spans="1:10">
      <c r="A17" s="81" t="s">
        <v>98</v>
      </c>
      <c r="B17" s="31"/>
      <c r="C17" s="219">
        <v>2</v>
      </c>
      <c r="D17" s="31"/>
      <c r="E17" s="219">
        <v>0</v>
      </c>
      <c r="F17" s="31"/>
      <c r="G17" s="219">
        <v>0</v>
      </c>
      <c r="H17" s="31"/>
      <c r="I17" s="157">
        <f t="shared" si="4"/>
        <v>0</v>
      </c>
      <c r="J17" s="72" t="s">
        <v>21</v>
      </c>
    </row>
    <row r="18" spans="1:10">
      <c r="A18" s="81" t="s">
        <v>99</v>
      </c>
      <c r="B18" s="31"/>
      <c r="C18" s="219">
        <v>2382</v>
      </c>
      <c r="D18" s="31"/>
      <c r="E18" s="219">
        <v>2392</v>
      </c>
      <c r="F18" s="31"/>
      <c r="G18" s="219">
        <v>2392</v>
      </c>
      <c r="H18" s="31"/>
      <c r="I18" s="157">
        <f t="shared" si="4"/>
        <v>0</v>
      </c>
      <c r="J18" s="72" t="s">
        <v>21</v>
      </c>
    </row>
    <row r="19" spans="1:10">
      <c r="A19" s="138" t="s">
        <v>175</v>
      </c>
      <c r="B19" s="31"/>
      <c r="C19" s="219">
        <v>320</v>
      </c>
      <c r="D19" s="31"/>
      <c r="E19" s="219">
        <v>323</v>
      </c>
      <c r="F19" s="31"/>
      <c r="G19" s="219">
        <v>323</v>
      </c>
      <c r="H19" s="31"/>
      <c r="I19" s="157">
        <f t="shared" si="4"/>
        <v>0</v>
      </c>
      <c r="J19" s="72" t="s">
        <v>21</v>
      </c>
    </row>
    <row r="20" spans="1:10">
      <c r="A20" s="81" t="s">
        <v>100</v>
      </c>
      <c r="B20" s="31"/>
      <c r="C20" s="219">
        <v>12263</v>
      </c>
      <c r="D20" s="31"/>
      <c r="E20" s="219">
        <v>12027</v>
      </c>
      <c r="F20" s="31"/>
      <c r="G20" s="219">
        <f>12027+125</f>
        <v>12152</v>
      </c>
      <c r="H20" s="31"/>
      <c r="I20" s="157">
        <f t="shared" si="4"/>
        <v>125</v>
      </c>
      <c r="J20" s="72" t="s">
        <v>21</v>
      </c>
    </row>
    <row r="21" spans="1:10">
      <c r="A21" s="81" t="s">
        <v>101</v>
      </c>
      <c r="B21" s="31"/>
      <c r="C21" s="219">
        <v>0</v>
      </c>
      <c r="D21" s="31"/>
      <c r="E21" s="219">
        <v>0</v>
      </c>
      <c r="F21" s="31"/>
      <c r="G21" s="219">
        <v>0</v>
      </c>
      <c r="H21" s="31"/>
      <c r="I21" s="157">
        <f t="shared" si="4"/>
        <v>0</v>
      </c>
      <c r="J21" s="72" t="s">
        <v>21</v>
      </c>
    </row>
    <row r="22" spans="1:10">
      <c r="A22" s="81" t="s">
        <v>102</v>
      </c>
      <c r="B22" s="31"/>
      <c r="C22" s="219">
        <v>1220</v>
      </c>
      <c r="D22" s="31"/>
      <c r="E22" s="219">
        <v>1225</v>
      </c>
      <c r="F22" s="31"/>
      <c r="G22" s="219">
        <v>1225</v>
      </c>
      <c r="H22" s="31"/>
      <c r="I22" s="157">
        <f t="shared" si="4"/>
        <v>0</v>
      </c>
      <c r="J22" s="72" t="s">
        <v>21</v>
      </c>
    </row>
    <row r="23" spans="1:10">
      <c r="A23" s="81" t="s">
        <v>103</v>
      </c>
      <c r="B23" s="31"/>
      <c r="C23" s="219">
        <v>68</v>
      </c>
      <c r="D23" s="31"/>
      <c r="E23" s="219">
        <v>68</v>
      </c>
      <c r="F23" s="31"/>
      <c r="G23" s="219">
        <v>68</v>
      </c>
      <c r="H23" s="31"/>
      <c r="I23" s="157">
        <f t="shared" si="4"/>
        <v>0</v>
      </c>
      <c r="J23" s="72" t="s">
        <v>21</v>
      </c>
    </row>
    <row r="24" spans="1:10">
      <c r="A24" s="81" t="s">
        <v>104</v>
      </c>
      <c r="B24" s="31"/>
      <c r="C24" s="219">
        <v>496</v>
      </c>
      <c r="D24" s="31"/>
      <c r="E24" s="219">
        <v>1535</v>
      </c>
      <c r="F24" s="31"/>
      <c r="G24" s="219">
        <v>1535</v>
      </c>
      <c r="H24" s="31"/>
      <c r="I24" s="157">
        <f>G24-E24</f>
        <v>0</v>
      </c>
      <c r="J24" s="72" t="s">
        <v>21</v>
      </c>
    </row>
    <row r="25" spans="1:10">
      <c r="A25" s="81" t="s">
        <v>105</v>
      </c>
      <c r="B25" s="31"/>
      <c r="C25" s="219">
        <f>9641+900</f>
        <v>10541</v>
      </c>
      <c r="D25" s="31"/>
      <c r="E25" s="219">
        <f>6357+661+2004+300</f>
        <v>9322</v>
      </c>
      <c r="F25" s="31"/>
      <c r="G25" s="219">
        <f>7018+3569-661</f>
        <v>9926</v>
      </c>
      <c r="H25" s="31"/>
      <c r="I25" s="157">
        <f t="shared" si="4"/>
        <v>604</v>
      </c>
      <c r="J25" s="72" t="s">
        <v>21</v>
      </c>
    </row>
    <row r="26" spans="1:10">
      <c r="A26" s="81" t="s">
        <v>106</v>
      </c>
      <c r="B26" s="31"/>
      <c r="C26" s="219">
        <f>2063+600</f>
        <v>2663</v>
      </c>
      <c r="D26" s="31"/>
      <c r="E26" s="219">
        <v>2071</v>
      </c>
      <c r="F26" s="31"/>
      <c r="G26" s="219">
        <f>2071-138+132</f>
        <v>2065</v>
      </c>
      <c r="H26" s="31"/>
      <c r="I26" s="157">
        <f t="shared" si="4"/>
        <v>-6</v>
      </c>
      <c r="J26" s="72" t="s">
        <v>21</v>
      </c>
    </row>
    <row r="27" spans="1:10">
      <c r="A27" s="81" t="s">
        <v>107</v>
      </c>
      <c r="B27" s="31"/>
      <c r="C27" s="219">
        <v>0</v>
      </c>
      <c r="D27" s="31"/>
      <c r="E27" s="219">
        <v>0</v>
      </c>
      <c r="F27" s="31"/>
      <c r="G27" s="219">
        <v>0</v>
      </c>
      <c r="H27" s="31"/>
      <c r="I27" s="157">
        <f t="shared" si="4"/>
        <v>0</v>
      </c>
      <c r="J27" s="72" t="s">
        <v>21</v>
      </c>
    </row>
    <row r="28" spans="1:10">
      <c r="A28" s="81" t="s">
        <v>108</v>
      </c>
      <c r="B28" s="31"/>
      <c r="C28" s="219">
        <v>0</v>
      </c>
      <c r="D28" s="31"/>
      <c r="E28" s="219">
        <v>0</v>
      </c>
      <c r="F28" s="31"/>
      <c r="G28" s="219">
        <v>0</v>
      </c>
      <c r="H28" s="31"/>
      <c r="I28" s="157">
        <f t="shared" si="4"/>
        <v>0</v>
      </c>
      <c r="J28" s="72" t="s">
        <v>21</v>
      </c>
    </row>
    <row r="29" spans="1:10">
      <c r="A29" s="81" t="s">
        <v>59</v>
      </c>
      <c r="B29" s="31"/>
      <c r="C29" s="219">
        <v>0</v>
      </c>
      <c r="D29" s="31"/>
      <c r="E29" s="219">
        <v>0</v>
      </c>
      <c r="F29" s="31"/>
      <c r="G29" s="219">
        <v>0</v>
      </c>
      <c r="H29" s="31"/>
      <c r="I29" s="157">
        <f t="shared" si="4"/>
        <v>0</v>
      </c>
      <c r="J29" s="72" t="s">
        <v>21</v>
      </c>
    </row>
    <row r="30" spans="1:10">
      <c r="A30" s="81" t="s">
        <v>109</v>
      </c>
      <c r="B30" s="31"/>
      <c r="C30" s="219">
        <v>0</v>
      </c>
      <c r="D30" s="31"/>
      <c r="E30" s="219">
        <v>0</v>
      </c>
      <c r="F30" s="31"/>
      <c r="G30" s="219">
        <v>0</v>
      </c>
      <c r="H30" s="31"/>
      <c r="I30" s="157">
        <f t="shared" si="4"/>
        <v>0</v>
      </c>
      <c r="J30" s="72" t="s">
        <v>21</v>
      </c>
    </row>
    <row r="31" spans="1:10">
      <c r="A31" s="81" t="s">
        <v>110</v>
      </c>
      <c r="B31" s="31"/>
      <c r="C31" s="219">
        <v>0</v>
      </c>
      <c r="D31" s="31"/>
      <c r="E31" s="219">
        <v>0</v>
      </c>
      <c r="F31" s="31"/>
      <c r="G31" s="219">
        <v>0</v>
      </c>
      <c r="H31" s="31"/>
      <c r="I31" s="157">
        <f t="shared" si="4"/>
        <v>0</v>
      </c>
      <c r="J31" s="72" t="s">
        <v>21</v>
      </c>
    </row>
    <row r="32" spans="1:10">
      <c r="A32" s="81" t="s">
        <v>111</v>
      </c>
      <c r="B32" s="31"/>
      <c r="C32" s="219">
        <v>408</v>
      </c>
      <c r="D32" s="31"/>
      <c r="E32" s="219">
        <v>409</v>
      </c>
      <c r="F32" s="31"/>
      <c r="G32" s="219">
        <v>409</v>
      </c>
      <c r="H32" s="31"/>
      <c r="I32" s="157">
        <f t="shared" si="4"/>
        <v>0</v>
      </c>
      <c r="J32" s="72" t="s">
        <v>21</v>
      </c>
    </row>
    <row r="33" spans="1:10">
      <c r="A33" s="81" t="s">
        <v>112</v>
      </c>
      <c r="B33" s="31"/>
      <c r="C33" s="219">
        <v>738.5</v>
      </c>
      <c r="D33" s="31"/>
      <c r="E33" s="219">
        <v>741</v>
      </c>
      <c r="F33" s="31"/>
      <c r="G33" s="219">
        <v>741</v>
      </c>
      <c r="H33" s="31"/>
      <c r="I33" s="157">
        <f t="shared" si="4"/>
        <v>0</v>
      </c>
      <c r="J33" s="72" t="s">
        <v>21</v>
      </c>
    </row>
    <row r="34" spans="1:10">
      <c r="A34" s="81" t="s">
        <v>113</v>
      </c>
      <c r="B34" s="31"/>
      <c r="C34" s="219">
        <v>0</v>
      </c>
      <c r="D34" s="31"/>
      <c r="E34" s="219">
        <v>0</v>
      </c>
      <c r="F34" s="31"/>
      <c r="G34" s="219">
        <v>0</v>
      </c>
      <c r="H34" s="31"/>
      <c r="I34" s="157">
        <f t="shared" si="4"/>
        <v>0</v>
      </c>
      <c r="J34" s="72" t="s">
        <v>21</v>
      </c>
    </row>
    <row r="35" spans="1:10">
      <c r="A35" s="81" t="s">
        <v>114</v>
      </c>
      <c r="B35" s="31"/>
      <c r="C35" s="219">
        <v>0</v>
      </c>
      <c r="D35" s="31"/>
      <c r="E35" s="219">
        <v>0</v>
      </c>
      <c r="F35" s="31"/>
      <c r="G35" s="219">
        <v>0</v>
      </c>
      <c r="H35" s="31"/>
      <c r="I35" s="157">
        <f t="shared" si="4"/>
        <v>0</v>
      </c>
      <c r="J35" s="72" t="s">
        <v>21</v>
      </c>
    </row>
    <row r="36" spans="1:10">
      <c r="A36" s="81" t="s">
        <v>115</v>
      </c>
      <c r="B36" s="31"/>
      <c r="C36" s="219">
        <v>0</v>
      </c>
      <c r="D36" s="31"/>
      <c r="E36" s="219">
        <v>0</v>
      </c>
      <c r="F36" s="31"/>
      <c r="G36" s="219">
        <v>0</v>
      </c>
      <c r="H36" s="31"/>
      <c r="I36" s="157">
        <f t="shared" si="4"/>
        <v>0</v>
      </c>
      <c r="J36" s="72" t="s">
        <v>21</v>
      </c>
    </row>
    <row r="37" spans="1:10">
      <c r="A37" s="84" t="s">
        <v>116</v>
      </c>
      <c r="B37" s="101"/>
      <c r="C37" s="101">
        <f>SUM(C14:C36)</f>
        <v>109068.5</v>
      </c>
      <c r="D37" s="101"/>
      <c r="E37" s="101">
        <f>SUM(E14:E36)</f>
        <v>110973.5</v>
      </c>
      <c r="F37" s="101"/>
      <c r="G37" s="101">
        <f t="shared" ref="G37:I37" si="5">SUM(G14:G36)</f>
        <v>112631.5</v>
      </c>
      <c r="H37" s="101"/>
      <c r="I37" s="103">
        <f t="shared" si="5"/>
        <v>1658</v>
      </c>
      <c r="J37" s="72" t="s">
        <v>21</v>
      </c>
    </row>
    <row r="38" spans="1:10">
      <c r="A38" s="138" t="s">
        <v>176</v>
      </c>
      <c r="B38" s="31"/>
      <c r="C38" s="219">
        <v>-2000</v>
      </c>
      <c r="D38" s="31"/>
      <c r="E38" s="219">
        <v>-2004</v>
      </c>
      <c r="F38" s="31"/>
      <c r="G38" s="31">
        <v>0</v>
      </c>
      <c r="H38" s="31"/>
      <c r="I38" s="157">
        <f>G38-E38</f>
        <v>2004</v>
      </c>
      <c r="J38" s="72" t="s">
        <v>21</v>
      </c>
    </row>
    <row r="39" spans="1:10">
      <c r="A39" s="207" t="s">
        <v>188</v>
      </c>
      <c r="B39" s="31"/>
      <c r="C39" s="219">
        <v>0</v>
      </c>
      <c r="D39" s="31"/>
      <c r="E39" s="219">
        <v>-300</v>
      </c>
      <c r="F39" s="31"/>
      <c r="G39" s="31">
        <v>0</v>
      </c>
      <c r="H39" s="31"/>
      <c r="I39" s="157">
        <f t="shared" ref="I39:I43" si="6">G39-E39</f>
        <v>300</v>
      </c>
      <c r="J39" s="72" t="s">
        <v>21</v>
      </c>
    </row>
    <row r="40" spans="1:10">
      <c r="A40" s="207" t="s">
        <v>233</v>
      </c>
      <c r="B40" s="31"/>
      <c r="C40" s="219">
        <v>-1500</v>
      </c>
      <c r="D40" s="31"/>
      <c r="E40" s="219"/>
      <c r="F40" s="31"/>
      <c r="G40" s="31"/>
      <c r="H40" s="31"/>
      <c r="I40" s="157"/>
      <c r="J40" s="72"/>
    </row>
    <row r="41" spans="1:10">
      <c r="A41" s="207" t="s">
        <v>189</v>
      </c>
      <c r="B41" s="31"/>
      <c r="C41" s="219">
        <v>-4</v>
      </c>
      <c r="D41" s="31"/>
      <c r="E41" s="219">
        <v>0</v>
      </c>
      <c r="F41" s="31"/>
      <c r="G41" s="31">
        <v>0</v>
      </c>
      <c r="H41" s="31"/>
      <c r="I41" s="157">
        <f t="shared" si="6"/>
        <v>0</v>
      </c>
      <c r="J41" s="72" t="s">
        <v>21</v>
      </c>
    </row>
    <row r="42" spans="1:10">
      <c r="A42" s="81" t="s">
        <v>117</v>
      </c>
      <c r="B42" s="31"/>
      <c r="C42" s="219">
        <v>2004</v>
      </c>
      <c r="D42" s="31"/>
      <c r="E42" s="219">
        <v>0</v>
      </c>
      <c r="F42" s="31"/>
      <c r="G42" s="31">
        <v>0</v>
      </c>
      <c r="H42" s="31"/>
      <c r="I42" s="157">
        <f t="shared" si="6"/>
        <v>0</v>
      </c>
      <c r="J42" s="72" t="s">
        <v>21</v>
      </c>
    </row>
    <row r="43" spans="1:10">
      <c r="A43" s="144" t="s">
        <v>180</v>
      </c>
      <c r="B43" s="31"/>
      <c r="C43" s="219">
        <v>440</v>
      </c>
      <c r="D43" s="31"/>
      <c r="E43" s="219">
        <v>0</v>
      </c>
      <c r="F43" s="31"/>
      <c r="G43" s="31">
        <v>0</v>
      </c>
      <c r="H43" s="31"/>
      <c r="I43" s="157">
        <f t="shared" si="6"/>
        <v>0</v>
      </c>
      <c r="J43" s="72" t="s">
        <v>21</v>
      </c>
    </row>
    <row r="44" spans="1:10" ht="14.4" thickBot="1">
      <c r="A44" s="85" t="s">
        <v>118</v>
      </c>
      <c r="B44" s="199">
        <f t="shared" ref="B44:I44" si="7">SUM(B37:B43)</f>
        <v>0</v>
      </c>
      <c r="C44" s="199">
        <f>SUM(C37:C43)</f>
        <v>108008.5</v>
      </c>
      <c r="D44" s="199">
        <f t="shared" si="7"/>
        <v>0</v>
      </c>
      <c r="E44" s="199">
        <f t="shared" si="7"/>
        <v>108669.5</v>
      </c>
      <c r="F44" s="199">
        <f t="shared" si="7"/>
        <v>0</v>
      </c>
      <c r="G44" s="199">
        <f t="shared" si="7"/>
        <v>112631.5</v>
      </c>
      <c r="H44" s="199">
        <f t="shared" si="7"/>
        <v>0</v>
      </c>
      <c r="I44" s="200">
        <f t="shared" si="7"/>
        <v>3962</v>
      </c>
      <c r="J44" s="72" t="s">
        <v>21</v>
      </c>
    </row>
    <row r="45" spans="1:10">
      <c r="A45" s="87" t="s">
        <v>31</v>
      </c>
      <c r="B45" s="201"/>
      <c r="C45" s="201"/>
      <c r="D45" s="201"/>
      <c r="E45" s="201"/>
      <c r="F45" s="201"/>
      <c r="G45" s="201"/>
      <c r="H45" s="201"/>
      <c r="I45" s="202"/>
      <c r="J45" s="72" t="s">
        <v>21</v>
      </c>
    </row>
    <row r="46" spans="1:10">
      <c r="A46" s="81" t="s">
        <v>119</v>
      </c>
      <c r="B46" s="31">
        <f>+'B. Summ of Req. by DU'!C14</f>
        <v>104</v>
      </c>
      <c r="C46" s="31"/>
      <c r="D46" s="31">
        <f>+'B. Summ of Req. by DU'!F14</f>
        <v>115</v>
      </c>
      <c r="E46" s="31"/>
      <c r="F46" s="31">
        <f>+'B. Summ of Req. by DU'!L14</f>
        <v>115</v>
      </c>
      <c r="G46" s="31"/>
      <c r="H46" s="31">
        <f>F46-D46</f>
        <v>0</v>
      </c>
      <c r="I46" s="157"/>
      <c r="J46" s="72" t="s">
        <v>21</v>
      </c>
    </row>
    <row r="47" spans="1:10">
      <c r="A47" s="81"/>
      <c r="B47" s="31"/>
      <c r="C47" s="31"/>
      <c r="D47" s="31"/>
      <c r="E47" s="31"/>
      <c r="F47" s="31"/>
      <c r="G47" s="31"/>
      <c r="H47" s="31"/>
      <c r="I47" s="157"/>
      <c r="J47" s="72" t="s">
        <v>21</v>
      </c>
    </row>
    <row r="48" spans="1:10">
      <c r="A48" s="81" t="s">
        <v>120</v>
      </c>
      <c r="B48" s="31"/>
      <c r="C48" s="31">
        <v>2393</v>
      </c>
      <c r="D48" s="31"/>
      <c r="E48" s="31">
        <v>2344</v>
      </c>
      <c r="F48" s="31"/>
      <c r="G48" s="31">
        <v>2364</v>
      </c>
      <c r="H48" s="31"/>
      <c r="I48" s="157"/>
      <c r="J48" s="72" t="s">
        <v>21</v>
      </c>
    </row>
    <row r="49" spans="1:10" ht="14.4" thickBot="1">
      <c r="A49" s="86" t="s">
        <v>121</v>
      </c>
      <c r="B49" s="203"/>
      <c r="C49" s="203">
        <v>189</v>
      </c>
      <c r="D49" s="203"/>
      <c r="E49" s="203">
        <v>189</v>
      </c>
      <c r="F49" s="203"/>
      <c r="G49" s="203">
        <v>166</v>
      </c>
      <c r="H49" s="203"/>
      <c r="I49" s="204"/>
      <c r="J49" s="72" t="s">
        <v>21</v>
      </c>
    </row>
    <row r="50" spans="1:10">
      <c r="A50" s="225" t="s">
        <v>197</v>
      </c>
      <c r="J50" s="4" t="s">
        <v>22</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3" fitToHeight="9999"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U38"/>
  <sheetViews>
    <sheetView view="pageBreakPreview" topLeftCell="A7" zoomScale="80" zoomScaleNormal="100" zoomScaleSheetLayoutView="80" workbookViewId="0">
      <selection sqref="A1:M37"/>
    </sheetView>
  </sheetViews>
  <sheetFormatPr defaultColWidth="9.109375" defaultRowHeight="13.8"/>
  <cols>
    <col min="1" max="1" width="37.109375" style="9" customWidth="1"/>
    <col min="2" max="3" width="8.33203125" style="9" customWidth="1"/>
    <col min="4" max="4" width="12.6640625" style="9" customWidth="1"/>
    <col min="5" max="6" width="8.33203125" style="9" customWidth="1"/>
    <col min="7" max="7" width="12.6640625" style="9" customWidth="1"/>
    <col min="8" max="9" width="8.33203125" style="9" customWidth="1"/>
    <col min="10" max="10" width="12.6640625" style="9" customWidth="1"/>
    <col min="11" max="12" width="8.33203125" style="9" customWidth="1"/>
    <col min="13" max="13" width="12.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c r="A1" s="265" t="s">
        <v>0</v>
      </c>
      <c r="B1" s="265"/>
      <c r="C1" s="265"/>
      <c r="D1" s="265"/>
      <c r="E1" s="265"/>
      <c r="F1" s="265"/>
      <c r="G1" s="265"/>
      <c r="H1" s="265"/>
      <c r="I1" s="265"/>
      <c r="J1" s="265"/>
      <c r="K1" s="265"/>
      <c r="L1" s="265"/>
      <c r="M1" s="265"/>
      <c r="N1" s="72" t="s">
        <v>21</v>
      </c>
      <c r="O1" s="6"/>
      <c r="P1" s="6"/>
      <c r="Q1" s="6"/>
      <c r="R1" s="6"/>
      <c r="S1" s="6"/>
      <c r="T1" s="6"/>
      <c r="U1" s="6"/>
    </row>
    <row r="2" spans="1:21" ht="15">
      <c r="A2" s="266" t="str">
        <f>+'B. Summ of Req.'!A2:D2</f>
        <v>Environment and Natural Resources Division</v>
      </c>
      <c r="B2" s="266"/>
      <c r="C2" s="266"/>
      <c r="D2" s="266"/>
      <c r="E2" s="266"/>
      <c r="F2" s="266"/>
      <c r="G2" s="266"/>
      <c r="H2" s="266"/>
      <c r="I2" s="266"/>
      <c r="J2" s="266"/>
      <c r="K2" s="266"/>
      <c r="L2" s="266"/>
      <c r="M2" s="266"/>
      <c r="N2" s="72" t="s">
        <v>21</v>
      </c>
      <c r="O2" s="7"/>
      <c r="P2" s="7"/>
      <c r="Q2" s="7"/>
      <c r="R2" s="7"/>
      <c r="S2" s="7"/>
      <c r="T2" s="7"/>
      <c r="U2" s="7"/>
    </row>
    <row r="3" spans="1:21">
      <c r="A3" s="275" t="s">
        <v>1</v>
      </c>
      <c r="B3" s="275"/>
      <c r="C3" s="275"/>
      <c r="D3" s="275"/>
      <c r="E3" s="275"/>
      <c r="F3" s="275"/>
      <c r="G3" s="275"/>
      <c r="H3" s="275"/>
      <c r="I3" s="275"/>
      <c r="J3" s="275"/>
      <c r="K3" s="275"/>
      <c r="L3" s="275"/>
      <c r="M3" s="275"/>
      <c r="N3" s="72" t="s">
        <v>21</v>
      </c>
      <c r="O3" s="10"/>
      <c r="P3" s="10"/>
      <c r="Q3" s="10"/>
      <c r="R3" s="10"/>
      <c r="S3" s="10"/>
      <c r="T3" s="10"/>
      <c r="U3" s="10"/>
    </row>
    <row r="4" spans="1:21">
      <c r="A4" s="272" t="s">
        <v>2</v>
      </c>
      <c r="B4" s="272"/>
      <c r="C4" s="272"/>
      <c r="D4" s="272"/>
      <c r="E4" s="272"/>
      <c r="F4" s="272"/>
      <c r="G4" s="272"/>
      <c r="H4" s="272"/>
      <c r="I4" s="272"/>
      <c r="J4" s="272"/>
      <c r="K4" s="272"/>
      <c r="L4" s="272"/>
      <c r="M4" s="272"/>
      <c r="N4" s="72" t="s">
        <v>21</v>
      </c>
      <c r="O4" s="8"/>
      <c r="P4" s="8"/>
      <c r="Q4" s="8"/>
      <c r="R4" s="8"/>
      <c r="S4" s="8"/>
      <c r="T4" s="8"/>
      <c r="U4" s="8"/>
    </row>
    <row r="5" spans="1:21">
      <c r="A5" s="272"/>
      <c r="B5" s="272"/>
      <c r="C5" s="272"/>
      <c r="D5" s="272"/>
      <c r="E5" s="272"/>
      <c r="F5" s="272"/>
      <c r="G5" s="272"/>
      <c r="H5" s="272"/>
      <c r="I5" s="272"/>
      <c r="J5" s="272"/>
      <c r="K5" s="272"/>
      <c r="L5" s="272"/>
      <c r="M5" s="272"/>
      <c r="N5" s="72" t="s">
        <v>21</v>
      </c>
      <c r="O5" s="8"/>
      <c r="P5" s="8"/>
      <c r="Q5" s="8"/>
      <c r="R5" s="8"/>
      <c r="S5" s="8"/>
      <c r="T5" s="8"/>
      <c r="U5" s="8"/>
    </row>
    <row r="6" spans="1:21" ht="14.4" thickBot="1">
      <c r="A6" s="272"/>
      <c r="B6" s="272"/>
      <c r="C6" s="272"/>
      <c r="D6" s="272"/>
      <c r="E6" s="272"/>
      <c r="F6" s="272"/>
      <c r="G6" s="272"/>
      <c r="H6" s="272"/>
      <c r="I6" s="272"/>
      <c r="J6" s="272"/>
      <c r="K6" s="272"/>
      <c r="L6" s="272"/>
      <c r="M6" s="272"/>
      <c r="N6" s="72" t="s">
        <v>21</v>
      </c>
      <c r="O6" s="8"/>
      <c r="P6" s="8"/>
      <c r="Q6" s="8"/>
      <c r="R6" s="8"/>
      <c r="S6" s="8"/>
      <c r="T6" s="8"/>
      <c r="U6" s="8"/>
    </row>
    <row r="7" spans="1:21" ht="45.75" customHeight="1">
      <c r="A7" s="273" t="s">
        <v>163</v>
      </c>
      <c r="B7" s="276" t="s">
        <v>155</v>
      </c>
      <c r="C7" s="276"/>
      <c r="D7" s="276"/>
      <c r="E7" s="276" t="s">
        <v>195</v>
      </c>
      <c r="F7" s="276"/>
      <c r="G7" s="276"/>
      <c r="H7" s="276" t="s">
        <v>184</v>
      </c>
      <c r="I7" s="276"/>
      <c r="J7" s="276"/>
      <c r="K7" s="276" t="s">
        <v>12</v>
      </c>
      <c r="L7" s="276"/>
      <c r="M7" s="277"/>
      <c r="N7" s="72" t="s">
        <v>21</v>
      </c>
    </row>
    <row r="8" spans="1:21" ht="27.6">
      <c r="A8" s="274"/>
      <c r="B8" s="11" t="s">
        <v>4</v>
      </c>
      <c r="C8" s="128" t="s">
        <v>157</v>
      </c>
      <c r="D8" s="11" t="s">
        <v>5</v>
      </c>
      <c r="E8" s="11" t="s">
        <v>4</v>
      </c>
      <c r="F8" s="128" t="s">
        <v>178</v>
      </c>
      <c r="G8" s="11" t="s">
        <v>5</v>
      </c>
      <c r="H8" s="11" t="s">
        <v>4</v>
      </c>
      <c r="I8" s="11" t="s">
        <v>178</v>
      </c>
      <c r="J8" s="11" t="s">
        <v>5</v>
      </c>
      <c r="K8" s="11" t="s">
        <v>4</v>
      </c>
      <c r="L8" s="11" t="s">
        <v>178</v>
      </c>
      <c r="M8" s="12" t="s">
        <v>5</v>
      </c>
      <c r="N8" s="72" t="s">
        <v>21</v>
      </c>
    </row>
    <row r="9" spans="1:21">
      <c r="A9" s="231" t="s">
        <v>205</v>
      </c>
      <c r="B9" s="31">
        <f t="shared" ref="B9:G9" si="0">0.9*B11</f>
        <v>483.3</v>
      </c>
      <c r="C9" s="31">
        <f t="shared" si="0"/>
        <v>477.90000000000003</v>
      </c>
      <c r="D9" s="31">
        <v>97208</v>
      </c>
      <c r="E9" s="31">
        <f t="shared" si="0"/>
        <v>483.3</v>
      </c>
      <c r="F9" s="31">
        <v>473</v>
      </c>
      <c r="G9" s="31">
        <f t="shared" si="0"/>
        <v>97803</v>
      </c>
      <c r="H9" s="31">
        <v>0</v>
      </c>
      <c r="I9" s="31">
        <v>0</v>
      </c>
      <c r="J9" s="31">
        <f>0.9*J11</f>
        <v>3565.8</v>
      </c>
      <c r="K9" s="31">
        <f t="shared" ref="K9:K10" si="1">E9+H9</f>
        <v>483.3</v>
      </c>
      <c r="L9" s="31">
        <f t="shared" ref="L9:M13" si="2">F9+I9</f>
        <v>473</v>
      </c>
      <c r="M9" s="157">
        <f t="shared" si="2"/>
        <v>101368.8</v>
      </c>
      <c r="N9" s="72" t="s">
        <v>21</v>
      </c>
    </row>
    <row r="10" spans="1:21">
      <c r="A10" s="232" t="s">
        <v>206</v>
      </c>
      <c r="B10" s="158">
        <f>+B11-B9</f>
        <v>53.699999999999989</v>
      </c>
      <c r="C10" s="158">
        <f t="shared" ref="C10" si="3">+C11-C9</f>
        <v>53.099999999999966</v>
      </c>
      <c r="D10" s="158">
        <v>10801</v>
      </c>
      <c r="E10" s="158">
        <f>+E11-E9</f>
        <v>53.699999999999989</v>
      </c>
      <c r="F10" s="158">
        <v>47</v>
      </c>
      <c r="G10" s="158">
        <f t="shared" ref="G10" si="4">+G11-G9</f>
        <v>10867</v>
      </c>
      <c r="H10" s="158">
        <v>0</v>
      </c>
      <c r="I10" s="158">
        <v>0</v>
      </c>
      <c r="J10" s="158">
        <f>+J11-J9</f>
        <v>396.19999999999982</v>
      </c>
      <c r="K10" s="158">
        <f t="shared" si="1"/>
        <v>53.699999999999989</v>
      </c>
      <c r="L10" s="158">
        <f t="shared" si="2"/>
        <v>47</v>
      </c>
      <c r="M10" s="159">
        <f t="shared" si="2"/>
        <v>11263.2</v>
      </c>
      <c r="N10" s="72" t="s">
        <v>21</v>
      </c>
    </row>
    <row r="11" spans="1:21">
      <c r="A11" s="13" t="s">
        <v>160</v>
      </c>
      <c r="B11" s="160">
        <f>+'B. Summ of Req.'!B8</f>
        <v>537</v>
      </c>
      <c r="C11" s="160">
        <f>+'B. Summ of Req.'!C8</f>
        <v>531</v>
      </c>
      <c r="D11" s="160">
        <f>SUM(D9:D10)</f>
        <v>108009</v>
      </c>
      <c r="E11" s="160">
        <f>+'B. Summ of Req.'!B12</f>
        <v>537</v>
      </c>
      <c r="F11" s="160">
        <f>SUM(F9:F10)</f>
        <v>520</v>
      </c>
      <c r="G11" s="160">
        <f>+'B. Summ of Req.'!D12</f>
        <v>108670</v>
      </c>
      <c r="H11" s="160">
        <f>SUM(H9:H10)</f>
        <v>0</v>
      </c>
      <c r="I11" s="160">
        <f>SUM(I9:I10)</f>
        <v>0</v>
      </c>
      <c r="J11" s="160">
        <f>+'B. Summ of Req.'!D25</f>
        <v>3962</v>
      </c>
      <c r="K11" s="160">
        <f>SUM(K9:K10)</f>
        <v>537</v>
      </c>
      <c r="L11" s="160">
        <f>SUM(L9:L10)</f>
        <v>520</v>
      </c>
      <c r="M11" s="161">
        <f>SUM(M9:M10)</f>
        <v>112632</v>
      </c>
      <c r="N11" s="72" t="s">
        <v>21</v>
      </c>
    </row>
    <row r="12" spans="1:21">
      <c r="A12" s="115" t="s">
        <v>159</v>
      </c>
      <c r="B12" s="162"/>
      <c r="C12" s="162"/>
      <c r="D12" s="163">
        <v>0</v>
      </c>
      <c r="E12" s="162"/>
      <c r="F12" s="162"/>
      <c r="G12" s="163">
        <v>0</v>
      </c>
      <c r="H12" s="162"/>
      <c r="I12" s="162"/>
      <c r="J12" s="163">
        <v>0</v>
      </c>
      <c r="K12" s="162"/>
      <c r="L12" s="162"/>
      <c r="M12" s="164">
        <f t="shared" si="2"/>
        <v>0</v>
      </c>
      <c r="N12" s="72" t="s">
        <v>21</v>
      </c>
    </row>
    <row r="13" spans="1:21">
      <c r="A13" s="141" t="s">
        <v>179</v>
      </c>
      <c r="B13" s="34"/>
      <c r="C13" s="34"/>
      <c r="D13" s="165">
        <f>SUM(D11:D12)</f>
        <v>108009</v>
      </c>
      <c r="E13" s="34"/>
      <c r="F13" s="34"/>
      <c r="G13" s="165">
        <f>SUM(G11:G12)</f>
        <v>108670</v>
      </c>
      <c r="H13" s="34"/>
      <c r="I13" s="34"/>
      <c r="J13" s="165">
        <f>SUM(J11:J12)</f>
        <v>3962</v>
      </c>
      <c r="K13" s="34"/>
      <c r="L13" s="34"/>
      <c r="M13" s="166">
        <f t="shared" si="2"/>
        <v>112632</v>
      </c>
      <c r="N13" s="72" t="s">
        <v>21</v>
      </c>
    </row>
    <row r="14" spans="1:21">
      <c r="A14" s="129" t="s">
        <v>31</v>
      </c>
      <c r="B14" s="167"/>
      <c r="C14" s="167">
        <v>104</v>
      </c>
      <c r="D14" s="167"/>
      <c r="E14" s="167"/>
      <c r="F14" s="167">
        <v>115</v>
      </c>
      <c r="G14" s="167"/>
      <c r="H14" s="167"/>
      <c r="I14" s="167">
        <v>0</v>
      </c>
      <c r="J14" s="167"/>
      <c r="K14" s="167"/>
      <c r="L14" s="167">
        <f t="shared" ref="L14:L15" si="5">F14+I14</f>
        <v>115</v>
      </c>
      <c r="M14" s="168"/>
      <c r="N14" s="72" t="s">
        <v>21</v>
      </c>
    </row>
    <row r="15" spans="1:21">
      <c r="A15" s="130" t="s">
        <v>161</v>
      </c>
      <c r="B15" s="31"/>
      <c r="C15" s="31">
        <f>C11+C14</f>
        <v>635</v>
      </c>
      <c r="D15" s="31"/>
      <c r="E15" s="31"/>
      <c r="F15" s="31">
        <f>F11+F14</f>
        <v>635</v>
      </c>
      <c r="G15" s="31"/>
      <c r="H15" s="31"/>
      <c r="I15" s="31">
        <f>I11+I14</f>
        <v>0</v>
      </c>
      <c r="J15" s="31"/>
      <c r="K15" s="31"/>
      <c r="L15" s="31">
        <f t="shared" si="5"/>
        <v>635</v>
      </c>
      <c r="M15" s="157"/>
      <c r="N15" s="72" t="s">
        <v>21</v>
      </c>
    </row>
    <row r="16" spans="1:21">
      <c r="A16" s="16"/>
      <c r="B16" s="31"/>
      <c r="C16" s="31"/>
      <c r="D16" s="31"/>
      <c r="E16" s="31"/>
      <c r="F16" s="31"/>
      <c r="G16" s="31"/>
      <c r="H16" s="31"/>
      <c r="I16" s="31"/>
      <c r="J16" s="31"/>
      <c r="K16" s="31"/>
      <c r="L16" s="31"/>
      <c r="M16" s="157"/>
      <c r="N16" s="72" t="s">
        <v>21</v>
      </c>
    </row>
    <row r="17" spans="1:14">
      <c r="A17" s="16" t="s">
        <v>32</v>
      </c>
      <c r="B17" s="31"/>
      <c r="C17" s="31"/>
      <c r="D17" s="31"/>
      <c r="E17" s="31"/>
      <c r="F17" s="31"/>
      <c r="G17" s="31"/>
      <c r="H17" s="31"/>
      <c r="I17" s="31"/>
      <c r="J17" s="31"/>
      <c r="K17" s="31"/>
      <c r="L17" s="31"/>
      <c r="M17" s="157"/>
      <c r="N17" s="72" t="s">
        <v>21</v>
      </c>
    </row>
    <row r="18" spans="1:14">
      <c r="A18" s="17" t="s">
        <v>33</v>
      </c>
      <c r="B18" s="31"/>
      <c r="C18" s="31">
        <v>0</v>
      </c>
      <c r="D18" s="31"/>
      <c r="E18" s="31"/>
      <c r="F18" s="31">
        <v>0</v>
      </c>
      <c r="G18" s="31"/>
      <c r="H18" s="31"/>
      <c r="I18" s="31">
        <v>0</v>
      </c>
      <c r="J18" s="31"/>
      <c r="K18" s="31"/>
      <c r="L18" s="31">
        <f t="shared" ref="L18:L20" si="6">F18+I18</f>
        <v>0</v>
      </c>
      <c r="M18" s="157"/>
      <c r="N18" s="72" t="s">
        <v>21</v>
      </c>
    </row>
    <row r="19" spans="1:14">
      <c r="A19" s="18" t="s">
        <v>34</v>
      </c>
      <c r="B19" s="169"/>
      <c r="C19" s="169">
        <v>0</v>
      </c>
      <c r="D19" s="169"/>
      <c r="E19" s="169"/>
      <c r="F19" s="169">
        <v>0</v>
      </c>
      <c r="G19" s="169"/>
      <c r="H19" s="169"/>
      <c r="I19" s="169">
        <v>0</v>
      </c>
      <c r="J19" s="169"/>
      <c r="K19" s="169"/>
      <c r="L19" s="169">
        <f t="shared" si="6"/>
        <v>0</v>
      </c>
      <c r="M19" s="170"/>
      <c r="N19" s="72" t="s">
        <v>21</v>
      </c>
    </row>
    <row r="20" spans="1:14" ht="14.4" thickBot="1">
      <c r="A20" s="131" t="s">
        <v>162</v>
      </c>
      <c r="B20" s="171"/>
      <c r="C20" s="171">
        <f>C15+C18+C19</f>
        <v>635</v>
      </c>
      <c r="D20" s="171"/>
      <c r="E20" s="171"/>
      <c r="F20" s="171">
        <f>F15+F18+F19</f>
        <v>635</v>
      </c>
      <c r="G20" s="171"/>
      <c r="H20" s="171"/>
      <c r="I20" s="171">
        <f>I15+I18+I19</f>
        <v>0</v>
      </c>
      <c r="J20" s="171"/>
      <c r="K20" s="171"/>
      <c r="L20" s="171">
        <f t="shared" si="6"/>
        <v>635</v>
      </c>
      <c r="M20" s="172"/>
      <c r="N20" s="72" t="s">
        <v>21</v>
      </c>
    </row>
    <row r="21" spans="1:14" ht="14.4" thickBot="1">
      <c r="N21" s="72" t="s">
        <v>21</v>
      </c>
    </row>
    <row r="22" spans="1:14">
      <c r="A22" s="273" t="s">
        <v>163</v>
      </c>
      <c r="B22" s="276" t="s">
        <v>23</v>
      </c>
      <c r="C22" s="276"/>
      <c r="D22" s="276"/>
      <c r="E22" s="276" t="s">
        <v>24</v>
      </c>
      <c r="F22" s="276"/>
      <c r="G22" s="276"/>
      <c r="H22" s="276" t="s">
        <v>25</v>
      </c>
      <c r="I22" s="276"/>
      <c r="J22" s="277"/>
      <c r="N22" s="72" t="s">
        <v>21</v>
      </c>
    </row>
    <row r="23" spans="1:14" ht="27.6">
      <c r="A23" s="274"/>
      <c r="B23" s="11" t="s">
        <v>4</v>
      </c>
      <c r="C23" s="11" t="s">
        <v>178</v>
      </c>
      <c r="D23" s="11" t="s">
        <v>5</v>
      </c>
      <c r="E23" s="11" t="s">
        <v>4</v>
      </c>
      <c r="F23" s="11" t="s">
        <v>178</v>
      </c>
      <c r="G23" s="11" t="s">
        <v>5</v>
      </c>
      <c r="H23" s="11" t="s">
        <v>4</v>
      </c>
      <c r="I23" s="11" t="s">
        <v>178</v>
      </c>
      <c r="J23" s="12" t="s">
        <v>5</v>
      </c>
      <c r="N23" s="72" t="s">
        <v>21</v>
      </c>
    </row>
    <row r="24" spans="1:14">
      <c r="A24" s="16" t="str">
        <f>A9</f>
        <v>Civil Litigation</v>
      </c>
      <c r="B24" s="31">
        <v>0</v>
      </c>
      <c r="C24" s="31">
        <v>0</v>
      </c>
      <c r="D24" s="31">
        <v>0</v>
      </c>
      <c r="E24" s="31">
        <v>0</v>
      </c>
      <c r="F24" s="31">
        <v>0</v>
      </c>
      <c r="G24" s="31">
        <v>0</v>
      </c>
      <c r="H24" s="31">
        <f t="shared" ref="H24:J25" si="7">K9+B24+E24</f>
        <v>483.3</v>
      </c>
      <c r="I24" s="31">
        <f t="shared" si="7"/>
        <v>473</v>
      </c>
      <c r="J24" s="157">
        <f t="shared" si="7"/>
        <v>101368.8</v>
      </c>
      <c r="N24" s="72" t="s">
        <v>21</v>
      </c>
    </row>
    <row r="25" spans="1:14">
      <c r="A25" s="110" t="str">
        <f>A10</f>
        <v>Criminal Litigation</v>
      </c>
      <c r="B25" s="173">
        <v>0</v>
      </c>
      <c r="C25" s="173">
        <v>0</v>
      </c>
      <c r="D25" s="173">
        <v>0</v>
      </c>
      <c r="E25" s="173">
        <v>0</v>
      </c>
      <c r="F25" s="173">
        <v>0</v>
      </c>
      <c r="G25" s="173">
        <v>0</v>
      </c>
      <c r="H25" s="173">
        <f t="shared" si="7"/>
        <v>53.699999999999989</v>
      </c>
      <c r="I25" s="173">
        <f t="shared" si="7"/>
        <v>47</v>
      </c>
      <c r="J25" s="174">
        <f t="shared" si="7"/>
        <v>11263.2</v>
      </c>
      <c r="N25" s="72" t="s">
        <v>21</v>
      </c>
    </row>
    <row r="26" spans="1:14">
      <c r="A26" s="13" t="s">
        <v>160</v>
      </c>
      <c r="B26" s="160">
        <f t="shared" ref="B26:J26" si="8">SUM(B24:B25)</f>
        <v>0</v>
      </c>
      <c r="C26" s="160">
        <f t="shared" si="8"/>
        <v>0</v>
      </c>
      <c r="D26" s="160">
        <f t="shared" si="8"/>
        <v>0</v>
      </c>
      <c r="E26" s="160">
        <f t="shared" si="8"/>
        <v>0</v>
      </c>
      <c r="F26" s="160">
        <f t="shared" si="8"/>
        <v>0</v>
      </c>
      <c r="G26" s="160">
        <f t="shared" si="8"/>
        <v>0</v>
      </c>
      <c r="H26" s="160">
        <f t="shared" si="8"/>
        <v>537</v>
      </c>
      <c r="I26" s="160">
        <f t="shared" si="8"/>
        <v>520</v>
      </c>
      <c r="J26" s="161">
        <f t="shared" si="8"/>
        <v>112632</v>
      </c>
      <c r="N26" s="72" t="s">
        <v>21</v>
      </c>
    </row>
    <row r="27" spans="1:14">
      <c r="A27" s="115" t="s">
        <v>159</v>
      </c>
      <c r="B27" s="162"/>
      <c r="C27" s="162"/>
      <c r="D27" s="163">
        <v>0</v>
      </c>
      <c r="E27" s="162"/>
      <c r="F27" s="162"/>
      <c r="G27" s="163">
        <v>0</v>
      </c>
      <c r="H27" s="162"/>
      <c r="I27" s="162"/>
      <c r="J27" s="164">
        <f>M12+D27+G27</f>
        <v>0</v>
      </c>
      <c r="N27" s="72" t="s">
        <v>21</v>
      </c>
    </row>
    <row r="28" spans="1:14">
      <c r="A28" s="141" t="s">
        <v>179</v>
      </c>
      <c r="B28" s="34"/>
      <c r="C28" s="34"/>
      <c r="D28" s="165">
        <f>SUM(D26:D27)</f>
        <v>0</v>
      </c>
      <c r="E28" s="34"/>
      <c r="F28" s="34"/>
      <c r="G28" s="165">
        <f>SUM(G26:G27)</f>
        <v>0</v>
      </c>
      <c r="H28" s="34"/>
      <c r="I28" s="34"/>
      <c r="J28" s="166">
        <f>M13+D28+G28</f>
        <v>112632</v>
      </c>
      <c r="N28" s="72" t="s">
        <v>21</v>
      </c>
    </row>
    <row r="29" spans="1:14">
      <c r="A29" s="114" t="s">
        <v>31</v>
      </c>
      <c r="B29" s="167"/>
      <c r="C29" s="167">
        <v>0</v>
      </c>
      <c r="D29" s="167"/>
      <c r="E29" s="167"/>
      <c r="F29" s="167">
        <v>0</v>
      </c>
      <c r="G29" s="167"/>
      <c r="H29" s="167"/>
      <c r="I29" s="167">
        <f t="shared" ref="I29:I35" si="9">L14+C29+F29</f>
        <v>115</v>
      </c>
      <c r="J29" s="168"/>
      <c r="N29" s="72" t="s">
        <v>21</v>
      </c>
    </row>
    <row r="30" spans="1:14">
      <c r="A30" s="16" t="s">
        <v>161</v>
      </c>
      <c r="B30" s="31"/>
      <c r="C30" s="31">
        <f>C26+C29</f>
        <v>0</v>
      </c>
      <c r="D30" s="31"/>
      <c r="E30" s="31"/>
      <c r="F30" s="31">
        <f>F26+F29</f>
        <v>0</v>
      </c>
      <c r="G30" s="31"/>
      <c r="H30" s="31"/>
      <c r="I30" s="31">
        <f t="shared" si="9"/>
        <v>635</v>
      </c>
      <c r="J30" s="157"/>
      <c r="N30" s="72" t="s">
        <v>21</v>
      </c>
    </row>
    <row r="31" spans="1:14">
      <c r="A31" s="16"/>
      <c r="B31" s="31"/>
      <c r="C31" s="31"/>
      <c r="D31" s="31"/>
      <c r="E31" s="31"/>
      <c r="F31" s="31"/>
      <c r="G31" s="31"/>
      <c r="H31" s="31"/>
      <c r="I31" s="31">
        <f t="shared" si="9"/>
        <v>0</v>
      </c>
      <c r="J31" s="157"/>
      <c r="N31" s="72" t="s">
        <v>21</v>
      </c>
    </row>
    <row r="32" spans="1:14">
      <c r="A32" s="16" t="s">
        <v>32</v>
      </c>
      <c r="B32" s="31"/>
      <c r="C32" s="31"/>
      <c r="D32" s="31"/>
      <c r="E32" s="31"/>
      <c r="F32" s="31"/>
      <c r="G32" s="31"/>
      <c r="H32" s="31"/>
      <c r="I32" s="31">
        <f t="shared" si="9"/>
        <v>0</v>
      </c>
      <c r="J32" s="157"/>
      <c r="N32" s="72" t="s">
        <v>21</v>
      </c>
    </row>
    <row r="33" spans="1:14">
      <c r="A33" s="17" t="s">
        <v>33</v>
      </c>
      <c r="B33" s="31"/>
      <c r="C33" s="31">
        <v>0</v>
      </c>
      <c r="D33" s="31"/>
      <c r="E33" s="31"/>
      <c r="F33" s="31">
        <v>0</v>
      </c>
      <c r="G33" s="31"/>
      <c r="H33" s="31"/>
      <c r="I33" s="31">
        <f t="shared" si="9"/>
        <v>0</v>
      </c>
      <c r="J33" s="157"/>
      <c r="N33" s="72" t="s">
        <v>21</v>
      </c>
    </row>
    <row r="34" spans="1:14">
      <c r="A34" s="18" t="s">
        <v>34</v>
      </c>
      <c r="B34" s="169"/>
      <c r="C34" s="169">
        <v>0</v>
      </c>
      <c r="D34" s="169"/>
      <c r="E34" s="169"/>
      <c r="F34" s="169">
        <v>0</v>
      </c>
      <c r="G34" s="169"/>
      <c r="H34" s="169"/>
      <c r="I34" s="169">
        <f t="shared" si="9"/>
        <v>0</v>
      </c>
      <c r="J34" s="170"/>
      <c r="N34" s="72" t="s">
        <v>21</v>
      </c>
    </row>
    <row r="35" spans="1:14" ht="14.4" thickBot="1">
      <c r="A35" s="19" t="s">
        <v>162</v>
      </c>
      <c r="B35" s="171"/>
      <c r="C35" s="171">
        <f>C30+C33+C34</f>
        <v>0</v>
      </c>
      <c r="D35" s="171"/>
      <c r="E35" s="171"/>
      <c r="F35" s="171">
        <f>F30+F33+F34</f>
        <v>0</v>
      </c>
      <c r="G35" s="171"/>
      <c r="H35" s="171"/>
      <c r="I35" s="171">
        <f t="shared" si="9"/>
        <v>635</v>
      </c>
      <c r="J35" s="172"/>
      <c r="N35" s="72" t="s">
        <v>21</v>
      </c>
    </row>
    <row r="36" spans="1:14">
      <c r="N36" s="72" t="s">
        <v>21</v>
      </c>
    </row>
    <row r="37" spans="1:14">
      <c r="A37" s="48" t="s">
        <v>199</v>
      </c>
      <c r="N37" s="4" t="s">
        <v>22</v>
      </c>
    </row>
    <row r="38" spans="1:14">
      <c r="A38" s="223"/>
    </row>
  </sheetData>
  <mergeCells count="15">
    <mergeCell ref="A5:M5"/>
    <mergeCell ref="A6:M6"/>
    <mergeCell ref="A22:A23"/>
    <mergeCell ref="A1:M1"/>
    <mergeCell ref="A2:M2"/>
    <mergeCell ref="A3:M3"/>
    <mergeCell ref="A4:M4"/>
    <mergeCell ref="A7:A8"/>
    <mergeCell ref="B7:D7"/>
    <mergeCell ref="E7:G7"/>
    <mergeCell ref="H7:J7"/>
    <mergeCell ref="K7:M7"/>
    <mergeCell ref="B22:D22"/>
    <mergeCell ref="E22:G22"/>
    <mergeCell ref="H22:J22"/>
  </mergeCells>
  <printOptions horizontalCentered="1"/>
  <pageMargins left="0.7" right="0.7" top="0.75" bottom="0.75" header="0.3" footer="0.3"/>
  <pageSetup scale="79" fitToHeight="999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V38"/>
  <sheetViews>
    <sheetView view="pageBreakPreview" zoomScale="80" zoomScaleNormal="100" zoomScaleSheetLayoutView="80" workbookViewId="0">
      <selection activeCell="Q1" sqref="Q1:Q1048576"/>
    </sheetView>
  </sheetViews>
  <sheetFormatPr defaultColWidth="9.109375" defaultRowHeight="13.8"/>
  <cols>
    <col min="1" max="1" width="37.109375" style="9" customWidth="1"/>
    <col min="2" max="2" width="17" style="9" customWidth="1"/>
    <col min="3" max="5" width="8.6640625" style="9" customWidth="1"/>
    <col min="6" max="6" width="12.6640625" style="9" customWidth="1"/>
    <col min="7" max="9" width="8.6640625" style="9" customWidth="1"/>
    <col min="10" max="10" width="12.6640625" style="9" customWidth="1"/>
    <col min="11" max="13" width="8.6640625" style="9" customWidth="1"/>
    <col min="14" max="14" width="12.6640625" style="9" customWidth="1"/>
    <col min="15" max="15" width="14" style="4" bestFit="1" customWidth="1"/>
    <col min="16" max="16" width="4.5546875" style="9" customWidth="1"/>
    <col min="17" max="18" width="8.33203125" style="9" customWidth="1"/>
    <col min="19" max="19" width="12.6640625" style="9" customWidth="1"/>
    <col min="20" max="21" width="8.33203125" style="9" customWidth="1"/>
    <col min="22" max="22" width="12.6640625" style="9" customWidth="1"/>
    <col min="23" max="16384" width="9.109375" style="9"/>
  </cols>
  <sheetData>
    <row r="1" spans="1:22" ht="17.399999999999999">
      <c r="A1" s="265" t="s">
        <v>36</v>
      </c>
      <c r="B1" s="265"/>
      <c r="C1" s="265"/>
      <c r="D1" s="265"/>
      <c r="E1" s="265"/>
      <c r="F1" s="265"/>
      <c r="G1" s="265"/>
      <c r="H1" s="265"/>
      <c r="I1" s="265"/>
      <c r="J1" s="265"/>
      <c r="K1" s="265"/>
      <c r="L1" s="265"/>
      <c r="M1" s="265"/>
      <c r="N1" s="265"/>
      <c r="O1" s="20" t="s">
        <v>21</v>
      </c>
      <c r="P1" s="6"/>
      <c r="Q1" s="6"/>
      <c r="R1" s="6"/>
      <c r="S1" s="6"/>
      <c r="T1" s="6"/>
      <c r="U1" s="6"/>
      <c r="V1" s="6"/>
    </row>
    <row r="2" spans="1:22" ht="17.399999999999999">
      <c r="A2" s="266" t="str">
        <f>+'B. Summ of Req.'!A2:D2</f>
        <v>Environment and Natural Resources Division</v>
      </c>
      <c r="B2" s="266"/>
      <c r="C2" s="266"/>
      <c r="D2" s="266"/>
      <c r="E2" s="266"/>
      <c r="F2" s="266"/>
      <c r="G2" s="266"/>
      <c r="H2" s="266"/>
      <c r="I2" s="266"/>
      <c r="J2" s="266"/>
      <c r="K2" s="266"/>
      <c r="L2" s="266"/>
      <c r="M2" s="266"/>
      <c r="N2" s="266"/>
      <c r="O2" s="20" t="s">
        <v>21</v>
      </c>
      <c r="P2" s="7"/>
      <c r="Q2" s="7"/>
      <c r="R2" s="7"/>
      <c r="S2" s="7"/>
      <c r="T2" s="7"/>
      <c r="U2" s="7"/>
      <c r="V2" s="7"/>
    </row>
    <row r="3" spans="1:22" ht="17.399999999999999">
      <c r="A3" s="278" t="s">
        <v>1</v>
      </c>
      <c r="B3" s="278"/>
      <c r="C3" s="278"/>
      <c r="D3" s="278"/>
      <c r="E3" s="278"/>
      <c r="F3" s="278"/>
      <c r="G3" s="278"/>
      <c r="H3" s="278"/>
      <c r="I3" s="278"/>
      <c r="J3" s="278"/>
      <c r="K3" s="278"/>
      <c r="L3" s="278"/>
      <c r="M3" s="278"/>
      <c r="N3" s="278"/>
      <c r="O3" s="20" t="s">
        <v>21</v>
      </c>
      <c r="P3" s="10"/>
      <c r="Q3" s="10"/>
      <c r="R3" s="10"/>
      <c r="S3" s="10"/>
      <c r="T3" s="10"/>
      <c r="U3" s="10"/>
      <c r="V3" s="10"/>
    </row>
    <row r="4" spans="1:22" ht="17.399999999999999">
      <c r="A4" s="272" t="s">
        <v>2</v>
      </c>
      <c r="B4" s="272"/>
      <c r="C4" s="272"/>
      <c r="D4" s="272"/>
      <c r="E4" s="272"/>
      <c r="F4" s="272"/>
      <c r="G4" s="272"/>
      <c r="H4" s="272"/>
      <c r="I4" s="272"/>
      <c r="J4" s="272"/>
      <c r="K4" s="272"/>
      <c r="L4" s="272"/>
      <c r="M4" s="272"/>
      <c r="N4" s="272"/>
      <c r="O4" s="20" t="s">
        <v>21</v>
      </c>
      <c r="P4" s="8"/>
      <c r="Q4" s="8"/>
      <c r="R4" s="8"/>
      <c r="S4" s="8"/>
      <c r="T4" s="8"/>
      <c r="U4" s="8"/>
      <c r="V4" s="8"/>
    </row>
    <row r="5" spans="1:22" ht="18" thickBot="1">
      <c r="A5" s="281"/>
      <c r="B5" s="281"/>
      <c r="C5" s="281"/>
      <c r="D5" s="281"/>
      <c r="E5" s="281"/>
      <c r="F5" s="281"/>
      <c r="G5" s="281"/>
      <c r="H5" s="281"/>
      <c r="I5" s="281"/>
      <c r="J5" s="281"/>
      <c r="K5" s="282"/>
      <c r="L5" s="282"/>
      <c r="M5" s="282"/>
      <c r="N5" s="282"/>
      <c r="O5" s="20" t="s">
        <v>21</v>
      </c>
      <c r="P5" s="8"/>
      <c r="Q5" s="8"/>
      <c r="R5" s="8"/>
      <c r="S5" s="8"/>
      <c r="T5" s="8"/>
      <c r="U5" s="8"/>
      <c r="V5" s="8"/>
    </row>
    <row r="6" spans="1:22" s="23" customFormat="1" ht="33.75" customHeight="1">
      <c r="A6" s="273" t="s">
        <v>37</v>
      </c>
      <c r="B6" s="279" t="s">
        <v>164</v>
      </c>
      <c r="C6" s="276" t="s">
        <v>26</v>
      </c>
      <c r="D6" s="276"/>
      <c r="E6" s="276"/>
      <c r="F6" s="276"/>
      <c r="G6" s="276" t="s">
        <v>27</v>
      </c>
      <c r="H6" s="276"/>
      <c r="I6" s="276"/>
      <c r="J6" s="277"/>
      <c r="K6" s="74"/>
      <c r="L6" s="74"/>
      <c r="M6" s="74"/>
      <c r="N6" s="132"/>
      <c r="O6" s="20" t="s">
        <v>21</v>
      </c>
    </row>
    <row r="7" spans="1:22" s="23" customFormat="1" ht="27.6">
      <c r="A7" s="274"/>
      <c r="B7" s="280"/>
      <c r="C7" s="21" t="s">
        <v>4</v>
      </c>
      <c r="D7" s="21" t="s">
        <v>45</v>
      </c>
      <c r="E7" s="21" t="s">
        <v>178</v>
      </c>
      <c r="F7" s="21" t="s">
        <v>5</v>
      </c>
      <c r="G7" s="21" t="s">
        <v>4</v>
      </c>
      <c r="H7" s="21" t="s">
        <v>45</v>
      </c>
      <c r="I7" s="21" t="s">
        <v>178</v>
      </c>
      <c r="J7" s="30" t="s">
        <v>5</v>
      </c>
      <c r="K7" s="88"/>
      <c r="L7" s="88"/>
      <c r="M7" s="88"/>
      <c r="N7" s="132"/>
      <c r="O7" s="20" t="s">
        <v>21</v>
      </c>
    </row>
    <row r="8" spans="1:22" s="23" customFormat="1" ht="17.399999999999999">
      <c r="A8" s="26" t="s">
        <v>13</v>
      </c>
      <c r="B8" s="180"/>
      <c r="C8" s="175">
        <v>0</v>
      </c>
      <c r="D8" s="175">
        <v>0</v>
      </c>
      <c r="E8" s="175">
        <v>0</v>
      </c>
      <c r="F8" s="175">
        <v>0</v>
      </c>
      <c r="G8" s="175">
        <v>0</v>
      </c>
      <c r="H8" s="175">
        <v>0</v>
      </c>
      <c r="I8" s="175">
        <v>0</v>
      </c>
      <c r="J8" s="176">
        <v>0</v>
      </c>
      <c r="K8" s="89"/>
      <c r="L8" s="89"/>
      <c r="M8" s="89"/>
      <c r="N8" s="89"/>
      <c r="O8" s="20" t="s">
        <v>21</v>
      </c>
    </row>
    <row r="9" spans="1:22" s="23" customFormat="1" ht="17.399999999999999">
      <c r="A9" s="27" t="s">
        <v>14</v>
      </c>
      <c r="B9" s="181"/>
      <c r="C9" s="32">
        <v>0</v>
      </c>
      <c r="D9" s="32">
        <v>0</v>
      </c>
      <c r="E9" s="32">
        <v>0</v>
      </c>
      <c r="F9" s="32">
        <v>0</v>
      </c>
      <c r="G9" s="32">
        <v>0</v>
      </c>
      <c r="H9" s="32">
        <v>0</v>
      </c>
      <c r="I9" s="32">
        <v>0</v>
      </c>
      <c r="J9" s="33">
        <v>0</v>
      </c>
      <c r="K9" s="89"/>
      <c r="L9" s="89"/>
      <c r="M9" s="89"/>
      <c r="N9" s="89"/>
      <c r="O9" s="20" t="s">
        <v>21</v>
      </c>
    </row>
    <row r="10" spans="1:22" s="23" customFormat="1" ht="17.399999999999999">
      <c r="A10" s="27" t="s">
        <v>15</v>
      </c>
      <c r="B10" s="181"/>
      <c r="C10" s="32">
        <v>0</v>
      </c>
      <c r="D10" s="32">
        <v>0</v>
      </c>
      <c r="E10" s="32">
        <v>0</v>
      </c>
      <c r="F10" s="32">
        <v>0</v>
      </c>
      <c r="G10" s="32">
        <v>0</v>
      </c>
      <c r="H10" s="32">
        <v>0</v>
      </c>
      <c r="I10" s="32">
        <v>0</v>
      </c>
      <c r="J10" s="33">
        <v>0</v>
      </c>
      <c r="K10" s="89"/>
      <c r="L10" s="89"/>
      <c r="M10" s="89"/>
      <c r="N10" s="89"/>
      <c r="O10" s="20" t="s">
        <v>21</v>
      </c>
    </row>
    <row r="11" spans="1:22" s="23" customFormat="1" ht="17.399999999999999">
      <c r="A11" s="28" t="s">
        <v>38</v>
      </c>
      <c r="B11" s="182"/>
      <c r="C11" s="177">
        <v>0</v>
      </c>
      <c r="D11" s="177">
        <v>0</v>
      </c>
      <c r="E11" s="177">
        <v>0</v>
      </c>
      <c r="F11" s="177">
        <v>0</v>
      </c>
      <c r="G11" s="177">
        <v>0</v>
      </c>
      <c r="H11" s="177">
        <v>0</v>
      </c>
      <c r="I11" s="177">
        <v>0</v>
      </c>
      <c r="J11" s="178">
        <v>0</v>
      </c>
      <c r="K11" s="89"/>
      <c r="L11" s="89"/>
      <c r="M11" s="89"/>
      <c r="N11" s="89"/>
      <c r="O11" s="20" t="s">
        <v>21</v>
      </c>
    </row>
    <row r="12" spans="1:22" s="23" customFormat="1" ht="18" thickBot="1">
      <c r="A12" s="24" t="s">
        <v>43</v>
      </c>
      <c r="B12" s="25"/>
      <c r="C12" s="41">
        <f>SUM(C8:C11)</f>
        <v>0</v>
      </c>
      <c r="D12" s="41">
        <f>SUM(D8:D11)</f>
        <v>0</v>
      </c>
      <c r="E12" s="41">
        <f t="shared" ref="E12:F12" si="0">SUM(E8:E11)</f>
        <v>0</v>
      </c>
      <c r="F12" s="41">
        <f t="shared" si="0"/>
        <v>0</v>
      </c>
      <c r="G12" s="41">
        <f>SUM(G8:G11)</f>
        <v>0</v>
      </c>
      <c r="H12" s="41">
        <f>SUM(H8:H11)</f>
        <v>0</v>
      </c>
      <c r="I12" s="41">
        <f t="shared" ref="I12:J12" si="1">SUM(I8:I11)</f>
        <v>0</v>
      </c>
      <c r="J12" s="179">
        <f t="shared" si="1"/>
        <v>0</v>
      </c>
      <c r="K12" s="90"/>
      <c r="L12" s="90"/>
      <c r="M12" s="90"/>
      <c r="N12" s="90"/>
      <c r="O12" s="20" t="s">
        <v>21</v>
      </c>
    </row>
    <row r="13" spans="1:22" s="23" customFormat="1" ht="18" thickBot="1">
      <c r="O13" s="20" t="s">
        <v>21</v>
      </c>
    </row>
    <row r="14" spans="1:22" s="23" customFormat="1" ht="33.75" customHeight="1">
      <c r="A14" s="273" t="s">
        <v>37</v>
      </c>
      <c r="B14" s="279" t="s">
        <v>164</v>
      </c>
      <c r="C14" s="276" t="s">
        <v>28</v>
      </c>
      <c r="D14" s="276"/>
      <c r="E14" s="276"/>
      <c r="F14" s="276"/>
      <c r="G14" s="276" t="s">
        <v>29</v>
      </c>
      <c r="H14" s="276"/>
      <c r="I14" s="276"/>
      <c r="J14" s="276"/>
      <c r="K14" s="276" t="s">
        <v>39</v>
      </c>
      <c r="L14" s="276"/>
      <c r="M14" s="276"/>
      <c r="N14" s="276"/>
      <c r="O14" s="20" t="s">
        <v>21</v>
      </c>
    </row>
    <row r="15" spans="1:22" s="23" customFormat="1" ht="27.6">
      <c r="A15" s="274"/>
      <c r="B15" s="280"/>
      <c r="C15" s="21" t="s">
        <v>4</v>
      </c>
      <c r="D15" s="21" t="s">
        <v>45</v>
      </c>
      <c r="E15" s="21" t="s">
        <v>178</v>
      </c>
      <c r="F15" s="21" t="s">
        <v>5</v>
      </c>
      <c r="G15" s="21" t="s">
        <v>4</v>
      </c>
      <c r="H15" s="21" t="s">
        <v>45</v>
      </c>
      <c r="I15" s="21" t="s">
        <v>178</v>
      </c>
      <c r="J15" s="21" t="s">
        <v>5</v>
      </c>
      <c r="K15" s="21" t="s">
        <v>4</v>
      </c>
      <c r="L15" s="21" t="s">
        <v>45</v>
      </c>
      <c r="M15" s="21" t="s">
        <v>178</v>
      </c>
      <c r="N15" s="21" t="s">
        <v>5</v>
      </c>
      <c r="O15" s="20" t="s">
        <v>21</v>
      </c>
    </row>
    <row r="16" spans="1:22" s="23" customFormat="1" ht="17.399999999999999">
      <c r="A16" s="26" t="s">
        <v>13</v>
      </c>
      <c r="B16" s="183"/>
      <c r="C16" s="175">
        <v>0</v>
      </c>
      <c r="D16" s="175">
        <v>0</v>
      </c>
      <c r="E16" s="175">
        <v>0</v>
      </c>
      <c r="F16" s="175">
        <v>0</v>
      </c>
      <c r="G16" s="175">
        <v>0</v>
      </c>
      <c r="H16" s="175">
        <v>0</v>
      </c>
      <c r="I16" s="175">
        <v>0</v>
      </c>
      <c r="J16" s="175">
        <v>0</v>
      </c>
      <c r="K16" s="175">
        <f>C8+G8+C16+G16</f>
        <v>0</v>
      </c>
      <c r="L16" s="175">
        <f>D8+H8+D16+H16</f>
        <v>0</v>
      </c>
      <c r="M16" s="175">
        <f>E8+I8+E16+I16</f>
        <v>0</v>
      </c>
      <c r="N16" s="175">
        <f t="shared" ref="N16" si="2">F8+J8+F16+J16</f>
        <v>0</v>
      </c>
      <c r="O16" s="20" t="s">
        <v>21</v>
      </c>
    </row>
    <row r="17" spans="1:15" s="23" customFormat="1" ht="17.399999999999999">
      <c r="A17" s="27" t="s">
        <v>14</v>
      </c>
      <c r="B17" s="181"/>
      <c r="C17" s="32">
        <v>0</v>
      </c>
      <c r="D17" s="32">
        <v>0</v>
      </c>
      <c r="E17" s="32">
        <v>0</v>
      </c>
      <c r="F17" s="32">
        <v>0</v>
      </c>
      <c r="G17" s="32">
        <v>0</v>
      </c>
      <c r="H17" s="32">
        <v>0</v>
      </c>
      <c r="I17" s="32">
        <v>0</v>
      </c>
      <c r="J17" s="32">
        <v>0</v>
      </c>
      <c r="K17" s="32">
        <f t="shared" ref="K17:M17" si="3">C9+G9+C17+G17</f>
        <v>0</v>
      </c>
      <c r="L17" s="32">
        <f t="shared" si="3"/>
        <v>0</v>
      </c>
      <c r="M17" s="32">
        <f t="shared" si="3"/>
        <v>0</v>
      </c>
      <c r="N17" s="32">
        <f t="shared" ref="N17:N19" si="4">F9+J9+F17+J17</f>
        <v>0</v>
      </c>
      <c r="O17" s="20" t="s">
        <v>21</v>
      </c>
    </row>
    <row r="18" spans="1:15" s="23" customFormat="1" ht="17.399999999999999">
      <c r="A18" s="27" t="s">
        <v>15</v>
      </c>
      <c r="B18" s="181"/>
      <c r="C18" s="32">
        <v>0</v>
      </c>
      <c r="D18" s="32">
        <v>0</v>
      </c>
      <c r="E18" s="32">
        <v>0</v>
      </c>
      <c r="F18" s="32">
        <v>0</v>
      </c>
      <c r="G18" s="32">
        <v>0</v>
      </c>
      <c r="H18" s="32">
        <v>0</v>
      </c>
      <c r="I18" s="32">
        <v>0</v>
      </c>
      <c r="J18" s="32">
        <v>0</v>
      </c>
      <c r="K18" s="32">
        <f t="shared" ref="K18:M18" si="5">C10+G10+C18+G18</f>
        <v>0</v>
      </c>
      <c r="L18" s="32">
        <f t="shared" si="5"/>
        <v>0</v>
      </c>
      <c r="M18" s="32">
        <f t="shared" si="5"/>
        <v>0</v>
      </c>
      <c r="N18" s="32">
        <f t="shared" si="4"/>
        <v>0</v>
      </c>
      <c r="O18" s="20" t="s">
        <v>21</v>
      </c>
    </row>
    <row r="19" spans="1:15" s="23" customFormat="1" ht="17.399999999999999">
      <c r="A19" s="28" t="s">
        <v>38</v>
      </c>
      <c r="B19" s="182"/>
      <c r="C19" s="177">
        <v>0</v>
      </c>
      <c r="D19" s="177">
        <v>0</v>
      </c>
      <c r="E19" s="177">
        <v>0</v>
      </c>
      <c r="F19" s="177">
        <v>0</v>
      </c>
      <c r="G19" s="177">
        <v>0</v>
      </c>
      <c r="H19" s="177">
        <v>0</v>
      </c>
      <c r="I19" s="177">
        <v>0</v>
      </c>
      <c r="J19" s="177">
        <v>0</v>
      </c>
      <c r="K19" s="177">
        <f t="shared" ref="K19:M19" si="6">C11+G11+C19+G19</f>
        <v>0</v>
      </c>
      <c r="L19" s="177">
        <f t="shared" si="6"/>
        <v>0</v>
      </c>
      <c r="M19" s="177">
        <f t="shared" si="6"/>
        <v>0</v>
      </c>
      <c r="N19" s="177">
        <f t="shared" si="4"/>
        <v>0</v>
      </c>
      <c r="O19" s="20" t="s">
        <v>21</v>
      </c>
    </row>
    <row r="20" spans="1:15" s="23" customFormat="1" ht="18" thickBot="1">
      <c r="A20" s="24" t="s">
        <v>43</v>
      </c>
      <c r="B20" s="25"/>
      <c r="C20" s="41">
        <f>SUM(C16:C19)</f>
        <v>0</v>
      </c>
      <c r="D20" s="41">
        <f>SUM(D16:D19)</f>
        <v>0</v>
      </c>
      <c r="E20" s="41">
        <f t="shared" ref="E20:F20" si="7">SUM(E16:E19)</f>
        <v>0</v>
      </c>
      <c r="F20" s="41">
        <f t="shared" si="7"/>
        <v>0</v>
      </c>
      <c r="G20" s="41">
        <f>SUM(G16:G19)</f>
        <v>0</v>
      </c>
      <c r="H20" s="41">
        <f>SUM(H16:H19)</f>
        <v>0</v>
      </c>
      <c r="I20" s="41">
        <f t="shared" ref="I20:J20" si="8">SUM(I16:I19)</f>
        <v>0</v>
      </c>
      <c r="J20" s="41">
        <f t="shared" si="8"/>
        <v>0</v>
      </c>
      <c r="K20" s="41">
        <f>SUM(K16:K19)</f>
        <v>0</v>
      </c>
      <c r="L20" s="41">
        <f t="shared" ref="L20:N20" si="9">SUM(L16:L19)</f>
        <v>0</v>
      </c>
      <c r="M20" s="41">
        <f t="shared" si="9"/>
        <v>0</v>
      </c>
      <c r="N20" s="41">
        <f t="shared" si="9"/>
        <v>0</v>
      </c>
      <c r="O20" s="20" t="s">
        <v>21</v>
      </c>
    </row>
    <row r="21" spans="1:15" s="23" customFormat="1" ht="18" thickBot="1">
      <c r="O21" s="20" t="s">
        <v>21</v>
      </c>
    </row>
    <row r="22" spans="1:15" s="23" customFormat="1" ht="33.75" customHeight="1">
      <c r="A22" s="273" t="s">
        <v>41</v>
      </c>
      <c r="B22" s="279" t="s">
        <v>164</v>
      </c>
      <c r="C22" s="276" t="s">
        <v>26</v>
      </c>
      <c r="D22" s="276"/>
      <c r="E22" s="276"/>
      <c r="F22" s="276"/>
      <c r="G22" s="276" t="s">
        <v>27</v>
      </c>
      <c r="H22" s="276"/>
      <c r="I22" s="276"/>
      <c r="J22" s="277"/>
      <c r="K22" s="74"/>
      <c r="L22" s="74"/>
      <c r="M22" s="74"/>
      <c r="N22" s="132"/>
      <c r="O22" s="20" t="s">
        <v>21</v>
      </c>
    </row>
    <row r="23" spans="1:15" s="23" customFormat="1" ht="27.6">
      <c r="A23" s="274"/>
      <c r="B23" s="280"/>
      <c r="C23" s="21" t="s">
        <v>4</v>
      </c>
      <c r="D23" s="21" t="s">
        <v>45</v>
      </c>
      <c r="E23" s="21" t="s">
        <v>178</v>
      </c>
      <c r="F23" s="21" t="s">
        <v>5</v>
      </c>
      <c r="G23" s="21" t="s">
        <v>4</v>
      </c>
      <c r="H23" s="21" t="s">
        <v>45</v>
      </c>
      <c r="I23" s="21" t="s">
        <v>178</v>
      </c>
      <c r="J23" s="30" t="s">
        <v>5</v>
      </c>
      <c r="K23" s="88"/>
      <c r="L23" s="88"/>
      <c r="M23" s="88"/>
      <c r="N23" s="132"/>
      <c r="O23" s="20" t="s">
        <v>21</v>
      </c>
    </row>
    <row r="24" spans="1:15" s="23" customFormat="1" ht="17.399999999999999">
      <c r="A24" s="26" t="s">
        <v>16</v>
      </c>
      <c r="B24" s="180"/>
      <c r="C24" s="175">
        <v>0</v>
      </c>
      <c r="D24" s="175">
        <v>0</v>
      </c>
      <c r="E24" s="175">
        <v>0</v>
      </c>
      <c r="F24" s="175">
        <v>0</v>
      </c>
      <c r="G24" s="175">
        <v>0</v>
      </c>
      <c r="H24" s="175">
        <v>0</v>
      </c>
      <c r="I24" s="175">
        <v>0</v>
      </c>
      <c r="J24" s="176">
        <v>0</v>
      </c>
      <c r="K24" s="89"/>
      <c r="L24" s="89"/>
      <c r="M24" s="89"/>
      <c r="N24" s="89"/>
      <c r="O24" s="20" t="s">
        <v>21</v>
      </c>
    </row>
    <row r="25" spans="1:15" s="23" customFormat="1" ht="17.399999999999999">
      <c r="A25" s="27" t="s">
        <v>17</v>
      </c>
      <c r="B25" s="181"/>
      <c r="C25" s="32">
        <v>0</v>
      </c>
      <c r="D25" s="32">
        <v>0</v>
      </c>
      <c r="E25" s="32">
        <v>0</v>
      </c>
      <c r="F25" s="32">
        <v>0</v>
      </c>
      <c r="G25" s="32">
        <v>0</v>
      </c>
      <c r="H25" s="32">
        <v>0</v>
      </c>
      <c r="I25" s="32">
        <v>0</v>
      </c>
      <c r="J25" s="33">
        <v>0</v>
      </c>
      <c r="K25" s="89"/>
      <c r="L25" s="89"/>
      <c r="M25" s="89"/>
      <c r="N25" s="89"/>
      <c r="O25" s="20" t="s">
        <v>21</v>
      </c>
    </row>
    <row r="26" spans="1:15" s="23" customFormat="1" ht="17.399999999999999">
      <c r="A26" s="27" t="s">
        <v>18</v>
      </c>
      <c r="B26" s="181"/>
      <c r="C26" s="32">
        <v>0</v>
      </c>
      <c r="D26" s="32">
        <v>0</v>
      </c>
      <c r="E26" s="32">
        <v>0</v>
      </c>
      <c r="F26" s="32">
        <v>0</v>
      </c>
      <c r="G26" s="32">
        <v>0</v>
      </c>
      <c r="H26" s="32">
        <v>0</v>
      </c>
      <c r="I26" s="32">
        <v>0</v>
      </c>
      <c r="J26" s="33">
        <v>0</v>
      </c>
      <c r="K26" s="89"/>
      <c r="L26" s="89"/>
      <c r="M26" s="89"/>
      <c r="N26" s="89"/>
      <c r="O26" s="20" t="s">
        <v>21</v>
      </c>
    </row>
    <row r="27" spans="1:15" s="23" customFormat="1" ht="17.399999999999999">
      <c r="A27" s="28" t="s">
        <v>42</v>
      </c>
      <c r="B27" s="182"/>
      <c r="C27" s="177">
        <v>0</v>
      </c>
      <c r="D27" s="177">
        <v>0</v>
      </c>
      <c r="E27" s="177">
        <v>0</v>
      </c>
      <c r="F27" s="177">
        <v>0</v>
      </c>
      <c r="G27" s="177">
        <v>0</v>
      </c>
      <c r="H27" s="177">
        <v>0</v>
      </c>
      <c r="I27" s="177">
        <v>0</v>
      </c>
      <c r="J27" s="178">
        <v>0</v>
      </c>
      <c r="K27" s="89"/>
      <c r="L27" s="89"/>
      <c r="M27" s="89"/>
      <c r="N27" s="89"/>
      <c r="O27" s="20" t="s">
        <v>21</v>
      </c>
    </row>
    <row r="28" spans="1:15" s="23" customFormat="1" ht="18" thickBot="1">
      <c r="A28" s="24" t="s">
        <v>44</v>
      </c>
      <c r="B28" s="25"/>
      <c r="C28" s="41">
        <f>SUM(C24:C27)</f>
        <v>0</v>
      </c>
      <c r="D28" s="41">
        <f>SUM(D24:D27)</f>
        <v>0</v>
      </c>
      <c r="E28" s="41">
        <f t="shared" ref="E28:F28" si="10">SUM(E24:E27)</f>
        <v>0</v>
      </c>
      <c r="F28" s="41">
        <f t="shared" si="10"/>
        <v>0</v>
      </c>
      <c r="G28" s="41">
        <f>SUM(G24:G27)</f>
        <v>0</v>
      </c>
      <c r="H28" s="41">
        <f>SUM(H24:H27)</f>
        <v>0</v>
      </c>
      <c r="I28" s="41">
        <f t="shared" ref="I28:J28" si="11">SUM(I24:I27)</f>
        <v>0</v>
      </c>
      <c r="J28" s="179">
        <f t="shared" si="11"/>
        <v>0</v>
      </c>
      <c r="K28" s="90"/>
      <c r="L28" s="90"/>
      <c r="M28" s="90"/>
      <c r="N28" s="90"/>
      <c r="O28" s="20" t="s">
        <v>21</v>
      </c>
    </row>
    <row r="29" spans="1:15" s="23" customFormat="1" ht="18" thickBot="1">
      <c r="O29" s="20" t="s">
        <v>21</v>
      </c>
    </row>
    <row r="30" spans="1:15" s="23" customFormat="1" ht="33.75" customHeight="1">
      <c r="A30" s="273" t="s">
        <v>41</v>
      </c>
      <c r="B30" s="279" t="s">
        <v>164</v>
      </c>
      <c r="C30" s="276" t="s">
        <v>28</v>
      </c>
      <c r="D30" s="276"/>
      <c r="E30" s="276"/>
      <c r="F30" s="276"/>
      <c r="G30" s="276" t="s">
        <v>29</v>
      </c>
      <c r="H30" s="276"/>
      <c r="I30" s="276"/>
      <c r="J30" s="276"/>
      <c r="K30" s="276" t="s">
        <v>40</v>
      </c>
      <c r="L30" s="276"/>
      <c r="M30" s="276"/>
      <c r="N30" s="276"/>
      <c r="O30" s="20" t="s">
        <v>21</v>
      </c>
    </row>
    <row r="31" spans="1:15" s="23" customFormat="1" ht="27.6">
      <c r="A31" s="274"/>
      <c r="B31" s="280"/>
      <c r="C31" s="21" t="s">
        <v>4</v>
      </c>
      <c r="D31" s="21" t="s">
        <v>45</v>
      </c>
      <c r="E31" s="21" t="s">
        <v>178</v>
      </c>
      <c r="F31" s="21" t="s">
        <v>5</v>
      </c>
      <c r="G31" s="21" t="s">
        <v>4</v>
      </c>
      <c r="H31" s="21" t="s">
        <v>45</v>
      </c>
      <c r="I31" s="21" t="s">
        <v>178</v>
      </c>
      <c r="J31" s="21" t="s">
        <v>5</v>
      </c>
      <c r="K31" s="21" t="s">
        <v>4</v>
      </c>
      <c r="L31" s="21" t="s">
        <v>45</v>
      </c>
      <c r="M31" s="21" t="s">
        <v>178</v>
      </c>
      <c r="N31" s="21" t="s">
        <v>5</v>
      </c>
      <c r="O31" s="20" t="s">
        <v>21</v>
      </c>
    </row>
    <row r="32" spans="1:15" s="23" customFormat="1" ht="17.399999999999999">
      <c r="A32" s="26" t="s">
        <v>16</v>
      </c>
      <c r="B32" s="180"/>
      <c r="C32" s="175">
        <v>0</v>
      </c>
      <c r="D32" s="175">
        <v>0</v>
      </c>
      <c r="E32" s="175">
        <v>0</v>
      </c>
      <c r="F32" s="175">
        <v>0</v>
      </c>
      <c r="G32" s="175">
        <v>0</v>
      </c>
      <c r="H32" s="175">
        <v>0</v>
      </c>
      <c r="I32" s="175">
        <v>0</v>
      </c>
      <c r="J32" s="175">
        <v>0</v>
      </c>
      <c r="K32" s="175">
        <f>C24+G24+C32+G32</f>
        <v>0</v>
      </c>
      <c r="L32" s="175">
        <f>D24+H24+D32+H32</f>
        <v>0</v>
      </c>
      <c r="M32" s="175">
        <f>E24+I24+E32+I32</f>
        <v>0</v>
      </c>
      <c r="N32" s="175">
        <f t="shared" ref="N32:N35" si="12">F24+J24+F32+J32</f>
        <v>0</v>
      </c>
      <c r="O32" s="20" t="s">
        <v>21</v>
      </c>
    </row>
    <row r="33" spans="1:15" s="23" customFormat="1" ht="17.399999999999999">
      <c r="A33" s="27" t="s">
        <v>17</v>
      </c>
      <c r="B33" s="181"/>
      <c r="C33" s="32">
        <v>0</v>
      </c>
      <c r="D33" s="32">
        <v>0</v>
      </c>
      <c r="E33" s="32">
        <v>0</v>
      </c>
      <c r="F33" s="32">
        <v>0</v>
      </c>
      <c r="G33" s="32">
        <v>0</v>
      </c>
      <c r="H33" s="32">
        <v>0</v>
      </c>
      <c r="I33" s="32">
        <v>0</v>
      </c>
      <c r="J33" s="32">
        <v>0</v>
      </c>
      <c r="K33" s="32">
        <f t="shared" ref="K33:K35" si="13">C25+G25+C33+G33</f>
        <v>0</v>
      </c>
      <c r="L33" s="32">
        <f t="shared" ref="L33:L35" si="14">D25+H25+D33+H33</f>
        <v>0</v>
      </c>
      <c r="M33" s="32">
        <f t="shared" ref="M33:M35" si="15">E25+I25+E33+I33</f>
        <v>0</v>
      </c>
      <c r="N33" s="32">
        <f t="shared" si="12"/>
        <v>0</v>
      </c>
      <c r="O33" s="20" t="s">
        <v>21</v>
      </c>
    </row>
    <row r="34" spans="1:15" s="23" customFormat="1" ht="17.399999999999999">
      <c r="A34" s="27" t="s">
        <v>18</v>
      </c>
      <c r="B34" s="181"/>
      <c r="C34" s="32">
        <v>0</v>
      </c>
      <c r="D34" s="32">
        <v>0</v>
      </c>
      <c r="E34" s="32">
        <v>0</v>
      </c>
      <c r="F34" s="32">
        <v>0</v>
      </c>
      <c r="G34" s="32">
        <v>0</v>
      </c>
      <c r="H34" s="32">
        <v>0</v>
      </c>
      <c r="I34" s="32">
        <v>0</v>
      </c>
      <c r="J34" s="32">
        <v>0</v>
      </c>
      <c r="K34" s="32">
        <f t="shared" si="13"/>
        <v>0</v>
      </c>
      <c r="L34" s="32">
        <f t="shared" si="14"/>
        <v>0</v>
      </c>
      <c r="M34" s="32">
        <f t="shared" si="15"/>
        <v>0</v>
      </c>
      <c r="N34" s="32">
        <f t="shared" si="12"/>
        <v>0</v>
      </c>
      <c r="O34" s="20" t="s">
        <v>21</v>
      </c>
    </row>
    <row r="35" spans="1:15" s="23" customFormat="1" ht="17.399999999999999">
      <c r="A35" s="28" t="s">
        <v>42</v>
      </c>
      <c r="B35" s="182"/>
      <c r="C35" s="177">
        <v>0</v>
      </c>
      <c r="D35" s="177">
        <v>0</v>
      </c>
      <c r="E35" s="177">
        <v>0</v>
      </c>
      <c r="F35" s="177">
        <v>0</v>
      </c>
      <c r="G35" s="177">
        <v>0</v>
      </c>
      <c r="H35" s="177">
        <v>0</v>
      </c>
      <c r="I35" s="177">
        <v>0</v>
      </c>
      <c r="J35" s="177">
        <v>0</v>
      </c>
      <c r="K35" s="177">
        <f t="shared" si="13"/>
        <v>0</v>
      </c>
      <c r="L35" s="177">
        <f t="shared" si="14"/>
        <v>0</v>
      </c>
      <c r="M35" s="177">
        <f t="shared" si="15"/>
        <v>0</v>
      </c>
      <c r="N35" s="177">
        <f t="shared" si="12"/>
        <v>0</v>
      </c>
      <c r="O35" s="20" t="s">
        <v>21</v>
      </c>
    </row>
    <row r="36" spans="1:15" s="23" customFormat="1" ht="18" thickBot="1">
      <c r="A36" s="24" t="s">
        <v>44</v>
      </c>
      <c r="B36" s="25"/>
      <c r="C36" s="41">
        <f>SUM(C32:C35)</f>
        <v>0</v>
      </c>
      <c r="D36" s="41">
        <f>SUM(D32:D35)</f>
        <v>0</v>
      </c>
      <c r="E36" s="41">
        <f t="shared" ref="E36:F36" si="16">SUM(E32:E35)</f>
        <v>0</v>
      </c>
      <c r="F36" s="41">
        <f t="shared" si="16"/>
        <v>0</v>
      </c>
      <c r="G36" s="41">
        <f>SUM(G32:G35)</f>
        <v>0</v>
      </c>
      <c r="H36" s="41">
        <f>SUM(H32:H35)</f>
        <v>0</v>
      </c>
      <c r="I36" s="41">
        <f t="shared" ref="I36:J36" si="17">SUM(I32:I35)</f>
        <v>0</v>
      </c>
      <c r="J36" s="41">
        <f t="shared" si="17"/>
        <v>0</v>
      </c>
      <c r="K36" s="41">
        <f>SUM(K32:K35)</f>
        <v>0</v>
      </c>
      <c r="L36" s="41">
        <f t="shared" ref="L36" si="18">SUM(L32:L35)</f>
        <v>0</v>
      </c>
      <c r="M36" s="41">
        <f t="shared" ref="M36" si="19">SUM(M32:M35)</f>
        <v>0</v>
      </c>
      <c r="N36" s="41">
        <f t="shared" ref="N36" si="20">SUM(N32:N35)</f>
        <v>0</v>
      </c>
      <c r="O36" s="20" t="s">
        <v>21</v>
      </c>
    </row>
    <row r="37" spans="1:15">
      <c r="O37" s="4" t="s">
        <v>22</v>
      </c>
    </row>
    <row r="38" spans="1:15">
      <c r="B38" s="29"/>
    </row>
  </sheetData>
  <mergeCells count="23">
    <mergeCell ref="A5:N5"/>
    <mergeCell ref="K14:N14"/>
    <mergeCell ref="A30:A31"/>
    <mergeCell ref="B30:B31"/>
    <mergeCell ref="C30:F30"/>
    <mergeCell ref="G30:J30"/>
    <mergeCell ref="K30:N30"/>
    <mergeCell ref="A1:N1"/>
    <mergeCell ref="A2:N2"/>
    <mergeCell ref="A3:N3"/>
    <mergeCell ref="C22:F22"/>
    <mergeCell ref="B6:B7"/>
    <mergeCell ref="G6:J6"/>
    <mergeCell ref="A6:A7"/>
    <mergeCell ref="C6:F6"/>
    <mergeCell ref="A4:N4"/>
    <mergeCell ref="A14:A15"/>
    <mergeCell ref="B14:B15"/>
    <mergeCell ref="C14:F14"/>
    <mergeCell ref="G14:J14"/>
    <mergeCell ref="B22:B23"/>
    <mergeCell ref="G22:J22"/>
    <mergeCell ref="A22:A23"/>
  </mergeCells>
  <printOptions horizontalCentered="1"/>
  <pageMargins left="0.7" right="0.7" top="0.6" bottom="0.6" header="0.3" footer="0.3"/>
  <pageSetup scale="72" fitToHeight="9999"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V23"/>
  <sheetViews>
    <sheetView view="pageBreakPreview" zoomScale="80" zoomScaleNormal="100" zoomScaleSheetLayoutView="80" workbookViewId="0">
      <selection activeCell="N32" sqref="N32"/>
    </sheetView>
  </sheetViews>
  <sheetFormatPr defaultColWidth="9.109375" defaultRowHeight="13.8"/>
  <cols>
    <col min="1" max="1" width="37.109375" style="9" customWidth="1"/>
    <col min="2" max="2" width="17" style="9" customWidth="1"/>
    <col min="3" max="5" width="8.6640625" style="9" customWidth="1"/>
    <col min="6" max="6" width="12.6640625" style="9" customWidth="1"/>
    <col min="7" max="9" width="8.6640625" style="9" customWidth="1"/>
    <col min="10" max="10" width="12.6640625" style="9" customWidth="1"/>
    <col min="11" max="13" width="8.6640625" style="9" customWidth="1"/>
    <col min="14" max="14" width="12.6640625" style="9" customWidth="1"/>
    <col min="15" max="15" width="14" style="4" bestFit="1" customWidth="1"/>
    <col min="16" max="16" width="4.5546875" style="9" customWidth="1"/>
    <col min="17" max="18" width="8.33203125" style="9" customWidth="1"/>
    <col min="19" max="19" width="12.6640625" style="9" customWidth="1"/>
    <col min="20" max="21" width="8.33203125" style="9" customWidth="1"/>
    <col min="22" max="22" width="12.6640625" style="9" customWidth="1"/>
    <col min="23" max="16384" width="9.109375" style="9"/>
  </cols>
  <sheetData>
    <row r="1" spans="1:22" ht="17.399999999999999">
      <c r="A1" s="265" t="s">
        <v>36</v>
      </c>
      <c r="B1" s="265"/>
      <c r="C1" s="265"/>
      <c r="D1" s="265"/>
      <c r="E1" s="265"/>
      <c r="F1" s="265"/>
      <c r="G1" s="265"/>
      <c r="H1" s="265"/>
      <c r="I1" s="265"/>
      <c r="J1" s="265"/>
      <c r="K1" s="265"/>
      <c r="L1" s="265"/>
      <c r="M1" s="265"/>
      <c r="N1" s="265"/>
      <c r="O1" s="72" t="s">
        <v>21</v>
      </c>
      <c r="P1" s="6"/>
      <c r="Q1" s="6"/>
      <c r="R1" s="6"/>
      <c r="S1" s="6"/>
      <c r="T1" s="6"/>
      <c r="U1" s="6"/>
      <c r="V1" s="6"/>
    </row>
    <row r="2" spans="1:22" ht="15">
      <c r="A2" s="266" t="str">
        <f>+'B. Summ of Req.'!A2:D2</f>
        <v>Environment and Natural Resources Division</v>
      </c>
      <c r="B2" s="266"/>
      <c r="C2" s="266"/>
      <c r="D2" s="266"/>
      <c r="E2" s="266"/>
      <c r="F2" s="266"/>
      <c r="G2" s="266"/>
      <c r="H2" s="266"/>
      <c r="I2" s="266"/>
      <c r="J2" s="266"/>
      <c r="K2" s="266"/>
      <c r="L2" s="266"/>
      <c r="M2" s="266"/>
      <c r="N2" s="266"/>
      <c r="O2" s="72" t="s">
        <v>21</v>
      </c>
      <c r="P2" s="7"/>
      <c r="Q2" s="7"/>
      <c r="R2" s="7"/>
      <c r="S2" s="7"/>
      <c r="T2" s="7"/>
      <c r="U2" s="7"/>
      <c r="V2" s="7"/>
    </row>
    <row r="3" spans="1:22">
      <c r="A3" s="278" t="s">
        <v>1</v>
      </c>
      <c r="B3" s="278"/>
      <c r="C3" s="278"/>
      <c r="D3" s="278"/>
      <c r="E3" s="278"/>
      <c r="F3" s="278"/>
      <c r="G3" s="278"/>
      <c r="H3" s="278"/>
      <c r="I3" s="278"/>
      <c r="J3" s="278"/>
      <c r="K3" s="278"/>
      <c r="L3" s="278"/>
      <c r="M3" s="278"/>
      <c r="N3" s="278"/>
      <c r="O3" s="72" t="s">
        <v>21</v>
      </c>
      <c r="P3" s="10"/>
      <c r="Q3" s="10"/>
      <c r="R3" s="10"/>
      <c r="S3" s="10"/>
      <c r="T3" s="10"/>
      <c r="U3" s="10"/>
      <c r="V3" s="10"/>
    </row>
    <row r="4" spans="1:22">
      <c r="A4" s="272" t="s">
        <v>2</v>
      </c>
      <c r="B4" s="272"/>
      <c r="C4" s="272"/>
      <c r="D4" s="272"/>
      <c r="E4" s="272"/>
      <c r="F4" s="272"/>
      <c r="G4" s="272"/>
      <c r="H4" s="272"/>
      <c r="I4" s="272"/>
      <c r="J4" s="272"/>
      <c r="K4" s="272"/>
      <c r="L4" s="272"/>
      <c r="M4" s="272"/>
      <c r="N4" s="272"/>
      <c r="O4" s="72" t="s">
        <v>21</v>
      </c>
      <c r="P4" s="8"/>
      <c r="Q4" s="8"/>
      <c r="R4" s="8"/>
      <c r="S4" s="8"/>
      <c r="T4" s="8"/>
      <c r="U4" s="8"/>
      <c r="V4" s="8"/>
    </row>
    <row r="5" spans="1:22">
      <c r="A5" s="272"/>
      <c r="B5" s="272"/>
      <c r="C5" s="272"/>
      <c r="D5" s="272"/>
      <c r="E5" s="272"/>
      <c r="F5" s="272"/>
      <c r="G5" s="272"/>
      <c r="H5" s="272"/>
      <c r="I5" s="272"/>
      <c r="J5" s="272"/>
      <c r="K5" s="272"/>
      <c r="L5" s="272"/>
      <c r="M5" s="272"/>
      <c r="N5" s="272"/>
      <c r="O5" s="72" t="s">
        <v>21</v>
      </c>
      <c r="P5" s="8"/>
      <c r="Q5" s="8"/>
      <c r="R5" s="8"/>
      <c r="S5" s="8"/>
      <c r="T5" s="8"/>
      <c r="U5" s="8"/>
      <c r="V5" s="8"/>
    </row>
    <row r="6" spans="1:22" s="23" customFormat="1" ht="14.4" thickBot="1">
      <c r="O6" s="72" t="s">
        <v>21</v>
      </c>
    </row>
    <row r="7" spans="1:22" s="23" customFormat="1" ht="33.75" customHeight="1">
      <c r="A7" s="273" t="s">
        <v>37</v>
      </c>
      <c r="B7" s="279" t="s">
        <v>164</v>
      </c>
      <c r="C7" s="276" t="s">
        <v>26</v>
      </c>
      <c r="D7" s="276"/>
      <c r="E7" s="276"/>
      <c r="F7" s="276"/>
      <c r="G7" s="276" t="s">
        <v>27</v>
      </c>
      <c r="H7" s="276"/>
      <c r="I7" s="276"/>
      <c r="J7" s="276"/>
      <c r="K7" s="276" t="s">
        <v>39</v>
      </c>
      <c r="L7" s="276"/>
      <c r="M7" s="276"/>
      <c r="N7" s="276"/>
      <c r="O7" s="72" t="s">
        <v>21</v>
      </c>
    </row>
    <row r="8" spans="1:22" s="23" customFormat="1" ht="27.6">
      <c r="A8" s="274"/>
      <c r="B8" s="280"/>
      <c r="C8" s="21" t="s">
        <v>4</v>
      </c>
      <c r="D8" s="21" t="s">
        <v>45</v>
      </c>
      <c r="E8" s="21" t="s">
        <v>178</v>
      </c>
      <c r="F8" s="21" t="s">
        <v>5</v>
      </c>
      <c r="G8" s="21" t="s">
        <v>4</v>
      </c>
      <c r="H8" s="21" t="s">
        <v>45</v>
      </c>
      <c r="I8" s="21" t="s">
        <v>178</v>
      </c>
      <c r="J8" s="21" t="s">
        <v>5</v>
      </c>
      <c r="K8" s="21" t="s">
        <v>4</v>
      </c>
      <c r="L8" s="21" t="s">
        <v>45</v>
      </c>
      <c r="M8" s="21" t="s">
        <v>178</v>
      </c>
      <c r="N8" s="21" t="s">
        <v>5</v>
      </c>
      <c r="O8" s="72" t="s">
        <v>21</v>
      </c>
    </row>
    <row r="9" spans="1:22" s="23" customFormat="1">
      <c r="A9" s="26" t="s">
        <v>13</v>
      </c>
      <c r="B9" s="180"/>
      <c r="C9" s="175">
        <v>0</v>
      </c>
      <c r="D9" s="175">
        <v>0</v>
      </c>
      <c r="E9" s="175">
        <v>0</v>
      </c>
      <c r="F9" s="175">
        <v>0</v>
      </c>
      <c r="G9" s="175">
        <v>0</v>
      </c>
      <c r="H9" s="175">
        <v>0</v>
      </c>
      <c r="I9" s="175">
        <v>0</v>
      </c>
      <c r="J9" s="175">
        <v>0</v>
      </c>
      <c r="K9" s="175">
        <f>C9+G9</f>
        <v>0</v>
      </c>
      <c r="L9" s="175">
        <f t="shared" ref="L9:N9" si="0">D9+H9</f>
        <v>0</v>
      </c>
      <c r="M9" s="175">
        <f t="shared" si="0"/>
        <v>0</v>
      </c>
      <c r="N9" s="175">
        <f t="shared" si="0"/>
        <v>0</v>
      </c>
      <c r="O9" s="72" t="s">
        <v>21</v>
      </c>
    </row>
    <row r="10" spans="1:22" s="23" customFormat="1">
      <c r="A10" s="27" t="s">
        <v>14</v>
      </c>
      <c r="B10" s="181"/>
      <c r="C10" s="32">
        <v>0</v>
      </c>
      <c r="D10" s="32">
        <v>0</v>
      </c>
      <c r="E10" s="32">
        <v>0</v>
      </c>
      <c r="F10" s="32">
        <v>0</v>
      </c>
      <c r="G10" s="32">
        <v>0</v>
      </c>
      <c r="H10" s="32">
        <v>0</v>
      </c>
      <c r="I10" s="32">
        <v>0</v>
      </c>
      <c r="J10" s="32">
        <v>0</v>
      </c>
      <c r="K10" s="32">
        <f t="shared" ref="K10:K12" si="1">C10+G10</f>
        <v>0</v>
      </c>
      <c r="L10" s="32">
        <f t="shared" ref="L10:L12" si="2">D10+H10</f>
        <v>0</v>
      </c>
      <c r="M10" s="32">
        <f t="shared" ref="M10:M12" si="3">E10+I10</f>
        <v>0</v>
      </c>
      <c r="N10" s="32">
        <f t="shared" ref="N10:N12" si="4">F10+J10</f>
        <v>0</v>
      </c>
      <c r="O10" s="72" t="s">
        <v>21</v>
      </c>
    </row>
    <row r="11" spans="1:22" s="23" customFormat="1">
      <c r="A11" s="27" t="s">
        <v>15</v>
      </c>
      <c r="B11" s="181"/>
      <c r="C11" s="32">
        <v>0</v>
      </c>
      <c r="D11" s="32">
        <v>0</v>
      </c>
      <c r="E11" s="32">
        <v>0</v>
      </c>
      <c r="F11" s="32">
        <v>0</v>
      </c>
      <c r="G11" s="32">
        <v>0</v>
      </c>
      <c r="H11" s="32">
        <v>0</v>
      </c>
      <c r="I11" s="32">
        <v>0</v>
      </c>
      <c r="J11" s="32">
        <v>0</v>
      </c>
      <c r="K11" s="32">
        <f t="shared" si="1"/>
        <v>0</v>
      </c>
      <c r="L11" s="32">
        <f t="shared" si="2"/>
        <v>0</v>
      </c>
      <c r="M11" s="32">
        <f t="shared" si="3"/>
        <v>0</v>
      </c>
      <c r="N11" s="32">
        <f t="shared" si="4"/>
        <v>0</v>
      </c>
      <c r="O11" s="72" t="s">
        <v>21</v>
      </c>
    </row>
    <row r="12" spans="1:22" s="23" customFormat="1">
      <c r="A12" s="28" t="s">
        <v>38</v>
      </c>
      <c r="B12" s="182"/>
      <c r="C12" s="177">
        <v>0</v>
      </c>
      <c r="D12" s="177">
        <v>0</v>
      </c>
      <c r="E12" s="177">
        <v>0</v>
      </c>
      <c r="F12" s="177">
        <v>0</v>
      </c>
      <c r="G12" s="177">
        <v>0</v>
      </c>
      <c r="H12" s="177">
        <v>0</v>
      </c>
      <c r="I12" s="177">
        <v>0</v>
      </c>
      <c r="J12" s="177">
        <v>0</v>
      </c>
      <c r="K12" s="177">
        <f t="shared" si="1"/>
        <v>0</v>
      </c>
      <c r="L12" s="177">
        <f t="shared" si="2"/>
        <v>0</v>
      </c>
      <c r="M12" s="177">
        <f t="shared" si="3"/>
        <v>0</v>
      </c>
      <c r="N12" s="177">
        <f t="shared" si="4"/>
        <v>0</v>
      </c>
      <c r="O12" s="72" t="s">
        <v>21</v>
      </c>
    </row>
    <row r="13" spans="1:22" s="23" customFormat="1" ht="14.4" thickBot="1">
      <c r="A13" s="24" t="s">
        <v>43</v>
      </c>
      <c r="B13" s="25"/>
      <c r="C13" s="41">
        <f>SUM(C9:C12)</f>
        <v>0</v>
      </c>
      <c r="D13" s="41">
        <f>SUM(D9:D12)</f>
        <v>0</v>
      </c>
      <c r="E13" s="41">
        <f t="shared" ref="E13:F13" si="5">SUM(E9:E12)</f>
        <v>0</v>
      </c>
      <c r="F13" s="41">
        <f t="shared" si="5"/>
        <v>0</v>
      </c>
      <c r="G13" s="41">
        <f>SUM(G9:G12)</f>
        <v>0</v>
      </c>
      <c r="H13" s="41">
        <f>SUM(H9:H12)</f>
        <v>0</v>
      </c>
      <c r="I13" s="41">
        <f t="shared" ref="I13:J13" si="6">SUM(I9:I12)</f>
        <v>0</v>
      </c>
      <c r="J13" s="41">
        <f t="shared" si="6"/>
        <v>0</v>
      </c>
      <c r="K13" s="41">
        <f>SUM(K9:K12)</f>
        <v>0</v>
      </c>
      <c r="L13" s="41">
        <f t="shared" ref="L13:N13" si="7">SUM(L9:L12)</f>
        <v>0</v>
      </c>
      <c r="M13" s="41">
        <f t="shared" si="7"/>
        <v>0</v>
      </c>
      <c r="N13" s="41">
        <f t="shared" si="7"/>
        <v>0</v>
      </c>
      <c r="O13" s="72" t="s">
        <v>21</v>
      </c>
    </row>
    <row r="14" spans="1:22" s="23" customFormat="1" ht="14.4" thickBot="1">
      <c r="O14" s="72" t="s">
        <v>21</v>
      </c>
    </row>
    <row r="15" spans="1:22" s="23" customFormat="1" ht="33.75" customHeight="1">
      <c r="A15" s="273" t="s">
        <v>41</v>
      </c>
      <c r="B15" s="279" t="s">
        <v>164</v>
      </c>
      <c r="C15" s="276" t="s">
        <v>26</v>
      </c>
      <c r="D15" s="276"/>
      <c r="E15" s="276"/>
      <c r="F15" s="276"/>
      <c r="G15" s="276" t="s">
        <v>27</v>
      </c>
      <c r="H15" s="276"/>
      <c r="I15" s="276"/>
      <c r="J15" s="276"/>
      <c r="K15" s="276" t="s">
        <v>40</v>
      </c>
      <c r="L15" s="276"/>
      <c r="M15" s="276"/>
      <c r="N15" s="276"/>
      <c r="O15" s="72" t="s">
        <v>21</v>
      </c>
    </row>
    <row r="16" spans="1:22" s="23" customFormat="1" ht="27.6">
      <c r="A16" s="274"/>
      <c r="B16" s="280"/>
      <c r="C16" s="21" t="s">
        <v>4</v>
      </c>
      <c r="D16" s="21" t="s">
        <v>45</v>
      </c>
      <c r="E16" s="21" t="s">
        <v>178</v>
      </c>
      <c r="F16" s="21" t="s">
        <v>5</v>
      </c>
      <c r="G16" s="21" t="s">
        <v>4</v>
      </c>
      <c r="H16" s="21" t="s">
        <v>45</v>
      </c>
      <c r="I16" s="21" t="s">
        <v>178</v>
      </c>
      <c r="J16" s="21" t="s">
        <v>5</v>
      </c>
      <c r="K16" s="21" t="s">
        <v>4</v>
      </c>
      <c r="L16" s="21" t="s">
        <v>45</v>
      </c>
      <c r="M16" s="21" t="s">
        <v>178</v>
      </c>
      <c r="N16" s="21" t="s">
        <v>5</v>
      </c>
      <c r="O16" s="72" t="s">
        <v>21</v>
      </c>
    </row>
    <row r="17" spans="1:15" s="23" customFormat="1">
      <c r="A17" s="26" t="s">
        <v>16</v>
      </c>
      <c r="B17" s="180"/>
      <c r="C17" s="175">
        <v>0</v>
      </c>
      <c r="D17" s="175">
        <v>0</v>
      </c>
      <c r="E17" s="175">
        <v>0</v>
      </c>
      <c r="F17" s="175">
        <v>0</v>
      </c>
      <c r="G17" s="175">
        <v>0</v>
      </c>
      <c r="H17" s="175">
        <v>0</v>
      </c>
      <c r="I17" s="175">
        <v>0</v>
      </c>
      <c r="J17" s="175">
        <v>0</v>
      </c>
      <c r="K17" s="175">
        <f t="shared" ref="K17:K20" si="8">C17+G17</f>
        <v>0</v>
      </c>
      <c r="L17" s="175">
        <f t="shared" ref="L17:L20" si="9">D17+H17</f>
        <v>0</v>
      </c>
      <c r="M17" s="175">
        <f t="shared" ref="M17:M20" si="10">E17+I17</f>
        <v>0</v>
      </c>
      <c r="N17" s="175">
        <f t="shared" ref="N17:N20" si="11">F17+J17</f>
        <v>0</v>
      </c>
      <c r="O17" s="72" t="s">
        <v>21</v>
      </c>
    </row>
    <row r="18" spans="1:15" s="23" customFormat="1">
      <c r="A18" s="27" t="s">
        <v>17</v>
      </c>
      <c r="B18" s="181"/>
      <c r="C18" s="32">
        <v>0</v>
      </c>
      <c r="D18" s="32">
        <v>0</v>
      </c>
      <c r="E18" s="32">
        <v>0</v>
      </c>
      <c r="F18" s="32">
        <v>0</v>
      </c>
      <c r="G18" s="32">
        <v>0</v>
      </c>
      <c r="H18" s="32">
        <v>0</v>
      </c>
      <c r="I18" s="32">
        <v>0</v>
      </c>
      <c r="J18" s="32">
        <v>0</v>
      </c>
      <c r="K18" s="32">
        <f t="shared" si="8"/>
        <v>0</v>
      </c>
      <c r="L18" s="32">
        <f t="shared" si="9"/>
        <v>0</v>
      </c>
      <c r="M18" s="32">
        <f t="shared" si="10"/>
        <v>0</v>
      </c>
      <c r="N18" s="32">
        <f t="shared" si="11"/>
        <v>0</v>
      </c>
      <c r="O18" s="72" t="s">
        <v>21</v>
      </c>
    </row>
    <row r="19" spans="1:15" s="23" customFormat="1">
      <c r="A19" s="27" t="s">
        <v>18</v>
      </c>
      <c r="B19" s="181"/>
      <c r="C19" s="32">
        <v>0</v>
      </c>
      <c r="D19" s="32">
        <v>0</v>
      </c>
      <c r="E19" s="32">
        <v>0</v>
      </c>
      <c r="F19" s="32">
        <v>0</v>
      </c>
      <c r="G19" s="32">
        <v>0</v>
      </c>
      <c r="H19" s="32">
        <v>0</v>
      </c>
      <c r="I19" s="32">
        <v>0</v>
      </c>
      <c r="J19" s="32">
        <v>0</v>
      </c>
      <c r="K19" s="32">
        <f t="shared" si="8"/>
        <v>0</v>
      </c>
      <c r="L19" s="32">
        <f t="shared" si="9"/>
        <v>0</v>
      </c>
      <c r="M19" s="32">
        <f t="shared" si="10"/>
        <v>0</v>
      </c>
      <c r="N19" s="32">
        <f t="shared" si="11"/>
        <v>0</v>
      </c>
      <c r="O19" s="72" t="s">
        <v>21</v>
      </c>
    </row>
    <row r="20" spans="1:15" s="23" customFormat="1">
      <c r="A20" s="28" t="s">
        <v>42</v>
      </c>
      <c r="B20" s="182"/>
      <c r="C20" s="177">
        <v>0</v>
      </c>
      <c r="D20" s="177">
        <v>0</v>
      </c>
      <c r="E20" s="177">
        <v>0</v>
      </c>
      <c r="F20" s="177">
        <v>0</v>
      </c>
      <c r="G20" s="177">
        <v>0</v>
      </c>
      <c r="H20" s="177">
        <v>0</v>
      </c>
      <c r="I20" s="177">
        <v>0</v>
      </c>
      <c r="J20" s="177">
        <v>0</v>
      </c>
      <c r="K20" s="177">
        <f t="shared" si="8"/>
        <v>0</v>
      </c>
      <c r="L20" s="177">
        <f t="shared" si="9"/>
        <v>0</v>
      </c>
      <c r="M20" s="177">
        <f t="shared" si="10"/>
        <v>0</v>
      </c>
      <c r="N20" s="177">
        <f t="shared" si="11"/>
        <v>0</v>
      </c>
      <c r="O20" s="72" t="s">
        <v>21</v>
      </c>
    </row>
    <row r="21" spans="1:15" s="23" customFormat="1" ht="14.4" thickBot="1">
      <c r="A21" s="24" t="s">
        <v>44</v>
      </c>
      <c r="B21" s="25"/>
      <c r="C21" s="41">
        <f>SUM(C17:C20)</f>
        <v>0</v>
      </c>
      <c r="D21" s="41">
        <f>SUM(D17:D20)</f>
        <v>0</v>
      </c>
      <c r="E21" s="41">
        <f t="shared" ref="E21:F21" si="12">SUM(E17:E20)</f>
        <v>0</v>
      </c>
      <c r="F21" s="41">
        <f t="shared" si="12"/>
        <v>0</v>
      </c>
      <c r="G21" s="41">
        <f>SUM(G17:G20)</f>
        <v>0</v>
      </c>
      <c r="H21" s="41">
        <f>SUM(H17:H20)</f>
        <v>0</v>
      </c>
      <c r="I21" s="41">
        <f t="shared" ref="I21:J21" si="13">SUM(I17:I20)</f>
        <v>0</v>
      </c>
      <c r="J21" s="41">
        <f t="shared" si="13"/>
        <v>0</v>
      </c>
      <c r="K21" s="41">
        <f>SUM(K17:K20)</f>
        <v>0</v>
      </c>
      <c r="L21" s="41">
        <f t="shared" ref="L21:N21" si="14">SUM(L17:L20)</f>
        <v>0</v>
      </c>
      <c r="M21" s="41">
        <f t="shared" si="14"/>
        <v>0</v>
      </c>
      <c r="N21" s="41">
        <f t="shared" si="14"/>
        <v>0</v>
      </c>
      <c r="O21" s="72" t="s">
        <v>21</v>
      </c>
    </row>
    <row r="22" spans="1:15">
      <c r="O22" s="4" t="s">
        <v>22</v>
      </c>
    </row>
    <row r="23" spans="1:15">
      <c r="B23" s="29"/>
    </row>
  </sheetData>
  <mergeCells count="15">
    <mergeCell ref="K7:N7"/>
    <mergeCell ref="A15:A16"/>
    <mergeCell ref="B15:B16"/>
    <mergeCell ref="C15:F15"/>
    <mergeCell ref="G15:J15"/>
    <mergeCell ref="K15:N15"/>
    <mergeCell ref="A7:A8"/>
    <mergeCell ref="B7:B8"/>
    <mergeCell ref="C7:F7"/>
    <mergeCell ref="G7:J7"/>
    <mergeCell ref="A1:N1"/>
    <mergeCell ref="A2:N2"/>
    <mergeCell ref="A3:N3"/>
    <mergeCell ref="A4:N4"/>
    <mergeCell ref="A5:N5"/>
  </mergeCells>
  <printOptions horizontalCentered="1"/>
  <pageMargins left="0.7" right="0.7" top="0.75" bottom="0.75" header="0.3" footer="0.3"/>
  <pageSetup scale="72" fitToHeight="9999"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V16"/>
  <sheetViews>
    <sheetView view="pageBreakPreview" zoomScale="80" zoomScaleNormal="100" zoomScaleSheetLayoutView="80" workbookViewId="0">
      <selection sqref="A1:N16"/>
    </sheetView>
  </sheetViews>
  <sheetFormatPr defaultColWidth="9.109375" defaultRowHeight="13.8"/>
  <cols>
    <col min="1" max="1" width="7.44140625" style="9" bestFit="1" customWidth="1"/>
    <col min="2" max="2" width="58.109375" style="9" customWidth="1"/>
    <col min="3" max="3" width="8.6640625" style="9" customWidth="1"/>
    <col min="4" max="4" width="12.6640625" style="9" customWidth="1"/>
    <col min="5" max="5" width="8.6640625" style="9" customWidth="1"/>
    <col min="6" max="6" width="12.6640625" style="9" customWidth="1"/>
    <col min="7" max="7" width="8.6640625" style="9" customWidth="1"/>
    <col min="8" max="8" width="12.6640625" style="9" customWidth="1"/>
    <col min="9" max="9" width="8.6640625" style="9" customWidth="1"/>
    <col min="10" max="10" width="12.6640625" style="9" customWidth="1"/>
    <col min="11" max="11" width="8.6640625" style="9" customWidth="1"/>
    <col min="12" max="12" width="12.6640625" style="9" customWidth="1"/>
    <col min="13" max="13" width="8.6640625" style="9" customWidth="1"/>
    <col min="14" max="14" width="12.6640625" style="9" customWidth="1"/>
    <col min="15" max="15" width="14" style="4" bestFit="1" customWidth="1"/>
    <col min="16" max="16" width="4.5546875" style="9" customWidth="1"/>
    <col min="17" max="18" width="8.33203125" style="9" customWidth="1"/>
    <col min="19" max="19" width="12.6640625" style="9" customWidth="1"/>
    <col min="20" max="21" width="8.33203125" style="9" customWidth="1"/>
    <col min="22" max="22" width="12.6640625" style="9" customWidth="1"/>
    <col min="23" max="16384" width="9.109375" style="9"/>
  </cols>
  <sheetData>
    <row r="1" spans="1:22" ht="17.399999999999999">
      <c r="A1" s="265" t="s">
        <v>46</v>
      </c>
      <c r="B1" s="265"/>
      <c r="C1" s="265"/>
      <c r="D1" s="265"/>
      <c r="E1" s="265"/>
      <c r="F1" s="265"/>
      <c r="G1" s="265"/>
      <c r="H1" s="265"/>
      <c r="I1" s="265"/>
      <c r="J1" s="265"/>
      <c r="K1" s="265"/>
      <c r="L1" s="265"/>
      <c r="M1" s="265"/>
      <c r="N1" s="265"/>
      <c r="O1" s="72" t="s">
        <v>21</v>
      </c>
      <c r="P1" s="6"/>
      <c r="Q1" s="6"/>
      <c r="R1" s="6"/>
      <c r="S1" s="6"/>
      <c r="T1" s="6"/>
      <c r="U1" s="6"/>
      <c r="V1" s="6"/>
    </row>
    <row r="2" spans="1:22" ht="15">
      <c r="A2" s="266" t="str">
        <f>+'B. Summ of Req.'!A2:D2</f>
        <v>Environment and Natural Resources Division</v>
      </c>
      <c r="B2" s="266"/>
      <c r="C2" s="266"/>
      <c r="D2" s="266"/>
      <c r="E2" s="266"/>
      <c r="F2" s="266"/>
      <c r="G2" s="266"/>
      <c r="H2" s="266"/>
      <c r="I2" s="266"/>
      <c r="J2" s="266"/>
      <c r="K2" s="266"/>
      <c r="L2" s="266"/>
      <c r="M2" s="266"/>
      <c r="N2" s="266"/>
      <c r="O2" s="72" t="s">
        <v>21</v>
      </c>
      <c r="P2" s="7"/>
      <c r="Q2" s="7"/>
      <c r="R2" s="7"/>
      <c r="S2" s="7"/>
      <c r="T2" s="7"/>
      <c r="U2" s="7"/>
      <c r="V2" s="7"/>
    </row>
    <row r="3" spans="1:22">
      <c r="A3" s="278" t="s">
        <v>1</v>
      </c>
      <c r="B3" s="278"/>
      <c r="C3" s="278"/>
      <c r="D3" s="278"/>
      <c r="E3" s="278"/>
      <c r="F3" s="278"/>
      <c r="G3" s="278"/>
      <c r="H3" s="278"/>
      <c r="I3" s="278"/>
      <c r="J3" s="278"/>
      <c r="K3" s="278"/>
      <c r="L3" s="278"/>
      <c r="M3" s="278"/>
      <c r="N3" s="278"/>
      <c r="O3" s="72" t="s">
        <v>21</v>
      </c>
      <c r="P3" s="10"/>
      <c r="Q3" s="10"/>
      <c r="R3" s="10"/>
      <c r="S3" s="10"/>
      <c r="T3" s="10"/>
      <c r="U3" s="10"/>
      <c r="V3" s="10"/>
    </row>
    <row r="4" spans="1:22">
      <c r="A4" s="272" t="s">
        <v>2</v>
      </c>
      <c r="B4" s="272"/>
      <c r="C4" s="272"/>
      <c r="D4" s="272"/>
      <c r="E4" s="272"/>
      <c r="F4" s="272"/>
      <c r="G4" s="272"/>
      <c r="H4" s="272"/>
      <c r="I4" s="272"/>
      <c r="J4" s="272"/>
      <c r="K4" s="272"/>
      <c r="L4" s="272"/>
      <c r="M4" s="272"/>
      <c r="N4" s="272"/>
      <c r="O4" s="72" t="s">
        <v>21</v>
      </c>
      <c r="P4" s="8"/>
      <c r="Q4" s="8"/>
      <c r="R4" s="8"/>
      <c r="S4" s="8"/>
      <c r="T4" s="8"/>
      <c r="U4" s="8"/>
      <c r="V4" s="8"/>
    </row>
    <row r="5" spans="1:22">
      <c r="A5" s="275"/>
      <c r="B5" s="275"/>
      <c r="C5" s="275"/>
      <c r="D5" s="275"/>
      <c r="E5" s="275"/>
      <c r="F5" s="275"/>
      <c r="G5" s="275"/>
      <c r="H5" s="275"/>
      <c r="I5" s="275"/>
      <c r="J5" s="275"/>
      <c r="K5" s="275"/>
      <c r="L5" s="275"/>
      <c r="M5" s="275"/>
      <c r="N5" s="275"/>
      <c r="O5" s="72" t="s">
        <v>21</v>
      </c>
      <c r="P5" s="8"/>
      <c r="Q5" s="8"/>
      <c r="R5" s="8"/>
      <c r="S5" s="8"/>
      <c r="T5" s="8"/>
      <c r="U5" s="8"/>
      <c r="V5" s="8"/>
    </row>
    <row r="6" spans="1:22" ht="14.4" thickBot="1">
      <c r="A6" s="288"/>
      <c r="B6" s="288"/>
      <c r="C6" s="288"/>
      <c r="D6" s="288"/>
      <c r="E6" s="288"/>
      <c r="F6" s="288"/>
      <c r="G6" s="288"/>
      <c r="H6" s="288"/>
      <c r="I6" s="288"/>
      <c r="J6" s="288"/>
      <c r="K6" s="288"/>
      <c r="L6" s="288"/>
      <c r="M6" s="288"/>
      <c r="N6" s="288"/>
      <c r="O6" s="72" t="s">
        <v>21</v>
      </c>
      <c r="P6" s="8"/>
      <c r="Q6" s="8"/>
      <c r="R6" s="8"/>
      <c r="S6" s="8"/>
      <c r="T6" s="8"/>
      <c r="U6" s="8"/>
      <c r="V6" s="8"/>
    </row>
    <row r="7" spans="1:22" s="23" customFormat="1" ht="33.75" customHeight="1">
      <c r="A7" s="284" t="s">
        <v>47</v>
      </c>
      <c r="B7" s="285"/>
      <c r="C7" s="276" t="s">
        <v>165</v>
      </c>
      <c r="D7" s="276"/>
      <c r="E7" s="276" t="s">
        <v>194</v>
      </c>
      <c r="F7" s="276"/>
      <c r="G7" s="276" t="s">
        <v>12</v>
      </c>
      <c r="H7" s="276"/>
      <c r="I7" s="276" t="s">
        <v>23</v>
      </c>
      <c r="J7" s="276"/>
      <c r="K7" s="276" t="s">
        <v>24</v>
      </c>
      <c r="L7" s="276"/>
      <c r="M7" s="276" t="s">
        <v>20</v>
      </c>
      <c r="N7" s="277"/>
      <c r="O7" s="72" t="s">
        <v>21</v>
      </c>
    </row>
    <row r="8" spans="1:22" s="23" customFormat="1" ht="41.4">
      <c r="A8" s="286"/>
      <c r="B8" s="287"/>
      <c r="C8" s="21" t="s">
        <v>50</v>
      </c>
      <c r="D8" s="133" t="s">
        <v>48</v>
      </c>
      <c r="E8" s="21" t="s">
        <v>50</v>
      </c>
      <c r="F8" s="133" t="s">
        <v>48</v>
      </c>
      <c r="G8" s="21" t="s">
        <v>50</v>
      </c>
      <c r="H8" s="21" t="s">
        <v>48</v>
      </c>
      <c r="I8" s="21" t="s">
        <v>50</v>
      </c>
      <c r="J8" s="21" t="s">
        <v>48</v>
      </c>
      <c r="K8" s="21" t="s">
        <v>50</v>
      </c>
      <c r="L8" s="21" t="s">
        <v>48</v>
      </c>
      <c r="M8" s="21" t="s">
        <v>50</v>
      </c>
      <c r="N8" s="30" t="s">
        <v>48</v>
      </c>
      <c r="O8" s="72" t="s">
        <v>21</v>
      </c>
    </row>
    <row r="9" spans="1:22" ht="27.6">
      <c r="A9" s="36" t="s">
        <v>51</v>
      </c>
      <c r="B9" s="42" t="s">
        <v>52</v>
      </c>
      <c r="C9" s="14"/>
      <c r="D9" s="14"/>
      <c r="E9" s="14"/>
      <c r="F9" s="14"/>
      <c r="G9" s="14"/>
      <c r="H9" s="14"/>
      <c r="I9" s="14"/>
      <c r="J9" s="14"/>
      <c r="K9" s="14"/>
      <c r="L9" s="14"/>
      <c r="M9" s="14"/>
      <c r="N9" s="15"/>
      <c r="O9" s="72" t="s">
        <v>21</v>
      </c>
    </row>
    <row r="10" spans="1:22" ht="30.75" customHeight="1">
      <c r="A10" s="37">
        <v>2.6</v>
      </c>
      <c r="B10" s="43" t="s">
        <v>54</v>
      </c>
      <c r="C10" s="31">
        <f>+'B. Summ of Req. by DU'!C20</f>
        <v>635</v>
      </c>
      <c r="D10" s="31">
        <f>+'B. Summ of Req. by DU'!D11</f>
        <v>108009</v>
      </c>
      <c r="E10" s="31">
        <v>635</v>
      </c>
      <c r="F10" s="31">
        <f>+'B. Summ of Req. by DU'!G11</f>
        <v>108670</v>
      </c>
      <c r="G10" s="31">
        <v>635</v>
      </c>
      <c r="H10" s="31">
        <f>+'B. Summ of Req. by DU'!M11</f>
        <v>112632</v>
      </c>
      <c r="I10" s="31">
        <v>0</v>
      </c>
      <c r="J10" s="31">
        <v>0</v>
      </c>
      <c r="K10" s="31">
        <v>0</v>
      </c>
      <c r="L10" s="31">
        <v>0</v>
      </c>
      <c r="M10" s="32">
        <f t="shared" ref="M10" si="0">G10+I10+K10</f>
        <v>635</v>
      </c>
      <c r="N10" s="33">
        <f t="shared" ref="N10" si="1">H10+J10+L10</f>
        <v>112632</v>
      </c>
      <c r="O10" s="72" t="s">
        <v>21</v>
      </c>
    </row>
    <row r="11" spans="1:22">
      <c r="A11" s="38"/>
      <c r="B11" s="44" t="s">
        <v>53</v>
      </c>
      <c r="C11" s="34">
        <f t="shared" ref="C11:N11" si="2">SUM(C10:C10)</f>
        <v>635</v>
      </c>
      <c r="D11" s="34">
        <f t="shared" si="2"/>
        <v>108009</v>
      </c>
      <c r="E11" s="34">
        <f t="shared" si="2"/>
        <v>635</v>
      </c>
      <c r="F11" s="34">
        <f t="shared" si="2"/>
        <v>108670</v>
      </c>
      <c r="G11" s="34">
        <f t="shared" si="2"/>
        <v>635</v>
      </c>
      <c r="H11" s="34">
        <f t="shared" si="2"/>
        <v>112632</v>
      </c>
      <c r="I11" s="34">
        <f t="shared" si="2"/>
        <v>0</v>
      </c>
      <c r="J11" s="34">
        <f t="shared" si="2"/>
        <v>0</v>
      </c>
      <c r="K11" s="34">
        <f t="shared" si="2"/>
        <v>0</v>
      </c>
      <c r="L11" s="34">
        <f t="shared" si="2"/>
        <v>0</v>
      </c>
      <c r="M11" s="34">
        <f t="shared" si="2"/>
        <v>635</v>
      </c>
      <c r="N11" s="35">
        <f t="shared" si="2"/>
        <v>112632</v>
      </c>
      <c r="O11" s="72" t="s">
        <v>21</v>
      </c>
    </row>
    <row r="12" spans="1:22" ht="14.4" thickBot="1">
      <c r="A12" s="39"/>
      <c r="B12" s="40" t="s">
        <v>55</v>
      </c>
      <c r="C12" s="41">
        <f>C11</f>
        <v>635</v>
      </c>
      <c r="D12" s="41">
        <f t="shared" ref="D12:N12" si="3">D11</f>
        <v>108009</v>
      </c>
      <c r="E12" s="41">
        <f t="shared" si="3"/>
        <v>635</v>
      </c>
      <c r="F12" s="41">
        <f t="shared" si="3"/>
        <v>108670</v>
      </c>
      <c r="G12" s="41">
        <f t="shared" si="3"/>
        <v>635</v>
      </c>
      <c r="H12" s="41">
        <f t="shared" si="3"/>
        <v>112632</v>
      </c>
      <c r="I12" s="41">
        <f t="shared" si="3"/>
        <v>0</v>
      </c>
      <c r="J12" s="41">
        <f t="shared" si="3"/>
        <v>0</v>
      </c>
      <c r="K12" s="41">
        <f t="shared" si="3"/>
        <v>0</v>
      </c>
      <c r="L12" s="41">
        <f t="shared" si="3"/>
        <v>0</v>
      </c>
      <c r="M12" s="41">
        <f t="shared" si="3"/>
        <v>635</v>
      </c>
      <c r="N12" s="41">
        <f t="shared" si="3"/>
        <v>112632</v>
      </c>
      <c r="O12" s="72" t="s">
        <v>21</v>
      </c>
    </row>
    <row r="13" spans="1:22">
      <c r="O13" s="72" t="s">
        <v>21</v>
      </c>
    </row>
    <row r="14" spans="1:22">
      <c r="A14" s="283" t="s">
        <v>166</v>
      </c>
      <c r="B14" s="283"/>
      <c r="C14" s="283"/>
      <c r="D14" s="283"/>
      <c r="E14" s="283"/>
      <c r="F14" s="283"/>
      <c r="G14" s="283"/>
      <c r="H14" s="283"/>
      <c r="I14" s="283"/>
      <c r="J14" s="283"/>
      <c r="K14" s="283"/>
      <c r="L14" s="283"/>
      <c r="M14" s="283"/>
      <c r="N14" s="283"/>
      <c r="O14" s="72" t="s">
        <v>21</v>
      </c>
    </row>
    <row r="15" spans="1:22">
      <c r="O15" s="72" t="s">
        <v>21</v>
      </c>
    </row>
    <row r="16" spans="1:22">
      <c r="A16" s="224" t="s">
        <v>198</v>
      </c>
      <c r="O16" s="72" t="s">
        <v>22</v>
      </c>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fitToHeight="9999"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dimension ref="A1:Q31"/>
  <sheetViews>
    <sheetView view="pageBreakPreview" zoomScaleNormal="100" zoomScaleSheetLayoutView="100" workbookViewId="0">
      <pane xSplit="4" ySplit="6" topLeftCell="E30" activePane="bottomRight" state="frozen"/>
      <selection activeCell="G32" sqref="G32"/>
      <selection pane="topRight" activeCell="G32" sqref="G32"/>
      <selection pane="bottomLeft" activeCell="G32" sqref="G32"/>
      <selection pane="bottomRight" activeCell="G35" sqref="G35"/>
    </sheetView>
  </sheetViews>
  <sheetFormatPr defaultColWidth="9.109375" defaultRowHeight="13.8"/>
  <cols>
    <col min="1" max="1" width="3.6640625" style="208" customWidth="1"/>
    <col min="2" max="2" width="71.109375" style="208" customWidth="1"/>
    <col min="3" max="4" width="14.6640625" style="208" customWidth="1"/>
    <col min="5" max="6" width="8.6640625" style="208" customWidth="1"/>
    <col min="7" max="7" width="12.6640625" style="208" customWidth="1"/>
    <col min="8" max="8" width="14" style="53" bestFit="1" customWidth="1"/>
    <col min="9" max="9" width="4.5546875" style="208" customWidth="1"/>
    <col min="10" max="11" width="8.33203125" style="208" customWidth="1"/>
    <col min="12" max="12" width="12.6640625" style="208" customWidth="1"/>
    <col min="13" max="14" width="8.33203125" style="208" customWidth="1"/>
    <col min="15" max="15" width="12.6640625" style="208" customWidth="1"/>
    <col min="16" max="16384" width="9.109375" style="208"/>
  </cols>
  <sheetData>
    <row r="1" spans="1:17" ht="17.399999999999999">
      <c r="A1" s="289" t="s">
        <v>167</v>
      </c>
      <c r="B1" s="289"/>
      <c r="C1" s="289"/>
      <c r="D1" s="289"/>
      <c r="E1" s="289"/>
      <c r="F1" s="289"/>
      <c r="G1" s="289"/>
      <c r="H1" s="47" t="s">
        <v>21</v>
      </c>
      <c r="I1" s="6"/>
      <c r="J1" s="6"/>
      <c r="K1" s="6"/>
      <c r="L1" s="6"/>
      <c r="M1" s="6"/>
      <c r="N1" s="6"/>
      <c r="O1" s="6"/>
    </row>
    <row r="2" spans="1:17" ht="15">
      <c r="A2" s="290" t="str">
        <f>+'B. Summ of Req.'!A2:D2</f>
        <v>Environment and Natural Resources Division</v>
      </c>
      <c r="B2" s="290"/>
      <c r="C2" s="290"/>
      <c r="D2" s="290"/>
      <c r="E2" s="290"/>
      <c r="F2" s="290"/>
      <c r="G2" s="290"/>
      <c r="H2" s="47" t="s">
        <v>21</v>
      </c>
      <c r="I2" s="7"/>
      <c r="J2" s="7"/>
      <c r="K2" s="7"/>
      <c r="L2" s="7"/>
      <c r="M2" s="7"/>
      <c r="N2" s="7"/>
      <c r="O2" s="7"/>
    </row>
    <row r="3" spans="1:17">
      <c r="A3" s="291" t="s">
        <v>1</v>
      </c>
      <c r="B3" s="291"/>
      <c r="C3" s="291"/>
      <c r="D3" s="291"/>
      <c r="E3" s="291"/>
      <c r="F3" s="291"/>
      <c r="G3" s="291"/>
      <c r="H3" s="47" t="s">
        <v>21</v>
      </c>
      <c r="I3" s="227"/>
      <c r="J3" s="227"/>
      <c r="K3" s="227"/>
      <c r="L3" s="227"/>
      <c r="M3" s="227"/>
      <c r="N3" s="227"/>
      <c r="O3" s="227"/>
    </row>
    <row r="4" spans="1:17">
      <c r="A4" s="292" t="s">
        <v>2</v>
      </c>
      <c r="B4" s="292"/>
      <c r="C4" s="292"/>
      <c r="D4" s="292"/>
      <c r="E4" s="292"/>
      <c r="F4" s="292"/>
      <c r="G4" s="292"/>
      <c r="H4" s="47" t="s">
        <v>21</v>
      </c>
      <c r="I4" s="226"/>
      <c r="J4" s="226"/>
      <c r="K4" s="226"/>
      <c r="L4" s="226"/>
      <c r="M4" s="226"/>
      <c r="N4" s="226"/>
      <c r="O4" s="226"/>
    </row>
    <row r="5" spans="1:17" ht="14.4" thickBot="1">
      <c r="A5" s="297"/>
      <c r="B5" s="297"/>
      <c r="C5" s="297"/>
      <c r="D5" s="297"/>
      <c r="E5" s="297"/>
      <c r="F5" s="297"/>
      <c r="G5" s="297"/>
      <c r="H5" s="47" t="s">
        <v>21</v>
      </c>
      <c r="I5" s="226"/>
      <c r="J5" s="226"/>
      <c r="K5" s="226"/>
      <c r="L5" s="226"/>
      <c r="M5" s="226"/>
      <c r="N5" s="226"/>
      <c r="O5" s="226"/>
    </row>
    <row r="6" spans="1:17" s="48" customFormat="1" ht="29.25" customHeight="1" thickBot="1">
      <c r="A6" s="46"/>
      <c r="B6" s="46"/>
      <c r="C6" s="46"/>
      <c r="D6" s="46"/>
      <c r="E6" s="65" t="s">
        <v>4</v>
      </c>
      <c r="F6" s="55" t="s">
        <v>156</v>
      </c>
      <c r="G6" s="54" t="s">
        <v>5</v>
      </c>
      <c r="H6" s="47" t="s">
        <v>21</v>
      </c>
    </row>
    <row r="7" spans="1:17" s="48" customFormat="1" ht="12">
      <c r="A7" s="49"/>
      <c r="B7" s="296" t="s">
        <v>8</v>
      </c>
      <c r="C7" s="296"/>
      <c r="D7" s="296"/>
      <c r="E7" s="56"/>
      <c r="F7" s="56"/>
      <c r="G7" s="66"/>
      <c r="H7" s="47" t="s">
        <v>21</v>
      </c>
    </row>
    <row r="8" spans="1:17" s="48" customFormat="1" ht="11.4">
      <c r="A8" s="50">
        <v>1</v>
      </c>
      <c r="B8" s="298" t="s">
        <v>200</v>
      </c>
      <c r="C8" s="298"/>
      <c r="D8" s="299"/>
      <c r="E8" s="57">
        <v>0</v>
      </c>
      <c r="F8" s="57">
        <v>0</v>
      </c>
      <c r="G8" s="67">
        <v>-661</v>
      </c>
      <c r="H8" s="47" t="s">
        <v>21</v>
      </c>
    </row>
    <row r="9" spans="1:17" s="48" customFormat="1" ht="25.5" customHeight="1">
      <c r="A9" s="50"/>
      <c r="B9" s="300"/>
      <c r="C9" s="300"/>
      <c r="D9" s="301"/>
      <c r="E9" s="57"/>
      <c r="F9" s="57"/>
      <c r="G9" s="67"/>
      <c r="H9" s="47" t="s">
        <v>21</v>
      </c>
    </row>
    <row r="10" spans="1:17" s="48" customFormat="1" ht="12">
      <c r="A10" s="51"/>
      <c r="B10" s="294" t="s">
        <v>56</v>
      </c>
      <c r="C10" s="294"/>
      <c r="D10" s="294"/>
      <c r="E10" s="58">
        <f>SUM(E8:E9)</f>
        <v>0</v>
      </c>
      <c r="F10" s="58">
        <f>SUM(F8:F9)</f>
        <v>0</v>
      </c>
      <c r="G10" s="68">
        <f>SUM(G8:G9)</f>
        <v>-661</v>
      </c>
      <c r="H10" s="47" t="s">
        <v>21</v>
      </c>
    </row>
    <row r="11" spans="1:17" s="48" customFormat="1" ht="12">
      <c r="A11" s="52"/>
      <c r="B11" s="302" t="s">
        <v>57</v>
      </c>
      <c r="C11" s="302"/>
      <c r="D11" s="302"/>
      <c r="E11" s="57"/>
      <c r="F11" s="57"/>
      <c r="G11" s="67"/>
      <c r="H11" s="47" t="s">
        <v>21</v>
      </c>
    </row>
    <row r="12" spans="1:17" s="48" customFormat="1" ht="45.6">
      <c r="A12" s="50">
        <v>1</v>
      </c>
      <c r="B12" s="262" t="s">
        <v>237</v>
      </c>
      <c r="C12" s="228"/>
      <c r="D12" s="229"/>
      <c r="E12" s="57">
        <v>0</v>
      </c>
      <c r="F12" s="57">
        <v>0</v>
      </c>
      <c r="G12" s="67">
        <f>+'B. Summ of Req.'!D19</f>
        <v>305</v>
      </c>
      <c r="H12" s="47" t="s">
        <v>21</v>
      </c>
      <c r="L12" s="317"/>
      <c r="M12" s="318"/>
      <c r="N12" s="318"/>
      <c r="O12" s="318"/>
      <c r="P12" s="318"/>
      <c r="Q12" s="318"/>
    </row>
    <row r="13" spans="1:17" s="48" customFormat="1" ht="57">
      <c r="A13" s="50">
        <v>2</v>
      </c>
      <c r="B13" s="262" t="s">
        <v>236</v>
      </c>
      <c r="C13" s="228"/>
      <c r="D13" s="229"/>
      <c r="E13" s="57">
        <v>0</v>
      </c>
      <c r="F13" s="57">
        <v>0</v>
      </c>
      <c r="G13" s="67">
        <f>+'B. Summ of Req.'!D20</f>
        <v>-21</v>
      </c>
      <c r="H13" s="47" t="s">
        <v>21</v>
      </c>
      <c r="L13" s="317"/>
      <c r="M13" s="318"/>
      <c r="N13" s="318"/>
      <c r="O13" s="318"/>
      <c r="P13" s="318"/>
      <c r="Q13" s="318"/>
    </row>
    <row r="14" spans="1:17" s="48" customFormat="1" ht="57">
      <c r="A14" s="62">
        <v>3</v>
      </c>
      <c r="B14" s="262" t="s">
        <v>235</v>
      </c>
      <c r="C14" s="234"/>
      <c r="D14" s="235"/>
      <c r="E14" s="233">
        <v>0</v>
      </c>
      <c r="F14" s="233">
        <v>0</v>
      </c>
      <c r="G14" s="67">
        <f>+'B. Summ of Req.'!D21</f>
        <v>-152</v>
      </c>
      <c r="H14" s="47" t="s">
        <v>21</v>
      </c>
      <c r="L14" s="317"/>
      <c r="M14" s="318"/>
      <c r="N14" s="318"/>
      <c r="O14" s="318"/>
      <c r="P14" s="318"/>
      <c r="Q14" s="318"/>
    </row>
    <row r="15" spans="1:17" s="48" customFormat="1" ht="12">
      <c r="A15" s="51"/>
      <c r="B15" s="294" t="s">
        <v>58</v>
      </c>
      <c r="C15" s="294"/>
      <c r="D15" s="295"/>
      <c r="E15" s="58">
        <f>SUM(E12:E14)</f>
        <v>0</v>
      </c>
      <c r="F15" s="58">
        <f>SUM(F12:F14)</f>
        <v>0</v>
      </c>
      <c r="G15" s="68">
        <f>SUM(G12:G14)</f>
        <v>132</v>
      </c>
      <c r="H15" s="47" t="s">
        <v>21</v>
      </c>
    </row>
    <row r="16" spans="1:17" s="48" customFormat="1" ht="12">
      <c r="A16" s="60"/>
      <c r="B16" s="293" t="s">
        <v>10</v>
      </c>
      <c r="C16" s="293"/>
      <c r="D16" s="293"/>
      <c r="E16" s="59"/>
      <c r="F16" s="59"/>
      <c r="G16" s="69"/>
      <c r="H16" s="47" t="s">
        <v>21</v>
      </c>
    </row>
    <row r="17" spans="1:8" s="48" customFormat="1" ht="11.4">
      <c r="A17" s="209">
        <v>1</v>
      </c>
      <c r="B17" s="298" t="s">
        <v>207</v>
      </c>
      <c r="C17" s="309"/>
      <c r="D17" s="310"/>
      <c r="E17" s="210"/>
      <c r="F17" s="210"/>
      <c r="G17" s="211"/>
      <c r="H17" s="47" t="s">
        <v>21</v>
      </c>
    </row>
    <row r="18" spans="1:8" s="48" customFormat="1" ht="28.2" customHeight="1">
      <c r="A18" s="209"/>
      <c r="B18" s="300"/>
      <c r="C18" s="300"/>
      <c r="D18" s="301"/>
      <c r="E18" s="210"/>
      <c r="F18" s="210"/>
      <c r="G18" s="211">
        <v>578</v>
      </c>
      <c r="H18" s="47" t="s">
        <v>21</v>
      </c>
    </row>
    <row r="19" spans="1:8" s="48" customFormat="1" ht="11.4">
      <c r="A19" s="209">
        <v>2</v>
      </c>
      <c r="B19" s="298" t="s">
        <v>208</v>
      </c>
      <c r="C19" s="311"/>
      <c r="D19" s="312"/>
      <c r="E19" s="210"/>
      <c r="F19" s="210"/>
      <c r="G19" s="211"/>
      <c r="H19" s="47" t="s">
        <v>21</v>
      </c>
    </row>
    <row r="20" spans="1:8" s="48" customFormat="1" ht="37.200000000000003" customHeight="1">
      <c r="A20" s="209"/>
      <c r="B20" s="313"/>
      <c r="C20" s="313"/>
      <c r="D20" s="314"/>
      <c r="E20" s="210"/>
      <c r="F20" s="210"/>
      <c r="G20" s="211">
        <v>98</v>
      </c>
      <c r="H20" s="47" t="s">
        <v>21</v>
      </c>
    </row>
    <row r="21" spans="1:8" s="48" customFormat="1" ht="36" customHeight="1">
      <c r="A21" s="50">
        <v>3</v>
      </c>
      <c r="B21" s="303" t="s">
        <v>209</v>
      </c>
      <c r="C21" s="304"/>
      <c r="D21" s="305"/>
      <c r="E21" s="61"/>
      <c r="F21" s="61"/>
      <c r="G21" s="67">
        <v>-10</v>
      </c>
      <c r="H21" s="47" t="s">
        <v>21</v>
      </c>
    </row>
    <row r="22" spans="1:8" s="48" customFormat="1" ht="36" customHeight="1">
      <c r="A22" s="50">
        <v>4</v>
      </c>
      <c r="B22" s="306" t="s">
        <v>210</v>
      </c>
      <c r="C22" s="307"/>
      <c r="D22" s="308"/>
      <c r="E22" s="61"/>
      <c r="F22" s="61"/>
      <c r="G22" s="67">
        <v>115</v>
      </c>
      <c r="H22" s="47" t="s">
        <v>21</v>
      </c>
    </row>
    <row r="23" spans="1:8" s="48" customFormat="1" ht="49.2" customHeight="1">
      <c r="A23" s="50">
        <v>5</v>
      </c>
      <c r="B23" s="306" t="s">
        <v>211</v>
      </c>
      <c r="C23" s="307"/>
      <c r="D23" s="308"/>
      <c r="E23" s="61" t="s">
        <v>60</v>
      </c>
      <c r="F23" s="61"/>
      <c r="G23" s="67">
        <v>154</v>
      </c>
      <c r="H23" s="47" t="s">
        <v>21</v>
      </c>
    </row>
    <row r="24" spans="1:8" s="48" customFormat="1" ht="12">
      <c r="A24" s="51"/>
      <c r="B24" s="294" t="s">
        <v>61</v>
      </c>
      <c r="C24" s="294"/>
      <c r="D24" s="294"/>
      <c r="E24" s="58">
        <f>SUM(E18:E23)</f>
        <v>0</v>
      </c>
      <c r="F24" s="58">
        <f>SUM(F18:F23)</f>
        <v>0</v>
      </c>
      <c r="G24" s="68">
        <f>SUM(G18:G23)</f>
        <v>935</v>
      </c>
      <c r="H24" s="47" t="s">
        <v>21</v>
      </c>
    </row>
    <row r="25" spans="1:8" s="48" customFormat="1" ht="12">
      <c r="A25" s="64"/>
      <c r="B25" s="315" t="s">
        <v>11</v>
      </c>
      <c r="C25" s="315"/>
      <c r="D25" s="316"/>
      <c r="E25" s="63"/>
      <c r="F25" s="63"/>
      <c r="G25" s="70"/>
      <c r="H25" s="47" t="s">
        <v>21</v>
      </c>
    </row>
    <row r="26" spans="1:8" s="48" customFormat="1" ht="70.2" customHeight="1">
      <c r="A26" s="50">
        <v>1</v>
      </c>
      <c r="B26" s="306" t="s">
        <v>212</v>
      </c>
      <c r="C26" s="307"/>
      <c r="D26" s="308"/>
      <c r="E26" s="61"/>
      <c r="F26" s="61"/>
      <c r="G26" s="67">
        <v>125</v>
      </c>
      <c r="H26" s="47" t="s">
        <v>21</v>
      </c>
    </row>
    <row r="27" spans="1:8" s="48" customFormat="1" ht="39" customHeight="1">
      <c r="A27" s="50">
        <v>2</v>
      </c>
      <c r="B27" s="306" t="s">
        <v>213</v>
      </c>
      <c r="C27" s="307"/>
      <c r="D27" s="308"/>
      <c r="E27" s="61"/>
      <c r="F27" s="61"/>
      <c r="G27" s="67">
        <v>-138</v>
      </c>
      <c r="H27" s="47" t="s">
        <v>21</v>
      </c>
    </row>
    <row r="28" spans="1:8" s="48" customFormat="1" ht="37.5" customHeight="1">
      <c r="A28" s="50">
        <v>3</v>
      </c>
      <c r="B28" s="306" t="s">
        <v>62</v>
      </c>
      <c r="C28" s="307"/>
      <c r="D28" s="308"/>
      <c r="E28" s="61"/>
      <c r="F28" s="61"/>
      <c r="G28" s="67">
        <v>3569</v>
      </c>
      <c r="H28" s="47" t="s">
        <v>21</v>
      </c>
    </row>
    <row r="29" spans="1:8" s="48" customFormat="1" ht="12">
      <c r="A29" s="51"/>
      <c r="B29" s="294" t="s">
        <v>63</v>
      </c>
      <c r="C29" s="294"/>
      <c r="D29" s="294"/>
      <c r="E29" s="58">
        <f>SUM(E26:E28)</f>
        <v>0</v>
      </c>
      <c r="F29" s="58">
        <f>SUM(F26:F28)</f>
        <v>0</v>
      </c>
      <c r="G29" s="68">
        <f>SUM(G26:G28)</f>
        <v>3556</v>
      </c>
      <c r="H29" s="47" t="s">
        <v>21</v>
      </c>
    </row>
    <row r="30" spans="1:8" s="247" customFormat="1" ht="14.4" thickBot="1">
      <c r="A30" s="245"/>
      <c r="B30" s="319" t="s">
        <v>168</v>
      </c>
      <c r="C30" s="319"/>
      <c r="D30" s="320"/>
      <c r="E30" s="246">
        <f>+E29+E24+E15+E10</f>
        <v>0</v>
      </c>
      <c r="F30" s="246">
        <f t="shared" ref="F30:G30" si="0">+F29+F24+F15+F10</f>
        <v>0</v>
      </c>
      <c r="G30" s="246">
        <f t="shared" si="0"/>
        <v>3962</v>
      </c>
      <c r="H30" s="47" t="s">
        <v>21</v>
      </c>
    </row>
    <row r="31" spans="1:8" s="247" customFormat="1">
      <c r="H31" s="47" t="s">
        <v>22</v>
      </c>
    </row>
  </sheetData>
  <mergeCells count="26">
    <mergeCell ref="B30:D30"/>
    <mergeCell ref="B23:D23"/>
    <mergeCell ref="B24:D24"/>
    <mergeCell ref="B26:D26"/>
    <mergeCell ref="B27:D27"/>
    <mergeCell ref="B28:D28"/>
    <mergeCell ref="B29:D29"/>
    <mergeCell ref="L12:Q12"/>
    <mergeCell ref="L13:Q13"/>
    <mergeCell ref="L14:Q14"/>
    <mergeCell ref="B21:D21"/>
    <mergeCell ref="B22:D22"/>
    <mergeCell ref="B17:D18"/>
    <mergeCell ref="B19:D20"/>
    <mergeCell ref="B25:D25"/>
    <mergeCell ref="A1:G1"/>
    <mergeCell ref="A2:G2"/>
    <mergeCell ref="A3:G3"/>
    <mergeCell ref="A4:G4"/>
    <mergeCell ref="B16:D16"/>
    <mergeCell ref="B15:D15"/>
    <mergeCell ref="B7:D7"/>
    <mergeCell ref="A5:G5"/>
    <mergeCell ref="B8:D9"/>
    <mergeCell ref="B11:D11"/>
    <mergeCell ref="B10:D10"/>
  </mergeCells>
  <printOptions horizontalCentered="1"/>
  <pageMargins left="0.7" right="0.7" top="0.65" bottom="0.46" header="0.3" footer="0.21"/>
  <pageSetup scale="77" fitToHeight="9999"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4" max="6" man="1"/>
  </rowBreaks>
</worksheet>
</file>

<file path=xl/worksheets/sheet7.xml><?xml version="1.0" encoding="utf-8"?>
<worksheet xmlns="http://schemas.openxmlformats.org/spreadsheetml/2006/main" xmlns:r="http://schemas.openxmlformats.org/officeDocument/2006/relationships">
  <sheetPr>
    <pageSetUpPr fitToPage="1"/>
  </sheetPr>
  <dimension ref="A1:W30"/>
  <sheetViews>
    <sheetView view="pageBreakPreview" zoomScale="80" zoomScaleNormal="100" zoomScaleSheetLayoutView="80" workbookViewId="0">
      <selection sqref="A1:O30"/>
    </sheetView>
  </sheetViews>
  <sheetFormatPr defaultColWidth="9.109375" defaultRowHeight="13.8"/>
  <cols>
    <col min="1" max="1" width="37.109375" style="9" customWidth="1"/>
    <col min="2" max="3" width="8.33203125" style="9" customWidth="1"/>
    <col min="4" max="4" width="12.6640625" style="9" customWidth="1"/>
    <col min="5" max="5" width="7.109375" style="9" customWidth="1"/>
    <col min="6" max="6" width="8.6640625" style="9" customWidth="1"/>
    <col min="7" max="7" width="12.6640625" style="9" customWidth="1"/>
    <col min="8" max="9" width="8.33203125" style="9" customWidth="1"/>
    <col min="10" max="12" width="12.6640625" style="9" customWidth="1"/>
    <col min="13" max="14" width="8.33203125" style="9" customWidth="1"/>
    <col min="15" max="15" width="12.6640625" style="9" customWidth="1"/>
    <col min="16" max="16" width="14" style="4" bestFit="1" customWidth="1"/>
    <col min="17" max="17" width="4.5546875" style="9" customWidth="1"/>
    <col min="18" max="19" width="8.33203125" style="9" customWidth="1"/>
    <col min="20" max="20" width="12.6640625" style="9" customWidth="1"/>
    <col min="21" max="22" width="8.33203125" style="9" customWidth="1"/>
    <col min="23" max="23" width="12.6640625" style="9" customWidth="1"/>
    <col min="24" max="16384" width="9.109375" style="9"/>
  </cols>
  <sheetData>
    <row r="1" spans="1:23" ht="17.399999999999999">
      <c r="A1" s="265" t="s">
        <v>64</v>
      </c>
      <c r="B1" s="265"/>
      <c r="C1" s="265"/>
      <c r="D1" s="265"/>
      <c r="E1" s="265"/>
      <c r="F1" s="265"/>
      <c r="G1" s="265"/>
      <c r="H1" s="265"/>
      <c r="I1" s="265"/>
      <c r="J1" s="265"/>
      <c r="K1" s="265"/>
      <c r="L1" s="265"/>
      <c r="M1" s="265"/>
      <c r="N1" s="265"/>
      <c r="O1" s="265"/>
      <c r="P1" s="72" t="s">
        <v>21</v>
      </c>
      <c r="Q1" s="6"/>
      <c r="R1" s="6"/>
      <c r="S1" s="6"/>
      <c r="T1" s="6"/>
      <c r="U1" s="6"/>
      <c r="V1" s="6"/>
      <c r="W1" s="6"/>
    </row>
    <row r="2" spans="1:23" ht="15">
      <c r="A2" s="266" t="str">
        <f>+'B. Summ of Req.'!A2:D2</f>
        <v>Environment and Natural Resources Division</v>
      </c>
      <c r="B2" s="266"/>
      <c r="C2" s="266"/>
      <c r="D2" s="266"/>
      <c r="E2" s="266"/>
      <c r="F2" s="266"/>
      <c r="G2" s="266"/>
      <c r="H2" s="266"/>
      <c r="I2" s="266"/>
      <c r="J2" s="266"/>
      <c r="K2" s="266"/>
      <c r="L2" s="266"/>
      <c r="M2" s="266"/>
      <c r="N2" s="266"/>
      <c r="O2" s="266"/>
      <c r="P2" s="72" t="s">
        <v>21</v>
      </c>
      <c r="Q2" s="7"/>
      <c r="R2" s="7"/>
      <c r="S2" s="7"/>
      <c r="T2" s="7"/>
      <c r="U2" s="7"/>
      <c r="V2" s="7"/>
      <c r="W2" s="7"/>
    </row>
    <row r="3" spans="1:23">
      <c r="A3" s="275" t="s">
        <v>1</v>
      </c>
      <c r="B3" s="275"/>
      <c r="C3" s="275"/>
      <c r="D3" s="275"/>
      <c r="E3" s="275"/>
      <c r="F3" s="275"/>
      <c r="G3" s="275"/>
      <c r="H3" s="275"/>
      <c r="I3" s="275"/>
      <c r="J3" s="275"/>
      <c r="K3" s="275"/>
      <c r="L3" s="275"/>
      <c r="M3" s="275"/>
      <c r="N3" s="275"/>
      <c r="O3" s="275"/>
      <c r="P3" s="72" t="s">
        <v>21</v>
      </c>
      <c r="Q3" s="10"/>
      <c r="R3" s="10"/>
      <c r="S3" s="10"/>
      <c r="T3" s="10"/>
      <c r="U3" s="10"/>
      <c r="V3" s="10"/>
      <c r="W3" s="10"/>
    </row>
    <row r="4" spans="1:23">
      <c r="A4" s="272" t="s">
        <v>2</v>
      </c>
      <c r="B4" s="272"/>
      <c r="C4" s="272"/>
      <c r="D4" s="272"/>
      <c r="E4" s="272"/>
      <c r="F4" s="272"/>
      <c r="G4" s="272"/>
      <c r="H4" s="272"/>
      <c r="I4" s="272"/>
      <c r="J4" s="272"/>
      <c r="K4" s="272"/>
      <c r="L4" s="272"/>
      <c r="M4" s="272"/>
      <c r="N4" s="272"/>
      <c r="O4" s="272"/>
      <c r="P4" s="72" t="s">
        <v>21</v>
      </c>
      <c r="Q4" s="8"/>
      <c r="R4" s="8"/>
      <c r="S4" s="8"/>
      <c r="T4" s="8"/>
      <c r="U4" s="8"/>
      <c r="V4" s="8"/>
      <c r="W4" s="8"/>
    </row>
    <row r="5" spans="1:23">
      <c r="A5" s="8"/>
      <c r="B5" s="8"/>
      <c r="C5" s="8"/>
      <c r="D5" s="8"/>
      <c r="E5" s="8"/>
      <c r="F5" s="8"/>
      <c r="G5" s="8"/>
      <c r="H5" s="8"/>
      <c r="I5" s="8"/>
      <c r="J5" s="8"/>
      <c r="K5" s="8"/>
      <c r="L5" s="8"/>
      <c r="M5" s="8"/>
      <c r="N5" s="8"/>
      <c r="O5" s="8"/>
      <c r="P5" s="72" t="s">
        <v>21</v>
      </c>
      <c r="Q5" s="8"/>
      <c r="R5" s="8"/>
      <c r="S5" s="8"/>
      <c r="T5" s="8"/>
      <c r="U5" s="8"/>
      <c r="V5" s="8"/>
      <c r="W5" s="8"/>
    </row>
    <row r="6" spans="1:23" ht="14.4" thickBot="1">
      <c r="A6" s="71"/>
      <c r="B6" s="71"/>
      <c r="C6" s="71"/>
      <c r="D6" s="71"/>
      <c r="E6" s="71"/>
      <c r="F6" s="71"/>
      <c r="G6" s="71"/>
      <c r="H6" s="71"/>
      <c r="I6" s="71"/>
      <c r="J6" s="71"/>
      <c r="K6" s="71"/>
      <c r="L6" s="71"/>
      <c r="M6" s="71"/>
      <c r="N6" s="71"/>
      <c r="O6" s="71"/>
      <c r="P6" s="72" t="s">
        <v>21</v>
      </c>
      <c r="Q6" s="8"/>
      <c r="R6" s="8"/>
      <c r="S6" s="8"/>
      <c r="T6" s="8"/>
      <c r="U6" s="8"/>
      <c r="V6" s="8"/>
      <c r="W6" s="8"/>
    </row>
    <row r="7" spans="1:23" ht="33.75" customHeight="1">
      <c r="A7" s="273" t="s">
        <v>163</v>
      </c>
      <c r="B7" s="276" t="s">
        <v>191</v>
      </c>
      <c r="C7" s="276"/>
      <c r="D7" s="276"/>
      <c r="E7" s="276" t="s">
        <v>159</v>
      </c>
      <c r="F7" s="321"/>
      <c r="G7" s="322"/>
      <c r="H7" s="276" t="s">
        <v>65</v>
      </c>
      <c r="I7" s="276"/>
      <c r="J7" s="276"/>
      <c r="K7" s="139" t="s">
        <v>66</v>
      </c>
      <c r="L7" s="139" t="s">
        <v>169</v>
      </c>
      <c r="M7" s="276" t="s">
        <v>70</v>
      </c>
      <c r="N7" s="276"/>
      <c r="O7" s="277"/>
      <c r="P7" s="72" t="s">
        <v>21</v>
      </c>
    </row>
    <row r="8" spans="1:23" ht="27.6">
      <c r="A8" s="274"/>
      <c r="B8" s="11" t="s">
        <v>4</v>
      </c>
      <c r="C8" s="133" t="s">
        <v>157</v>
      </c>
      <c r="D8" s="11" t="s">
        <v>5</v>
      </c>
      <c r="E8" s="11" t="s">
        <v>4</v>
      </c>
      <c r="F8" s="133" t="s">
        <v>157</v>
      </c>
      <c r="G8" s="11" t="s">
        <v>5</v>
      </c>
      <c r="H8" s="11" t="s">
        <v>4</v>
      </c>
      <c r="I8" s="11" t="s">
        <v>157</v>
      </c>
      <c r="J8" s="11" t="s">
        <v>5</v>
      </c>
      <c r="K8" s="21" t="s">
        <v>5</v>
      </c>
      <c r="L8" s="11" t="s">
        <v>5</v>
      </c>
      <c r="M8" s="11" t="s">
        <v>4</v>
      </c>
      <c r="N8" s="11" t="s">
        <v>157</v>
      </c>
      <c r="O8" s="12" t="s">
        <v>5</v>
      </c>
      <c r="P8" s="72" t="s">
        <v>21</v>
      </c>
    </row>
    <row r="9" spans="1:23">
      <c r="A9" s="16" t="str">
        <f>+'B. Summ of Req. by DU'!A9</f>
        <v>Civil Litigation</v>
      </c>
      <c r="B9" s="31">
        <f>+'B. Summ of Req. by DU'!B9</f>
        <v>483.3</v>
      </c>
      <c r="C9" s="31">
        <f>+'B. Summ of Req. by DU'!C9</f>
        <v>477.90000000000003</v>
      </c>
      <c r="D9" s="31">
        <f>+'B. Summ of Req. by DU'!D9</f>
        <v>97208</v>
      </c>
      <c r="E9" s="31">
        <v>0</v>
      </c>
      <c r="F9" s="31">
        <v>0</v>
      </c>
      <c r="G9" s="31">
        <v>0</v>
      </c>
      <c r="H9" s="31">
        <v>0</v>
      </c>
      <c r="I9" s="31">
        <v>0</v>
      </c>
      <c r="J9" s="31">
        <v>1500</v>
      </c>
      <c r="K9" s="31">
        <v>2000</v>
      </c>
      <c r="L9" s="31">
        <v>4</v>
      </c>
      <c r="M9" s="31">
        <f t="shared" ref="M9:N10" si="0">B9+H9</f>
        <v>483.3</v>
      </c>
      <c r="N9" s="31">
        <f t="shared" si="0"/>
        <v>477.90000000000003</v>
      </c>
      <c r="O9" s="157">
        <f>D9+J9+K9+L9+G9</f>
        <v>100712</v>
      </c>
      <c r="P9" s="72" t="s">
        <v>21</v>
      </c>
    </row>
    <row r="10" spans="1:23">
      <c r="A10" s="16" t="str">
        <f>+'B. Summ of Req. by DU'!A10</f>
        <v>Criminal Litigation</v>
      </c>
      <c r="B10" s="31">
        <f>+'B. Summ of Req. by DU'!B10</f>
        <v>53.699999999999989</v>
      </c>
      <c r="C10" s="31">
        <f>+'B. Summ of Req. by DU'!C10</f>
        <v>53.099999999999966</v>
      </c>
      <c r="D10" s="31">
        <f>+'B. Summ of Req. by DU'!D10</f>
        <v>10801</v>
      </c>
      <c r="E10" s="158">
        <v>0</v>
      </c>
      <c r="F10" s="158">
        <v>0</v>
      </c>
      <c r="G10" s="158">
        <v>0</v>
      </c>
      <c r="H10" s="158">
        <v>0</v>
      </c>
      <c r="I10" s="158">
        <v>0</v>
      </c>
      <c r="J10" s="158">
        <v>0</v>
      </c>
      <c r="K10" s="158">
        <v>0</v>
      </c>
      <c r="L10" s="158">
        <v>0</v>
      </c>
      <c r="M10" s="158">
        <f t="shared" si="0"/>
        <v>53.699999999999989</v>
      </c>
      <c r="N10" s="31">
        <f t="shared" si="0"/>
        <v>53.099999999999966</v>
      </c>
      <c r="O10" s="159">
        <f>D10+J10+K10+L10+G10</f>
        <v>10801</v>
      </c>
      <c r="P10" s="72" t="s">
        <v>21</v>
      </c>
    </row>
    <row r="11" spans="1:23">
      <c r="A11" s="13" t="s">
        <v>160</v>
      </c>
      <c r="B11" s="160">
        <f>+'B. Summ of Req. by DU'!B11</f>
        <v>537</v>
      </c>
      <c r="C11" s="160">
        <f>+'B. Summ of Req. by DU'!C11</f>
        <v>531</v>
      </c>
      <c r="D11" s="160">
        <f>+'B. Summ of Req. by DU'!D11</f>
        <v>108009</v>
      </c>
      <c r="E11" s="160">
        <f t="shared" ref="E11:O11" si="1">SUM(E9:E10)</f>
        <v>0</v>
      </c>
      <c r="F11" s="160">
        <f t="shared" si="1"/>
        <v>0</v>
      </c>
      <c r="G11" s="160">
        <f t="shared" si="1"/>
        <v>0</v>
      </c>
      <c r="H11" s="160">
        <f t="shared" si="1"/>
        <v>0</v>
      </c>
      <c r="I11" s="160">
        <f t="shared" si="1"/>
        <v>0</v>
      </c>
      <c r="J11" s="160">
        <f t="shared" si="1"/>
        <v>1500</v>
      </c>
      <c r="K11" s="160">
        <f t="shared" si="1"/>
        <v>2000</v>
      </c>
      <c r="L11" s="160">
        <f t="shared" si="1"/>
        <v>4</v>
      </c>
      <c r="M11" s="160">
        <f t="shared" si="1"/>
        <v>537</v>
      </c>
      <c r="N11" s="160">
        <f t="shared" si="1"/>
        <v>531</v>
      </c>
      <c r="O11" s="161">
        <f t="shared" si="1"/>
        <v>111513</v>
      </c>
      <c r="P11" s="72" t="s">
        <v>21</v>
      </c>
    </row>
    <row r="12" spans="1:23">
      <c r="A12" s="114" t="s">
        <v>31</v>
      </c>
      <c r="B12" s="167"/>
      <c r="C12" s="167">
        <v>104</v>
      </c>
      <c r="D12" s="167"/>
      <c r="E12" s="167"/>
      <c r="F12" s="167">
        <v>0</v>
      </c>
      <c r="G12" s="167"/>
      <c r="H12" s="167"/>
      <c r="I12" s="167">
        <v>0</v>
      </c>
      <c r="J12" s="167"/>
      <c r="K12" s="167"/>
      <c r="L12" s="167"/>
      <c r="M12" s="167"/>
      <c r="N12" s="167">
        <f>C12+I12+F12</f>
        <v>104</v>
      </c>
      <c r="O12" s="168"/>
      <c r="P12" s="72" t="s">
        <v>21</v>
      </c>
    </row>
    <row r="13" spans="1:23">
      <c r="A13" s="134" t="s">
        <v>161</v>
      </c>
      <c r="B13" s="31"/>
      <c r="C13" s="31">
        <f>C11+C12</f>
        <v>635</v>
      </c>
      <c r="D13" s="31"/>
      <c r="E13" s="31"/>
      <c r="F13" s="31">
        <f>F11+F12</f>
        <v>0</v>
      </c>
      <c r="G13" s="31"/>
      <c r="H13" s="31"/>
      <c r="I13" s="31">
        <f>I11+I12</f>
        <v>0</v>
      </c>
      <c r="J13" s="31"/>
      <c r="K13" s="31"/>
      <c r="L13" s="31"/>
      <c r="M13" s="31"/>
      <c r="N13" s="167">
        <f>N11+N12</f>
        <v>635</v>
      </c>
      <c r="O13" s="157"/>
      <c r="P13" s="72" t="s">
        <v>21</v>
      </c>
    </row>
    <row r="14" spans="1:23">
      <c r="A14" s="16"/>
      <c r="B14" s="31"/>
      <c r="C14" s="31"/>
      <c r="D14" s="31"/>
      <c r="E14" s="31"/>
      <c r="F14" s="31"/>
      <c r="G14" s="31"/>
      <c r="H14" s="31"/>
      <c r="I14" s="31"/>
      <c r="J14" s="31"/>
      <c r="K14" s="31"/>
      <c r="L14" s="31"/>
      <c r="M14" s="31"/>
      <c r="N14" s="31"/>
      <c r="O14" s="157"/>
      <c r="P14" s="72" t="s">
        <v>21</v>
      </c>
    </row>
    <row r="15" spans="1:23">
      <c r="A15" s="16" t="s">
        <v>32</v>
      </c>
      <c r="B15" s="31"/>
      <c r="C15" s="31"/>
      <c r="D15" s="31"/>
      <c r="E15" s="31"/>
      <c r="F15" s="31"/>
      <c r="G15" s="31"/>
      <c r="H15" s="31"/>
      <c r="I15" s="31"/>
      <c r="J15" s="31"/>
      <c r="K15" s="31"/>
      <c r="L15" s="31"/>
      <c r="M15" s="31"/>
      <c r="N15" s="31"/>
      <c r="O15" s="157"/>
      <c r="P15" s="72" t="s">
        <v>21</v>
      </c>
    </row>
    <row r="16" spans="1:23">
      <c r="A16" s="17" t="s">
        <v>33</v>
      </c>
      <c r="B16" s="31"/>
      <c r="C16" s="31">
        <v>0</v>
      </c>
      <c r="D16" s="31"/>
      <c r="E16" s="31"/>
      <c r="F16" s="31">
        <v>0</v>
      </c>
      <c r="G16" s="31"/>
      <c r="H16" s="31"/>
      <c r="I16" s="31">
        <v>0</v>
      </c>
      <c r="J16" s="31"/>
      <c r="K16" s="31"/>
      <c r="L16" s="31"/>
      <c r="M16" s="31"/>
      <c r="N16" s="31">
        <f>C16+I16+F16</f>
        <v>0</v>
      </c>
      <c r="O16" s="157"/>
      <c r="P16" s="72" t="s">
        <v>21</v>
      </c>
    </row>
    <row r="17" spans="1:16">
      <c r="A17" s="18" t="s">
        <v>34</v>
      </c>
      <c r="B17" s="169"/>
      <c r="C17" s="169">
        <v>0</v>
      </c>
      <c r="D17" s="169"/>
      <c r="E17" s="169"/>
      <c r="F17" s="169">
        <v>0</v>
      </c>
      <c r="G17" s="169"/>
      <c r="H17" s="169"/>
      <c r="I17" s="169">
        <v>0</v>
      </c>
      <c r="J17" s="169"/>
      <c r="K17" s="169"/>
      <c r="L17" s="169"/>
      <c r="M17" s="169"/>
      <c r="N17" s="31">
        <f>C17+I17+F16</f>
        <v>0</v>
      </c>
      <c r="O17" s="170"/>
      <c r="P17" s="72" t="s">
        <v>21</v>
      </c>
    </row>
    <row r="18" spans="1:16" ht="14.4" thickBot="1">
      <c r="A18" s="135" t="s">
        <v>162</v>
      </c>
      <c r="B18" s="171"/>
      <c r="C18" s="171">
        <f>C13+C16+C17</f>
        <v>635</v>
      </c>
      <c r="D18" s="171"/>
      <c r="E18" s="171"/>
      <c r="F18" s="171">
        <f>F13+F16+F17</f>
        <v>0</v>
      </c>
      <c r="G18" s="171"/>
      <c r="H18" s="171"/>
      <c r="I18" s="171">
        <f>I13+I16+I17</f>
        <v>0</v>
      </c>
      <c r="J18" s="171"/>
      <c r="K18" s="171"/>
      <c r="L18" s="171"/>
      <c r="M18" s="171"/>
      <c r="N18" s="171">
        <f>SUM(N13,N16:N17)</f>
        <v>635</v>
      </c>
      <c r="O18" s="172"/>
      <c r="P18" s="72" t="s">
        <v>21</v>
      </c>
    </row>
    <row r="19" spans="1:16">
      <c r="P19" s="72" t="s">
        <v>21</v>
      </c>
    </row>
    <row r="20" spans="1:16">
      <c r="A20" s="5" t="s">
        <v>65</v>
      </c>
      <c r="P20" s="72" t="s">
        <v>21</v>
      </c>
    </row>
    <row r="21" spans="1:16">
      <c r="A21" s="324" t="s">
        <v>238</v>
      </c>
      <c r="B21" s="324"/>
      <c r="C21" s="324"/>
      <c r="D21" s="324"/>
      <c r="E21" s="324"/>
      <c r="F21" s="324"/>
      <c r="G21" s="324"/>
      <c r="H21" s="324"/>
      <c r="I21" s="324"/>
      <c r="J21" s="324"/>
      <c r="K21" s="324"/>
      <c r="L21" s="324"/>
      <c r="M21" s="324"/>
      <c r="N21" s="324"/>
      <c r="O21" s="324"/>
      <c r="P21" s="72" t="s">
        <v>21</v>
      </c>
    </row>
    <row r="22" spans="1:16">
      <c r="A22" s="323"/>
      <c r="B22" s="323"/>
      <c r="C22" s="323"/>
      <c r="D22" s="323"/>
      <c r="E22" s="323"/>
      <c r="F22" s="323"/>
      <c r="G22" s="323"/>
      <c r="H22" s="323"/>
      <c r="I22" s="323"/>
      <c r="J22" s="323"/>
      <c r="K22" s="323"/>
      <c r="L22" s="323"/>
      <c r="M22" s="323"/>
      <c r="N22" s="323"/>
      <c r="O22" s="323"/>
      <c r="P22" s="72" t="s">
        <v>21</v>
      </c>
    </row>
    <row r="23" spans="1:16">
      <c r="A23" s="5" t="s">
        <v>181</v>
      </c>
      <c r="P23" s="72" t="s">
        <v>21</v>
      </c>
    </row>
    <row r="24" spans="1:16">
      <c r="A24" s="324" t="s">
        <v>214</v>
      </c>
      <c r="B24" s="324"/>
      <c r="C24" s="324"/>
      <c r="D24" s="324"/>
      <c r="E24" s="324"/>
      <c r="F24" s="324"/>
      <c r="G24" s="324"/>
      <c r="H24" s="324"/>
      <c r="I24" s="324"/>
      <c r="J24" s="324"/>
      <c r="K24" s="324"/>
      <c r="L24" s="324"/>
      <c r="M24" s="324"/>
      <c r="N24" s="324"/>
      <c r="O24" s="324"/>
      <c r="P24" s="72" t="s">
        <v>21</v>
      </c>
    </row>
    <row r="25" spans="1:16">
      <c r="A25" s="323"/>
      <c r="B25" s="323"/>
      <c r="C25" s="323"/>
      <c r="D25" s="323"/>
      <c r="E25" s="323"/>
      <c r="F25" s="323"/>
      <c r="G25" s="323"/>
      <c r="H25" s="323"/>
      <c r="I25" s="323"/>
      <c r="J25" s="323"/>
      <c r="K25" s="323"/>
      <c r="L25" s="323"/>
      <c r="M25" s="323"/>
      <c r="N25" s="323"/>
      <c r="O25" s="323"/>
      <c r="P25" s="72" t="s">
        <v>21</v>
      </c>
    </row>
    <row r="26" spans="1:16">
      <c r="A26" s="5" t="s">
        <v>182</v>
      </c>
      <c r="P26" s="72" t="s">
        <v>21</v>
      </c>
    </row>
    <row r="27" spans="1:16">
      <c r="A27" s="324" t="s">
        <v>215</v>
      </c>
      <c r="B27" s="324"/>
      <c r="C27" s="324"/>
      <c r="D27" s="324"/>
      <c r="E27" s="324"/>
      <c r="F27" s="324"/>
      <c r="G27" s="324"/>
      <c r="H27" s="324"/>
      <c r="I27" s="324"/>
      <c r="J27" s="324"/>
      <c r="K27" s="324"/>
      <c r="L27" s="324"/>
      <c r="M27" s="324"/>
      <c r="N27" s="324"/>
      <c r="O27" s="324"/>
      <c r="P27" s="72" t="s">
        <v>21</v>
      </c>
    </row>
    <row r="28" spans="1:16">
      <c r="A28" s="323"/>
      <c r="B28" s="323"/>
      <c r="C28" s="323"/>
      <c r="D28" s="323"/>
      <c r="E28" s="323"/>
      <c r="F28" s="323"/>
      <c r="G28" s="323"/>
      <c r="H28" s="323"/>
      <c r="I28" s="323"/>
      <c r="J28" s="323"/>
      <c r="K28" s="323"/>
      <c r="L28" s="323"/>
      <c r="M28" s="323"/>
      <c r="N28" s="323"/>
      <c r="O28" s="323"/>
      <c r="P28" s="72" t="s">
        <v>21</v>
      </c>
    </row>
    <row r="29" spans="1:16">
      <c r="P29" s="72" t="s">
        <v>21</v>
      </c>
    </row>
    <row r="30" spans="1:16">
      <c r="P30" s="4" t="s">
        <v>22</v>
      </c>
    </row>
  </sheetData>
  <mergeCells count="15">
    <mergeCell ref="A28:O28"/>
    <mergeCell ref="A21:O21"/>
    <mergeCell ref="A22:O22"/>
    <mergeCell ref="A24:O24"/>
    <mergeCell ref="A25:O25"/>
    <mergeCell ref="A27:O27"/>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8" fitToHeight="9999"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U33"/>
  <sheetViews>
    <sheetView view="pageBreakPreview" zoomScale="80" zoomScaleNormal="100" zoomScaleSheetLayoutView="80" workbookViewId="0">
      <selection sqref="A1:M33"/>
    </sheetView>
  </sheetViews>
  <sheetFormatPr defaultColWidth="9.109375" defaultRowHeight="13.8"/>
  <cols>
    <col min="1" max="1" width="37.109375" style="9" customWidth="1"/>
    <col min="2" max="3" width="8.33203125" style="9" customWidth="1"/>
    <col min="4" max="4" width="12.6640625" style="9" customWidth="1"/>
    <col min="5" max="5" width="15" style="9" customWidth="1"/>
    <col min="6" max="7" width="8.33203125" style="9" customWidth="1"/>
    <col min="8" max="10" width="12.6640625" style="9" customWidth="1"/>
    <col min="11" max="12" width="8.33203125" style="9" customWidth="1"/>
    <col min="13" max="13" width="12.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c r="A1" s="265" t="s">
        <v>67</v>
      </c>
      <c r="B1" s="265"/>
      <c r="C1" s="265"/>
      <c r="D1" s="265"/>
      <c r="E1" s="265"/>
      <c r="F1" s="265"/>
      <c r="G1" s="265"/>
      <c r="H1" s="265"/>
      <c r="I1" s="265"/>
      <c r="J1" s="265"/>
      <c r="K1" s="265"/>
      <c r="L1" s="265"/>
      <c r="M1" s="265"/>
      <c r="N1" s="72" t="s">
        <v>21</v>
      </c>
      <c r="O1" s="6"/>
      <c r="P1" s="6"/>
      <c r="Q1" s="6"/>
      <c r="R1" s="6"/>
      <c r="S1" s="6"/>
      <c r="T1" s="6"/>
      <c r="U1" s="6"/>
    </row>
    <row r="2" spans="1:21" ht="15">
      <c r="A2" s="266" t="str">
        <f>+'B. Summ of Req.'!A2:D2</f>
        <v>Environment and Natural Resources Division</v>
      </c>
      <c r="B2" s="266"/>
      <c r="C2" s="266"/>
      <c r="D2" s="266"/>
      <c r="E2" s="266"/>
      <c r="F2" s="266"/>
      <c r="G2" s="266"/>
      <c r="H2" s="266"/>
      <c r="I2" s="266"/>
      <c r="J2" s="266"/>
      <c r="K2" s="266"/>
      <c r="L2" s="266"/>
      <c r="M2" s="266"/>
      <c r="N2" s="72" t="s">
        <v>21</v>
      </c>
      <c r="O2" s="7"/>
      <c r="P2" s="7"/>
      <c r="Q2" s="7"/>
      <c r="R2" s="7"/>
      <c r="S2" s="7"/>
      <c r="T2" s="7"/>
      <c r="U2" s="7"/>
    </row>
    <row r="3" spans="1:21">
      <c r="A3" s="275" t="s">
        <v>1</v>
      </c>
      <c r="B3" s="275"/>
      <c r="C3" s="275"/>
      <c r="D3" s="275"/>
      <c r="E3" s="275"/>
      <c r="F3" s="275"/>
      <c r="G3" s="275"/>
      <c r="H3" s="275"/>
      <c r="I3" s="275"/>
      <c r="J3" s="275"/>
      <c r="K3" s="275"/>
      <c r="L3" s="275"/>
      <c r="M3" s="275"/>
      <c r="N3" s="72" t="s">
        <v>21</v>
      </c>
      <c r="O3" s="10"/>
      <c r="P3" s="10"/>
      <c r="Q3" s="10"/>
      <c r="R3" s="10"/>
      <c r="S3" s="10"/>
      <c r="T3" s="10"/>
      <c r="U3" s="10"/>
    </row>
    <row r="4" spans="1:21">
      <c r="A4" s="272" t="s">
        <v>2</v>
      </c>
      <c r="B4" s="272"/>
      <c r="C4" s="272"/>
      <c r="D4" s="272"/>
      <c r="E4" s="272"/>
      <c r="F4" s="272"/>
      <c r="G4" s="272"/>
      <c r="H4" s="272"/>
      <c r="I4" s="272"/>
      <c r="J4" s="272"/>
      <c r="K4" s="272"/>
      <c r="L4" s="272"/>
      <c r="M4" s="272"/>
      <c r="N4" s="72" t="s">
        <v>21</v>
      </c>
      <c r="O4" s="8"/>
      <c r="P4" s="8"/>
      <c r="Q4" s="8"/>
      <c r="R4" s="8"/>
      <c r="S4" s="8"/>
      <c r="T4" s="8"/>
      <c r="U4" s="8"/>
    </row>
    <row r="5" spans="1:21">
      <c r="A5" s="8"/>
      <c r="B5" s="8"/>
      <c r="C5" s="8"/>
      <c r="D5" s="8"/>
      <c r="E5" s="8"/>
      <c r="F5" s="8"/>
      <c r="G5" s="8"/>
      <c r="H5" s="8"/>
      <c r="I5" s="8"/>
      <c r="J5" s="8"/>
      <c r="K5" s="8"/>
      <c r="L5" s="8"/>
      <c r="M5" s="8"/>
      <c r="N5" s="72" t="s">
        <v>21</v>
      </c>
      <c r="O5" s="8"/>
      <c r="P5" s="8"/>
      <c r="Q5" s="8"/>
      <c r="R5" s="8"/>
      <c r="S5" s="8"/>
      <c r="T5" s="8"/>
      <c r="U5" s="8"/>
    </row>
    <row r="6" spans="1:21" ht="14.4" thickBot="1">
      <c r="A6" s="71"/>
      <c r="B6" s="71"/>
      <c r="C6" s="71"/>
      <c r="D6" s="71"/>
      <c r="E6" s="71"/>
      <c r="F6" s="71"/>
      <c r="G6" s="71"/>
      <c r="H6" s="71"/>
      <c r="I6" s="71"/>
      <c r="J6" s="71"/>
      <c r="K6" s="71"/>
      <c r="L6" s="71"/>
      <c r="M6" s="71"/>
      <c r="N6" s="72" t="s">
        <v>21</v>
      </c>
      <c r="O6" s="8"/>
      <c r="P6" s="8"/>
      <c r="Q6" s="8"/>
      <c r="R6" s="8"/>
      <c r="S6" s="8"/>
      <c r="T6" s="8"/>
      <c r="U6" s="8"/>
    </row>
    <row r="7" spans="1:21" ht="41.4" customHeight="1">
      <c r="A7" s="273" t="s">
        <v>163</v>
      </c>
      <c r="B7" s="325" t="s">
        <v>230</v>
      </c>
      <c r="C7" s="325"/>
      <c r="D7" s="325"/>
      <c r="E7" s="230" t="s">
        <v>232</v>
      </c>
      <c r="F7" s="276" t="s">
        <v>65</v>
      </c>
      <c r="G7" s="276"/>
      <c r="H7" s="276"/>
      <c r="I7" s="230" t="s">
        <v>66</v>
      </c>
      <c r="J7" s="230" t="s">
        <v>169</v>
      </c>
      <c r="K7" s="276" t="s">
        <v>68</v>
      </c>
      <c r="L7" s="276"/>
      <c r="M7" s="277"/>
      <c r="N7" s="72" t="s">
        <v>21</v>
      </c>
    </row>
    <row r="8" spans="1:21" ht="27.6">
      <c r="A8" s="274"/>
      <c r="B8" s="11" t="s">
        <v>4</v>
      </c>
      <c r="C8" s="21" t="s">
        <v>158</v>
      </c>
      <c r="D8" s="11" t="s">
        <v>5</v>
      </c>
      <c r="E8" s="21" t="s">
        <v>5</v>
      </c>
      <c r="F8" s="11" t="s">
        <v>4</v>
      </c>
      <c r="G8" s="11" t="s">
        <v>158</v>
      </c>
      <c r="H8" s="11" t="s">
        <v>5</v>
      </c>
      <c r="I8" s="21" t="s">
        <v>5</v>
      </c>
      <c r="J8" s="11" t="s">
        <v>5</v>
      </c>
      <c r="K8" s="11" t="s">
        <v>4</v>
      </c>
      <c r="L8" s="11" t="s">
        <v>158</v>
      </c>
      <c r="M8" s="12" t="s">
        <v>5</v>
      </c>
      <c r="N8" s="72" t="s">
        <v>21</v>
      </c>
    </row>
    <row r="9" spans="1:21">
      <c r="A9" s="16" t="str">
        <f>+'F. 2012 Crosswalk'!A9</f>
        <v>Civil Litigation</v>
      </c>
      <c r="B9" s="31">
        <f>+'F. 2012 Crosswalk'!B9</f>
        <v>483.3</v>
      </c>
      <c r="C9" s="31">
        <f>478-5</f>
        <v>473</v>
      </c>
      <c r="D9" s="31">
        <f>+'F. 2012 Crosswalk'!D9+661</f>
        <v>97869</v>
      </c>
      <c r="E9" s="31">
        <v>0</v>
      </c>
      <c r="F9" s="31">
        <v>0</v>
      </c>
      <c r="G9" s="31">
        <v>0</v>
      </c>
      <c r="H9" s="31">
        <v>300</v>
      </c>
      <c r="I9" s="31">
        <f>+'F. 2012 Crosswalk'!K9+4</f>
        <v>2004</v>
      </c>
      <c r="J9" s="31">
        <v>0</v>
      </c>
      <c r="K9" s="31">
        <f t="shared" ref="K9:K10" si="0">B9+F9</f>
        <v>483.3</v>
      </c>
      <c r="L9" s="31">
        <f t="shared" ref="L9:L10" si="1">C9+G9</f>
        <v>473</v>
      </c>
      <c r="M9" s="157">
        <f t="shared" ref="M9:M10" si="2">D9+E9+H9+I9+J9</f>
        <v>100173</v>
      </c>
      <c r="N9" s="72" t="s">
        <v>21</v>
      </c>
    </row>
    <row r="10" spans="1:21">
      <c r="A10" s="16" t="str">
        <f>+'F. 2012 Crosswalk'!A10</f>
        <v>Criminal Litigation</v>
      </c>
      <c r="B10" s="31">
        <f>+'F. 2012 Crosswalk'!B10</f>
        <v>53.699999999999989</v>
      </c>
      <c r="C10" s="31">
        <f>53-6</f>
        <v>47</v>
      </c>
      <c r="D10" s="31">
        <f>+'F. 2012 Crosswalk'!D10</f>
        <v>10801</v>
      </c>
      <c r="E10" s="158">
        <v>0</v>
      </c>
      <c r="F10" s="158">
        <v>0</v>
      </c>
      <c r="G10" s="158">
        <v>0</v>
      </c>
      <c r="H10" s="158">
        <v>0</v>
      </c>
      <c r="I10" s="158">
        <v>0</v>
      </c>
      <c r="J10" s="158">
        <v>0</v>
      </c>
      <c r="K10" s="158">
        <f t="shared" si="0"/>
        <v>53.699999999999989</v>
      </c>
      <c r="L10" s="158">
        <f t="shared" si="1"/>
        <v>47</v>
      </c>
      <c r="M10" s="159">
        <f t="shared" si="2"/>
        <v>10801</v>
      </c>
      <c r="N10" s="72" t="s">
        <v>21</v>
      </c>
    </row>
    <row r="11" spans="1:21">
      <c r="A11" s="13" t="s">
        <v>160</v>
      </c>
      <c r="B11" s="160">
        <f t="shared" ref="B11:M11" si="3">SUM(B9:B10)</f>
        <v>537</v>
      </c>
      <c r="C11" s="160">
        <f t="shared" si="3"/>
        <v>520</v>
      </c>
      <c r="D11" s="160">
        <f t="shared" si="3"/>
        <v>108670</v>
      </c>
      <c r="E11" s="160">
        <f t="shared" si="3"/>
        <v>0</v>
      </c>
      <c r="F11" s="160">
        <f t="shared" si="3"/>
        <v>0</v>
      </c>
      <c r="G11" s="160">
        <f t="shared" si="3"/>
        <v>0</v>
      </c>
      <c r="H11" s="160">
        <f t="shared" si="3"/>
        <v>300</v>
      </c>
      <c r="I11" s="160">
        <f t="shared" si="3"/>
        <v>2004</v>
      </c>
      <c r="J11" s="160">
        <f t="shared" si="3"/>
        <v>0</v>
      </c>
      <c r="K11" s="160">
        <f t="shared" si="3"/>
        <v>537</v>
      </c>
      <c r="L11" s="160">
        <f t="shared" si="3"/>
        <v>520</v>
      </c>
      <c r="M11" s="161">
        <f t="shared" si="3"/>
        <v>110974</v>
      </c>
      <c r="N11" s="72" t="s">
        <v>21</v>
      </c>
    </row>
    <row r="12" spans="1:21">
      <c r="A12" s="142" t="s">
        <v>159</v>
      </c>
      <c r="B12" s="155"/>
      <c r="C12" s="155"/>
      <c r="D12" s="155">
        <v>0</v>
      </c>
      <c r="E12" s="155"/>
      <c r="F12" s="155"/>
      <c r="G12" s="155"/>
      <c r="H12" s="155"/>
      <c r="I12" s="155"/>
      <c r="J12" s="155"/>
      <c r="K12" s="155"/>
      <c r="L12" s="155"/>
      <c r="M12" s="156">
        <f>D12+E12+H12+I12+J12</f>
        <v>0</v>
      </c>
      <c r="N12" s="72" t="s">
        <v>21</v>
      </c>
    </row>
    <row r="13" spans="1:21">
      <c r="A13" s="143" t="s">
        <v>179</v>
      </c>
      <c r="B13" s="173"/>
      <c r="C13" s="173"/>
      <c r="D13" s="173">
        <f>SUM(D11:D12)</f>
        <v>108670</v>
      </c>
      <c r="E13" s="173"/>
      <c r="F13" s="173"/>
      <c r="G13" s="173"/>
      <c r="H13" s="173"/>
      <c r="I13" s="173"/>
      <c r="J13" s="173"/>
      <c r="K13" s="173"/>
      <c r="L13" s="173"/>
      <c r="M13" s="174">
        <f>SUM(M11:M12)</f>
        <v>110974</v>
      </c>
      <c r="N13" s="72" t="s">
        <v>21</v>
      </c>
    </row>
    <row r="14" spans="1:21">
      <c r="A14" s="114" t="s">
        <v>31</v>
      </c>
      <c r="B14" s="167"/>
      <c r="C14" s="167">
        <f>+'B. Summ of Req. by DU'!F14</f>
        <v>115</v>
      </c>
      <c r="D14" s="167"/>
      <c r="E14" s="167"/>
      <c r="F14" s="167"/>
      <c r="G14" s="167">
        <v>0</v>
      </c>
      <c r="H14" s="167"/>
      <c r="I14" s="167"/>
      <c r="J14" s="167"/>
      <c r="K14" s="167"/>
      <c r="L14" s="167">
        <f t="shared" ref="L14" si="4">C14+G14</f>
        <v>115</v>
      </c>
      <c r="M14" s="168"/>
      <c r="N14" s="72" t="s">
        <v>21</v>
      </c>
    </row>
    <row r="15" spans="1:21">
      <c r="A15" s="134" t="s">
        <v>161</v>
      </c>
      <c r="B15" s="31"/>
      <c r="C15" s="31">
        <f>C11+C14</f>
        <v>635</v>
      </c>
      <c r="D15" s="31"/>
      <c r="E15" s="31"/>
      <c r="F15" s="31"/>
      <c r="G15" s="31">
        <f>G11+G14</f>
        <v>0</v>
      </c>
      <c r="H15" s="31"/>
      <c r="I15" s="31"/>
      <c r="J15" s="31"/>
      <c r="K15" s="31"/>
      <c r="L15" s="31">
        <f>L11+L14</f>
        <v>635</v>
      </c>
      <c r="M15" s="157"/>
      <c r="N15" s="72" t="s">
        <v>21</v>
      </c>
    </row>
    <row r="16" spans="1:21">
      <c r="A16" s="16"/>
      <c r="B16" s="31"/>
      <c r="C16" s="31"/>
      <c r="D16" s="31"/>
      <c r="E16" s="31"/>
      <c r="F16" s="31"/>
      <c r="G16" s="31"/>
      <c r="H16" s="31"/>
      <c r="I16" s="31"/>
      <c r="J16" s="31"/>
      <c r="K16" s="31"/>
      <c r="L16" s="31"/>
      <c r="M16" s="157"/>
      <c r="N16" s="72" t="s">
        <v>21</v>
      </c>
    </row>
    <row r="17" spans="1:15">
      <c r="A17" s="16" t="s">
        <v>32</v>
      </c>
      <c r="B17" s="31"/>
      <c r="C17" s="31"/>
      <c r="D17" s="31"/>
      <c r="E17" s="31"/>
      <c r="F17" s="31"/>
      <c r="G17" s="31"/>
      <c r="H17" s="31"/>
      <c r="I17" s="31"/>
      <c r="J17" s="31"/>
      <c r="K17" s="31"/>
      <c r="L17" s="31"/>
      <c r="M17" s="157"/>
      <c r="N17" s="72" t="s">
        <v>21</v>
      </c>
    </row>
    <row r="18" spans="1:15">
      <c r="A18" s="17" t="s">
        <v>33</v>
      </c>
      <c r="B18" s="31"/>
      <c r="C18" s="31">
        <v>0</v>
      </c>
      <c r="D18" s="31"/>
      <c r="E18" s="31"/>
      <c r="F18" s="31"/>
      <c r="G18" s="31">
        <v>0</v>
      </c>
      <c r="H18" s="31"/>
      <c r="I18" s="31"/>
      <c r="J18" s="31"/>
      <c r="K18" s="31"/>
      <c r="L18" s="31">
        <f t="shared" ref="L18:L19" si="5">C18+G18</f>
        <v>0</v>
      </c>
      <c r="M18" s="157"/>
      <c r="N18" s="72" t="s">
        <v>21</v>
      </c>
    </row>
    <row r="19" spans="1:15">
      <c r="A19" s="18" t="s">
        <v>34</v>
      </c>
      <c r="B19" s="169"/>
      <c r="C19" s="169">
        <v>0</v>
      </c>
      <c r="D19" s="169"/>
      <c r="E19" s="169"/>
      <c r="F19" s="169"/>
      <c r="G19" s="169">
        <v>0</v>
      </c>
      <c r="H19" s="169"/>
      <c r="I19" s="169"/>
      <c r="J19" s="169"/>
      <c r="K19" s="169"/>
      <c r="L19" s="169">
        <f t="shared" si="5"/>
        <v>0</v>
      </c>
      <c r="M19" s="170"/>
      <c r="N19" s="72" t="s">
        <v>21</v>
      </c>
    </row>
    <row r="20" spans="1:15" ht="14.4" thickBot="1">
      <c r="A20" s="135" t="s">
        <v>162</v>
      </c>
      <c r="B20" s="171"/>
      <c r="C20" s="171">
        <f>C15+C18+C19</f>
        <v>635</v>
      </c>
      <c r="D20" s="171"/>
      <c r="E20" s="171"/>
      <c r="F20" s="171"/>
      <c r="G20" s="171">
        <f>G15+G18+G19</f>
        <v>0</v>
      </c>
      <c r="H20" s="171"/>
      <c r="I20" s="171"/>
      <c r="J20" s="171"/>
      <c r="K20" s="171"/>
      <c r="L20" s="171">
        <f>SUM(L15,L18:L19)</f>
        <v>635</v>
      </c>
      <c r="M20" s="172"/>
      <c r="N20" s="72" t="s">
        <v>21</v>
      </c>
    </row>
    <row r="21" spans="1:15">
      <c r="N21" s="72" t="s">
        <v>21</v>
      </c>
    </row>
    <row r="22" spans="1:15">
      <c r="N22" s="72" t="s">
        <v>21</v>
      </c>
    </row>
    <row r="23" spans="1:15">
      <c r="N23" s="72" t="s">
        <v>21</v>
      </c>
    </row>
    <row r="24" spans="1:15">
      <c r="A24" s="5" t="s">
        <v>65</v>
      </c>
      <c r="N24" s="72" t="s">
        <v>21</v>
      </c>
    </row>
    <row r="25" spans="1:15" ht="13.95" customHeight="1">
      <c r="A25" s="227" t="s">
        <v>231</v>
      </c>
      <c r="B25" s="227"/>
      <c r="C25" s="227"/>
      <c r="D25" s="227"/>
      <c r="E25" s="227"/>
      <c r="F25" s="227"/>
      <c r="G25" s="227"/>
      <c r="H25" s="227"/>
      <c r="I25" s="227"/>
      <c r="J25" s="227"/>
      <c r="K25" s="227"/>
      <c r="L25" s="227"/>
      <c r="M25" s="227"/>
      <c r="N25" s="72" t="s">
        <v>21</v>
      </c>
      <c r="O25" s="227"/>
    </row>
    <row r="26" spans="1:15">
      <c r="A26" s="227"/>
      <c r="B26" s="227"/>
      <c r="C26" s="227"/>
      <c r="D26" s="227"/>
      <c r="E26" s="227"/>
      <c r="F26" s="227"/>
      <c r="G26" s="227"/>
      <c r="H26" s="227"/>
      <c r="I26" s="227"/>
      <c r="J26" s="227"/>
      <c r="K26" s="227"/>
      <c r="L26" s="227"/>
      <c r="M26" s="227"/>
      <c r="N26" s="72" t="s">
        <v>21</v>
      </c>
      <c r="O26" s="227"/>
    </row>
    <row r="27" spans="1:15">
      <c r="A27" s="22" t="s">
        <v>181</v>
      </c>
      <c r="B27" s="227"/>
      <c r="C27" s="227"/>
      <c r="D27" s="227"/>
      <c r="E27" s="227"/>
      <c r="F27" s="227"/>
      <c r="G27" s="227"/>
      <c r="H27" s="227"/>
      <c r="I27" s="227"/>
      <c r="J27" s="227"/>
      <c r="K27" s="227"/>
      <c r="L27" s="227"/>
      <c r="M27" s="227"/>
      <c r="N27" s="72" t="s">
        <v>21</v>
      </c>
      <c r="O27" s="227"/>
    </row>
    <row r="28" spans="1:15" ht="13.95" customHeight="1">
      <c r="A28" s="227" t="s">
        <v>214</v>
      </c>
      <c r="B28" s="227"/>
      <c r="C28" s="227"/>
      <c r="D28" s="227"/>
      <c r="E28" s="227"/>
      <c r="F28" s="227"/>
      <c r="G28" s="227"/>
      <c r="H28" s="227"/>
      <c r="I28" s="227"/>
      <c r="J28" s="227"/>
      <c r="K28" s="227"/>
      <c r="L28" s="227"/>
      <c r="M28" s="227"/>
      <c r="N28" s="72" t="s">
        <v>21</v>
      </c>
      <c r="O28" s="227"/>
    </row>
    <row r="29" spans="1:15">
      <c r="A29" s="227"/>
      <c r="B29" s="227"/>
      <c r="C29" s="227"/>
      <c r="D29" s="227"/>
      <c r="E29" s="227"/>
      <c r="F29" s="227"/>
      <c r="G29" s="227"/>
      <c r="H29" s="227"/>
      <c r="I29" s="227"/>
      <c r="J29" s="227"/>
      <c r="K29" s="227"/>
      <c r="L29" s="227"/>
      <c r="M29" s="227"/>
      <c r="N29" s="72" t="s">
        <v>21</v>
      </c>
      <c r="O29" s="227"/>
    </row>
    <row r="30" spans="1:15">
      <c r="A30" s="22"/>
      <c r="B30" s="227"/>
      <c r="C30" s="227"/>
      <c r="D30" s="227"/>
      <c r="E30" s="227"/>
      <c r="F30" s="227"/>
      <c r="G30" s="227"/>
      <c r="H30" s="227"/>
      <c r="I30" s="227"/>
      <c r="J30" s="227"/>
      <c r="K30" s="227"/>
      <c r="L30" s="227"/>
      <c r="M30" s="227"/>
      <c r="N30" s="72" t="s">
        <v>21</v>
      </c>
      <c r="O30" s="227"/>
    </row>
    <row r="31" spans="1:15">
      <c r="A31" s="244"/>
      <c r="B31" s="244"/>
      <c r="C31" s="244"/>
      <c r="D31" s="244"/>
      <c r="E31" s="244"/>
      <c r="F31" s="244"/>
      <c r="G31" s="244"/>
      <c r="H31" s="244"/>
      <c r="I31" s="244"/>
      <c r="J31" s="244"/>
      <c r="K31" s="244"/>
      <c r="L31" s="244"/>
      <c r="M31" s="244"/>
      <c r="N31" s="72" t="s">
        <v>21</v>
      </c>
      <c r="O31" s="244"/>
    </row>
    <row r="32" spans="1:15">
      <c r="A32" s="227"/>
      <c r="B32" s="227"/>
      <c r="C32" s="227"/>
      <c r="D32" s="227"/>
      <c r="E32" s="227"/>
      <c r="F32" s="227"/>
      <c r="G32" s="227"/>
      <c r="H32" s="227"/>
      <c r="I32" s="227"/>
      <c r="J32" s="227"/>
      <c r="K32" s="227"/>
      <c r="L32" s="227"/>
      <c r="M32" s="227"/>
      <c r="N32" s="72" t="s">
        <v>21</v>
      </c>
      <c r="O32" s="227"/>
    </row>
    <row r="33" spans="1:14">
      <c r="A33" s="240" t="s">
        <v>198</v>
      </c>
      <c r="N33" s="4" t="s">
        <v>22</v>
      </c>
    </row>
  </sheetData>
  <mergeCells count="8">
    <mergeCell ref="A1:M1"/>
    <mergeCell ref="A2:M2"/>
    <mergeCell ref="A3:M3"/>
    <mergeCell ref="A4:M4"/>
    <mergeCell ref="A7:A8"/>
    <mergeCell ref="B7:D7"/>
    <mergeCell ref="F7:H7"/>
    <mergeCell ref="K7:M7"/>
  </mergeCells>
  <printOptions horizontalCentered="1"/>
  <pageMargins left="0.7" right="0.7" top="0.66" bottom="0.66" header="0.3" footer="0.3"/>
  <pageSetup scale="74" fitToHeight="9999"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U30"/>
  <sheetViews>
    <sheetView view="pageBreakPreview" zoomScale="80" zoomScaleNormal="100" zoomScaleSheetLayoutView="80" workbookViewId="0">
      <selection sqref="A1:M24"/>
    </sheetView>
  </sheetViews>
  <sheetFormatPr defaultColWidth="9.109375" defaultRowHeight="13.8"/>
  <cols>
    <col min="1" max="1" width="48.44140625" style="9" bestFit="1" customWidth="1"/>
    <col min="2" max="3" width="8.33203125" style="9" customWidth="1"/>
    <col min="4" max="4" width="12.6640625" style="9" customWidth="1"/>
    <col min="5" max="6" width="8.33203125" style="9" customWidth="1"/>
    <col min="7" max="7" width="12.6640625" style="9" customWidth="1"/>
    <col min="8" max="9" width="8.33203125" style="9" customWidth="1"/>
    <col min="10" max="10" width="12.6640625" style="9" customWidth="1"/>
    <col min="11" max="12" width="8.33203125" style="9" customWidth="1"/>
    <col min="13" max="13" width="12.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c r="A1" s="265" t="s">
        <v>69</v>
      </c>
      <c r="B1" s="265"/>
      <c r="C1" s="265"/>
      <c r="D1" s="265"/>
      <c r="E1" s="265"/>
      <c r="F1" s="265"/>
      <c r="G1" s="265"/>
      <c r="H1" s="265"/>
      <c r="I1" s="265"/>
      <c r="J1" s="265"/>
      <c r="K1" s="265"/>
      <c r="L1" s="265"/>
      <c r="M1" s="265"/>
      <c r="N1" s="72" t="s">
        <v>21</v>
      </c>
      <c r="O1" s="6"/>
      <c r="P1" s="6"/>
      <c r="Q1" s="6"/>
      <c r="R1" s="6"/>
      <c r="S1" s="6"/>
      <c r="T1" s="6"/>
      <c r="U1" s="6"/>
    </row>
    <row r="2" spans="1:21" ht="15">
      <c r="A2" s="266" t="str">
        <f>+'B. Summ of Req.'!A2:D2</f>
        <v>Environment and Natural Resources Division</v>
      </c>
      <c r="B2" s="266"/>
      <c r="C2" s="266"/>
      <c r="D2" s="266"/>
      <c r="E2" s="266"/>
      <c r="F2" s="266"/>
      <c r="G2" s="266"/>
      <c r="H2" s="266"/>
      <c r="I2" s="266"/>
      <c r="J2" s="266"/>
      <c r="K2" s="266"/>
      <c r="L2" s="266"/>
      <c r="M2" s="266"/>
      <c r="N2" s="72" t="s">
        <v>21</v>
      </c>
      <c r="O2" s="7"/>
      <c r="P2" s="7"/>
      <c r="Q2" s="7"/>
      <c r="R2" s="7"/>
      <c r="S2" s="7"/>
      <c r="T2" s="7"/>
      <c r="U2" s="7"/>
    </row>
    <row r="3" spans="1:21">
      <c r="A3" s="275" t="s">
        <v>1</v>
      </c>
      <c r="B3" s="275"/>
      <c r="C3" s="275"/>
      <c r="D3" s="275"/>
      <c r="E3" s="275"/>
      <c r="F3" s="275"/>
      <c r="G3" s="275"/>
      <c r="H3" s="275"/>
      <c r="I3" s="275"/>
      <c r="J3" s="275"/>
      <c r="K3" s="275"/>
      <c r="L3" s="275"/>
      <c r="M3" s="275"/>
      <c r="N3" s="72" t="s">
        <v>21</v>
      </c>
      <c r="O3" s="10"/>
      <c r="P3" s="10"/>
      <c r="Q3" s="10"/>
      <c r="R3" s="10"/>
      <c r="S3" s="10"/>
      <c r="T3" s="10"/>
      <c r="U3" s="10"/>
    </row>
    <row r="4" spans="1:21">
      <c r="A4" s="272" t="s">
        <v>2</v>
      </c>
      <c r="B4" s="272"/>
      <c r="C4" s="272"/>
      <c r="D4" s="272"/>
      <c r="E4" s="272"/>
      <c r="F4" s="272"/>
      <c r="G4" s="272"/>
      <c r="H4" s="272"/>
      <c r="I4" s="272"/>
      <c r="J4" s="272"/>
      <c r="K4" s="272"/>
      <c r="L4" s="272"/>
      <c r="M4" s="272"/>
      <c r="N4" s="72" t="s">
        <v>21</v>
      </c>
      <c r="O4" s="8"/>
      <c r="P4" s="8"/>
      <c r="Q4" s="8"/>
      <c r="R4" s="8"/>
      <c r="S4" s="8"/>
      <c r="T4" s="8"/>
      <c r="U4" s="8"/>
    </row>
    <row r="5" spans="1:21">
      <c r="A5" s="272"/>
      <c r="B5" s="272"/>
      <c r="C5" s="272"/>
      <c r="D5" s="272"/>
      <c r="E5" s="272"/>
      <c r="F5" s="272"/>
      <c r="G5" s="272"/>
      <c r="H5" s="272"/>
      <c r="I5" s="272"/>
      <c r="J5" s="272"/>
      <c r="K5" s="272"/>
      <c r="L5" s="272"/>
      <c r="M5" s="272"/>
      <c r="N5" s="72" t="s">
        <v>21</v>
      </c>
      <c r="O5" s="8"/>
      <c r="P5" s="8"/>
      <c r="Q5" s="8"/>
      <c r="R5" s="8"/>
      <c r="S5" s="8"/>
      <c r="T5" s="8"/>
      <c r="U5" s="8"/>
    </row>
    <row r="6" spans="1:21" ht="14.4" thickBot="1">
      <c r="A6" s="272"/>
      <c r="B6" s="272"/>
      <c r="C6" s="272"/>
      <c r="D6" s="272"/>
      <c r="E6" s="272"/>
      <c r="F6" s="272"/>
      <c r="G6" s="272"/>
      <c r="H6" s="272"/>
      <c r="I6" s="272"/>
      <c r="J6" s="272"/>
      <c r="K6" s="272"/>
      <c r="L6" s="272"/>
      <c r="M6" s="272"/>
      <c r="N6" s="72" t="s">
        <v>21</v>
      </c>
      <c r="O6" s="8"/>
      <c r="P6" s="8"/>
      <c r="Q6" s="8"/>
      <c r="R6" s="8"/>
      <c r="S6" s="8"/>
      <c r="T6" s="8"/>
      <c r="U6" s="8"/>
    </row>
    <row r="7" spans="1:21" ht="13.95" customHeight="1">
      <c r="A7" s="273" t="s">
        <v>187</v>
      </c>
      <c r="B7" s="276" t="s">
        <v>70</v>
      </c>
      <c r="C7" s="276"/>
      <c r="D7" s="276"/>
      <c r="E7" s="276" t="s">
        <v>190</v>
      </c>
      <c r="F7" s="276"/>
      <c r="G7" s="276"/>
      <c r="H7" s="276" t="s">
        <v>25</v>
      </c>
      <c r="I7" s="276"/>
      <c r="J7" s="276"/>
      <c r="K7" s="276" t="s">
        <v>71</v>
      </c>
      <c r="L7" s="276"/>
      <c r="M7" s="277"/>
      <c r="N7" s="72" t="s">
        <v>21</v>
      </c>
    </row>
    <row r="8" spans="1:21" ht="27.6">
      <c r="A8" s="274"/>
      <c r="B8" s="236" t="s">
        <v>72</v>
      </c>
      <c r="C8" s="236" t="s">
        <v>73</v>
      </c>
      <c r="D8" s="236" t="s">
        <v>5</v>
      </c>
      <c r="E8" s="236" t="s">
        <v>72</v>
      </c>
      <c r="F8" s="236" t="s">
        <v>73</v>
      </c>
      <c r="G8" s="236" t="s">
        <v>5</v>
      </c>
      <c r="H8" s="236" t="s">
        <v>72</v>
      </c>
      <c r="I8" s="236" t="s">
        <v>73</v>
      </c>
      <c r="J8" s="236" t="s">
        <v>5</v>
      </c>
      <c r="K8" s="236" t="s">
        <v>72</v>
      </c>
      <c r="L8" s="236" t="s">
        <v>73</v>
      </c>
      <c r="M8" s="237" t="s">
        <v>5</v>
      </c>
      <c r="N8" s="72" t="s">
        <v>21</v>
      </c>
    </row>
    <row r="9" spans="1:21">
      <c r="A9" s="231" t="s">
        <v>216</v>
      </c>
      <c r="B9" s="219"/>
      <c r="C9" s="219"/>
      <c r="D9" s="219">
        <v>17</v>
      </c>
      <c r="E9" s="219"/>
      <c r="F9" s="219"/>
      <c r="G9" s="219">
        <v>78</v>
      </c>
      <c r="H9" s="219"/>
      <c r="I9" s="219"/>
      <c r="J9" s="219">
        <v>118</v>
      </c>
      <c r="K9" s="219">
        <f>H9-E9</f>
        <v>0</v>
      </c>
      <c r="L9" s="219">
        <f>I9-F9</f>
        <v>0</v>
      </c>
      <c r="M9" s="215">
        <f>J9-G9</f>
        <v>40</v>
      </c>
      <c r="N9" s="72" t="s">
        <v>21</v>
      </c>
    </row>
    <row r="10" spans="1:21">
      <c r="A10" s="231" t="s">
        <v>217</v>
      </c>
      <c r="B10" s="219"/>
      <c r="C10" s="219"/>
      <c r="D10" s="219">
        <v>0</v>
      </c>
      <c r="E10" s="219"/>
      <c r="F10" s="219"/>
      <c r="G10" s="219">
        <v>7</v>
      </c>
      <c r="H10" s="219"/>
      <c r="I10" s="219"/>
      <c r="J10" s="219">
        <v>14</v>
      </c>
      <c r="K10" s="219">
        <f t="shared" ref="K10:K22" si="0">H10-E10</f>
        <v>0</v>
      </c>
      <c r="L10" s="219">
        <f t="shared" ref="L10:L22" si="1">I10-F10</f>
        <v>0</v>
      </c>
      <c r="M10" s="215">
        <f t="shared" ref="M10:M22" si="2">J10-G10</f>
        <v>7</v>
      </c>
      <c r="N10" s="72" t="s">
        <v>21</v>
      </c>
    </row>
    <row r="11" spans="1:21">
      <c r="A11" s="231" t="s">
        <v>218</v>
      </c>
      <c r="B11" s="219"/>
      <c r="C11" s="219"/>
      <c r="D11" s="219">
        <v>1380</v>
      </c>
      <c r="E11" s="219"/>
      <c r="F11" s="219"/>
      <c r="G11" s="219">
        <v>1573</v>
      </c>
      <c r="H11" s="219"/>
      <c r="I11" s="219"/>
      <c r="J11" s="219">
        <v>1873</v>
      </c>
      <c r="K11" s="219">
        <f t="shared" si="0"/>
        <v>0</v>
      </c>
      <c r="L11" s="219">
        <f t="shared" si="1"/>
        <v>0</v>
      </c>
      <c r="M11" s="215">
        <f t="shared" si="2"/>
        <v>300</v>
      </c>
      <c r="N11" s="72" t="s">
        <v>21</v>
      </c>
    </row>
    <row r="12" spans="1:21">
      <c r="A12" s="231" t="s">
        <v>219</v>
      </c>
      <c r="B12" s="219"/>
      <c r="C12" s="219"/>
      <c r="D12" s="219">
        <v>0</v>
      </c>
      <c r="E12" s="219"/>
      <c r="F12" s="219"/>
      <c r="G12" s="219">
        <v>10</v>
      </c>
      <c r="H12" s="219"/>
      <c r="I12" s="219"/>
      <c r="J12" s="219">
        <v>15</v>
      </c>
      <c r="K12" s="219">
        <f t="shared" si="0"/>
        <v>0</v>
      </c>
      <c r="L12" s="219">
        <f t="shared" si="1"/>
        <v>0</v>
      </c>
      <c r="M12" s="215">
        <f t="shared" si="2"/>
        <v>5</v>
      </c>
      <c r="N12" s="72" t="s">
        <v>21</v>
      </c>
    </row>
    <row r="13" spans="1:21">
      <c r="A13" s="231" t="s">
        <v>220</v>
      </c>
      <c r="B13" s="219"/>
      <c r="C13" s="219"/>
      <c r="D13" s="219">
        <v>3016</v>
      </c>
      <c r="E13" s="219"/>
      <c r="F13" s="219"/>
      <c r="G13" s="219">
        <v>3165</v>
      </c>
      <c r="H13" s="219"/>
      <c r="I13" s="219"/>
      <c r="J13" s="219">
        <v>3100</v>
      </c>
      <c r="K13" s="219">
        <f t="shared" si="0"/>
        <v>0</v>
      </c>
      <c r="L13" s="219">
        <f t="shared" si="1"/>
        <v>0</v>
      </c>
      <c r="M13" s="215">
        <f t="shared" si="2"/>
        <v>-65</v>
      </c>
      <c r="N13" s="72" t="s">
        <v>21</v>
      </c>
    </row>
    <row r="14" spans="1:21">
      <c r="A14" s="231" t="s">
        <v>221</v>
      </c>
      <c r="B14" s="219"/>
      <c r="C14" s="219"/>
      <c r="D14" s="219">
        <v>510</v>
      </c>
      <c r="E14" s="219"/>
      <c r="F14" s="219"/>
      <c r="G14" s="219">
        <v>550</v>
      </c>
      <c r="H14" s="219"/>
      <c r="I14" s="219"/>
      <c r="J14" s="219">
        <v>600</v>
      </c>
      <c r="K14" s="219">
        <f t="shared" si="0"/>
        <v>0</v>
      </c>
      <c r="L14" s="219">
        <f t="shared" si="1"/>
        <v>0</v>
      </c>
      <c r="M14" s="215">
        <f t="shared" si="2"/>
        <v>50</v>
      </c>
      <c r="N14" s="72" t="s">
        <v>21</v>
      </c>
    </row>
    <row r="15" spans="1:21">
      <c r="A15" s="231" t="s">
        <v>222</v>
      </c>
      <c r="B15" s="219"/>
      <c r="C15" s="219"/>
      <c r="D15" s="219">
        <v>4253</v>
      </c>
      <c r="E15" s="219"/>
      <c r="F15" s="219"/>
      <c r="G15" s="219">
        <v>5000</v>
      </c>
      <c r="H15" s="219"/>
      <c r="I15" s="219"/>
      <c r="J15" s="219">
        <v>6200</v>
      </c>
      <c r="K15" s="219">
        <f t="shared" si="0"/>
        <v>0</v>
      </c>
      <c r="L15" s="219">
        <f t="shared" si="1"/>
        <v>0</v>
      </c>
      <c r="M15" s="215">
        <f t="shared" si="2"/>
        <v>1200</v>
      </c>
      <c r="N15" s="72" t="s">
        <v>21</v>
      </c>
    </row>
    <row r="16" spans="1:21">
      <c r="A16" s="231" t="s">
        <v>223</v>
      </c>
      <c r="B16" s="219"/>
      <c r="C16" s="219"/>
      <c r="D16" s="219">
        <v>28615</v>
      </c>
      <c r="E16" s="219"/>
      <c r="F16" s="219"/>
      <c r="G16" s="219">
        <v>31045</v>
      </c>
      <c r="H16" s="219"/>
      <c r="I16" s="219"/>
      <c r="J16" s="219">
        <v>29530</v>
      </c>
      <c r="K16" s="219">
        <f t="shared" si="0"/>
        <v>0</v>
      </c>
      <c r="L16" s="219">
        <f t="shared" si="1"/>
        <v>0</v>
      </c>
      <c r="M16" s="215">
        <f t="shared" si="2"/>
        <v>-1515</v>
      </c>
      <c r="N16" s="72" t="s">
        <v>21</v>
      </c>
    </row>
    <row r="17" spans="1:14">
      <c r="A17" s="231" t="s">
        <v>224</v>
      </c>
      <c r="B17" s="219"/>
      <c r="C17" s="219"/>
      <c r="D17" s="219">
        <v>48</v>
      </c>
      <c r="E17" s="219"/>
      <c r="F17" s="219"/>
      <c r="G17" s="219">
        <v>400</v>
      </c>
      <c r="H17" s="219"/>
      <c r="I17" s="219"/>
      <c r="J17" s="219">
        <v>370</v>
      </c>
      <c r="K17" s="219">
        <f t="shared" si="0"/>
        <v>0</v>
      </c>
      <c r="L17" s="219">
        <f t="shared" si="1"/>
        <v>0</v>
      </c>
      <c r="M17" s="215">
        <f t="shared" si="2"/>
        <v>-30</v>
      </c>
      <c r="N17" s="72" t="s">
        <v>21</v>
      </c>
    </row>
    <row r="18" spans="1:14">
      <c r="A18" s="231" t="s">
        <v>225</v>
      </c>
      <c r="B18" s="219"/>
      <c r="C18" s="219"/>
      <c r="D18" s="219">
        <v>5</v>
      </c>
      <c r="E18" s="219"/>
      <c r="F18" s="219"/>
      <c r="G18" s="219">
        <v>10</v>
      </c>
      <c r="H18" s="219"/>
      <c r="I18" s="219"/>
      <c r="J18" s="219">
        <f t="shared" ref="J18:J22" si="3">+G18</f>
        <v>10</v>
      </c>
      <c r="K18" s="219">
        <f t="shared" si="0"/>
        <v>0</v>
      </c>
      <c r="L18" s="219">
        <f t="shared" si="1"/>
        <v>0</v>
      </c>
      <c r="M18" s="215">
        <f t="shared" si="2"/>
        <v>0</v>
      </c>
      <c r="N18" s="72" t="s">
        <v>21</v>
      </c>
    </row>
    <row r="19" spans="1:14">
      <c r="A19" s="231" t="s">
        <v>226</v>
      </c>
      <c r="B19" s="219">
        <v>104</v>
      </c>
      <c r="C19" s="219">
        <v>104</v>
      </c>
      <c r="D19" s="219">
        <v>25350</v>
      </c>
      <c r="E19" s="219">
        <v>115</v>
      </c>
      <c r="F19" s="219">
        <v>115</v>
      </c>
      <c r="G19" s="248">
        <v>25454</v>
      </c>
      <c r="H19" s="248">
        <v>115</v>
      </c>
      <c r="I19" s="248">
        <v>115</v>
      </c>
      <c r="J19" s="248">
        <v>25970</v>
      </c>
      <c r="K19" s="219">
        <f t="shared" si="0"/>
        <v>0</v>
      </c>
      <c r="L19" s="219">
        <f t="shared" si="1"/>
        <v>0</v>
      </c>
      <c r="M19" s="215">
        <f t="shared" si="2"/>
        <v>516</v>
      </c>
      <c r="N19" s="72" t="s">
        <v>21</v>
      </c>
    </row>
    <row r="20" spans="1:14">
      <c r="A20" s="231" t="s">
        <v>227</v>
      </c>
      <c r="B20" s="219"/>
      <c r="C20" s="219"/>
      <c r="D20" s="219">
        <v>1752</v>
      </c>
      <c r="E20" s="219"/>
      <c r="F20" s="219"/>
      <c r="G20" s="219">
        <v>2000</v>
      </c>
      <c r="H20" s="219"/>
      <c r="I20" s="219"/>
      <c r="J20" s="219">
        <v>1200</v>
      </c>
      <c r="K20" s="219">
        <f t="shared" si="0"/>
        <v>0</v>
      </c>
      <c r="L20" s="219">
        <f t="shared" si="1"/>
        <v>0</v>
      </c>
      <c r="M20" s="215">
        <f t="shared" si="2"/>
        <v>-800</v>
      </c>
      <c r="N20" s="72" t="s">
        <v>21</v>
      </c>
    </row>
    <row r="21" spans="1:14">
      <c r="A21" s="231" t="s">
        <v>228</v>
      </c>
      <c r="B21" s="219"/>
      <c r="C21" s="219"/>
      <c r="D21" s="219">
        <v>11215</v>
      </c>
      <c r="E21" s="219"/>
      <c r="F21" s="219"/>
      <c r="G21" s="219">
        <v>15208</v>
      </c>
      <c r="H21" s="219"/>
      <c r="I21" s="219"/>
      <c r="J21" s="219">
        <v>17500</v>
      </c>
      <c r="K21" s="219">
        <f t="shared" si="0"/>
        <v>0</v>
      </c>
      <c r="L21" s="219">
        <f t="shared" si="1"/>
        <v>0</v>
      </c>
      <c r="M21" s="215">
        <f t="shared" si="2"/>
        <v>2292</v>
      </c>
      <c r="N21" s="72" t="s">
        <v>21</v>
      </c>
    </row>
    <row r="22" spans="1:14">
      <c r="A22" s="231" t="s">
        <v>229</v>
      </c>
      <c r="B22" s="219"/>
      <c r="C22" s="219"/>
      <c r="D22" s="219">
        <f>+D23-SUM(D9:D21)</f>
        <v>426</v>
      </c>
      <c r="E22" s="219"/>
      <c r="F22" s="219"/>
      <c r="G22" s="219">
        <v>500</v>
      </c>
      <c r="H22" s="219"/>
      <c r="I22" s="219"/>
      <c r="J22" s="219">
        <f t="shared" si="3"/>
        <v>500</v>
      </c>
      <c r="K22" s="219">
        <f t="shared" si="0"/>
        <v>0</v>
      </c>
      <c r="L22" s="219">
        <f t="shared" si="1"/>
        <v>0</v>
      </c>
      <c r="M22" s="215">
        <f t="shared" si="2"/>
        <v>0</v>
      </c>
      <c r="N22" s="72" t="s">
        <v>21</v>
      </c>
    </row>
    <row r="23" spans="1:14">
      <c r="A23" s="13" t="s">
        <v>177</v>
      </c>
      <c r="B23" s="160">
        <f>SUM(B9:B22)</f>
        <v>104</v>
      </c>
      <c r="C23" s="160">
        <f>SUM(C9:C22)</f>
        <v>104</v>
      </c>
      <c r="D23" s="160">
        <v>76587</v>
      </c>
      <c r="E23" s="160">
        <f t="shared" ref="E23:M23" si="4">SUM(E9:E22)</f>
        <v>115</v>
      </c>
      <c r="F23" s="160">
        <f t="shared" si="4"/>
        <v>115</v>
      </c>
      <c r="G23" s="160">
        <f t="shared" si="4"/>
        <v>85000</v>
      </c>
      <c r="H23" s="160">
        <f t="shared" si="4"/>
        <v>115</v>
      </c>
      <c r="I23" s="160">
        <f t="shared" si="4"/>
        <v>115</v>
      </c>
      <c r="J23" s="160">
        <f t="shared" si="4"/>
        <v>87000</v>
      </c>
      <c r="K23" s="160">
        <f t="shared" si="4"/>
        <v>0</v>
      </c>
      <c r="L23" s="160">
        <f t="shared" si="4"/>
        <v>0</v>
      </c>
      <c r="M23" s="160">
        <f t="shared" si="4"/>
        <v>2000</v>
      </c>
      <c r="N23" s="72" t="s">
        <v>21</v>
      </c>
    </row>
    <row r="24" spans="1:14">
      <c r="A24" s="208"/>
      <c r="B24" s="208"/>
      <c r="C24" s="208"/>
      <c r="D24" s="208"/>
      <c r="E24" s="208"/>
      <c r="F24" s="208"/>
      <c r="G24" s="208"/>
      <c r="H24" s="208"/>
      <c r="I24" s="208"/>
      <c r="J24" s="208"/>
      <c r="K24" s="208"/>
      <c r="L24" s="208"/>
      <c r="M24" s="208"/>
      <c r="N24" s="72" t="s">
        <v>22</v>
      </c>
    </row>
    <row r="25" spans="1:14" hidden="1">
      <c r="A25" s="273" t="s">
        <v>170</v>
      </c>
      <c r="B25" s="326" t="s">
        <v>70</v>
      </c>
      <c r="C25" s="321"/>
      <c r="D25" s="322"/>
      <c r="E25" s="326" t="s">
        <v>190</v>
      </c>
      <c r="F25" s="321"/>
      <c r="G25" s="322"/>
      <c r="H25" s="326" t="s">
        <v>25</v>
      </c>
      <c r="I25" s="321"/>
      <c r="J25" s="322"/>
      <c r="K25" s="326" t="s">
        <v>71</v>
      </c>
      <c r="L25" s="321"/>
      <c r="M25" s="327"/>
      <c r="N25" s="72" t="s">
        <v>21</v>
      </c>
    </row>
    <row r="26" spans="1:14" ht="27.6" hidden="1">
      <c r="A26" s="274"/>
      <c r="B26" s="236" t="s">
        <v>72</v>
      </c>
      <c r="C26" s="236" t="s">
        <v>73</v>
      </c>
      <c r="D26" s="236" t="s">
        <v>5</v>
      </c>
      <c r="E26" s="236" t="s">
        <v>72</v>
      </c>
      <c r="F26" s="236" t="s">
        <v>73</v>
      </c>
      <c r="G26" s="236" t="s">
        <v>5</v>
      </c>
      <c r="H26" s="236" t="s">
        <v>72</v>
      </c>
      <c r="I26" s="236" t="s">
        <v>73</v>
      </c>
      <c r="J26" s="236" t="s">
        <v>5</v>
      </c>
      <c r="K26" s="236" t="s">
        <v>72</v>
      </c>
      <c r="L26" s="236" t="s">
        <v>73</v>
      </c>
      <c r="M26" s="237" t="s">
        <v>5</v>
      </c>
      <c r="N26" s="72" t="s">
        <v>21</v>
      </c>
    </row>
    <row r="27" spans="1:14" hidden="1">
      <c r="A27" s="231" t="str">
        <f>+'[1]B. Summ of Req. by DU'!A9</f>
        <v>Civil Litigation</v>
      </c>
      <c r="B27" s="219">
        <v>0</v>
      </c>
      <c r="C27" s="219">
        <v>0</v>
      </c>
      <c r="D27" s="219">
        <v>0</v>
      </c>
      <c r="E27" s="219">
        <v>0</v>
      </c>
      <c r="F27" s="219">
        <v>0</v>
      </c>
      <c r="G27" s="219">
        <v>0</v>
      </c>
      <c r="H27" s="219">
        <v>0</v>
      </c>
      <c r="I27" s="219">
        <v>0</v>
      </c>
      <c r="J27" s="219">
        <v>0</v>
      </c>
      <c r="K27" s="219">
        <f t="shared" ref="K27:M28" si="5">H27-E27</f>
        <v>0</v>
      </c>
      <c r="L27" s="219">
        <f t="shared" si="5"/>
        <v>0</v>
      </c>
      <c r="M27" s="215">
        <f t="shared" si="5"/>
        <v>0</v>
      </c>
      <c r="N27" s="72" t="s">
        <v>21</v>
      </c>
    </row>
    <row r="28" spans="1:14" ht="18" hidden="1" customHeight="1">
      <c r="A28" s="231" t="str">
        <f>+'[1]B. Summ of Req. by DU'!A10</f>
        <v>Criminal Litigation</v>
      </c>
      <c r="B28" s="238">
        <v>0</v>
      </c>
      <c r="C28" s="238">
        <v>0</v>
      </c>
      <c r="D28" s="238">
        <v>0</v>
      </c>
      <c r="E28" s="238">
        <v>0</v>
      </c>
      <c r="F28" s="238">
        <v>0</v>
      </c>
      <c r="G28" s="238">
        <v>0</v>
      </c>
      <c r="H28" s="238">
        <v>0</v>
      </c>
      <c r="I28" s="238">
        <v>0</v>
      </c>
      <c r="J28" s="238">
        <v>0</v>
      </c>
      <c r="K28" s="238">
        <f t="shared" si="5"/>
        <v>0</v>
      </c>
      <c r="L28" s="238">
        <f t="shared" si="5"/>
        <v>0</v>
      </c>
      <c r="M28" s="239">
        <f t="shared" si="5"/>
        <v>0</v>
      </c>
      <c r="N28" s="72" t="s">
        <v>21</v>
      </c>
    </row>
    <row r="29" spans="1:14" hidden="1">
      <c r="A29" s="13" t="s">
        <v>177</v>
      </c>
      <c r="B29" s="160">
        <f t="shared" ref="B29:M29" si="6">SUM(B27:B28)</f>
        <v>0</v>
      </c>
      <c r="C29" s="160">
        <f t="shared" si="6"/>
        <v>0</v>
      </c>
      <c r="D29" s="160">
        <f t="shared" si="6"/>
        <v>0</v>
      </c>
      <c r="E29" s="160">
        <f t="shared" si="6"/>
        <v>0</v>
      </c>
      <c r="F29" s="160">
        <f t="shared" si="6"/>
        <v>0</v>
      </c>
      <c r="G29" s="160">
        <f t="shared" si="6"/>
        <v>0</v>
      </c>
      <c r="H29" s="160">
        <f t="shared" si="6"/>
        <v>0</v>
      </c>
      <c r="I29" s="160">
        <f t="shared" si="6"/>
        <v>0</v>
      </c>
      <c r="J29" s="160">
        <f t="shared" si="6"/>
        <v>0</v>
      </c>
      <c r="K29" s="160">
        <f t="shared" si="6"/>
        <v>0</v>
      </c>
      <c r="L29" s="160">
        <f t="shared" si="6"/>
        <v>0</v>
      </c>
      <c r="M29" s="161">
        <f t="shared" si="6"/>
        <v>0</v>
      </c>
      <c r="N29" s="72" t="s">
        <v>21</v>
      </c>
    </row>
    <row r="30" spans="1:14" hidden="1">
      <c r="A30" s="208"/>
      <c r="B30" s="208"/>
      <c r="C30" s="208"/>
      <c r="D30" s="208"/>
      <c r="E30" s="208"/>
      <c r="F30" s="208"/>
      <c r="G30" s="208"/>
      <c r="H30" s="208"/>
      <c r="I30" s="208"/>
      <c r="J30" s="208"/>
      <c r="K30" s="208"/>
      <c r="L30" s="208"/>
      <c r="M30" s="208"/>
      <c r="N30" s="72" t="s">
        <v>21</v>
      </c>
    </row>
  </sheetData>
  <mergeCells count="16">
    <mergeCell ref="A7:A8"/>
    <mergeCell ref="B7:D7"/>
    <mergeCell ref="E7:G7"/>
    <mergeCell ref="H7:J7"/>
    <mergeCell ref="K7:M7"/>
    <mergeCell ref="A6:M6"/>
    <mergeCell ref="A1:M1"/>
    <mergeCell ref="A2:M2"/>
    <mergeCell ref="A3:M3"/>
    <mergeCell ref="A4:M4"/>
    <mergeCell ref="A5:M5"/>
    <mergeCell ref="A25:A26"/>
    <mergeCell ref="B25:D25"/>
    <mergeCell ref="E25:G25"/>
    <mergeCell ref="H25:J25"/>
    <mergeCell ref="K25:M25"/>
  </mergeCells>
  <printOptions horizontalCentered="1"/>
  <pageMargins left="0.7" right="0.7" top="0.75" bottom="0.75" header="0.3" footer="0.3"/>
  <pageSetup scale="74" fitToHeight="999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B. Summ of Req.</vt:lpstr>
      <vt:lpstr>B. Summ of Req. by DU</vt:lpstr>
      <vt:lpstr>C. Program Changes by DU</vt:lpstr>
      <vt:lpstr>C. Program Changes by DU (2)</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'B. Summ of Req.'!Print_Area</vt:lpstr>
      <vt:lpstr>'B. Summ of Req. by DU'!Print_Area</vt:lpstr>
      <vt:lpstr>'C. Program Changes by DU'!Print_Area</vt:lpstr>
      <vt:lpstr>'C. Program Changes by DU (2)'!Print_Area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akolaian</cp:lastModifiedBy>
  <cp:lastPrinted>2013-03-26T18:20:54Z</cp:lastPrinted>
  <dcterms:created xsi:type="dcterms:W3CDTF">2012-12-06T16:08:32Z</dcterms:created>
  <dcterms:modified xsi:type="dcterms:W3CDTF">2013-03-27T20:29:18Z</dcterms:modified>
</cp:coreProperties>
</file>