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25230" windowHeight="12405" tabRatio="806"/>
  </bookViews>
  <sheets>
    <sheet name="B. Summ of Req." sheetId="20" r:id="rId1"/>
    <sheet name="B. Summ of Req. by DU" sheetId="4" r:id="rId2"/>
    <sheet name="F. 2012 Crosswalk" sheetId="10" r:id="rId3"/>
    <sheet name="G. 2013 Crosswalk" sheetId="11" r:id="rId4"/>
    <sheet name="I. Permanent Positions" sheetId="13" r:id="rId5"/>
    <sheet name="K. Summary by Grade" sheetId="18" r:id="rId6"/>
    <sheet name="L. Summary by OC" sheetId="14" r:id="rId7"/>
  </sheets>
  <definedNames>
    <definedName name="_11POS_BY_CAT">#REF!</definedName>
    <definedName name="_1ATTORNEY_SUPP">#REF!</definedName>
    <definedName name="_2ATTORNEY_SUPP">#REF!</definedName>
    <definedName name="_2GA_ROLLUP">#REF!</definedName>
    <definedName name="_3POS_BY_CAT">#REF!</definedName>
    <definedName name="_6GA_ROLLUP">#REF!</definedName>
    <definedName name="_7GA_ROLLUP">#REF!</definedName>
    <definedName name="_9POS_BY_CAT">#REF!</definedName>
    <definedName name="DL">#REF!</definedName>
    <definedName name="EXECSUPP">#REF!</definedName>
    <definedName name="FY0711.1">#REF!</definedName>
    <definedName name="FY0711.5">#REF!</definedName>
    <definedName name="FY0712.1">#REF!</definedName>
    <definedName name="FY0721.0">#REF!</definedName>
    <definedName name="FY0722.0">#REF!</definedName>
    <definedName name="FY0723.1">#REF!</definedName>
    <definedName name="FY0723.2">#REF!</definedName>
    <definedName name="FY0723.3">#REF!</definedName>
    <definedName name="FY0724.0">#REF!</definedName>
    <definedName name="FY0725.2">#REF!</definedName>
    <definedName name="FY0725.3">#REF!</definedName>
    <definedName name="FY0725.6">#REF!</definedName>
    <definedName name="FY0726.0">#REF!</definedName>
    <definedName name="FY0731.0">#REF!</definedName>
    <definedName name="FY0732.0">#REF!</definedName>
    <definedName name="FY07Ling">#REF!</definedName>
    <definedName name="FY07Mult">#REF!</definedName>
    <definedName name="FY07PEPI">#REF!</definedName>
    <definedName name="FY07Tot">#REF!</definedName>
    <definedName name="FY07Train">#REF!</definedName>
    <definedName name="FY0811.1">#REF!</definedName>
    <definedName name="FY0811.5">#REF!</definedName>
    <definedName name="FY0812.1">#REF!</definedName>
    <definedName name="FY0821.0">#REF!</definedName>
    <definedName name="FY0822.0">#REF!</definedName>
    <definedName name="FY0823.1">#REF!</definedName>
    <definedName name="FY0823.2">#REF!</definedName>
    <definedName name="FY0823.3">#REF!</definedName>
    <definedName name="FY0824.0">#REF!</definedName>
    <definedName name="FY0825.2">#REF!</definedName>
    <definedName name="FY0825.3">#REF!</definedName>
    <definedName name="FY0825.6">#REF!</definedName>
    <definedName name="FY0826.0">#REF!</definedName>
    <definedName name="FY0831.0">#REF!</definedName>
    <definedName name="FY0832.0">#REF!</definedName>
    <definedName name="FY08Ling">#REF!</definedName>
    <definedName name="FY08Mult">#REF!</definedName>
    <definedName name="FY08PEPI">#REF!</definedName>
    <definedName name="FY08Tot">#REF!</definedName>
    <definedName name="FY08Train">#REF!</definedName>
    <definedName name="FY0911.1">#REF!</definedName>
    <definedName name="FY0911.5">#REF!</definedName>
    <definedName name="FY0912.1">#REF!</definedName>
    <definedName name="FY0921.0">#REF!</definedName>
    <definedName name="FY0922.0">#REF!</definedName>
    <definedName name="FY0923.1">#REF!</definedName>
    <definedName name="FY0923.2">#REF!</definedName>
    <definedName name="FY0923.3">#REF!</definedName>
    <definedName name="FY0924.0">#REF!</definedName>
    <definedName name="FY0925.2">#REF!</definedName>
    <definedName name="FY0925.3">#REF!</definedName>
    <definedName name="FY0925.6">#REF!</definedName>
    <definedName name="FY0926.0">#REF!</definedName>
    <definedName name="FY0931.0">#REF!</definedName>
    <definedName name="FY0932.0">#REF!</definedName>
    <definedName name="FY09Ling">#REF!</definedName>
    <definedName name="FY09Mult">#REF!</definedName>
    <definedName name="FY09PEPI">#REF!</definedName>
    <definedName name="FY09Tot">#REF!</definedName>
    <definedName name="FY09Train">#REF!</definedName>
    <definedName name="INTEL">#REF!</definedName>
    <definedName name="JMD">#REF!</definedName>
    <definedName name="PART">#REF!</definedName>
    <definedName name="_xlnm.Print_Area" localSheetId="0">'B. Summ of Req.'!$A$1:$D$63</definedName>
    <definedName name="_xlnm.Print_Area" localSheetId="1">'B. Summ of Req. by DU'!$A$1:$M$51</definedName>
    <definedName name="_xlnm.Print_Area" localSheetId="2">'F. 2012 Crosswalk'!$A$1:$R$45</definedName>
    <definedName name="_xlnm.Print_Area" localSheetId="3">'G. 2013 Crosswalk'!$A$1:$P$48</definedName>
    <definedName name="_xlnm.Print_Area" localSheetId="4">'I. Permanent Positions'!$A$1:$J$36</definedName>
    <definedName name="_xlnm.Print_Area" localSheetId="5">'K. Summary by Grade'!$A$1:$L$30</definedName>
    <definedName name="_xlnm.Print_Area" localSheetId="6">'L. Summary by OC'!$A$1:$I$51</definedName>
    <definedName name="_xlnm.Print_Area">#REF!</definedName>
    <definedName name="REIMPRO">#REF!</definedName>
    <definedName name="REIMSOR">#REF!</definedName>
    <definedName name="Test">#REF!</definedName>
  </definedNames>
  <calcPr calcId="125725"/>
</workbook>
</file>

<file path=xl/calcChain.xml><?xml version="1.0" encoding="utf-8"?>
<calcChain xmlns="http://schemas.openxmlformats.org/spreadsheetml/2006/main">
  <c r="E39" i="14"/>
  <c r="E38"/>
  <c r="D12" i="20" l="1"/>
  <c r="J33" i="13" l="1"/>
  <c r="J19"/>
  <c r="J18"/>
  <c r="J15"/>
  <c r="J24" i="18"/>
  <c r="J25"/>
  <c r="J27"/>
  <c r="L27" s="1"/>
  <c r="H27"/>
  <c r="F27"/>
  <c r="H24"/>
  <c r="H25"/>
  <c r="F25"/>
  <c r="D33" i="13" l="1"/>
  <c r="F33"/>
  <c r="B8" i="14" l="1"/>
  <c r="F11"/>
  <c r="F9"/>
  <c r="F8"/>
  <c r="D11"/>
  <c r="D9"/>
  <c r="D8"/>
  <c r="B11"/>
  <c r="B9"/>
  <c r="G19" i="13" l="1"/>
  <c r="G15"/>
  <c r="G18"/>
  <c r="K15" i="18" l="1"/>
  <c r="K22"/>
  <c r="K24"/>
  <c r="K25"/>
  <c r="G14"/>
  <c r="H14" s="1"/>
  <c r="E14"/>
  <c r="F14" s="1"/>
  <c r="E15"/>
  <c r="F15" s="1"/>
  <c r="I21"/>
  <c r="J21" s="1"/>
  <c r="I19"/>
  <c r="J19" s="1"/>
  <c r="I17"/>
  <c r="J17" s="1"/>
  <c r="I15"/>
  <c r="J15" s="1"/>
  <c r="I14"/>
  <c r="J14" s="1"/>
  <c r="I13"/>
  <c r="J13" s="1"/>
  <c r="I12"/>
  <c r="J12" s="1"/>
  <c r="I11"/>
  <c r="J11" s="1"/>
  <c r="G21"/>
  <c r="H21" s="1"/>
  <c r="G19"/>
  <c r="H19" s="1"/>
  <c r="G17"/>
  <c r="H17" s="1"/>
  <c r="G15"/>
  <c r="H15" s="1"/>
  <c r="G13"/>
  <c r="H13" s="1"/>
  <c r="G12"/>
  <c r="H12" s="1"/>
  <c r="G11"/>
  <c r="H11" s="1"/>
  <c r="E17"/>
  <c r="F17" s="1"/>
  <c r="E13"/>
  <c r="F13" s="1"/>
  <c r="E12"/>
  <c r="F12" s="1"/>
  <c r="E11"/>
  <c r="F11" s="1"/>
  <c r="I10"/>
  <c r="J10" s="1"/>
  <c r="I9"/>
  <c r="J9" s="1"/>
  <c r="G10"/>
  <c r="H10" s="1"/>
  <c r="G9"/>
  <c r="H9" s="1"/>
  <c r="E10"/>
  <c r="F10" s="1"/>
  <c r="E9"/>
  <c r="F9" s="1"/>
  <c r="I23"/>
  <c r="J23" s="1"/>
  <c r="I22"/>
  <c r="J22" s="1"/>
  <c r="I20"/>
  <c r="J20" s="1"/>
  <c r="I18"/>
  <c r="J18" s="1"/>
  <c r="I16"/>
  <c r="J16" s="1"/>
  <c r="G23"/>
  <c r="H23" s="1"/>
  <c r="G22"/>
  <c r="H22" s="1"/>
  <c r="G20"/>
  <c r="H20" s="1"/>
  <c r="G18"/>
  <c r="H18" s="1"/>
  <c r="G16"/>
  <c r="H16" s="1"/>
  <c r="E24"/>
  <c r="F24" s="1"/>
  <c r="E23"/>
  <c r="F23" s="1"/>
  <c r="E22"/>
  <c r="F22" s="1"/>
  <c r="E21"/>
  <c r="F21" s="1"/>
  <c r="E20"/>
  <c r="F20" s="1"/>
  <c r="E19"/>
  <c r="F19" s="1"/>
  <c r="E18"/>
  <c r="F18" s="1"/>
  <c r="E16"/>
  <c r="F16" s="1"/>
  <c r="K18" l="1"/>
  <c r="K10"/>
  <c r="K19"/>
  <c r="K11"/>
  <c r="K20"/>
  <c r="K16"/>
  <c r="K12"/>
  <c r="K14"/>
  <c r="K23"/>
  <c r="K21"/>
  <c r="K17"/>
  <c r="K13"/>
  <c r="I17" i="13"/>
  <c r="F15"/>
  <c r="F18"/>
  <c r="D15"/>
  <c r="D18"/>
  <c r="B15"/>
  <c r="B18"/>
  <c r="C33"/>
  <c r="C18"/>
  <c r="D30"/>
  <c r="D20"/>
  <c r="D16"/>
  <c r="B30"/>
  <c r="B20"/>
  <c r="B16"/>
  <c r="F19" l="1"/>
  <c r="D19"/>
  <c r="B19"/>
  <c r="G33"/>
  <c r="G16"/>
  <c r="I29"/>
  <c r="I24"/>
  <c r="I22"/>
  <c r="I13"/>
  <c r="I11"/>
  <c r="E33"/>
  <c r="E18"/>
  <c r="E15"/>
  <c r="D14"/>
  <c r="D9"/>
  <c r="I9" s="1"/>
  <c r="C15"/>
  <c r="B14"/>
  <c r="B9"/>
  <c r="E19"/>
  <c r="D34"/>
  <c r="D21"/>
  <c r="C19"/>
  <c r="B34"/>
  <c r="B21"/>
  <c r="B10"/>
  <c r="D35"/>
  <c r="B35"/>
  <c r="D23"/>
  <c r="B23"/>
  <c r="C25" i="11" l="1"/>
  <c r="C21" i="4"/>
  <c r="F21"/>
  <c r="C21" i="10" l="1"/>
  <c r="M10" i="4" l="1"/>
  <c r="M11"/>
  <c r="M12"/>
  <c r="M13"/>
  <c r="M14"/>
  <c r="L10"/>
  <c r="L11"/>
  <c r="L12"/>
  <c r="L13"/>
  <c r="L14"/>
  <c r="K10"/>
  <c r="K11"/>
  <c r="K12"/>
  <c r="K13"/>
  <c r="K14"/>
  <c r="B40" l="1"/>
  <c r="C40"/>
  <c r="D40"/>
  <c r="E40"/>
  <c r="F40"/>
  <c r="G40"/>
  <c r="J33"/>
  <c r="J34"/>
  <c r="J35"/>
  <c r="J36"/>
  <c r="J32"/>
  <c r="I32"/>
  <c r="I33"/>
  <c r="I34"/>
  <c r="I35"/>
  <c r="I36"/>
  <c r="H33"/>
  <c r="H34"/>
  <c r="H35"/>
  <c r="H36"/>
  <c r="H32"/>
  <c r="A39"/>
  <c r="A35"/>
  <c r="A36"/>
  <c r="A37"/>
  <c r="A38"/>
  <c r="A34"/>
  <c r="A33"/>
  <c r="A32"/>
  <c r="C51" i="20" l="1"/>
  <c r="D51"/>
  <c r="B51"/>
  <c r="B28" l="1"/>
  <c r="C28"/>
  <c r="D28"/>
  <c r="P10" i="11" l="1"/>
  <c r="P11"/>
  <c r="P12"/>
  <c r="P13"/>
  <c r="P14"/>
  <c r="P15"/>
  <c r="P16"/>
  <c r="P17"/>
  <c r="P18"/>
  <c r="P19"/>
  <c r="P20"/>
  <c r="P21"/>
  <c r="P9"/>
  <c r="O10"/>
  <c r="O11"/>
  <c r="O12"/>
  <c r="O13"/>
  <c r="O14"/>
  <c r="O15"/>
  <c r="O16"/>
  <c r="O17"/>
  <c r="O18"/>
  <c r="O19"/>
  <c r="O20"/>
  <c r="O21"/>
  <c r="O9"/>
  <c r="N10"/>
  <c r="N11"/>
  <c r="N12"/>
  <c r="N13"/>
  <c r="N14"/>
  <c r="N15"/>
  <c r="N16"/>
  <c r="N17"/>
  <c r="N18"/>
  <c r="N19"/>
  <c r="N20"/>
  <c r="N21"/>
  <c r="N9" l="1"/>
  <c r="K20" i="10" l="1"/>
  <c r="L20"/>
  <c r="M20"/>
  <c r="R10"/>
  <c r="R11"/>
  <c r="R12"/>
  <c r="R13"/>
  <c r="R14"/>
  <c r="R15"/>
  <c r="R16"/>
  <c r="R17"/>
  <c r="R18"/>
  <c r="R19"/>
  <c r="R9"/>
  <c r="Q10"/>
  <c r="Q11"/>
  <c r="Q12"/>
  <c r="Q13"/>
  <c r="Q14"/>
  <c r="Q15"/>
  <c r="Q16"/>
  <c r="Q17"/>
  <c r="Q18"/>
  <c r="Q19"/>
  <c r="Q9"/>
  <c r="P19"/>
  <c r="P18"/>
  <c r="P17"/>
  <c r="P16"/>
  <c r="P15"/>
  <c r="P14"/>
  <c r="P13"/>
  <c r="P12"/>
  <c r="P11"/>
  <c r="P10"/>
  <c r="P9"/>
  <c r="D56" i="20" l="1"/>
  <c r="D57" s="1"/>
  <c r="C56"/>
  <c r="B56"/>
  <c r="D37"/>
  <c r="C37"/>
  <c r="B37"/>
  <c r="D18"/>
  <c r="C18"/>
  <c r="B18"/>
  <c r="B38" l="1"/>
  <c r="B39" s="1"/>
  <c r="C57"/>
  <c r="C38"/>
  <c r="C39" s="1"/>
  <c r="D38"/>
  <c r="D39" s="1"/>
  <c r="D58" s="1"/>
  <c r="D61" s="1"/>
  <c r="C58" l="1"/>
  <c r="C61" s="1"/>
  <c r="D60"/>
  <c r="C60" l="1"/>
  <c r="Q26" i="10"/>
  <c r="Q25"/>
  <c r="Q21"/>
  <c r="G20"/>
  <c r="F20"/>
  <c r="F22" s="1"/>
  <c r="F27" s="1"/>
  <c r="E20"/>
  <c r="O30" i="11" l="1"/>
  <c r="O29"/>
  <c r="O25"/>
  <c r="A31" i="4" l="1"/>
  <c r="B10" i="14" l="1"/>
  <c r="B14" s="1"/>
  <c r="K9" i="4"/>
  <c r="H31" s="1"/>
  <c r="B18"/>
  <c r="P23" i="11" l="1"/>
  <c r="M19" i="4" l="1"/>
  <c r="J41" s="1"/>
  <c r="I31" i="13" l="1"/>
  <c r="I30"/>
  <c r="I28"/>
  <c r="I27"/>
  <c r="I26"/>
  <c r="I25"/>
  <c r="I23"/>
  <c r="I21"/>
  <c r="I20"/>
  <c r="I19"/>
  <c r="I18"/>
  <c r="I16"/>
  <c r="I15"/>
  <c r="I14"/>
  <c r="I12"/>
  <c r="I10"/>
  <c r="I32" l="1"/>
  <c r="L25" i="18"/>
  <c r="L24"/>
  <c r="L23"/>
  <c r="L22"/>
  <c r="L21"/>
  <c r="L20"/>
  <c r="L19"/>
  <c r="L18"/>
  <c r="L17"/>
  <c r="L16"/>
  <c r="L15"/>
  <c r="L14"/>
  <c r="L13"/>
  <c r="L12"/>
  <c r="L11"/>
  <c r="L10"/>
  <c r="J26"/>
  <c r="I26"/>
  <c r="J28" s="1"/>
  <c r="L28" s="1"/>
  <c r="H26"/>
  <c r="G26"/>
  <c r="H28" s="1"/>
  <c r="F26"/>
  <c r="E26"/>
  <c r="F28" s="1"/>
  <c r="L9"/>
  <c r="K9"/>
  <c r="L26" l="1"/>
  <c r="K26"/>
  <c r="I49" i="14"/>
  <c r="I48"/>
  <c r="H46"/>
  <c r="I39" l="1"/>
  <c r="I41"/>
  <c r="I42"/>
  <c r="I43"/>
  <c r="I38"/>
  <c r="I36" l="1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3"/>
  <c r="H13"/>
  <c r="I12"/>
  <c r="H12"/>
  <c r="I11"/>
  <c r="H11"/>
  <c r="I9"/>
  <c r="H9"/>
  <c r="F10"/>
  <c r="D10"/>
  <c r="C14"/>
  <c r="C37" s="1"/>
  <c r="C44" s="1"/>
  <c r="B44"/>
  <c r="I8"/>
  <c r="H8"/>
  <c r="G36" i="13"/>
  <c r="F36"/>
  <c r="E36"/>
  <c r="D36"/>
  <c r="C36"/>
  <c r="B36"/>
  <c r="J32"/>
  <c r="H32"/>
  <c r="H33" s="1"/>
  <c r="I33" s="1"/>
  <c r="G32"/>
  <c r="F32"/>
  <c r="E32"/>
  <c r="D32"/>
  <c r="C32"/>
  <c r="B32"/>
  <c r="F44" i="14" l="1"/>
  <c r="F14"/>
  <c r="G14"/>
  <c r="G37" s="1"/>
  <c r="G44" s="1"/>
  <c r="D44"/>
  <c r="D14"/>
  <c r="E14"/>
  <c r="E37" s="1"/>
  <c r="E44" s="1"/>
  <c r="I10"/>
  <c r="I14" s="1"/>
  <c r="H10"/>
  <c r="H44" s="1"/>
  <c r="H34" i="13"/>
  <c r="H35" l="1"/>
  <c r="I35" s="1"/>
  <c r="I34"/>
  <c r="I37" i="14"/>
  <c r="I44" s="1"/>
  <c r="H14"/>
  <c r="J36" i="13"/>
  <c r="H36" l="1"/>
  <c r="I36"/>
  <c r="M22" i="11"/>
  <c r="L22"/>
  <c r="L26" s="1"/>
  <c r="H22"/>
  <c r="G22"/>
  <c r="G26" s="1"/>
  <c r="G31" s="1"/>
  <c r="F22"/>
  <c r="E22"/>
  <c r="D22"/>
  <c r="D24" s="1"/>
  <c r="C22"/>
  <c r="C26" s="1"/>
  <c r="C31" s="1"/>
  <c r="B22"/>
  <c r="J20" i="10"/>
  <c r="I20"/>
  <c r="I22" s="1"/>
  <c r="H20"/>
  <c r="O20"/>
  <c r="N20"/>
  <c r="D20"/>
  <c r="C20"/>
  <c r="C22" s="1"/>
  <c r="C27" s="1"/>
  <c r="B20"/>
  <c r="I27" l="1"/>
  <c r="O22" i="11"/>
  <c r="O26" s="1"/>
  <c r="O31" s="1"/>
  <c r="P22"/>
  <c r="P24" s="1"/>
  <c r="N22"/>
  <c r="L31"/>
  <c r="Q20" i="10"/>
  <c r="P20"/>
  <c r="R20"/>
  <c r="Q22" l="1"/>
  <c r="Q27" s="1"/>
  <c r="L26" i="4" l="1"/>
  <c r="I48" s="1"/>
  <c r="L25"/>
  <c r="I47" s="1"/>
  <c r="I46"/>
  <c r="I45"/>
  <c r="L21"/>
  <c r="I43" s="1"/>
  <c r="G42"/>
  <c r="F44"/>
  <c r="F49" s="1"/>
  <c r="D42"/>
  <c r="C44"/>
  <c r="C49" s="1"/>
  <c r="J18"/>
  <c r="J20" s="1"/>
  <c r="I18"/>
  <c r="I22" s="1"/>
  <c r="I27" s="1"/>
  <c r="H18"/>
  <c r="G18"/>
  <c r="G20" s="1"/>
  <c r="F18"/>
  <c r="F22" s="1"/>
  <c r="E18"/>
  <c r="D18"/>
  <c r="D20" s="1"/>
  <c r="C18"/>
  <c r="C22" s="1"/>
  <c r="C27" s="1"/>
  <c r="M17"/>
  <c r="J39" s="1"/>
  <c r="L17"/>
  <c r="I39" s="1"/>
  <c r="K17"/>
  <c r="H39" s="1"/>
  <c r="M16"/>
  <c r="J38" s="1"/>
  <c r="L16"/>
  <c r="I38" s="1"/>
  <c r="K16"/>
  <c r="H38" s="1"/>
  <c r="M15"/>
  <c r="J37" s="1"/>
  <c r="L15"/>
  <c r="I37" s="1"/>
  <c r="K15"/>
  <c r="H37" s="1"/>
  <c r="M9"/>
  <c r="J31" s="1"/>
  <c r="L9"/>
  <c r="I31" s="1"/>
  <c r="I40" l="1"/>
  <c r="H40"/>
  <c r="J40"/>
  <c r="M20"/>
  <c r="J42" s="1"/>
  <c r="K18"/>
  <c r="L18"/>
  <c r="M18"/>
  <c r="F27"/>
  <c r="L27" s="1"/>
  <c r="I49" s="1"/>
  <c r="L22"/>
  <c r="I44" s="1"/>
  <c r="B57" i="20" l="1"/>
  <c r="B58" s="1"/>
  <c r="B61" s="1"/>
  <c r="B60" l="1"/>
</calcChain>
</file>

<file path=xl/sharedStrings.xml><?xml version="1.0" encoding="utf-8"?>
<sst xmlns="http://schemas.openxmlformats.org/spreadsheetml/2006/main" count="721" uniqueCount="229">
  <si>
    <t>Summary of Requirements</t>
  </si>
  <si>
    <t>Salaries and Expenses</t>
  </si>
  <si>
    <t>(Dollars in Thousands)</t>
  </si>
  <si>
    <t>FY 2014 Request</t>
  </si>
  <si>
    <t>Direct Pos.</t>
  </si>
  <si>
    <t>Amount</t>
  </si>
  <si>
    <t>2012 Enacted</t>
  </si>
  <si>
    <t>2013 Continuing Resolution</t>
  </si>
  <si>
    <t>Technical Adjustments</t>
  </si>
  <si>
    <t>[List all - if applicable]</t>
  </si>
  <si>
    <t>Transfers:</t>
  </si>
  <si>
    <t>Pay and Benefits</t>
  </si>
  <si>
    <t>Domestic Rent and Facilities</t>
  </si>
  <si>
    <t>Other Adjustments</t>
  </si>
  <si>
    <t>Foreign Expenses</t>
  </si>
  <si>
    <t>Prison and Detention</t>
  </si>
  <si>
    <t>2014 Current Services</t>
  </si>
  <si>
    <t>Program Changes</t>
  </si>
  <si>
    <t>Subtotal, Increases</t>
  </si>
  <si>
    <t>Offset 3</t>
  </si>
  <si>
    <t>Subtotal, Offsets</t>
  </si>
  <si>
    <t>Total Program Changes</t>
  </si>
  <si>
    <t>2014 Total Request</t>
  </si>
  <si>
    <t>end of line</t>
  </si>
  <si>
    <t>end of sheet</t>
  </si>
  <si>
    <t>2014 Increases</t>
  </si>
  <si>
    <t>2014 Offsets</t>
  </si>
  <si>
    <t>2014 Request</t>
  </si>
  <si>
    <t>Decision Unit 3</t>
  </si>
  <si>
    <t>Decision Unit 4</t>
  </si>
  <si>
    <t>Total</t>
  </si>
  <si>
    <t>Reimbursable FTE</t>
  </si>
  <si>
    <t>Other FTE:</t>
  </si>
  <si>
    <t>LEAP</t>
  </si>
  <si>
    <t>Overtime</t>
  </si>
  <si>
    <t>Direct FTE</t>
  </si>
  <si>
    <t>Program Increases</t>
  </si>
  <si>
    <t>Program Offsets</t>
  </si>
  <si>
    <t>2012 Appropriation Enacted with Balance Rescissions</t>
  </si>
  <si>
    <t>25.6 Medical Care</t>
  </si>
  <si>
    <t>Crosswalk of 2012 Availability</t>
  </si>
  <si>
    <t>Reprogramming/Transfers</t>
  </si>
  <si>
    <t xml:space="preserve">Carryover </t>
  </si>
  <si>
    <t>Crosswalk of 2013 Availability</t>
  </si>
  <si>
    <t>2013 Availability</t>
  </si>
  <si>
    <t>2012 Actual</t>
  </si>
  <si>
    <t>Increase/Decrease</t>
  </si>
  <si>
    <t>Reimb. Pos.</t>
  </si>
  <si>
    <t>Detail of Permanent Positions by Category</t>
  </si>
  <si>
    <t>ATBs</t>
  </si>
  <si>
    <t>Category</t>
  </si>
  <si>
    <t>Intelligence Series (132)</t>
  </si>
  <si>
    <t>Personnel Management (200-299)</t>
  </si>
  <si>
    <t>Clerical and Office Services (300-399)</t>
  </si>
  <si>
    <t>Accounting and Budget (500-599)</t>
  </si>
  <si>
    <t>Attorneys (905)</t>
  </si>
  <si>
    <t>Paralegals / Other Law (900-998)</t>
  </si>
  <si>
    <t>Information &amp; Arts (1000-1099)</t>
  </si>
  <si>
    <t>Business &amp; Industry (1100-1199)</t>
  </si>
  <si>
    <t>Library (1400-1499)</t>
  </si>
  <si>
    <t>Equipment/Facilities Services (1600-1699)</t>
  </si>
  <si>
    <t>Miscellaneous Inspectors Series (1802)</t>
  </si>
  <si>
    <t>Criminal Investigative Series (1811)</t>
  </si>
  <si>
    <t>Supply Services (2000-2099)</t>
  </si>
  <si>
    <t>Motor Vehicle Operations (5703)</t>
  </si>
  <si>
    <t>Information Technology Mgmt  (2210)</t>
  </si>
  <si>
    <t>Security Specialists (080)</t>
  </si>
  <si>
    <t>Miscellaneous Operations (010-099)</t>
  </si>
  <si>
    <t>Total Direct Pos.</t>
  </si>
  <si>
    <t>Total Reimb. Pos.</t>
  </si>
  <si>
    <t>Headquarters (Washington, D.C.)</t>
  </si>
  <si>
    <t>U.S. Field</t>
  </si>
  <si>
    <t>Foreign Field</t>
  </si>
  <si>
    <t>Summary of Requirements by Object Class</t>
  </si>
  <si>
    <t>Object Class</t>
  </si>
  <si>
    <t>11.1 Full-Time Permanent</t>
  </si>
  <si>
    <t>11.3 Other than Full-Time Permanent</t>
  </si>
  <si>
    <t>Other Compensation</t>
  </si>
  <si>
    <t>11.8 Special Personal Services Payments</t>
  </si>
  <si>
    <t>Other Object  Classes</t>
  </si>
  <si>
    <t>12.0 Personnel Benefits</t>
  </si>
  <si>
    <t>13.0 Benefits for former personnel</t>
  </si>
  <si>
    <t>21.0 Travel and Transportation of Persons</t>
  </si>
  <si>
    <t>23.1 Rental Payments to GSA</t>
  </si>
  <si>
    <t>23.2 Rental Payments to Others</t>
  </si>
  <si>
    <t>23.3 Communications, Utilities, and Miscellaneous Charges</t>
  </si>
  <si>
    <t>24.0 Printing and Reproduction</t>
  </si>
  <si>
    <t>25.1 Advisory and Assistance Services</t>
  </si>
  <si>
    <t>25.2 Other Services from Non-Federal Sources</t>
  </si>
  <si>
    <t>25.3 Other Goods and Services from Federal Sources</t>
  </si>
  <si>
    <t>25.4 Operation and Maintenance of Facilities</t>
  </si>
  <si>
    <t>25.5 Research and Development Contracts</t>
  </si>
  <si>
    <t>25.7 Operation and Maintenance of Equipment</t>
  </si>
  <si>
    <t>25.8 Subsistence and Support of Persons</t>
  </si>
  <si>
    <t>26.0 Supplies and Materials</t>
  </si>
  <si>
    <t>31.0 Equipment</t>
  </si>
  <si>
    <t>32.0 Land and Structures</t>
  </si>
  <si>
    <t>41.0 Grants, Subsidies, and Contributions</t>
  </si>
  <si>
    <t>42.0 Insurance Claims and Indemnities</t>
  </si>
  <si>
    <t>Total Obligations</t>
  </si>
  <si>
    <t>Add - Unobligated End-of-Year, Available</t>
  </si>
  <si>
    <t>Total Direct Requirements</t>
  </si>
  <si>
    <t>Full-Time Permanent</t>
  </si>
  <si>
    <t>23.1 Rental Payments to GSA (Reimbursable)</t>
  </si>
  <si>
    <t>25.3 Other Goods and Services from Federal Sources - DHS Security (Reimbursable)</t>
  </si>
  <si>
    <t>GS-15</t>
  </si>
  <si>
    <t>GS-14</t>
  </si>
  <si>
    <t>GS-13</t>
  </si>
  <si>
    <t>GS-12</t>
  </si>
  <si>
    <t>GS-11</t>
  </si>
  <si>
    <t>GS-10</t>
  </si>
  <si>
    <t>GS-9</t>
  </si>
  <si>
    <t>GS-8</t>
  </si>
  <si>
    <t>GS-7</t>
  </si>
  <si>
    <t>GS-6</t>
  </si>
  <si>
    <t>GS-5</t>
  </si>
  <si>
    <t>Grades and Salary Ranges</t>
  </si>
  <si>
    <t xml:space="preserve">EX </t>
  </si>
  <si>
    <t>GS-4</t>
  </si>
  <si>
    <t>GS-3</t>
  </si>
  <si>
    <t>GS-2</t>
  </si>
  <si>
    <t>GS-1</t>
  </si>
  <si>
    <t>-</t>
  </si>
  <si>
    <t>Total, Appropriated Positions</t>
  </si>
  <si>
    <t>Average SES Salary</t>
  </si>
  <si>
    <t>Average GS Salary</t>
  </si>
  <si>
    <t>Average GS Grade</t>
  </si>
  <si>
    <t>Base Adjustments</t>
  </si>
  <si>
    <t>Total 2013 Continuing Resolution (with Balance Rescission and Supplemental)</t>
  </si>
  <si>
    <t>Total Base Adjustments</t>
  </si>
  <si>
    <t>Total Technical and Base Adjustments</t>
  </si>
  <si>
    <t>2014 Total Request (with Balance Rescission)</t>
  </si>
  <si>
    <t xml:space="preserve">2012 Appropriation Enacted </t>
  </si>
  <si>
    <t>Estimate FTE</t>
  </si>
  <si>
    <t>Actual FTE</t>
  </si>
  <si>
    <t>Estim. FTE</t>
  </si>
  <si>
    <t>Balance Rescission</t>
  </si>
  <si>
    <t>Total Direct</t>
  </si>
  <si>
    <t>Total Direct and Reimb. FTE</t>
  </si>
  <si>
    <t>Grand Total, FTE</t>
  </si>
  <si>
    <t>Program Activity</t>
  </si>
  <si>
    <t>Recoveries/Refunds</t>
  </si>
  <si>
    <t>Summary of Requirements by Grade</t>
  </si>
  <si>
    <t>SES/SL</t>
  </si>
  <si>
    <t>2014 Balance Rescission [if applicable]</t>
  </si>
  <si>
    <t>11.5 Other Personnel Compensation</t>
  </si>
  <si>
    <t>22.0 Transportation of Things</t>
  </si>
  <si>
    <t>Subtract - Unobligated Balance, Start-of-Year</t>
  </si>
  <si>
    <t>Supplemental Adjustment - Sandy Hurricane Relief</t>
  </si>
  <si>
    <t>Est. FTE</t>
  </si>
  <si>
    <t>Total Direct with Rescission</t>
  </si>
  <si>
    <t>Add - Unobligated End-of-Year, Expiring</t>
  </si>
  <si>
    <t>Carryover:</t>
  </si>
  <si>
    <t>Recoveries/Refunds:</t>
  </si>
  <si>
    <t>Non-Personnel Related Decreases</t>
  </si>
  <si>
    <t>Total Technical Adjustments</t>
  </si>
  <si>
    <t>2014 Technical and Base Adjustments</t>
  </si>
  <si>
    <t>2013 CR 0.612% Increase</t>
  </si>
  <si>
    <t>Adjustment - 2013 CR 0.612%</t>
  </si>
  <si>
    <t>Subtract - Transfers/Reprogramming</t>
  </si>
  <si>
    <t>Subtract - Recoveries/Refunds</t>
  </si>
  <si>
    <t>2012 Appropriation Enacted w/o Balance Rescission</t>
  </si>
  <si>
    <t>2012 - 2014 Total Change</t>
  </si>
  <si>
    <t>Note: The FTE for FY 2012 is actual and for FY 2013 and FY 2014 are estimates.</t>
  </si>
  <si>
    <t>2013 Continuing 
Resolution *</t>
  </si>
  <si>
    <t>2013 Availability *</t>
  </si>
  <si>
    <t>*The 2013 Availability includes the 0.612% funding provided by the Continuing Appropriations Resolution, 2013 (P.L. 112-175, Section 101 (c)).</t>
  </si>
  <si>
    <t>*The 2013 Continuing Resolution includes the 0.612% funding provided by the Continuing Appropriations Resolution, 2013 (P.L. 112-175, Section 101(c)).</t>
  </si>
  <si>
    <t>2013 Supplemental Appropriation</t>
  </si>
  <si>
    <t>2013 Reprogramming/Transfers</t>
  </si>
  <si>
    <t xml:space="preserve">2013 Carryover </t>
  </si>
  <si>
    <t>2013 Recoveries/Refunds</t>
  </si>
  <si>
    <t>General tax matters</t>
  </si>
  <si>
    <t>Criminal matters</t>
  </si>
  <si>
    <t>Claims, customs and general civil matters</t>
  </si>
  <si>
    <t>Land, natural resources and Indian matters</t>
  </si>
  <si>
    <t>Legal opinions</t>
  </si>
  <si>
    <t>Civil rights matters</t>
  </si>
  <si>
    <t>INTERPOL - U.S. National Central Bureau</t>
  </si>
  <si>
    <t>Dispute Resolution</t>
  </si>
  <si>
    <t>Legal activities office automation</t>
  </si>
  <si>
    <t>Automated Litigation Support</t>
  </si>
  <si>
    <t>Conduct of Supreme Court proceedings and review of appellate matters</t>
  </si>
  <si>
    <t>Reallocations</t>
  </si>
  <si>
    <t xml:space="preserve">  A total of $143K was reprogrammed from OLC to OSG as a result of the merger of executive office functions.</t>
  </si>
  <si>
    <t>Criminal Division reprogrammed $269K from their carryover resources of the FARA program to GLA's ALS account.</t>
  </si>
  <si>
    <t>The Office of Dispute Resolution was transferred to the General Administration appropriation in FY 2012.</t>
  </si>
  <si>
    <t>The transfer of $850,000 to GLA's ALS account reflects transfers of unobligated balances from GLA prior years' accounts.</t>
  </si>
  <si>
    <t>Reallocations:</t>
  </si>
  <si>
    <t>Funds of $2,057K were reallocated from GLA's ALS account to Civil Division's ($557K) and Environment's ($1,500) ALS accounts.</t>
  </si>
  <si>
    <t xml:space="preserve">  Funds of $26K were reprogrammed from JCON's office automation account to GLA's ALS account.</t>
  </si>
  <si>
    <t xml:space="preserve">Funds were carried over into FY 2012 from the GLA's 2011 no-year account ($7,207K), GLA's 2011/2012 two-year account ($2,600K) and GLA's VCRP no-year account ($207K).    </t>
  </si>
  <si>
    <t>Recoveries total $311,298; GLA's no-year account ($287,120) and GLA's VCRP account ($24,178).</t>
  </si>
  <si>
    <t>FY 2013 Continuing Resolution</t>
  </si>
  <si>
    <t xml:space="preserve">  Office of Dispute Resolution resources will be transferred to the General Administration appropriation as the program was transferred to GA in 2012.</t>
  </si>
  <si>
    <t xml:space="preserve">  The transfer of $1,450,000 to GLA's ALS account reflects transfers of unobligated balances from GLA prior years' accounts.</t>
  </si>
  <si>
    <t xml:space="preserve">  Funds of $300K were reallocated from GLA's ALS account to Environment's ALS account.</t>
  </si>
  <si>
    <t xml:space="preserve">Funds were carried over into FY 2013 from the GLA's 2012 no-year account ($3,790K), and GLA's VCRP no-year account ($231K).    </t>
  </si>
  <si>
    <t>Recoveries from GLA's no-year account total $370,672.</t>
  </si>
  <si>
    <t>*  The 2013 Continuing Resolution includes the 0.612% funding provided by the Continuing Appropriations Resolution, 2013 (P.L. 112-175, Section 101 (c)).</t>
  </si>
  <si>
    <t>Transfer - Administrative positions - From OLC</t>
  </si>
  <si>
    <t>Transfer - Administrative Positions - to OSG</t>
  </si>
  <si>
    <t>Transfer - JCON and JCON S/TS - To Components</t>
  </si>
  <si>
    <t>Transfer - Office of Legal Policy (OLP) - From Components</t>
  </si>
  <si>
    <t>Transfer- Office of Tribal Justice (OTJ) - From Components</t>
  </si>
  <si>
    <t>Transfer - Professiona Responsibility Advisory Office (PRAO) - From Components</t>
  </si>
  <si>
    <t>Transfer- Office of Information Policy (OIP) - From Components</t>
  </si>
  <si>
    <t>Subtotal - Transfers</t>
  </si>
  <si>
    <t>Cyber Security (CRM)</t>
  </si>
  <si>
    <t>Financial and Mortgage Fraud (CRM)</t>
  </si>
  <si>
    <t>Intellectual Property (CRM)</t>
  </si>
  <si>
    <t>Financial and Mortgage Fraud (CIV)</t>
  </si>
  <si>
    <t>Civil Rights Enforcement (CRT)</t>
  </si>
  <si>
    <t>Financial and Mortgage Fraud (CRT)</t>
  </si>
  <si>
    <t>Police Misconduct Enforcement (CRT)</t>
  </si>
  <si>
    <t>Administrative Functions Consolidation</t>
  </si>
  <si>
    <t>OLC/OSG Executive Office Merger</t>
  </si>
  <si>
    <t>Attorney Productivity Initiative (CIV)</t>
  </si>
  <si>
    <t>Subtract - Reallocations</t>
  </si>
  <si>
    <t xml:space="preserve">  A total of $570K and 6 positions will be reprogrammed from OLC to OSG as a result of the merger of executive office functions.  A consolidation of vacancies under OLC resulted in further decrease of 2 positions and 2 FTE.</t>
  </si>
  <si>
    <t>Forensic Scientist (1301)</t>
  </si>
  <si>
    <t>Travel Services (2101)</t>
  </si>
  <si>
    <t>Economist (110)</t>
  </si>
  <si>
    <t>Civil Rights Analyst (160)</t>
  </si>
  <si>
    <t>Architect (808)</t>
  </si>
  <si>
    <t>Mathematical Statistics (1529)</t>
  </si>
  <si>
    <t>General Legal Activities</t>
  </si>
  <si>
    <t>Increases:</t>
  </si>
  <si>
    <t>Offsets:</t>
  </si>
</sst>
</file>

<file path=xl/styles.xml><?xml version="1.0" encoding="utf-8"?>
<styleSheet xmlns="http://schemas.openxmlformats.org/spreadsheetml/2006/main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* #,##0_);_(* \(#,##0\);_(* &quot;....&quot;_);_(@_)"/>
  </numFmts>
  <fonts count="26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9"/>
      <color theme="1"/>
      <name val="Arial"/>
      <family val="2"/>
    </font>
    <font>
      <i/>
      <sz val="11"/>
      <color theme="1"/>
      <name val="Arial"/>
      <family val="2"/>
    </font>
    <font>
      <b/>
      <vertAlign val="superscript"/>
      <sz val="11"/>
      <color theme="1"/>
      <name val="Arial"/>
      <family val="2"/>
    </font>
    <font>
      <u/>
      <sz val="11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9"/>
      <color rgb="FF1F497D"/>
      <name val="Arial"/>
      <family val="2"/>
    </font>
    <font>
      <sz val="12"/>
      <name val="TimesNewRomanPS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0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ashed">
        <color theme="0" tint="-0.1499679555650502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theme="0" tint="-0.1499679555650502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ashed">
        <color theme="0" tint="-0.14996795556505021"/>
      </bottom>
      <diagonal/>
    </border>
    <border>
      <left style="medium">
        <color auto="1"/>
      </left>
      <right style="thin">
        <color auto="1"/>
      </right>
      <top style="dashed">
        <color theme="0" tint="-0.14996795556505021"/>
      </top>
      <bottom style="dashed">
        <color theme="0" tint="-0.14996795556505021"/>
      </bottom>
      <diagonal/>
    </border>
    <border>
      <left style="thin">
        <color auto="1"/>
      </left>
      <right style="thin">
        <color auto="1"/>
      </right>
      <top style="dashed">
        <color theme="0" tint="-0.14996795556505021"/>
      </top>
      <bottom style="dashed">
        <color theme="0" tint="-0.14996795556505021"/>
      </bottom>
      <diagonal/>
    </border>
    <border>
      <left style="thin">
        <color auto="1"/>
      </left>
      <right style="medium">
        <color auto="1"/>
      </right>
      <top style="dashed">
        <color theme="0" tint="-0.14996795556505021"/>
      </top>
      <bottom style="dashed">
        <color theme="0" tint="-0.14996795556505021"/>
      </bottom>
      <diagonal/>
    </border>
    <border>
      <left style="medium">
        <color auto="1"/>
      </left>
      <right style="thin">
        <color auto="1"/>
      </right>
      <top style="dashed">
        <color theme="0" tint="-0.14996795556505021"/>
      </top>
      <bottom/>
      <diagonal/>
    </border>
    <border>
      <left style="thin">
        <color auto="1"/>
      </left>
      <right style="thin">
        <color auto="1"/>
      </right>
      <top style="dashed">
        <color theme="0" tint="-0.14996795556505021"/>
      </top>
      <bottom/>
      <diagonal/>
    </border>
    <border>
      <left style="thin">
        <color auto="1"/>
      </left>
      <right style="medium">
        <color auto="1"/>
      </right>
      <top style="dashed">
        <color theme="0" tint="-0.1499679555650502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dashed">
        <color theme="0" tint="-0.1499679555650502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ashed">
        <color theme="0" tint="-0.1499679555650502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ashed">
        <color theme="0" tint="-0.1499679555650502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dashed">
        <color theme="0" tint="-0.14996795556505021"/>
      </top>
      <bottom style="dashed">
        <color theme="0" tint="-0.14996795556505021"/>
      </bottom>
      <diagonal/>
    </border>
    <border>
      <left style="medium">
        <color auto="1"/>
      </left>
      <right/>
      <top style="thin">
        <color auto="1"/>
      </top>
      <bottom style="dashed">
        <color theme="0" tint="-0.14996795556505021"/>
      </bottom>
      <diagonal/>
    </border>
    <border>
      <left style="medium">
        <color auto="1"/>
      </left>
      <right/>
      <top style="dashed">
        <color theme="0" tint="-0.14996795556505021"/>
      </top>
      <bottom style="dashed">
        <color theme="0" tint="-0.14996795556505021"/>
      </bottom>
      <diagonal/>
    </border>
    <border>
      <left style="medium">
        <color auto="1"/>
      </left>
      <right/>
      <top style="dashed">
        <color theme="0" tint="-0.14996795556505021"/>
      </top>
      <bottom style="thin">
        <color auto="1"/>
      </bottom>
      <diagonal/>
    </border>
    <border>
      <left style="medium">
        <color auto="1"/>
      </left>
      <right/>
      <top/>
      <bottom style="dashed">
        <color theme="0" tint="-0.14996795556505021"/>
      </bottom>
      <diagonal/>
    </border>
    <border>
      <left style="thin">
        <color auto="1"/>
      </left>
      <right style="thin">
        <color auto="1"/>
      </right>
      <top/>
      <bottom style="dashed">
        <color theme="0" tint="-0.14996795556505021"/>
      </bottom>
      <diagonal/>
    </border>
    <border>
      <left style="medium">
        <color auto="1"/>
      </left>
      <right/>
      <top style="dashed">
        <color theme="0" tint="-0.14996795556505021"/>
      </top>
      <bottom/>
      <diagonal/>
    </border>
    <border>
      <left style="thin">
        <color auto="1"/>
      </left>
      <right style="thin">
        <color auto="1"/>
      </right>
      <top style="dashed">
        <color theme="0" tint="-0.1499679555650502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dashed">
        <color theme="0" tint="-0.14996795556505021"/>
      </bottom>
      <diagonal/>
    </border>
    <border>
      <left style="thin">
        <color auto="1"/>
      </left>
      <right style="medium">
        <color auto="1"/>
      </right>
      <top style="dashed">
        <color theme="0" tint="-0.1499679555650502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dashed">
        <color theme="0" tint="-0.1499679555650502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ashed">
        <color theme="0" tint="-0.1499679555650502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ashed">
        <color theme="0" tint="-0.1499679555650502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ashed">
        <color theme="0" tint="-0.14996795556505021"/>
      </bottom>
      <diagonal/>
    </border>
    <border>
      <left style="medium">
        <color auto="1"/>
      </left>
      <right style="thin">
        <color auto="1"/>
      </right>
      <top/>
      <bottom style="dashed">
        <color theme="0" tint="-0.1499679555650502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hair">
        <color theme="0" tint="-0.34998626667073579"/>
      </top>
      <bottom style="dashed">
        <color theme="0" tint="-0.14996795556505021"/>
      </bottom>
      <diagonal/>
    </border>
    <border>
      <left style="medium">
        <color auto="1"/>
      </left>
      <right style="medium">
        <color auto="1"/>
      </right>
      <top/>
      <bottom style="dashed">
        <color theme="0" tint="-0.14996795556505021"/>
      </bottom>
      <diagonal/>
    </border>
    <border>
      <left style="medium">
        <color auto="1"/>
      </left>
      <right style="medium">
        <color auto="1"/>
      </right>
      <top style="dashed">
        <color theme="0" tint="-0.14996795556505021"/>
      </top>
      <bottom style="dashed">
        <color theme="0" tint="-0.1499679555650502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ashed">
        <color theme="0" tint="-0.1499679555650502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dotted">
        <color theme="0" tint="-0.14996795556505021"/>
      </bottom>
      <diagonal/>
    </border>
    <border>
      <left/>
      <right/>
      <top style="thin">
        <color auto="1"/>
      </top>
      <bottom style="dotted">
        <color theme="0" tint="-0.14996795556505021"/>
      </bottom>
      <diagonal/>
    </border>
    <border>
      <left/>
      <right style="thin">
        <color auto="1"/>
      </right>
      <top style="thin">
        <color auto="1"/>
      </top>
      <bottom style="dotted">
        <color theme="0" tint="-0.1499679555650502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theme="0" tint="-0.14996795556505021"/>
      </bottom>
      <diagonal/>
    </border>
    <border>
      <left/>
      <right style="medium">
        <color auto="1"/>
      </right>
      <top style="thin">
        <color auto="1"/>
      </top>
      <bottom style="dotted">
        <color theme="0" tint="-0.14996795556505021"/>
      </bottom>
      <diagonal/>
    </border>
    <border>
      <left style="medium">
        <color auto="1"/>
      </left>
      <right/>
      <top style="dotted">
        <color theme="0" tint="-0.14996795556505021"/>
      </top>
      <bottom style="dotted">
        <color theme="0" tint="-0.14996795556505021"/>
      </bottom>
      <diagonal/>
    </border>
    <border>
      <left/>
      <right/>
      <top style="dotted">
        <color theme="0" tint="-0.14996795556505021"/>
      </top>
      <bottom style="dotted">
        <color theme="0" tint="-0.14996795556505021"/>
      </bottom>
      <diagonal/>
    </border>
    <border>
      <left/>
      <right style="thin">
        <color auto="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thin">
        <color auto="1"/>
      </left>
      <right style="thin">
        <color auto="1"/>
      </right>
      <top style="dotted">
        <color theme="0" tint="-0.14996795556505021"/>
      </top>
      <bottom style="dotted">
        <color theme="0" tint="-0.14996795556505021"/>
      </bottom>
      <diagonal/>
    </border>
    <border>
      <left/>
      <right style="medium">
        <color auto="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dashed">
        <color theme="0" tint="-0.14996795556505021"/>
      </bottom>
      <diagonal/>
    </border>
    <border>
      <left/>
      <right style="medium">
        <color auto="1"/>
      </right>
      <top style="dashed">
        <color theme="0" tint="-0.1499679555650502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/>
      <top style="dashed">
        <color theme="0" tint="-0.14996795556505021"/>
      </top>
      <bottom style="dashed">
        <color theme="0" tint="-0.1499679555650502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tted">
        <color theme="0" tint="-0.14996795556505021"/>
      </bottom>
      <diagonal/>
    </border>
    <border>
      <left style="thin">
        <color auto="1"/>
      </left>
      <right style="medium">
        <color theme="1"/>
      </right>
      <top style="dashed">
        <color theme="0" tint="-0.14996795556505021"/>
      </top>
      <bottom style="dashed">
        <color theme="0" tint="-0.14996795556505021"/>
      </bottom>
      <diagonal/>
    </border>
    <border>
      <left style="thin">
        <color auto="1"/>
      </left>
      <right style="medium">
        <color theme="1"/>
      </right>
      <top style="dashed">
        <color theme="0" tint="-0.14996795556505021"/>
      </top>
      <bottom style="thin">
        <color auto="1"/>
      </bottom>
      <diagonal/>
    </border>
    <border>
      <left style="thin">
        <color auto="1"/>
      </left>
      <right style="medium">
        <color theme="1"/>
      </right>
      <top/>
      <bottom style="dashed">
        <color theme="0" tint="-0.14996795556505021"/>
      </bottom>
      <diagonal/>
    </border>
    <border>
      <left/>
      <right style="medium">
        <color theme="1"/>
      </right>
      <top style="dashed">
        <color theme="0" tint="-0.14996795556505021"/>
      </top>
      <bottom/>
      <diagonal/>
    </border>
    <border>
      <left/>
      <right style="medium">
        <color theme="1"/>
      </right>
      <top/>
      <bottom/>
      <diagonal/>
    </border>
    <border>
      <left style="thin">
        <color auto="1"/>
      </left>
      <right style="medium">
        <color theme="1"/>
      </right>
      <top/>
      <bottom/>
      <diagonal/>
    </border>
    <border>
      <left style="medium">
        <color auto="1"/>
      </left>
      <right style="medium">
        <color theme="1"/>
      </right>
      <top/>
      <bottom style="dashed">
        <color theme="0" tint="-0.14996795556505021"/>
      </bottom>
      <diagonal/>
    </border>
    <border>
      <left/>
      <right style="medium">
        <color theme="1"/>
      </right>
      <top style="dashed">
        <color theme="0" tint="-0.14996795556505021"/>
      </top>
      <bottom style="dashed">
        <color theme="0" tint="-0.14996795556505021"/>
      </bottom>
      <diagonal/>
    </border>
    <border>
      <left/>
      <right style="medium">
        <color theme="1"/>
      </right>
      <top style="dashed">
        <color theme="0" tint="-0.14996795556505021"/>
      </top>
      <bottom style="thin">
        <color auto="1"/>
      </bottom>
      <diagonal/>
    </border>
    <border>
      <left/>
      <right style="medium">
        <color theme="1"/>
      </right>
      <top/>
      <bottom style="dashed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</borders>
  <cellStyleXfs count="20">
    <xf numFmtId="0" fontId="0" fillId="0" borderId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2" fillId="0" borderId="0"/>
    <xf numFmtId="0" fontId="22" fillId="0" borderId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270">
    <xf numFmtId="0" fontId="0" fillId="0" borderId="0" xfId="0"/>
    <xf numFmtId="3" fontId="15" fillId="0" borderId="6" xfId="0" applyNumberFormat="1" applyFont="1" applyBorder="1" applyAlignment="1">
      <alignment horizontal="center" vertical="top" wrapText="1"/>
    </xf>
    <xf numFmtId="3" fontId="15" fillId="0" borderId="7" xfId="0" applyNumberFormat="1" applyFont="1" applyBorder="1" applyAlignment="1">
      <alignment horizontal="center" vertical="top" wrapText="1"/>
    </xf>
    <xf numFmtId="164" fontId="15" fillId="0" borderId="8" xfId="1" applyNumberFormat="1" applyFont="1" applyBorder="1" applyAlignment="1">
      <alignment horizontal="center" vertical="top" wrapText="1"/>
    </xf>
    <xf numFmtId="0" fontId="16" fillId="0" borderId="0" xfId="0" applyFont="1"/>
    <xf numFmtId="0" fontId="15" fillId="0" borderId="0" xfId="0" applyFont="1"/>
    <xf numFmtId="0" fontId="13" fillId="0" borderId="0" xfId="0" applyFont="1" applyAlignment="1"/>
    <xf numFmtId="0" fontId="14" fillId="0" borderId="0" xfId="0" applyFont="1" applyAlignment="1"/>
    <xf numFmtId="0" fontId="12" fillId="0" borderId="0" xfId="0" applyFont="1" applyAlignment="1"/>
    <xf numFmtId="0" fontId="10" fillId="0" borderId="0" xfId="0" applyFont="1"/>
    <xf numFmtId="0" fontId="10" fillId="0" borderId="0" xfId="0" applyFont="1" applyAlignment="1"/>
    <xf numFmtId="0" fontId="10" fillId="0" borderId="1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left" indent="3"/>
    </xf>
    <xf numFmtId="0" fontId="15" fillId="0" borderId="16" xfId="0" applyFont="1" applyBorder="1" applyAlignment="1">
      <alignment horizontal="right"/>
    </xf>
    <xf numFmtId="0" fontId="10" fillId="0" borderId="20" xfId="0" applyFont="1" applyBorder="1" applyAlignment="1">
      <alignment horizontal="left" indent="3"/>
    </xf>
    <xf numFmtId="0" fontId="10" fillId="0" borderId="20" xfId="0" applyFont="1" applyBorder="1" applyAlignment="1">
      <alignment horizontal="left" indent="5"/>
    </xf>
    <xf numFmtId="0" fontId="10" fillId="0" borderId="23" xfId="0" applyFont="1" applyBorder="1" applyAlignment="1">
      <alignment horizontal="left" indent="5"/>
    </xf>
    <xf numFmtId="0" fontId="10" fillId="0" borderId="6" xfId="0" applyFont="1" applyBorder="1" applyAlignment="1">
      <alignment horizontal="left" indent="3"/>
    </xf>
    <xf numFmtId="0" fontId="9" fillId="0" borderId="1" xfId="0" applyFont="1" applyBorder="1" applyAlignment="1">
      <alignment horizontal="center" vertical="top" wrapText="1"/>
    </xf>
    <xf numFmtId="0" fontId="9" fillId="0" borderId="0" xfId="0" applyFont="1"/>
    <xf numFmtId="3" fontId="10" fillId="0" borderId="21" xfId="0" applyNumberFormat="1" applyFont="1" applyBorder="1"/>
    <xf numFmtId="3" fontId="15" fillId="0" borderId="34" xfId="0" applyNumberFormat="1" applyFont="1" applyBorder="1"/>
    <xf numFmtId="0" fontId="17" fillId="0" borderId="0" xfId="0" applyFont="1"/>
    <xf numFmtId="0" fontId="12" fillId="0" borderId="32" xfId="0" applyFont="1" applyBorder="1" applyAlignment="1"/>
    <xf numFmtId="0" fontId="16" fillId="0" borderId="0" xfId="0" applyFont="1" applyAlignment="1"/>
    <xf numFmtId="0" fontId="8" fillId="0" borderId="1" xfId="0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 vertical="top" wrapText="1"/>
    </xf>
    <xf numFmtId="0" fontId="10" fillId="0" borderId="38" xfId="0" applyFont="1" applyBorder="1"/>
    <xf numFmtId="0" fontId="10" fillId="0" borderId="41" xfId="0" applyFont="1" applyBorder="1"/>
    <xf numFmtId="0" fontId="10" fillId="0" borderId="39" xfId="0" applyFont="1" applyBorder="1"/>
    <xf numFmtId="0" fontId="10" fillId="0" borderId="41" xfId="0" applyFont="1" applyBorder="1" applyAlignment="1">
      <alignment horizontal="left" indent="1"/>
    </xf>
    <xf numFmtId="0" fontId="10" fillId="0" borderId="39" xfId="0" applyFont="1" applyBorder="1" applyAlignment="1">
      <alignment horizontal="left" indent="1"/>
    </xf>
    <xf numFmtId="0" fontId="15" fillId="0" borderId="9" xfId="0" applyFont="1" applyBorder="1" applyAlignment="1">
      <alignment horizontal="center"/>
    </xf>
    <xf numFmtId="0" fontId="8" fillId="0" borderId="17" xfId="0" applyFont="1" applyBorder="1" applyAlignment="1">
      <alignment horizontal="left" indent="2"/>
    </xf>
    <xf numFmtId="0" fontId="8" fillId="0" borderId="20" xfId="0" applyFont="1" applyBorder="1" applyAlignment="1">
      <alignment horizontal="left" indent="2"/>
    </xf>
    <xf numFmtId="0" fontId="18" fillId="0" borderId="20" xfId="0" applyFont="1" applyBorder="1" applyAlignment="1">
      <alignment horizontal="left" indent="8"/>
    </xf>
    <xf numFmtId="0" fontId="15" fillId="0" borderId="20" xfId="0" applyFont="1" applyBorder="1"/>
    <xf numFmtId="0" fontId="15" fillId="0" borderId="20" xfId="0" applyFont="1" applyBorder="1" applyAlignment="1">
      <alignment horizontal="center"/>
    </xf>
    <xf numFmtId="0" fontId="15" fillId="0" borderId="52" xfId="0" applyFont="1" applyBorder="1" applyAlignment="1">
      <alignment horizontal="center"/>
    </xf>
    <xf numFmtId="0" fontId="8" fillId="0" borderId="52" xfId="0" applyFont="1" applyBorder="1" applyAlignment="1">
      <alignment horizontal="left" wrapText="1" indent="2"/>
    </xf>
    <xf numFmtId="0" fontId="8" fillId="0" borderId="55" xfId="0" applyFont="1" applyBorder="1"/>
    <xf numFmtId="0" fontId="15" fillId="0" borderId="60" xfId="0" applyFont="1" applyBorder="1"/>
    <xf numFmtId="3" fontId="15" fillId="0" borderId="20" xfId="0" applyNumberFormat="1" applyFont="1" applyBorder="1"/>
    <xf numFmtId="3" fontId="15" fillId="0" borderId="21" xfId="0" applyNumberFormat="1" applyFont="1" applyBorder="1"/>
    <xf numFmtId="0" fontId="15" fillId="0" borderId="61" xfId="0" applyFont="1" applyBorder="1" applyAlignment="1">
      <alignment horizontal="left" indent="1"/>
    </xf>
    <xf numFmtId="3" fontId="15" fillId="0" borderId="22" xfId="0" applyNumberFormat="1" applyFont="1" applyBorder="1"/>
    <xf numFmtId="0" fontId="15" fillId="0" borderId="61" xfId="0" applyFont="1" applyBorder="1"/>
    <xf numFmtId="0" fontId="15" fillId="0" borderId="61" xfId="0" applyFont="1" applyBorder="1" applyAlignment="1">
      <alignment horizontal="left" indent="3"/>
    </xf>
    <xf numFmtId="0" fontId="15" fillId="0" borderId="59" xfId="0" applyFont="1" applyBorder="1" applyAlignment="1">
      <alignment horizontal="left"/>
    </xf>
    <xf numFmtId="0" fontId="15" fillId="0" borderId="61" xfId="0" applyFont="1" applyBorder="1" applyAlignment="1">
      <alignment horizontal="left"/>
    </xf>
    <xf numFmtId="0" fontId="15" fillId="0" borderId="60" xfId="0" applyFont="1" applyBorder="1" applyAlignment="1">
      <alignment horizontal="left" indent="1"/>
    </xf>
    <xf numFmtId="0" fontId="15" fillId="0" borderId="64" xfId="0" applyFont="1" applyBorder="1"/>
    <xf numFmtId="0" fontId="15" fillId="0" borderId="4" xfId="0" applyFont="1" applyBorder="1" applyAlignment="1">
      <alignment horizontal="center" vertical="center" wrapText="1"/>
    </xf>
    <xf numFmtId="165" fontId="9" fillId="0" borderId="66" xfId="2" applyNumberFormat="1" applyFont="1" applyBorder="1" applyAlignment="1">
      <alignment horizontal="left"/>
    </xf>
    <xf numFmtId="165" fontId="9" fillId="0" borderId="66" xfId="2" applyNumberFormat="1" applyFont="1" applyBorder="1" applyAlignment="1">
      <alignment horizontal="center"/>
    </xf>
    <xf numFmtId="164" fontId="9" fillId="0" borderId="29" xfId="1" applyNumberFormat="1" applyFont="1" applyBorder="1" applyAlignment="1">
      <alignment horizontal="left"/>
    </xf>
    <xf numFmtId="0" fontId="10" fillId="0" borderId="56" xfId="0" applyFont="1" applyBorder="1" applyAlignment="1">
      <alignment horizontal="left" indent="3"/>
    </xf>
    <xf numFmtId="0" fontId="7" fillId="0" borderId="17" xfId="0" applyFont="1" applyBorder="1" applyAlignment="1">
      <alignment horizontal="left" indent="2"/>
    </xf>
    <xf numFmtId="0" fontId="7" fillId="0" borderId="62" xfId="0" applyFont="1" applyBorder="1" applyAlignment="1">
      <alignment horizontal="left"/>
    </xf>
    <xf numFmtId="0" fontId="7" fillId="0" borderId="67" xfId="0" applyFont="1" applyBorder="1" applyAlignment="1">
      <alignment horizontal="left"/>
    </xf>
    <xf numFmtId="165" fontId="7" fillId="0" borderId="68" xfId="2" applyNumberFormat="1" applyFont="1" applyBorder="1" applyAlignment="1">
      <alignment horizontal="left"/>
    </xf>
    <xf numFmtId="165" fontId="7" fillId="0" borderId="68" xfId="2" applyNumberFormat="1" applyFont="1" applyBorder="1" applyAlignment="1">
      <alignment horizontal="center"/>
    </xf>
    <xf numFmtId="164" fontId="7" fillId="0" borderId="69" xfId="1" applyNumberFormat="1" applyFont="1" applyBorder="1" applyAlignment="1">
      <alignment horizontal="left"/>
    </xf>
    <xf numFmtId="0" fontId="7" fillId="0" borderId="72" xfId="0" applyFont="1" applyBorder="1" applyAlignment="1">
      <alignment horizontal="left"/>
    </xf>
    <xf numFmtId="165" fontId="7" fillId="0" borderId="73" xfId="2" applyNumberFormat="1" applyFont="1" applyBorder="1" applyAlignment="1">
      <alignment horizontal="left"/>
    </xf>
    <xf numFmtId="165" fontId="7" fillId="0" borderId="73" xfId="2" applyNumberFormat="1" applyFont="1" applyBorder="1" applyAlignment="1">
      <alignment horizontal="center"/>
    </xf>
    <xf numFmtId="164" fontId="7" fillId="0" borderId="74" xfId="1" applyNumberFormat="1" applyFont="1" applyBorder="1" applyAlignment="1">
      <alignment horizontal="left"/>
    </xf>
    <xf numFmtId="165" fontId="9" fillId="0" borderId="73" xfId="2" applyNumberFormat="1" applyFont="1" applyBorder="1" applyAlignment="1">
      <alignment horizontal="left"/>
    </xf>
    <xf numFmtId="165" fontId="9" fillId="0" borderId="73" xfId="2" applyNumberFormat="1" applyFont="1" applyBorder="1" applyAlignment="1">
      <alignment horizontal="center"/>
    </xf>
    <xf numFmtId="164" fontId="9" fillId="0" borderId="74" xfId="1" applyNumberFormat="1" applyFont="1" applyBorder="1" applyAlignment="1">
      <alignment horizontal="left"/>
    </xf>
    <xf numFmtId="3" fontId="15" fillId="0" borderId="30" xfId="0" applyNumberFormat="1" applyFont="1" applyBorder="1"/>
    <xf numFmtId="3" fontId="15" fillId="0" borderId="15" xfId="0" applyNumberFormat="1" applyFont="1" applyBorder="1"/>
    <xf numFmtId="0" fontId="15" fillId="0" borderId="26" xfId="0" applyFont="1" applyBorder="1" applyAlignment="1">
      <alignment horizontal="left"/>
    </xf>
    <xf numFmtId="0" fontId="7" fillId="0" borderId="1" xfId="0" applyFont="1" applyBorder="1" applyAlignment="1">
      <alignment horizontal="center" vertical="top" wrapText="1"/>
    </xf>
    <xf numFmtId="0" fontId="7" fillId="0" borderId="56" xfId="0" applyFont="1" applyBorder="1" applyAlignment="1">
      <alignment horizontal="left" indent="3"/>
    </xf>
    <xf numFmtId="0" fontId="7" fillId="0" borderId="20" xfId="0" applyFont="1" applyBorder="1" applyAlignment="1">
      <alignment horizontal="left" indent="3"/>
    </xf>
    <xf numFmtId="0" fontId="7" fillId="0" borderId="6" xfId="0" applyFont="1" applyBorder="1" applyAlignment="1">
      <alignment horizontal="left" indent="3"/>
    </xf>
    <xf numFmtId="0" fontId="6" fillId="0" borderId="1" xfId="0" applyFont="1" applyBorder="1" applyAlignment="1">
      <alignment horizontal="center" vertical="top" wrapText="1"/>
    </xf>
    <xf numFmtId="0" fontId="6" fillId="0" borderId="20" xfId="0" applyFont="1" applyBorder="1" applyAlignment="1">
      <alignment horizontal="left" indent="3"/>
    </xf>
    <xf numFmtId="0" fontId="6" fillId="0" borderId="6" xfId="0" applyFont="1" applyBorder="1" applyAlignment="1">
      <alignment horizontal="left" indent="3"/>
    </xf>
    <xf numFmtId="0" fontId="6" fillId="0" borderId="72" xfId="0" applyFont="1" applyBorder="1" applyAlignment="1">
      <alignment horizontal="left"/>
    </xf>
    <xf numFmtId="0" fontId="6" fillId="0" borderId="43" xfId="0" applyFont="1" applyBorder="1"/>
    <xf numFmtId="0" fontId="6" fillId="0" borderId="20" xfId="0" applyFont="1" applyBorder="1" applyAlignment="1">
      <alignment horizontal="left" indent="2"/>
    </xf>
    <xf numFmtId="0" fontId="15" fillId="0" borderId="4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left" indent="2"/>
    </xf>
    <xf numFmtId="0" fontId="6" fillId="0" borderId="78" xfId="0" applyFont="1" applyBorder="1" applyAlignment="1">
      <alignment horizontal="left" indent="1"/>
    </xf>
    <xf numFmtId="0" fontId="6" fillId="0" borderId="10" xfId="0" applyFont="1" applyBorder="1" applyAlignment="1">
      <alignment horizontal="left" indent="1"/>
    </xf>
    <xf numFmtId="0" fontId="5" fillId="0" borderId="20" xfId="0" applyFont="1" applyBorder="1" applyAlignment="1">
      <alignment horizontal="left" indent="2"/>
    </xf>
    <xf numFmtId="3" fontId="15" fillId="0" borderId="41" xfId="0" applyNumberFormat="1" applyFont="1" applyBorder="1"/>
    <xf numFmtId="3" fontId="15" fillId="0" borderId="42" xfId="0" applyNumberFormat="1" applyFont="1" applyBorder="1"/>
    <xf numFmtId="3" fontId="15" fillId="0" borderId="79" xfId="0" applyNumberFormat="1" applyFont="1" applyBorder="1"/>
    <xf numFmtId="3" fontId="15" fillId="0" borderId="40" xfId="0" applyNumberFormat="1" applyFont="1" applyBorder="1"/>
    <xf numFmtId="3" fontId="15" fillId="0" borderId="56" xfId="0" applyNumberFormat="1" applyFont="1" applyBorder="1"/>
    <xf numFmtId="3" fontId="15" fillId="0" borderId="45" xfId="0" applyNumberFormat="1" applyFont="1" applyBorder="1"/>
    <xf numFmtId="3" fontId="15" fillId="0" borderId="33" xfId="0" applyNumberFormat="1" applyFont="1" applyBorder="1"/>
    <xf numFmtId="3" fontId="20" fillId="0" borderId="20" xfId="0" applyNumberFormat="1" applyFont="1" applyBorder="1"/>
    <xf numFmtId="3" fontId="20" fillId="0" borderId="21" xfId="0" applyNumberFormat="1" applyFont="1" applyBorder="1"/>
    <xf numFmtId="3" fontId="20" fillId="0" borderId="22" xfId="0" applyNumberFormat="1" applyFont="1" applyBorder="1"/>
    <xf numFmtId="0" fontId="4" fillId="0" borderId="1" xfId="0" applyFont="1" applyBorder="1" applyAlignment="1">
      <alignment horizontal="center" vertical="top" wrapText="1"/>
    </xf>
    <xf numFmtId="3" fontId="10" fillId="0" borderId="18" xfId="0" applyNumberFormat="1" applyFont="1" applyBorder="1"/>
    <xf numFmtId="3" fontId="10" fillId="0" borderId="19" xfId="0" applyNumberFormat="1" applyFont="1" applyBorder="1"/>
    <xf numFmtId="3" fontId="10" fillId="0" borderId="22" xfId="0" applyNumberFormat="1" applyFont="1" applyBorder="1"/>
    <xf numFmtId="3" fontId="10" fillId="0" borderId="2" xfId="0" applyNumberFormat="1" applyFont="1" applyBorder="1"/>
    <xf numFmtId="3" fontId="10" fillId="0" borderId="11" xfId="0" applyNumberFormat="1" applyFont="1" applyBorder="1"/>
    <xf numFmtId="3" fontId="15" fillId="0" borderId="1" xfId="0" applyNumberFormat="1" applyFont="1" applyBorder="1"/>
    <xf numFmtId="3" fontId="15" fillId="0" borderId="14" xfId="0" applyNumberFormat="1" applyFont="1" applyBorder="1"/>
    <xf numFmtId="3" fontId="15" fillId="0" borderId="18" xfId="0" applyNumberFormat="1" applyFont="1" applyBorder="1"/>
    <xf numFmtId="3" fontId="7" fillId="0" borderId="18" xfId="0" applyNumberFormat="1" applyFont="1" applyBorder="1"/>
    <xf numFmtId="3" fontId="7" fillId="0" borderId="19" xfId="0" applyNumberFormat="1" applyFont="1" applyBorder="1"/>
    <xf numFmtId="3" fontId="7" fillId="0" borderId="34" xfId="0" applyNumberFormat="1" applyFont="1" applyBorder="1"/>
    <xf numFmtId="3" fontId="7" fillId="0" borderId="35" xfId="0" applyNumberFormat="1" applyFont="1" applyBorder="1"/>
    <xf numFmtId="3" fontId="10" fillId="0" borderId="42" xfId="0" applyNumberFormat="1" applyFont="1" applyBorder="1"/>
    <xf numFmtId="3" fontId="10" fillId="0" borderId="45" xfId="0" applyNumberFormat="1" applyFont="1" applyBorder="1"/>
    <xf numFmtId="3" fontId="10" fillId="0" borderId="24" xfId="0" applyNumberFormat="1" applyFont="1" applyBorder="1"/>
    <xf numFmtId="3" fontId="10" fillId="0" borderId="25" xfId="0" applyNumberFormat="1" applyFont="1" applyBorder="1"/>
    <xf numFmtId="3" fontId="10" fillId="0" borderId="7" xfId="0" applyNumberFormat="1" applyFont="1" applyBorder="1"/>
    <xf numFmtId="3" fontId="10" fillId="0" borderId="8" xfId="0" applyNumberFormat="1" applyFont="1" applyBorder="1"/>
    <xf numFmtId="3" fontId="10" fillId="0" borderId="34" xfId="0" applyNumberFormat="1" applyFont="1" applyBorder="1"/>
    <xf numFmtId="3" fontId="10" fillId="0" borderId="35" xfId="0" applyNumberFormat="1" applyFont="1" applyBorder="1"/>
    <xf numFmtId="3" fontId="10" fillId="0" borderId="70" xfId="0" applyNumberFormat="1" applyFont="1" applyBorder="1"/>
    <xf numFmtId="3" fontId="10" fillId="0" borderId="71" xfId="0" applyNumberFormat="1" applyFont="1" applyBorder="1"/>
    <xf numFmtId="3" fontId="10" fillId="0" borderId="75" xfId="0" applyNumberFormat="1" applyFont="1" applyBorder="1"/>
    <xf numFmtId="3" fontId="10" fillId="0" borderId="76" xfId="0" applyNumberFormat="1" applyFont="1" applyBorder="1"/>
    <xf numFmtId="3" fontId="10" fillId="0" borderId="58" xfId="0" applyNumberFormat="1" applyFont="1" applyBorder="1"/>
    <xf numFmtId="3" fontId="15" fillId="0" borderId="70" xfId="2" applyNumberFormat="1" applyFont="1" applyBorder="1"/>
    <xf numFmtId="3" fontId="15" fillId="0" borderId="75" xfId="2" applyNumberFormat="1" applyFont="1" applyBorder="1"/>
    <xf numFmtId="3" fontId="10" fillId="0" borderId="51" xfId="0" applyNumberFormat="1" applyFont="1" applyBorder="1"/>
    <xf numFmtId="3" fontId="15" fillId="0" borderId="51" xfId="0" applyNumberFormat="1" applyFont="1" applyBorder="1"/>
    <xf numFmtId="3" fontId="10" fillId="0" borderId="77" xfId="0" applyNumberFormat="1" applyFont="1" applyBorder="1"/>
    <xf numFmtId="3" fontId="18" fillId="0" borderId="21" xfId="0" applyNumberFormat="1" applyFont="1" applyBorder="1"/>
    <xf numFmtId="3" fontId="18" fillId="0" borderId="22" xfId="0" applyNumberFormat="1" applyFont="1" applyBorder="1"/>
    <xf numFmtId="3" fontId="15" fillId="0" borderId="44" xfId="0" applyNumberFormat="1" applyFont="1" applyBorder="1"/>
    <xf numFmtId="3" fontId="15" fillId="0" borderId="46" xfId="0" applyNumberFormat="1" applyFont="1" applyBorder="1"/>
    <xf numFmtId="3" fontId="10" fillId="0" borderId="54" xfId="0" applyNumberFormat="1" applyFont="1" applyBorder="1"/>
    <xf numFmtId="3" fontId="10" fillId="0" borderId="53" xfId="0" applyNumberFormat="1" applyFont="1" applyBorder="1"/>
    <xf numFmtId="3" fontId="10" fillId="0" borderId="44" xfId="0" applyNumberFormat="1" applyFont="1" applyBorder="1"/>
    <xf numFmtId="3" fontId="10" fillId="0" borderId="46" xfId="0" applyNumberFormat="1" applyFont="1" applyBorder="1"/>
    <xf numFmtId="3" fontId="15" fillId="0" borderId="43" xfId="0" applyNumberFormat="1" applyFont="1" applyBorder="1"/>
    <xf numFmtId="3" fontId="15" fillId="0" borderId="24" xfId="0" applyNumberFormat="1" applyFont="1" applyBorder="1"/>
    <xf numFmtId="0" fontId="3" fillId="0" borderId="20" xfId="0" applyFont="1" applyBorder="1" applyAlignment="1">
      <alignment horizontal="left" indent="2"/>
    </xf>
    <xf numFmtId="0" fontId="3" fillId="0" borderId="0" xfId="0" applyFont="1"/>
    <xf numFmtId="3" fontId="3" fillId="0" borderId="0" xfId="0" applyNumberFormat="1" applyFont="1"/>
    <xf numFmtId="164" fontId="3" fillId="0" borderId="0" xfId="1" applyNumberFormat="1" applyFont="1"/>
    <xf numFmtId="0" fontId="3" fillId="0" borderId="61" xfId="0" applyFont="1" applyBorder="1" applyAlignment="1">
      <alignment horizontal="left" indent="1"/>
    </xf>
    <xf numFmtId="3" fontId="3" fillId="0" borderId="22" xfId="0" applyNumberFormat="1" applyFont="1" applyBorder="1"/>
    <xf numFmtId="0" fontId="3" fillId="0" borderId="61" xfId="0" applyFont="1" applyBorder="1" applyAlignment="1">
      <alignment horizontal="left" indent="6"/>
    </xf>
    <xf numFmtId="3" fontId="3" fillId="0" borderId="20" xfId="0" applyNumberFormat="1" applyFont="1" applyBorder="1"/>
    <xf numFmtId="3" fontId="3" fillId="0" borderId="21" xfId="0" applyNumberFormat="1" applyFont="1" applyBorder="1"/>
    <xf numFmtId="0" fontId="3" fillId="0" borderId="61" xfId="0" applyFont="1" applyBorder="1" applyAlignment="1">
      <alignment horizontal="left" indent="3"/>
    </xf>
    <xf numFmtId="0" fontId="3" fillId="0" borderId="61" xfId="0" applyFont="1" applyBorder="1" applyAlignment="1">
      <alignment horizontal="left" indent="4"/>
    </xf>
    <xf numFmtId="0" fontId="3" fillId="0" borderId="27" xfId="0" applyFont="1" applyBorder="1" applyAlignment="1">
      <alignment horizontal="left"/>
    </xf>
    <xf numFmtId="3" fontId="3" fillId="0" borderId="63" xfId="0" applyNumberFormat="1" applyFont="1" applyBorder="1"/>
    <xf numFmtId="0" fontId="23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3" fillId="0" borderId="30" xfId="0" applyFont="1" applyBorder="1"/>
    <xf numFmtId="0" fontId="15" fillId="0" borderId="4" xfId="0" applyFont="1" applyBorder="1" applyAlignment="1">
      <alignment horizontal="center" vertical="center" wrapText="1"/>
    </xf>
    <xf numFmtId="3" fontId="10" fillId="0" borderId="15" xfId="0" applyNumberFormat="1" applyFont="1" applyBorder="1"/>
    <xf numFmtId="166" fontId="24" fillId="0" borderId="83" xfId="0" applyNumberFormat="1" applyFont="1" applyBorder="1" applyAlignment="1">
      <alignment wrapText="1"/>
    </xf>
    <xf numFmtId="37" fontId="24" fillId="0" borderId="84" xfId="0" applyNumberFormat="1" applyFont="1" applyBorder="1" applyAlignment="1"/>
    <xf numFmtId="3" fontId="10" fillId="0" borderId="12" xfId="0" applyNumberFormat="1" applyFont="1" applyBorder="1"/>
    <xf numFmtId="3" fontId="10" fillId="0" borderId="0" xfId="0" applyNumberFormat="1" applyFont="1" applyBorder="1"/>
    <xf numFmtId="3" fontId="10" fillId="0" borderId="66" xfId="0" applyNumberFormat="1" applyFont="1" applyBorder="1"/>
    <xf numFmtId="3" fontId="10" fillId="0" borderId="86" xfId="0" applyNumberFormat="1" applyFont="1" applyBorder="1"/>
    <xf numFmtId="37" fontId="24" fillId="0" borderId="2" xfId="0" applyNumberFormat="1" applyFont="1" applyFill="1" applyBorder="1" applyAlignment="1"/>
    <xf numFmtId="166" fontId="25" fillId="0" borderId="0" xfId="0" applyNumberFormat="1" applyFont="1" applyAlignment="1"/>
    <xf numFmtId="166" fontId="24" fillId="0" borderId="0" xfId="0" applyNumberFormat="1" applyFont="1" applyAlignment="1"/>
    <xf numFmtId="0" fontId="0" fillId="0" borderId="0" xfId="0" applyAlignment="1"/>
    <xf numFmtId="3" fontId="15" fillId="0" borderId="2" xfId="0" applyNumberFormat="1" applyFont="1" applyBorder="1"/>
    <xf numFmtId="3" fontId="15" fillId="0" borderId="11" xfId="0" applyNumberFormat="1" applyFont="1" applyBorder="1"/>
    <xf numFmtId="3" fontId="10" fillId="0" borderId="87" xfId="0" applyNumberFormat="1" applyFont="1" applyBorder="1"/>
    <xf numFmtId="3" fontId="10" fillId="0" borderId="29" xfId="0" applyNumberFormat="1" applyFont="1" applyBorder="1"/>
    <xf numFmtId="166" fontId="24" fillId="0" borderId="0" xfId="0" applyNumberFormat="1" applyFont="1" applyFill="1" applyAlignment="1"/>
    <xf numFmtId="3" fontId="15" fillId="0" borderId="37" xfId="0" applyNumberFormat="1" applyFont="1" applyBorder="1"/>
    <xf numFmtId="3" fontId="15" fillId="0" borderId="85" xfId="0" applyNumberFormat="1" applyFont="1" applyBorder="1"/>
    <xf numFmtId="3" fontId="3" fillId="0" borderId="41" xfId="0" applyNumberFormat="1" applyFont="1" applyBorder="1"/>
    <xf numFmtId="3" fontId="3" fillId="0" borderId="42" xfId="0" applyNumberFormat="1" applyFont="1" applyBorder="1"/>
    <xf numFmtId="3" fontId="3" fillId="0" borderId="30" xfId="0" applyNumberFormat="1" applyFont="1" applyBorder="1"/>
    <xf numFmtId="3" fontId="3" fillId="0" borderId="15" xfId="0" applyNumberFormat="1" applyFont="1" applyBorder="1"/>
    <xf numFmtId="3" fontId="20" fillId="0" borderId="30" xfId="0" applyNumberFormat="1" applyFont="1" applyBorder="1"/>
    <xf numFmtId="3" fontId="20" fillId="0" borderId="15" xfId="0" applyNumberFormat="1" applyFont="1" applyBorder="1"/>
    <xf numFmtId="3" fontId="10" fillId="0" borderId="82" xfId="0" applyNumberFormat="1" applyFont="1" applyBorder="1"/>
    <xf numFmtId="0" fontId="3" fillId="0" borderId="39" xfId="0" applyFont="1" applyBorder="1"/>
    <xf numFmtId="0" fontId="3" fillId="0" borderId="41" xfId="0" applyFont="1" applyBorder="1"/>
    <xf numFmtId="3" fontId="10" fillId="0" borderId="88" xfId="0" applyNumberFormat="1" applyFont="1" applyBorder="1"/>
    <xf numFmtId="0" fontId="3" fillId="0" borderId="61" xfId="0" applyFont="1" applyFill="1" applyBorder="1" applyAlignment="1">
      <alignment horizontal="left" indent="4"/>
    </xf>
    <xf numFmtId="3" fontId="15" fillId="0" borderId="89" xfId="0" applyNumberFormat="1" applyFont="1" applyBorder="1"/>
    <xf numFmtId="3" fontId="20" fillId="0" borderId="89" xfId="0" applyNumberFormat="1" applyFont="1" applyBorder="1"/>
    <xf numFmtId="3" fontId="15" fillId="0" borderId="90" xfId="0" applyNumberFormat="1" applyFont="1" applyBorder="1"/>
    <xf numFmtId="3" fontId="15" fillId="0" borderId="91" xfId="0" applyNumberFormat="1" applyFont="1" applyBorder="1"/>
    <xf numFmtId="3" fontId="15" fillId="0" borderId="92" xfId="0" applyNumberFormat="1" applyFont="1" applyBorder="1"/>
    <xf numFmtId="3" fontId="3" fillId="0" borderId="93" xfId="0" applyNumberFormat="1" applyFont="1" applyBorder="1"/>
    <xf numFmtId="3" fontId="3" fillId="0" borderId="94" xfId="0" applyNumberFormat="1" applyFont="1" applyBorder="1"/>
    <xf numFmtId="3" fontId="3" fillId="0" borderId="95" xfId="0" applyNumberFormat="1" applyFont="1" applyBorder="1"/>
    <xf numFmtId="3" fontId="15" fillId="0" borderId="96" xfId="0" applyNumberFormat="1" applyFont="1" applyBorder="1"/>
    <xf numFmtId="3" fontId="3" fillId="0" borderId="96" xfId="0" applyNumberFormat="1" applyFont="1" applyBorder="1"/>
    <xf numFmtId="3" fontId="20" fillId="0" borderId="96" xfId="0" applyNumberFormat="1" applyFont="1" applyBorder="1"/>
    <xf numFmtId="3" fontId="15" fillId="0" borderId="97" xfId="0" applyNumberFormat="1" applyFont="1" applyBorder="1"/>
    <xf numFmtId="3" fontId="15" fillId="0" borderId="98" xfId="0" applyNumberFormat="1" applyFont="1" applyBorder="1"/>
    <xf numFmtId="3" fontId="3" fillId="0" borderId="97" xfId="0" applyNumberFormat="1" applyFont="1" applyBorder="1"/>
    <xf numFmtId="3" fontId="15" fillId="0" borderId="93" xfId="0" applyNumberFormat="1" applyFont="1" applyBorder="1"/>
    <xf numFmtId="37" fontId="24" fillId="0" borderId="99" xfId="0" applyNumberFormat="1" applyFont="1" applyBorder="1" applyAlignment="1"/>
    <xf numFmtId="5" fontId="24" fillId="0" borderId="99" xfId="0" applyNumberFormat="1" applyFont="1" applyBorder="1" applyAlignment="1"/>
    <xf numFmtId="5" fontId="24" fillId="0" borderId="12" xfId="0" applyNumberFormat="1" applyFont="1" applyBorder="1" applyAlignment="1"/>
    <xf numFmtId="3" fontId="10" fillId="0" borderId="1" xfId="0" applyNumberFormat="1" applyFont="1" applyBorder="1"/>
    <xf numFmtId="3" fontId="3" fillId="0" borderId="40" xfId="0" applyNumberFormat="1" applyFont="1" applyBorder="1"/>
    <xf numFmtId="3" fontId="3" fillId="0" borderId="34" xfId="0" applyNumberFormat="1" applyFont="1" applyFill="1" applyBorder="1"/>
    <xf numFmtId="3" fontId="3" fillId="0" borderId="80" xfId="0" applyNumberFormat="1" applyFont="1" applyFill="1" applyBorder="1"/>
    <xf numFmtId="3" fontId="15" fillId="0" borderId="100" xfId="0" applyNumberFormat="1" applyFont="1" applyBorder="1"/>
    <xf numFmtId="3" fontId="15" fillId="0" borderId="4" xfId="0" applyNumberFormat="1" applyFont="1" applyBorder="1"/>
    <xf numFmtId="3" fontId="15" fillId="0" borderId="47" xfId="0" applyNumberFormat="1" applyFont="1" applyBorder="1"/>
    <xf numFmtId="0" fontId="3" fillId="0" borderId="0" xfId="0" applyFont="1" applyAlignment="1">
      <alignment horizontal="left" vertical="top"/>
    </xf>
    <xf numFmtId="0" fontId="19" fillId="0" borderId="0" xfId="0" applyFont="1" applyAlignment="1">
      <alignment horizontal="left" vertical="top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5" fillId="0" borderId="13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5" fillId="0" borderId="13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166" fontId="24" fillId="0" borderId="0" xfId="0" applyNumberFormat="1" applyFont="1" applyAlignment="1"/>
    <xf numFmtId="0" fontId="0" fillId="0" borderId="0" xfId="0" applyAlignment="1"/>
    <xf numFmtId="0" fontId="15" fillId="0" borderId="49" xfId="0" applyFont="1" applyBorder="1" applyAlignment="1">
      <alignment horizontal="center" vertical="center" wrapText="1"/>
    </xf>
    <xf numFmtId="0" fontId="15" fillId="0" borderId="81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166" fontId="25" fillId="0" borderId="0" xfId="0" applyNumberFormat="1" applyFont="1" applyAlignment="1">
      <alignment wrapText="1"/>
    </xf>
    <xf numFmtId="0" fontId="15" fillId="0" borderId="48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 wrapText="1"/>
    </xf>
    <xf numFmtId="0" fontId="15" fillId="0" borderId="63" xfId="0" applyFont="1" applyBorder="1" applyAlignment="1">
      <alignment horizontal="left" indent="2"/>
    </xf>
    <xf numFmtId="0" fontId="15" fillId="0" borderId="32" xfId="0" applyFont="1" applyBorder="1" applyAlignment="1">
      <alignment horizontal="left" indent="2"/>
    </xf>
    <xf numFmtId="0" fontId="15" fillId="0" borderId="65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62" xfId="0" applyFont="1" applyBorder="1" applyAlignment="1">
      <alignment horizontal="center" vertical="center"/>
    </xf>
    <xf numFmtId="0" fontId="15" fillId="0" borderId="66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/>
    </xf>
    <xf numFmtId="0" fontId="15" fillId="0" borderId="57" xfId="0" applyFont="1" applyBorder="1" applyAlignment="1">
      <alignment horizontal="center"/>
    </xf>
    <xf numFmtId="0" fontId="15" fillId="0" borderId="50" xfId="0" applyFont="1" applyBorder="1" applyAlignment="1">
      <alignment horizontal="center"/>
    </xf>
    <xf numFmtId="0" fontId="15" fillId="0" borderId="67" xfId="0" applyFont="1" applyBorder="1" applyAlignment="1">
      <alignment horizontal="left" indent="2"/>
    </xf>
    <xf numFmtId="0" fontId="15" fillId="0" borderId="68" xfId="0" applyFont="1" applyBorder="1" applyAlignment="1">
      <alignment horizontal="left" indent="2"/>
    </xf>
    <xf numFmtId="0" fontId="15" fillId="0" borderId="72" xfId="0" applyFont="1" applyBorder="1" applyAlignment="1">
      <alignment horizontal="left" indent="2"/>
    </xf>
    <xf numFmtId="0" fontId="15" fillId="0" borderId="73" xfId="0" applyFont="1" applyBorder="1" applyAlignment="1">
      <alignment horizontal="left" indent="2"/>
    </xf>
    <xf numFmtId="0" fontId="3" fillId="0" borderId="17" xfId="0" applyFont="1" applyFill="1" applyBorder="1" applyAlignment="1">
      <alignment wrapText="1"/>
    </xf>
    <xf numFmtId="3" fontId="10" fillId="0" borderId="18" xfId="0" applyNumberFormat="1" applyFont="1" applyFill="1" applyBorder="1"/>
    <xf numFmtId="166" fontId="22" fillId="0" borderId="83" xfId="0" applyNumberFormat="1" applyFont="1" applyFill="1" applyBorder="1" applyAlignment="1">
      <alignment wrapText="1"/>
    </xf>
    <xf numFmtId="3" fontId="10" fillId="0" borderId="42" xfId="0" applyNumberFormat="1" applyFont="1" applyFill="1" applyBorder="1"/>
    <xf numFmtId="3" fontId="3" fillId="0" borderId="21" xfId="0" applyNumberFormat="1" applyFont="1" applyFill="1" applyBorder="1"/>
    <xf numFmtId="3" fontId="10" fillId="0" borderId="21" xfId="0" applyNumberFormat="1" applyFont="1" applyFill="1" applyBorder="1"/>
    <xf numFmtId="3" fontId="10" fillId="0" borderId="2" xfId="0" applyNumberFormat="1" applyFont="1" applyFill="1" applyBorder="1"/>
    <xf numFmtId="0" fontId="10" fillId="0" borderId="17" xfId="0" applyFont="1" applyFill="1" applyBorder="1" applyAlignment="1">
      <alignment horizontal="left" wrapText="1" indent="3"/>
    </xf>
    <xf numFmtId="3" fontId="10" fillId="0" borderId="12" xfId="0" applyNumberFormat="1" applyFont="1" applyFill="1" applyBorder="1"/>
    <xf numFmtId="166" fontId="10" fillId="0" borderId="20" xfId="0" applyNumberFormat="1" applyFont="1" applyFill="1" applyBorder="1" applyAlignment="1">
      <alignment horizontal="left" wrapText="1" indent="3"/>
    </xf>
    <xf numFmtId="3" fontId="10" fillId="0" borderId="1" xfId="0" applyNumberFormat="1" applyFont="1" applyFill="1" applyBorder="1"/>
    <xf numFmtId="166" fontId="10" fillId="0" borderId="33" xfId="0" applyNumberFormat="1" applyFont="1" applyFill="1" applyBorder="1" applyAlignment="1">
      <alignment horizontal="left" wrapText="1" indent="3"/>
    </xf>
    <xf numFmtId="0" fontId="3" fillId="0" borderId="17" xfId="0" applyFont="1" applyFill="1" applyBorder="1" applyAlignment="1">
      <alignment horizontal="left" wrapText="1" indent="3"/>
    </xf>
    <xf numFmtId="37" fontId="24" fillId="0" borderId="99" xfId="0" applyNumberFormat="1" applyFont="1" applyFill="1" applyBorder="1" applyAlignment="1"/>
    <xf numFmtId="166" fontId="24" fillId="0" borderId="83" xfId="0" applyNumberFormat="1" applyFont="1" applyFill="1" applyBorder="1" applyAlignment="1">
      <alignment wrapText="1"/>
    </xf>
    <xf numFmtId="37" fontId="24" fillId="0" borderId="84" xfId="0" applyNumberFormat="1" applyFont="1" applyFill="1" applyBorder="1" applyAlignment="1"/>
  </cellXfs>
  <cellStyles count="20">
    <cellStyle name="Comma" xfId="1" builtinId="3"/>
    <cellStyle name="Comma 2" xfId="4"/>
    <cellStyle name="Comma 2 2" xfId="5"/>
    <cellStyle name="Comma 3" xfId="6"/>
    <cellStyle name="Comma 4" xfId="7"/>
    <cellStyle name="Comma 4 2" xfId="8"/>
    <cellStyle name="Currency" xfId="2" builtinId="4"/>
    <cellStyle name="Currency 2" xfId="9"/>
    <cellStyle name="Currency 2 2" xfId="10"/>
    <cellStyle name="Currency 3" xfId="11"/>
    <cellStyle name="Currency 4" xfId="12"/>
    <cellStyle name="Currency 4 2" xfId="13"/>
    <cellStyle name="Normal" xfId="0" builtinId="0"/>
    <cellStyle name="Normal 2" xfId="14"/>
    <cellStyle name="Normal 3" xfId="3"/>
    <cellStyle name="Normal 4" xfId="15"/>
    <cellStyle name="Percent 2" xfId="16"/>
    <cellStyle name="Percent 2 2" xfId="17"/>
    <cellStyle name="Percent 3" xfId="18"/>
    <cellStyle name="Percent 3 2" xfId="19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4"/>
  <sheetViews>
    <sheetView tabSelected="1" view="pageBreakPreview" zoomScale="90" zoomScaleNormal="100" zoomScaleSheetLayoutView="90" workbookViewId="0">
      <selection activeCell="G49" sqref="G49"/>
    </sheetView>
  </sheetViews>
  <sheetFormatPr defaultRowHeight="14.25"/>
  <cols>
    <col min="1" max="1" width="113.5703125" style="141" customWidth="1"/>
    <col min="2" max="3" width="14.5703125" style="142" customWidth="1"/>
    <col min="4" max="4" width="14.5703125" style="143" customWidth="1"/>
    <col min="5" max="5" width="11.5703125" style="4" bestFit="1" customWidth="1"/>
    <col min="6" max="6" width="4.85546875" style="141" customWidth="1"/>
    <col min="7" max="16384" width="9.140625" style="141"/>
  </cols>
  <sheetData>
    <row r="1" spans="1:5" ht="18">
      <c r="A1" s="213" t="s">
        <v>0</v>
      </c>
      <c r="B1" s="213"/>
      <c r="C1" s="213"/>
      <c r="D1" s="213"/>
      <c r="E1" s="4" t="s">
        <v>23</v>
      </c>
    </row>
    <row r="2" spans="1:5" ht="15">
      <c r="A2" s="214" t="s">
        <v>226</v>
      </c>
      <c r="B2" s="214"/>
      <c r="C2" s="214"/>
      <c r="D2" s="214"/>
      <c r="E2" s="4" t="s">
        <v>23</v>
      </c>
    </row>
    <row r="3" spans="1:5">
      <c r="A3" s="215" t="s">
        <v>1</v>
      </c>
      <c r="B3" s="215"/>
      <c r="C3" s="215"/>
      <c r="D3" s="215"/>
      <c r="E3" s="4" t="s">
        <v>23</v>
      </c>
    </row>
    <row r="4" spans="1:5">
      <c r="A4" s="216" t="s">
        <v>2</v>
      </c>
      <c r="B4" s="216"/>
      <c r="C4" s="216"/>
      <c r="D4" s="216"/>
      <c r="E4" s="4" t="s">
        <v>23</v>
      </c>
    </row>
    <row r="5" spans="1:5" ht="15" thickBot="1">
      <c r="E5" s="4" t="s">
        <v>23</v>
      </c>
    </row>
    <row r="6" spans="1:5" ht="15">
      <c r="B6" s="217" t="s">
        <v>3</v>
      </c>
      <c r="C6" s="218"/>
      <c r="D6" s="219"/>
      <c r="E6" s="4" t="s">
        <v>23</v>
      </c>
    </row>
    <row r="7" spans="1:5" ht="15.75" thickBot="1">
      <c r="B7" s="1" t="s">
        <v>4</v>
      </c>
      <c r="C7" s="2" t="s">
        <v>133</v>
      </c>
      <c r="D7" s="3" t="s">
        <v>5</v>
      </c>
      <c r="E7" s="4" t="s">
        <v>23</v>
      </c>
    </row>
    <row r="8" spans="1:5" ht="15">
      <c r="A8" s="52" t="s">
        <v>6</v>
      </c>
      <c r="B8" s="208">
        <v>4227</v>
      </c>
      <c r="C8" s="209">
        <v>3862</v>
      </c>
      <c r="D8" s="210">
        <v>863367</v>
      </c>
      <c r="E8" s="4" t="s">
        <v>23</v>
      </c>
    </row>
    <row r="9" spans="1:5" ht="15">
      <c r="A9" s="51"/>
      <c r="B9" s="89"/>
      <c r="C9" s="90"/>
      <c r="D9" s="91"/>
    </row>
    <row r="10" spans="1:5" ht="15">
      <c r="A10" s="42" t="s">
        <v>7</v>
      </c>
      <c r="B10" s="89"/>
      <c r="C10" s="90"/>
      <c r="D10" s="91"/>
      <c r="E10" s="4" t="s">
        <v>23</v>
      </c>
    </row>
    <row r="11" spans="1:5">
      <c r="A11" s="144" t="s">
        <v>157</v>
      </c>
      <c r="B11" s="205">
        <v>0</v>
      </c>
      <c r="C11" s="206">
        <v>0</v>
      </c>
      <c r="D11" s="207">
        <v>5285</v>
      </c>
    </row>
    <row r="12" spans="1:5" ht="15">
      <c r="A12" s="45" t="s">
        <v>128</v>
      </c>
      <c r="B12" s="94">
        <v>4227</v>
      </c>
      <c r="C12" s="94">
        <v>3718</v>
      </c>
      <c r="D12" s="94">
        <f>SUM(D11+D8)</f>
        <v>868652</v>
      </c>
      <c r="E12" s="4" t="s">
        <v>23</v>
      </c>
    </row>
    <row r="13" spans="1:5" ht="15">
      <c r="A13" s="45"/>
      <c r="B13" s="43"/>
      <c r="C13" s="44"/>
      <c r="D13" s="46"/>
      <c r="E13" s="4" t="s">
        <v>23</v>
      </c>
    </row>
    <row r="14" spans="1:5" ht="15">
      <c r="A14" s="47" t="s">
        <v>8</v>
      </c>
      <c r="B14" s="43"/>
      <c r="C14" s="44"/>
      <c r="D14" s="46"/>
      <c r="E14" s="4" t="s">
        <v>23</v>
      </c>
    </row>
    <row r="15" spans="1:5">
      <c r="A15" s="146" t="s">
        <v>148</v>
      </c>
      <c r="B15" s="147">
        <v>0</v>
      </c>
      <c r="C15" s="148">
        <v>0</v>
      </c>
      <c r="D15" s="145">
        <v>0</v>
      </c>
      <c r="E15" s="4" t="s">
        <v>23</v>
      </c>
    </row>
    <row r="16" spans="1:5">
      <c r="A16" s="146" t="s">
        <v>158</v>
      </c>
      <c r="B16" s="147"/>
      <c r="C16" s="148"/>
      <c r="D16" s="145">
        <v>-5285</v>
      </c>
    </row>
    <row r="17" spans="1:5" hidden="1">
      <c r="A17" s="146" t="s">
        <v>9</v>
      </c>
      <c r="B17" s="96">
        <v>0</v>
      </c>
      <c r="C17" s="97">
        <v>0</v>
      </c>
      <c r="D17" s="98">
        <v>0</v>
      </c>
      <c r="E17" s="4" t="s">
        <v>23</v>
      </c>
    </row>
    <row r="18" spans="1:5" ht="15">
      <c r="A18" s="48" t="s">
        <v>155</v>
      </c>
      <c r="B18" s="43">
        <f>SUM(B15:B17)</f>
        <v>0</v>
      </c>
      <c r="C18" s="44">
        <f t="shared" ref="C18:D18" si="0">SUM(C15:C17)</f>
        <v>0</v>
      </c>
      <c r="D18" s="46">
        <f t="shared" si="0"/>
        <v>-5285</v>
      </c>
      <c r="E18" s="4" t="s">
        <v>23</v>
      </c>
    </row>
    <row r="19" spans="1:5" ht="15">
      <c r="A19" s="47" t="s">
        <v>127</v>
      </c>
      <c r="B19" s="43"/>
      <c r="C19" s="44"/>
      <c r="D19" s="46"/>
      <c r="E19" s="4" t="s">
        <v>23</v>
      </c>
    </row>
    <row r="20" spans="1:5" ht="15">
      <c r="A20" s="149" t="s">
        <v>10</v>
      </c>
      <c r="B20" s="43"/>
      <c r="C20" s="44"/>
      <c r="D20" s="46"/>
      <c r="E20" s="4" t="s">
        <v>23</v>
      </c>
    </row>
    <row r="21" spans="1:5">
      <c r="A21" s="149" t="s">
        <v>200</v>
      </c>
      <c r="B21" s="147">
        <v>6</v>
      </c>
      <c r="C21" s="148">
        <v>6</v>
      </c>
      <c r="D21" s="145">
        <v>570</v>
      </c>
      <c r="E21" s="4" t="s">
        <v>23</v>
      </c>
    </row>
    <row r="22" spans="1:5">
      <c r="A22" s="149" t="s">
        <v>201</v>
      </c>
      <c r="B22" s="147">
        <v>-6</v>
      </c>
      <c r="C22" s="148">
        <v>-6</v>
      </c>
      <c r="D22" s="145">
        <v>-570</v>
      </c>
      <c r="E22" s="4" t="s">
        <v>23</v>
      </c>
    </row>
    <row r="23" spans="1:5">
      <c r="A23" s="149" t="s">
        <v>202</v>
      </c>
      <c r="B23" s="147">
        <v>0</v>
      </c>
      <c r="C23" s="148">
        <v>0</v>
      </c>
      <c r="D23" s="145">
        <v>3456</v>
      </c>
      <c r="E23" s="4" t="s">
        <v>23</v>
      </c>
    </row>
    <row r="24" spans="1:5">
      <c r="A24" s="149" t="s">
        <v>206</v>
      </c>
      <c r="B24" s="147">
        <v>0</v>
      </c>
      <c r="C24" s="148">
        <v>0</v>
      </c>
      <c r="D24" s="145">
        <v>-343</v>
      </c>
      <c r="E24" s="4" t="s">
        <v>23</v>
      </c>
    </row>
    <row r="25" spans="1:5">
      <c r="A25" s="149" t="s">
        <v>203</v>
      </c>
      <c r="B25" s="147">
        <v>-3</v>
      </c>
      <c r="C25" s="148">
        <v>0</v>
      </c>
      <c r="D25" s="145">
        <v>-795</v>
      </c>
      <c r="E25" s="4" t="s">
        <v>23</v>
      </c>
    </row>
    <row r="26" spans="1:5">
      <c r="A26" s="149" t="s">
        <v>204</v>
      </c>
      <c r="B26" s="147">
        <v>-2</v>
      </c>
      <c r="C26" s="148">
        <v>-2</v>
      </c>
      <c r="D26" s="145">
        <v>-597</v>
      </c>
      <c r="E26" s="4" t="s">
        <v>23</v>
      </c>
    </row>
    <row r="27" spans="1:5">
      <c r="A27" s="149" t="s">
        <v>205</v>
      </c>
      <c r="B27" s="147">
        <v>0</v>
      </c>
      <c r="C27" s="148">
        <v>0</v>
      </c>
      <c r="D27" s="145">
        <v>-948</v>
      </c>
      <c r="E27" s="4" t="s">
        <v>23</v>
      </c>
    </row>
    <row r="28" spans="1:5" ht="15">
      <c r="A28" s="146" t="s">
        <v>207</v>
      </c>
      <c r="B28" s="46">
        <f t="shared" ref="B28:C28" si="1">SUM(B21:B27)</f>
        <v>-5</v>
      </c>
      <c r="C28" s="46">
        <f t="shared" si="1"/>
        <v>-2</v>
      </c>
      <c r="D28" s="46">
        <f>SUM(D21:D27)</f>
        <v>773</v>
      </c>
      <c r="E28" s="4" t="s">
        <v>23</v>
      </c>
    </row>
    <row r="29" spans="1:5" ht="15">
      <c r="A29" s="146"/>
      <c r="B29" s="173"/>
      <c r="C29" s="174"/>
      <c r="D29" s="46"/>
    </row>
    <row r="30" spans="1:5">
      <c r="A30" s="149" t="s">
        <v>11</v>
      </c>
      <c r="B30" s="147">
        <v>-2</v>
      </c>
      <c r="C30" s="148">
        <v>-2</v>
      </c>
      <c r="D30" s="145">
        <v>7506</v>
      </c>
      <c r="E30" s="4" t="s">
        <v>23</v>
      </c>
    </row>
    <row r="31" spans="1:5">
      <c r="A31" s="149" t="s">
        <v>12</v>
      </c>
      <c r="B31" s="147">
        <v>0</v>
      </c>
      <c r="C31" s="148">
        <v>0</v>
      </c>
      <c r="D31" s="145">
        <v>5687</v>
      </c>
      <c r="E31" s="4" t="s">
        <v>23</v>
      </c>
    </row>
    <row r="32" spans="1:5">
      <c r="A32" s="149" t="s">
        <v>13</v>
      </c>
      <c r="B32" s="147">
        <v>0</v>
      </c>
      <c r="C32" s="148">
        <v>0</v>
      </c>
      <c r="D32" s="145">
        <v>86</v>
      </c>
      <c r="E32" s="4" t="s">
        <v>23</v>
      </c>
    </row>
    <row r="33" spans="1:5">
      <c r="A33" s="149" t="s">
        <v>14</v>
      </c>
      <c r="B33" s="147">
        <v>0</v>
      </c>
      <c r="C33" s="148">
        <v>0</v>
      </c>
      <c r="D33" s="145">
        <v>-2531</v>
      </c>
      <c r="E33" s="4" t="s">
        <v>23</v>
      </c>
    </row>
    <row r="34" spans="1:5" hidden="1">
      <c r="A34" s="149" t="s">
        <v>15</v>
      </c>
      <c r="B34" s="147">
        <v>0</v>
      </c>
      <c r="C34" s="148">
        <v>0</v>
      </c>
      <c r="D34" s="145">
        <v>0</v>
      </c>
      <c r="E34" s="4" t="s">
        <v>23</v>
      </c>
    </row>
    <row r="35" spans="1:5" ht="15">
      <c r="A35" s="149" t="s">
        <v>154</v>
      </c>
      <c r="B35" s="43"/>
      <c r="C35" s="44"/>
      <c r="D35" s="186"/>
      <c r="E35" s="4" t="s">
        <v>23</v>
      </c>
    </row>
    <row r="36" spans="1:5" hidden="1">
      <c r="A36" s="146" t="s">
        <v>9</v>
      </c>
      <c r="B36" s="96">
        <v>0</v>
      </c>
      <c r="C36" s="97">
        <v>0</v>
      </c>
      <c r="D36" s="187">
        <v>0</v>
      </c>
      <c r="E36" s="4" t="s">
        <v>23</v>
      </c>
    </row>
    <row r="37" spans="1:5" ht="15">
      <c r="A37" s="48" t="s">
        <v>129</v>
      </c>
      <c r="B37" s="43">
        <f>SUM(B28:B36)</f>
        <v>-7</v>
      </c>
      <c r="C37" s="44">
        <f t="shared" ref="C37" si="2">SUM(C28:C36)</f>
        <v>-4</v>
      </c>
      <c r="D37" s="186">
        <f>SUM(D28:D36)</f>
        <v>11521</v>
      </c>
      <c r="E37" s="4" t="s">
        <v>23</v>
      </c>
    </row>
    <row r="38" spans="1:5" ht="15">
      <c r="A38" s="45" t="s">
        <v>130</v>
      </c>
      <c r="B38" s="95">
        <f>B37+B18</f>
        <v>-7</v>
      </c>
      <c r="C38" s="22">
        <f>C37+C18</f>
        <v>-4</v>
      </c>
      <c r="D38" s="188">
        <f>D37+D18</f>
        <v>6236</v>
      </c>
      <c r="E38" s="4" t="s">
        <v>23</v>
      </c>
    </row>
    <row r="39" spans="1:5" ht="15">
      <c r="A39" s="49" t="s">
        <v>16</v>
      </c>
      <c r="B39" s="93">
        <f>B12+B38</f>
        <v>4220</v>
      </c>
      <c r="C39" s="90">
        <f>C12+C38</f>
        <v>3714</v>
      </c>
      <c r="D39" s="189">
        <f>D12+D38</f>
        <v>874888</v>
      </c>
      <c r="E39" s="4" t="s">
        <v>23</v>
      </c>
    </row>
    <row r="40" spans="1:5" ht="15">
      <c r="A40" s="49" t="s">
        <v>17</v>
      </c>
      <c r="B40" s="93"/>
      <c r="C40" s="90"/>
      <c r="D40" s="189"/>
      <c r="E40" s="4" t="s">
        <v>23</v>
      </c>
    </row>
    <row r="41" spans="1:5" ht="15">
      <c r="A41" s="149" t="s">
        <v>227</v>
      </c>
      <c r="B41" s="138"/>
      <c r="C41" s="139"/>
      <c r="D41" s="190"/>
      <c r="E41" s="4" t="s">
        <v>23</v>
      </c>
    </row>
    <row r="42" spans="1:5">
      <c r="A42" s="185" t="s">
        <v>208</v>
      </c>
      <c r="B42" s="177">
        <v>25</v>
      </c>
      <c r="C42" s="178">
        <v>14</v>
      </c>
      <c r="D42" s="191">
        <v>2580</v>
      </c>
      <c r="E42" s="4" t="s">
        <v>23</v>
      </c>
    </row>
    <row r="43" spans="1:5">
      <c r="A43" s="185" t="s">
        <v>209</v>
      </c>
      <c r="B43" s="177">
        <v>28</v>
      </c>
      <c r="C43" s="178">
        <v>14</v>
      </c>
      <c r="D43" s="191">
        <v>5000</v>
      </c>
      <c r="E43" s="4" t="s">
        <v>23</v>
      </c>
    </row>
    <row r="44" spans="1:5">
      <c r="A44" s="185" t="s">
        <v>210</v>
      </c>
      <c r="B44" s="177">
        <v>11</v>
      </c>
      <c r="C44" s="178">
        <v>6</v>
      </c>
      <c r="D44" s="192">
        <v>3500</v>
      </c>
      <c r="E44" s="4" t="s">
        <v>23</v>
      </c>
    </row>
    <row r="45" spans="1:5">
      <c r="A45" s="185" t="s">
        <v>217</v>
      </c>
      <c r="B45" s="177"/>
      <c r="C45" s="178"/>
      <c r="D45" s="192">
        <v>1600</v>
      </c>
      <c r="E45" s="4" t="s">
        <v>23</v>
      </c>
    </row>
    <row r="46" spans="1:5">
      <c r="A46" s="185" t="s">
        <v>211</v>
      </c>
      <c r="B46" s="177">
        <v>51</v>
      </c>
      <c r="C46" s="178">
        <v>26</v>
      </c>
      <c r="D46" s="192">
        <v>7000</v>
      </c>
      <c r="E46" s="4" t="s">
        <v>23</v>
      </c>
    </row>
    <row r="47" spans="1:5">
      <c r="A47" s="185" t="s">
        <v>212</v>
      </c>
      <c r="B47" s="177">
        <v>50</v>
      </c>
      <c r="C47" s="178">
        <v>25</v>
      </c>
      <c r="D47" s="192">
        <v>5072</v>
      </c>
      <c r="E47" s="4" t="s">
        <v>23</v>
      </c>
    </row>
    <row r="48" spans="1:5">
      <c r="A48" s="185" t="s">
        <v>213</v>
      </c>
      <c r="B48" s="177">
        <v>15</v>
      </c>
      <c r="C48" s="178">
        <v>8</v>
      </c>
      <c r="D48" s="192">
        <v>1500</v>
      </c>
      <c r="E48" s="4" t="s">
        <v>23</v>
      </c>
    </row>
    <row r="49" spans="1:5">
      <c r="A49" s="185" t="s">
        <v>214</v>
      </c>
      <c r="B49" s="177">
        <v>20</v>
      </c>
      <c r="C49" s="178">
        <v>10</v>
      </c>
      <c r="D49" s="192">
        <v>1928</v>
      </c>
      <c r="E49" s="4" t="s">
        <v>23</v>
      </c>
    </row>
    <row r="50" spans="1:5">
      <c r="A50" s="150"/>
      <c r="B50" s="177"/>
      <c r="C50" s="178"/>
      <c r="D50" s="192"/>
      <c r="E50" s="4" t="s">
        <v>23</v>
      </c>
    </row>
    <row r="51" spans="1:5">
      <c r="A51" s="150" t="s">
        <v>18</v>
      </c>
      <c r="B51" s="177">
        <f>SUM(B42:B49)</f>
        <v>200</v>
      </c>
      <c r="C51" s="177">
        <f t="shared" ref="C51:D51" si="3">SUM(C42:C49)</f>
        <v>103</v>
      </c>
      <c r="D51" s="193">
        <f t="shared" si="3"/>
        <v>28180</v>
      </c>
      <c r="E51" s="4" t="s">
        <v>23</v>
      </c>
    </row>
    <row r="52" spans="1:5" ht="15">
      <c r="A52" s="149" t="s">
        <v>228</v>
      </c>
      <c r="B52" s="71"/>
      <c r="C52" s="72"/>
      <c r="D52" s="194"/>
      <c r="E52" s="4" t="s">
        <v>23</v>
      </c>
    </row>
    <row r="53" spans="1:5">
      <c r="A53" s="150" t="s">
        <v>215</v>
      </c>
      <c r="B53" s="177">
        <v>0</v>
      </c>
      <c r="C53" s="178">
        <v>0</v>
      </c>
      <c r="D53" s="195">
        <v>-231</v>
      </c>
      <c r="E53" s="4" t="s">
        <v>23</v>
      </c>
    </row>
    <row r="54" spans="1:5">
      <c r="A54" s="150" t="s">
        <v>216</v>
      </c>
      <c r="B54" s="177">
        <v>0</v>
      </c>
      <c r="C54" s="178">
        <v>0</v>
      </c>
      <c r="D54" s="195">
        <v>-232</v>
      </c>
      <c r="E54" s="4" t="s">
        <v>23</v>
      </c>
    </row>
    <row r="55" spans="1:5" ht="14.25" hidden="1" customHeight="1">
      <c r="A55" s="150" t="s">
        <v>19</v>
      </c>
      <c r="B55" s="179">
        <v>0</v>
      </c>
      <c r="C55" s="180">
        <v>0</v>
      </c>
      <c r="D55" s="196">
        <v>0</v>
      </c>
      <c r="E55" s="4" t="s">
        <v>23</v>
      </c>
    </row>
    <row r="56" spans="1:5">
      <c r="A56" s="150" t="s">
        <v>20</v>
      </c>
      <c r="B56" s="175">
        <f>SUM(B53:B55)</f>
        <v>0</v>
      </c>
      <c r="C56" s="176">
        <f t="shared" ref="C56:D56" si="4">SUM(C53:C55)</f>
        <v>0</v>
      </c>
      <c r="D56" s="195">
        <f t="shared" si="4"/>
        <v>-463</v>
      </c>
      <c r="E56" s="4" t="s">
        <v>23</v>
      </c>
    </row>
    <row r="57" spans="1:5" ht="15">
      <c r="A57" s="45" t="s">
        <v>21</v>
      </c>
      <c r="B57" s="92">
        <f>B51+B56</f>
        <v>200</v>
      </c>
      <c r="C57" s="22">
        <f>C51+C56</f>
        <v>103</v>
      </c>
      <c r="D57" s="197">
        <f t="shared" ref="D57" si="5">D51+D56</f>
        <v>27717</v>
      </c>
      <c r="E57" s="4" t="s">
        <v>23</v>
      </c>
    </row>
    <row r="58" spans="1:5" ht="15">
      <c r="A58" s="50" t="s">
        <v>22</v>
      </c>
      <c r="B58" s="89">
        <f>B39+B57</f>
        <v>4420</v>
      </c>
      <c r="C58" s="90">
        <f t="shared" ref="C58:D58" si="6">C39+C57</f>
        <v>3817</v>
      </c>
      <c r="D58" s="198">
        <f t="shared" si="6"/>
        <v>902605</v>
      </c>
      <c r="E58" s="4" t="s">
        <v>23</v>
      </c>
    </row>
    <row r="59" spans="1:5" ht="15">
      <c r="A59" s="144" t="s">
        <v>144</v>
      </c>
      <c r="B59" s="92"/>
      <c r="C59" s="22"/>
      <c r="D59" s="199">
        <v>0</v>
      </c>
      <c r="E59" s="4" t="s">
        <v>23</v>
      </c>
    </row>
    <row r="60" spans="1:5" s="5" customFormat="1" ht="15">
      <c r="A60" s="73" t="s">
        <v>131</v>
      </c>
      <c r="B60" s="71">
        <f t="shared" ref="B60:C60" si="7">SUM(B58:B59)</f>
        <v>4420</v>
      </c>
      <c r="C60" s="72">
        <f t="shared" si="7"/>
        <v>3817</v>
      </c>
      <c r="D60" s="200">
        <f>SUM(D58:D59)</f>
        <v>902605</v>
      </c>
      <c r="E60" s="4" t="s">
        <v>23</v>
      </c>
    </row>
    <row r="61" spans="1:5" ht="15" thickBot="1">
      <c r="A61" s="151" t="s">
        <v>162</v>
      </c>
      <c r="B61" s="152">
        <f>B58-B8</f>
        <v>193</v>
      </c>
      <c r="C61" s="152">
        <f t="shared" ref="C61:D61" si="8">C58-C8</f>
        <v>-45</v>
      </c>
      <c r="D61" s="152">
        <f t="shared" si="8"/>
        <v>39238</v>
      </c>
      <c r="E61" s="4" t="s">
        <v>23</v>
      </c>
    </row>
    <row r="62" spans="1:5">
      <c r="A62" s="4"/>
      <c r="E62" s="4" t="s">
        <v>23</v>
      </c>
    </row>
    <row r="63" spans="1:5" ht="17.25">
      <c r="A63" s="211" t="s">
        <v>163</v>
      </c>
      <c r="B63" s="212"/>
      <c r="C63" s="212"/>
      <c r="D63" s="212"/>
      <c r="E63" s="4" t="s">
        <v>23</v>
      </c>
    </row>
    <row r="64" spans="1:5">
      <c r="E64" s="4" t="s">
        <v>24</v>
      </c>
    </row>
  </sheetData>
  <mergeCells count="6">
    <mergeCell ref="A63:D63"/>
    <mergeCell ref="A1:D1"/>
    <mergeCell ref="A2:D2"/>
    <mergeCell ref="A3:D3"/>
    <mergeCell ref="A4:D4"/>
    <mergeCell ref="B6:D6"/>
  </mergeCells>
  <printOptions horizontalCentered="1"/>
  <pageMargins left="0.7" right="0.7" top="0.63" bottom="0.63" header="0.3" footer="0.3"/>
  <pageSetup scale="54" orientation="landscape" r:id="rId1"/>
  <headerFooter>
    <oddHeader>&amp;L&amp;"Arial,Bold"&amp;12B. Summary of Requirements</oddHeader>
    <oddFooter>&amp;C&amp;"Arial,Regular"Exhibit B - Summary of Requirements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U52"/>
  <sheetViews>
    <sheetView view="pageBreakPreview" zoomScale="80" zoomScaleNormal="100" zoomScaleSheetLayoutView="80" workbookViewId="0">
      <selection activeCell="L33" sqref="L33"/>
    </sheetView>
  </sheetViews>
  <sheetFormatPr defaultRowHeight="14.25"/>
  <cols>
    <col min="1" max="1" width="37.140625" style="9" customWidth="1"/>
    <col min="2" max="3" width="8.28515625" style="9" customWidth="1"/>
    <col min="4" max="4" width="12.7109375" style="9" customWidth="1"/>
    <col min="5" max="6" width="8.28515625" style="9" customWidth="1"/>
    <col min="7" max="7" width="12.7109375" style="9" customWidth="1"/>
    <col min="8" max="9" width="8.28515625" style="9" customWidth="1"/>
    <col min="10" max="10" width="12.7109375" style="9" customWidth="1"/>
    <col min="11" max="12" width="8.28515625" style="9" customWidth="1"/>
    <col min="13" max="13" width="12.7109375" style="9" customWidth="1"/>
    <col min="14" max="14" width="14" style="4" bestFit="1" customWidth="1"/>
    <col min="15" max="15" width="4.5703125" style="9" customWidth="1"/>
    <col min="16" max="17" width="8.28515625" style="9" customWidth="1"/>
    <col min="18" max="18" width="12.7109375" style="9" customWidth="1"/>
    <col min="19" max="20" width="8.28515625" style="9" customWidth="1"/>
    <col min="21" max="21" width="12.7109375" style="9" customWidth="1"/>
    <col min="22" max="16384" width="9.140625" style="9"/>
  </cols>
  <sheetData>
    <row r="1" spans="1:21" ht="18">
      <c r="A1" s="213" t="s">
        <v>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5" t="s">
        <v>23</v>
      </c>
      <c r="O1" s="6"/>
      <c r="P1" s="6"/>
      <c r="Q1" s="6"/>
      <c r="R1" s="6"/>
      <c r="S1" s="6"/>
      <c r="T1" s="6"/>
      <c r="U1" s="6"/>
    </row>
    <row r="2" spans="1:21" ht="15">
      <c r="A2" s="214" t="s">
        <v>226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5" t="s">
        <v>23</v>
      </c>
      <c r="O2" s="7"/>
      <c r="P2" s="7"/>
      <c r="Q2" s="7"/>
      <c r="R2" s="7"/>
      <c r="S2" s="7"/>
      <c r="T2" s="7"/>
      <c r="U2" s="7"/>
    </row>
    <row r="3" spans="1:21">
      <c r="A3" s="223" t="s">
        <v>1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5" t="s">
        <v>23</v>
      </c>
      <c r="O3" s="10"/>
      <c r="P3" s="10"/>
      <c r="Q3" s="10"/>
      <c r="R3" s="10"/>
      <c r="S3" s="10"/>
      <c r="T3" s="10"/>
      <c r="U3" s="10"/>
    </row>
    <row r="4" spans="1:21">
      <c r="A4" s="220" t="s">
        <v>2</v>
      </c>
      <c r="B4" s="220"/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5" t="s">
        <v>23</v>
      </c>
      <c r="O4" s="8"/>
      <c r="P4" s="8"/>
      <c r="Q4" s="8"/>
      <c r="R4" s="8"/>
      <c r="S4" s="8"/>
      <c r="T4" s="8"/>
      <c r="U4" s="8"/>
    </row>
    <row r="5" spans="1:21">
      <c r="A5" s="220"/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5" t="s">
        <v>23</v>
      </c>
      <c r="O5" s="8"/>
      <c r="P5" s="8"/>
      <c r="Q5" s="8"/>
      <c r="R5" s="8"/>
      <c r="S5" s="8"/>
      <c r="T5" s="8"/>
      <c r="U5" s="8"/>
    </row>
    <row r="6" spans="1:21" ht="15" thickBot="1">
      <c r="A6" s="220"/>
      <c r="B6" s="220"/>
      <c r="C6" s="220"/>
      <c r="D6" s="220"/>
      <c r="E6" s="220"/>
      <c r="F6" s="220"/>
      <c r="G6" s="220"/>
      <c r="H6" s="220"/>
      <c r="I6" s="220"/>
      <c r="J6" s="220"/>
      <c r="K6" s="220"/>
      <c r="L6" s="220"/>
      <c r="M6" s="220"/>
      <c r="N6" s="25" t="s">
        <v>23</v>
      </c>
      <c r="O6" s="8"/>
      <c r="P6" s="8"/>
      <c r="Q6" s="8"/>
      <c r="R6" s="8"/>
      <c r="S6" s="8"/>
      <c r="T6" s="8"/>
      <c r="U6" s="8"/>
    </row>
    <row r="7" spans="1:21" ht="45.75" customHeight="1">
      <c r="A7" s="221" t="s">
        <v>140</v>
      </c>
      <c r="B7" s="224" t="s">
        <v>132</v>
      </c>
      <c r="C7" s="224"/>
      <c r="D7" s="224"/>
      <c r="E7" s="224" t="s">
        <v>164</v>
      </c>
      <c r="F7" s="224"/>
      <c r="G7" s="224"/>
      <c r="H7" s="224" t="s">
        <v>156</v>
      </c>
      <c r="I7" s="224"/>
      <c r="J7" s="224"/>
      <c r="K7" s="224" t="s">
        <v>16</v>
      </c>
      <c r="L7" s="224"/>
      <c r="M7" s="225"/>
      <c r="N7" s="25" t="s">
        <v>23</v>
      </c>
    </row>
    <row r="8" spans="1:21" ht="28.5">
      <c r="A8" s="222"/>
      <c r="B8" s="11" t="s">
        <v>4</v>
      </c>
      <c r="C8" s="74" t="s">
        <v>134</v>
      </c>
      <c r="D8" s="11" t="s">
        <v>5</v>
      </c>
      <c r="E8" s="11" t="s">
        <v>4</v>
      </c>
      <c r="F8" s="74" t="s">
        <v>149</v>
      </c>
      <c r="G8" s="11" t="s">
        <v>5</v>
      </c>
      <c r="H8" s="11" t="s">
        <v>4</v>
      </c>
      <c r="I8" s="11" t="s">
        <v>149</v>
      </c>
      <c r="J8" s="11" t="s">
        <v>5</v>
      </c>
      <c r="K8" s="11" t="s">
        <v>4</v>
      </c>
      <c r="L8" s="11" t="s">
        <v>149</v>
      </c>
      <c r="M8" s="12" t="s">
        <v>5</v>
      </c>
      <c r="N8" s="25" t="s">
        <v>23</v>
      </c>
    </row>
    <row r="9" spans="1:21" ht="42.75">
      <c r="A9" s="254" t="s">
        <v>182</v>
      </c>
      <c r="B9" s="255">
        <v>48</v>
      </c>
      <c r="C9" s="255">
        <v>48</v>
      </c>
      <c r="D9" s="100">
        <v>10724</v>
      </c>
      <c r="E9" s="100">
        <v>48</v>
      </c>
      <c r="F9" s="100">
        <v>49</v>
      </c>
      <c r="G9" s="100">
        <v>10790</v>
      </c>
      <c r="H9" s="100">
        <v>6</v>
      </c>
      <c r="I9" s="100">
        <v>6</v>
      </c>
      <c r="J9" s="100">
        <v>876</v>
      </c>
      <c r="K9" s="160">
        <f>E9+H9</f>
        <v>54</v>
      </c>
      <c r="L9" s="160">
        <f t="shared" ref="L9:M20" si="0">F9+I9</f>
        <v>55</v>
      </c>
      <c r="M9" s="163">
        <f t="shared" si="0"/>
        <v>11666</v>
      </c>
      <c r="N9" s="25" t="s">
        <v>23</v>
      </c>
    </row>
    <row r="10" spans="1:21" ht="15">
      <c r="A10" s="256" t="s">
        <v>172</v>
      </c>
      <c r="B10" s="257">
        <v>639</v>
      </c>
      <c r="C10" s="257">
        <v>527</v>
      </c>
      <c r="D10" s="112">
        <v>104877</v>
      </c>
      <c r="E10" s="112">
        <v>639</v>
      </c>
      <c r="F10" s="112">
        <v>519</v>
      </c>
      <c r="G10" s="112">
        <v>105519</v>
      </c>
      <c r="H10" s="112">
        <v>0</v>
      </c>
      <c r="I10" s="112">
        <v>0</v>
      </c>
      <c r="J10" s="112">
        <v>960</v>
      </c>
      <c r="K10" s="157">
        <f t="shared" ref="K10:K14" si="1">E10+H10</f>
        <v>639</v>
      </c>
      <c r="L10" s="157">
        <f t="shared" si="0"/>
        <v>519</v>
      </c>
      <c r="M10" s="181">
        <f t="shared" si="0"/>
        <v>106479</v>
      </c>
      <c r="N10" s="25" t="s">
        <v>23</v>
      </c>
    </row>
    <row r="11" spans="1:21" ht="15">
      <c r="A11" s="256" t="s">
        <v>173</v>
      </c>
      <c r="B11" s="257">
        <v>751</v>
      </c>
      <c r="C11" s="257">
        <v>686</v>
      </c>
      <c r="D11" s="112">
        <v>174000</v>
      </c>
      <c r="E11" s="112">
        <v>751</v>
      </c>
      <c r="F11" s="112">
        <v>670</v>
      </c>
      <c r="G11" s="112">
        <v>175065</v>
      </c>
      <c r="H11" s="112">
        <v>-1</v>
      </c>
      <c r="I11" s="112">
        <v>-1</v>
      </c>
      <c r="J11" s="112">
        <v>-3646</v>
      </c>
      <c r="K11" s="157">
        <f t="shared" si="1"/>
        <v>750</v>
      </c>
      <c r="L11" s="157">
        <f t="shared" si="0"/>
        <v>669</v>
      </c>
      <c r="M11" s="181">
        <f t="shared" si="0"/>
        <v>171419</v>
      </c>
      <c r="N11" s="25" t="s">
        <v>23</v>
      </c>
    </row>
    <row r="12" spans="1:21" ht="30">
      <c r="A12" s="256" t="s">
        <v>174</v>
      </c>
      <c r="B12" s="257">
        <v>1420</v>
      </c>
      <c r="C12" s="257">
        <v>1326</v>
      </c>
      <c r="D12" s="112">
        <v>283103</v>
      </c>
      <c r="E12" s="112">
        <v>1420</v>
      </c>
      <c r="F12" s="112">
        <v>1233</v>
      </c>
      <c r="G12" s="112">
        <v>284836</v>
      </c>
      <c r="H12" s="112">
        <v>0</v>
      </c>
      <c r="I12" s="112">
        <v>0</v>
      </c>
      <c r="J12" s="112">
        <v>3877</v>
      </c>
      <c r="K12" s="157">
        <f t="shared" si="1"/>
        <v>1420</v>
      </c>
      <c r="L12" s="157">
        <f t="shared" si="0"/>
        <v>1233</v>
      </c>
      <c r="M12" s="181">
        <f t="shared" si="0"/>
        <v>288713</v>
      </c>
      <c r="N12" s="25" t="s">
        <v>23</v>
      </c>
    </row>
    <row r="13" spans="1:21" ht="30">
      <c r="A13" s="256" t="s">
        <v>175</v>
      </c>
      <c r="B13" s="257">
        <v>537</v>
      </c>
      <c r="C13" s="257">
        <v>531</v>
      </c>
      <c r="D13" s="112">
        <v>108009</v>
      </c>
      <c r="E13" s="112">
        <v>537</v>
      </c>
      <c r="F13" s="112">
        <v>520</v>
      </c>
      <c r="G13" s="112">
        <v>108670</v>
      </c>
      <c r="H13" s="112"/>
      <c r="I13" s="112"/>
      <c r="J13" s="112">
        <v>3962</v>
      </c>
      <c r="K13" s="157">
        <f t="shared" si="1"/>
        <v>537</v>
      </c>
      <c r="L13" s="157">
        <f t="shared" si="0"/>
        <v>520</v>
      </c>
      <c r="M13" s="181">
        <f t="shared" si="0"/>
        <v>112632</v>
      </c>
      <c r="N13" s="25" t="s">
        <v>23</v>
      </c>
    </row>
    <row r="14" spans="1:21" ht="15">
      <c r="A14" s="256" t="s">
        <v>176</v>
      </c>
      <c r="B14" s="257">
        <v>37</v>
      </c>
      <c r="C14" s="257">
        <v>28</v>
      </c>
      <c r="D14" s="112">
        <v>7605</v>
      </c>
      <c r="E14" s="112">
        <v>37</v>
      </c>
      <c r="F14" s="112">
        <v>28</v>
      </c>
      <c r="G14" s="112">
        <v>7652</v>
      </c>
      <c r="H14" s="112">
        <v>-8</v>
      </c>
      <c r="I14" s="112">
        <v>-8</v>
      </c>
      <c r="J14" s="112">
        <v>-250</v>
      </c>
      <c r="K14" s="112">
        <f t="shared" si="1"/>
        <v>29</v>
      </c>
      <c r="L14" s="112">
        <f t="shared" si="0"/>
        <v>20</v>
      </c>
      <c r="M14" s="113">
        <f t="shared" si="0"/>
        <v>7402</v>
      </c>
      <c r="N14" s="25" t="s">
        <v>23</v>
      </c>
    </row>
    <row r="15" spans="1:21" ht="15">
      <c r="A15" s="256" t="s">
        <v>177</v>
      </c>
      <c r="B15" s="258">
        <v>715</v>
      </c>
      <c r="C15" s="259">
        <v>648</v>
      </c>
      <c r="D15" s="21">
        <v>144500</v>
      </c>
      <c r="E15" s="21">
        <v>715</v>
      </c>
      <c r="F15" s="21">
        <v>630</v>
      </c>
      <c r="G15" s="21">
        <v>145384</v>
      </c>
      <c r="H15" s="21">
        <v>-1</v>
      </c>
      <c r="I15" s="21">
        <v>-1</v>
      </c>
      <c r="J15" s="21">
        <v>1349</v>
      </c>
      <c r="K15" s="21">
        <f t="shared" ref="K15:K17" si="2">E15+H15</f>
        <v>714</v>
      </c>
      <c r="L15" s="21">
        <f t="shared" si="0"/>
        <v>629</v>
      </c>
      <c r="M15" s="102">
        <f t="shared" si="0"/>
        <v>146733</v>
      </c>
      <c r="N15" s="25" t="s">
        <v>23</v>
      </c>
    </row>
    <row r="16" spans="1:21" ht="30">
      <c r="A16" s="256" t="s">
        <v>178</v>
      </c>
      <c r="B16" s="259">
        <v>77</v>
      </c>
      <c r="C16" s="259">
        <v>67</v>
      </c>
      <c r="D16" s="21">
        <v>29754</v>
      </c>
      <c r="E16" s="21">
        <v>77</v>
      </c>
      <c r="F16" s="21">
        <v>69</v>
      </c>
      <c r="G16" s="21">
        <v>29936</v>
      </c>
      <c r="H16" s="21">
        <v>0</v>
      </c>
      <c r="I16" s="21">
        <v>0</v>
      </c>
      <c r="J16" s="21">
        <v>-92</v>
      </c>
      <c r="K16" s="21">
        <f t="shared" si="2"/>
        <v>77</v>
      </c>
      <c r="L16" s="21">
        <f t="shared" si="0"/>
        <v>69</v>
      </c>
      <c r="M16" s="102">
        <f t="shared" si="0"/>
        <v>29844</v>
      </c>
      <c r="N16" s="25" t="s">
        <v>23</v>
      </c>
    </row>
    <row r="17" spans="1:14" ht="15">
      <c r="A17" s="256" t="s">
        <v>179</v>
      </c>
      <c r="B17" s="260">
        <v>3</v>
      </c>
      <c r="C17" s="260">
        <v>1</v>
      </c>
      <c r="D17" s="103">
        <v>795</v>
      </c>
      <c r="E17" s="103">
        <v>3</v>
      </c>
      <c r="F17" s="103">
        <v>0</v>
      </c>
      <c r="G17" s="103">
        <v>800</v>
      </c>
      <c r="H17" s="103">
        <v>-3</v>
      </c>
      <c r="I17" s="103">
        <v>0</v>
      </c>
      <c r="J17" s="103">
        <v>-800</v>
      </c>
      <c r="K17" s="103">
        <f t="shared" si="2"/>
        <v>0</v>
      </c>
      <c r="L17" s="103">
        <f t="shared" si="0"/>
        <v>0</v>
      </c>
      <c r="M17" s="104">
        <f t="shared" si="0"/>
        <v>0</v>
      </c>
      <c r="N17" s="25" t="s">
        <v>23</v>
      </c>
    </row>
    <row r="18" spans="1:14" ht="15">
      <c r="A18" s="14" t="s">
        <v>137</v>
      </c>
      <c r="B18" s="105">
        <f>SUM(B9:B17)</f>
        <v>4227</v>
      </c>
      <c r="C18" s="105">
        <f t="shared" ref="C18:M18" si="3">SUM(C9:C17)</f>
        <v>3862</v>
      </c>
      <c r="D18" s="105">
        <f t="shared" si="3"/>
        <v>863367</v>
      </c>
      <c r="E18" s="105">
        <f t="shared" si="3"/>
        <v>4227</v>
      </c>
      <c r="F18" s="105">
        <f t="shared" si="3"/>
        <v>3718</v>
      </c>
      <c r="G18" s="105">
        <f t="shared" si="3"/>
        <v>868652</v>
      </c>
      <c r="H18" s="105">
        <f t="shared" si="3"/>
        <v>-7</v>
      </c>
      <c r="I18" s="105">
        <f t="shared" si="3"/>
        <v>-4</v>
      </c>
      <c r="J18" s="105">
        <f t="shared" si="3"/>
        <v>6236</v>
      </c>
      <c r="K18" s="105">
        <f t="shared" si="3"/>
        <v>4220</v>
      </c>
      <c r="L18" s="105">
        <f t="shared" si="3"/>
        <v>3714</v>
      </c>
      <c r="M18" s="106">
        <f t="shared" si="3"/>
        <v>874888</v>
      </c>
      <c r="N18" s="25" t="s">
        <v>23</v>
      </c>
    </row>
    <row r="19" spans="1:14" ht="15">
      <c r="A19" s="58" t="s">
        <v>136</v>
      </c>
      <c r="B19" s="107"/>
      <c r="C19" s="107"/>
      <c r="D19" s="108">
        <v>0</v>
      </c>
      <c r="E19" s="107"/>
      <c r="F19" s="107"/>
      <c r="G19" s="108">
        <v>0</v>
      </c>
      <c r="H19" s="107"/>
      <c r="I19" s="107"/>
      <c r="J19" s="108">
        <v>0</v>
      </c>
      <c r="K19" s="107"/>
      <c r="L19" s="107"/>
      <c r="M19" s="109">
        <f t="shared" si="0"/>
        <v>0</v>
      </c>
      <c r="N19" s="25" t="s">
        <v>23</v>
      </c>
    </row>
    <row r="20" spans="1:14" ht="15">
      <c r="A20" s="85" t="s">
        <v>150</v>
      </c>
      <c r="B20" s="22"/>
      <c r="C20" s="22"/>
      <c r="D20" s="110">
        <f>SUM(D18:D19)</f>
        <v>863367</v>
      </c>
      <c r="E20" s="22"/>
      <c r="F20" s="22"/>
      <c r="G20" s="110">
        <f>SUM(G18:G19)</f>
        <v>868652</v>
      </c>
      <c r="H20" s="22"/>
      <c r="I20" s="22"/>
      <c r="J20" s="110">
        <f>SUM(J18:J19)</f>
        <v>6236</v>
      </c>
      <c r="K20" s="22"/>
      <c r="L20" s="22"/>
      <c r="M20" s="111">
        <f t="shared" si="0"/>
        <v>874888</v>
      </c>
      <c r="N20" s="25" t="s">
        <v>23</v>
      </c>
    </row>
    <row r="21" spans="1:14">
      <c r="A21" s="75" t="s">
        <v>31</v>
      </c>
      <c r="B21" s="112"/>
      <c r="C21" s="112">
        <f>SUM(29+7+268+112+104)</f>
        <v>520</v>
      </c>
      <c r="D21" s="112"/>
      <c r="E21" s="112"/>
      <c r="F21" s="112">
        <f>SUM(282+29+124+115)</f>
        <v>550</v>
      </c>
      <c r="G21" s="112"/>
      <c r="H21" s="112"/>
      <c r="I21" s="112">
        <v>0</v>
      </c>
      <c r="J21" s="112"/>
      <c r="K21" s="112"/>
      <c r="L21" s="112">
        <f t="shared" ref="L21:L22" si="4">F21+I21</f>
        <v>550</v>
      </c>
      <c r="M21" s="113"/>
      <c r="N21" s="25" t="s">
        <v>23</v>
      </c>
    </row>
    <row r="22" spans="1:14">
      <c r="A22" s="76" t="s">
        <v>138</v>
      </c>
      <c r="B22" s="21"/>
      <c r="C22" s="21">
        <f>C18+C21</f>
        <v>4382</v>
      </c>
      <c r="D22" s="21"/>
      <c r="E22" s="21"/>
      <c r="F22" s="21">
        <f>F18+F21</f>
        <v>4268</v>
      </c>
      <c r="G22" s="21"/>
      <c r="H22" s="21"/>
      <c r="I22" s="21">
        <f>I18+I21</f>
        <v>-4</v>
      </c>
      <c r="J22" s="21"/>
      <c r="K22" s="21"/>
      <c r="L22" s="21">
        <f t="shared" si="4"/>
        <v>4264</v>
      </c>
      <c r="M22" s="102"/>
      <c r="N22" s="25" t="s">
        <v>23</v>
      </c>
    </row>
    <row r="23" spans="1:14">
      <c r="A23" s="15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102"/>
      <c r="N23" s="25" t="s">
        <v>23</v>
      </c>
    </row>
    <row r="24" spans="1:14">
      <c r="A24" s="15" t="s">
        <v>32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102"/>
      <c r="N24" s="25" t="s">
        <v>23</v>
      </c>
    </row>
    <row r="25" spans="1:14">
      <c r="A25" s="16" t="s">
        <v>33</v>
      </c>
      <c r="B25" s="21"/>
      <c r="C25" s="21">
        <v>0</v>
      </c>
      <c r="D25" s="21"/>
      <c r="E25" s="21"/>
      <c r="F25" s="21">
        <v>0</v>
      </c>
      <c r="G25" s="21"/>
      <c r="H25" s="21"/>
      <c r="I25" s="21">
        <v>0</v>
      </c>
      <c r="J25" s="21"/>
      <c r="K25" s="21"/>
      <c r="L25" s="21">
        <f t="shared" ref="L25:L27" si="5">F25+I25</f>
        <v>0</v>
      </c>
      <c r="M25" s="102"/>
      <c r="N25" s="25" t="s">
        <v>23</v>
      </c>
    </row>
    <row r="26" spans="1:14">
      <c r="A26" s="17" t="s">
        <v>34</v>
      </c>
      <c r="B26" s="114"/>
      <c r="C26" s="114">
        <v>0</v>
      </c>
      <c r="D26" s="114"/>
      <c r="E26" s="114"/>
      <c r="F26" s="114">
        <v>0</v>
      </c>
      <c r="G26" s="114"/>
      <c r="H26" s="114"/>
      <c r="I26" s="114">
        <v>0</v>
      </c>
      <c r="J26" s="114"/>
      <c r="K26" s="114"/>
      <c r="L26" s="114">
        <f t="shared" si="5"/>
        <v>0</v>
      </c>
      <c r="M26" s="115"/>
      <c r="N26" s="25" t="s">
        <v>23</v>
      </c>
    </row>
    <row r="27" spans="1:14" ht="15" thickBot="1">
      <c r="A27" s="77" t="s">
        <v>139</v>
      </c>
      <c r="B27" s="116"/>
      <c r="C27" s="116">
        <f>C22+C25+C26</f>
        <v>4382</v>
      </c>
      <c r="D27" s="116"/>
      <c r="E27" s="116"/>
      <c r="F27" s="116">
        <f>F22+F25+F26</f>
        <v>4268</v>
      </c>
      <c r="G27" s="116"/>
      <c r="H27" s="116"/>
      <c r="I27" s="116">
        <f>I22+I25+I26</f>
        <v>-4</v>
      </c>
      <c r="J27" s="116"/>
      <c r="K27" s="116"/>
      <c r="L27" s="116">
        <f t="shared" si="5"/>
        <v>4264</v>
      </c>
      <c r="M27" s="117"/>
      <c r="N27" s="25" t="s">
        <v>23</v>
      </c>
    </row>
    <row r="28" spans="1:14" ht="15" thickBot="1">
      <c r="N28" s="25" t="s">
        <v>23</v>
      </c>
    </row>
    <row r="29" spans="1:14" ht="15">
      <c r="A29" s="221" t="s">
        <v>140</v>
      </c>
      <c r="B29" s="224" t="s">
        <v>25</v>
      </c>
      <c r="C29" s="224"/>
      <c r="D29" s="224"/>
      <c r="E29" s="224" t="s">
        <v>26</v>
      </c>
      <c r="F29" s="224"/>
      <c r="G29" s="224"/>
      <c r="H29" s="224" t="s">
        <v>27</v>
      </c>
      <c r="I29" s="224"/>
      <c r="J29" s="225"/>
      <c r="N29" s="25" t="s">
        <v>23</v>
      </c>
    </row>
    <row r="30" spans="1:14" ht="28.5">
      <c r="A30" s="222"/>
      <c r="B30" s="11" t="s">
        <v>4</v>
      </c>
      <c r="C30" s="11" t="s">
        <v>149</v>
      </c>
      <c r="D30" s="11" t="s">
        <v>5</v>
      </c>
      <c r="E30" s="11" t="s">
        <v>4</v>
      </c>
      <c r="F30" s="11" t="s">
        <v>149</v>
      </c>
      <c r="G30" s="11" t="s">
        <v>5</v>
      </c>
      <c r="H30" s="11" t="s">
        <v>4</v>
      </c>
      <c r="I30" s="11" t="s">
        <v>149</v>
      </c>
      <c r="J30" s="12" t="s">
        <v>5</v>
      </c>
      <c r="N30" s="25" t="s">
        <v>23</v>
      </c>
    </row>
    <row r="31" spans="1:14" ht="42.75">
      <c r="A31" s="261" t="str">
        <f>A9</f>
        <v>Conduct of Supreme Court proceedings and review of appellate matters</v>
      </c>
      <c r="B31" s="262">
        <v>0</v>
      </c>
      <c r="C31" s="160">
        <v>0</v>
      </c>
      <c r="D31" s="160">
        <v>0</v>
      </c>
      <c r="E31" s="160">
        <v>0</v>
      </c>
      <c r="F31" s="160">
        <v>0</v>
      </c>
      <c r="G31" s="160">
        <v>-231</v>
      </c>
      <c r="H31" s="100">
        <f>K9+B31+E31</f>
        <v>54</v>
      </c>
      <c r="I31" s="100">
        <f>L9+C31+F31</f>
        <v>55</v>
      </c>
      <c r="J31" s="101">
        <f>M9+D31+G31</f>
        <v>11435</v>
      </c>
      <c r="N31" s="25" t="s">
        <v>23</v>
      </c>
    </row>
    <row r="32" spans="1:14">
      <c r="A32" s="263" t="str">
        <f>A10</f>
        <v>General tax matters</v>
      </c>
      <c r="B32" s="264">
        <v>0</v>
      </c>
      <c r="C32" s="204">
        <v>0</v>
      </c>
      <c r="D32" s="204">
        <v>0</v>
      </c>
      <c r="E32" s="204">
        <v>0</v>
      </c>
      <c r="F32" s="204">
        <v>0</v>
      </c>
      <c r="G32" s="204">
        <v>0</v>
      </c>
      <c r="H32" s="100">
        <f>K10+B32+E32</f>
        <v>639</v>
      </c>
      <c r="I32" s="100">
        <f t="shared" ref="I32:I39" si="6">L10+C32+F32</f>
        <v>519</v>
      </c>
      <c r="J32" s="101">
        <f t="shared" ref="J32:J39" si="7">M10+D32+G32</f>
        <v>106479</v>
      </c>
      <c r="N32" s="25" t="s">
        <v>23</v>
      </c>
    </row>
    <row r="33" spans="1:14">
      <c r="A33" s="263" t="str">
        <f>A11</f>
        <v>Criminal matters</v>
      </c>
      <c r="B33" s="264">
        <v>64</v>
      </c>
      <c r="C33" s="204">
        <v>34</v>
      </c>
      <c r="D33" s="204">
        <v>11080</v>
      </c>
      <c r="E33" s="204">
        <v>0</v>
      </c>
      <c r="F33" s="204">
        <v>0</v>
      </c>
      <c r="G33" s="204">
        <v>0</v>
      </c>
      <c r="H33" s="100">
        <f t="shared" ref="H33:H39" si="8">K11+B33+E33</f>
        <v>814</v>
      </c>
      <c r="I33" s="100">
        <f t="shared" si="6"/>
        <v>703</v>
      </c>
      <c r="J33" s="101">
        <f t="shared" si="7"/>
        <v>182499</v>
      </c>
      <c r="N33" s="25" t="s">
        <v>23</v>
      </c>
    </row>
    <row r="34" spans="1:14" ht="28.5">
      <c r="A34" s="265" t="str">
        <f>A12</f>
        <v>Claims, customs and general civil matters</v>
      </c>
      <c r="B34" s="260">
        <v>51</v>
      </c>
      <c r="C34" s="103">
        <v>26</v>
      </c>
      <c r="D34" s="103">
        <v>8600</v>
      </c>
      <c r="E34" s="103">
        <v>0</v>
      </c>
      <c r="F34" s="103">
        <v>0</v>
      </c>
      <c r="G34" s="103">
        <v>0</v>
      </c>
      <c r="H34" s="100">
        <f t="shared" si="8"/>
        <v>1471</v>
      </c>
      <c r="I34" s="100">
        <f t="shared" si="6"/>
        <v>1259</v>
      </c>
      <c r="J34" s="101">
        <f t="shared" si="7"/>
        <v>297313</v>
      </c>
      <c r="N34" s="25" t="s">
        <v>23</v>
      </c>
    </row>
    <row r="35" spans="1:14" ht="28.5">
      <c r="A35" s="265" t="str">
        <f t="shared" ref="A35:A39" si="9">A13</f>
        <v>Land, natural resources and Indian matters</v>
      </c>
      <c r="B35" s="260"/>
      <c r="C35" s="103"/>
      <c r="D35" s="103"/>
      <c r="E35" s="103"/>
      <c r="F35" s="103"/>
      <c r="G35" s="103"/>
      <c r="H35" s="100">
        <f t="shared" si="8"/>
        <v>537</v>
      </c>
      <c r="I35" s="100">
        <f t="shared" si="6"/>
        <v>520</v>
      </c>
      <c r="J35" s="101">
        <f t="shared" si="7"/>
        <v>112632</v>
      </c>
      <c r="N35" s="25" t="s">
        <v>23</v>
      </c>
    </row>
    <row r="36" spans="1:14">
      <c r="A36" s="265" t="str">
        <f t="shared" si="9"/>
        <v>Legal opinions</v>
      </c>
      <c r="B36" s="260"/>
      <c r="C36" s="103"/>
      <c r="D36" s="103"/>
      <c r="E36" s="103"/>
      <c r="F36" s="103"/>
      <c r="G36" s="103">
        <v>-232</v>
      </c>
      <c r="H36" s="100">
        <f t="shared" si="8"/>
        <v>29</v>
      </c>
      <c r="I36" s="100">
        <f t="shared" si="6"/>
        <v>20</v>
      </c>
      <c r="J36" s="101">
        <f t="shared" si="7"/>
        <v>7170</v>
      </c>
      <c r="N36" s="25" t="s">
        <v>23</v>
      </c>
    </row>
    <row r="37" spans="1:14">
      <c r="A37" s="265" t="str">
        <f t="shared" si="9"/>
        <v>Civil rights matters</v>
      </c>
      <c r="B37" s="260">
        <v>85</v>
      </c>
      <c r="C37" s="103">
        <v>43</v>
      </c>
      <c r="D37" s="103">
        <v>8500</v>
      </c>
      <c r="E37" s="103"/>
      <c r="F37" s="103"/>
      <c r="G37" s="103"/>
      <c r="H37" s="100">
        <f t="shared" si="8"/>
        <v>799</v>
      </c>
      <c r="I37" s="100">
        <f t="shared" si="6"/>
        <v>672</v>
      </c>
      <c r="J37" s="101">
        <f t="shared" si="7"/>
        <v>155233</v>
      </c>
      <c r="N37" s="25" t="s">
        <v>23</v>
      </c>
    </row>
    <row r="38" spans="1:14" ht="28.5">
      <c r="A38" s="265" t="str">
        <f t="shared" si="9"/>
        <v>INTERPOL - U.S. National Central Bureau</v>
      </c>
      <c r="B38" s="260"/>
      <c r="C38" s="103"/>
      <c r="D38" s="103"/>
      <c r="E38" s="103"/>
      <c r="F38" s="103"/>
      <c r="G38" s="103"/>
      <c r="H38" s="100">
        <f t="shared" si="8"/>
        <v>77</v>
      </c>
      <c r="I38" s="100">
        <f t="shared" si="6"/>
        <v>69</v>
      </c>
      <c r="J38" s="101">
        <f t="shared" si="7"/>
        <v>29844</v>
      </c>
      <c r="N38" s="25" t="s">
        <v>23</v>
      </c>
    </row>
    <row r="39" spans="1:14">
      <c r="A39" s="265" t="str">
        <f t="shared" si="9"/>
        <v>Dispute Resolution</v>
      </c>
      <c r="B39" s="260"/>
      <c r="C39" s="103"/>
      <c r="D39" s="103"/>
      <c r="E39" s="103"/>
      <c r="F39" s="103"/>
      <c r="G39" s="103"/>
      <c r="H39" s="100">
        <f t="shared" si="8"/>
        <v>0</v>
      </c>
      <c r="I39" s="100">
        <f t="shared" si="6"/>
        <v>0</v>
      </c>
      <c r="J39" s="101">
        <f t="shared" si="7"/>
        <v>0</v>
      </c>
      <c r="N39" s="25" t="s">
        <v>23</v>
      </c>
    </row>
    <row r="40" spans="1:14" ht="15">
      <c r="A40" s="14" t="s">
        <v>137</v>
      </c>
      <c r="B40" s="106">
        <f t="shared" ref="B40" si="10">SUM(B31:B39)</f>
        <v>200</v>
      </c>
      <c r="C40" s="106">
        <f t="shared" ref="C40" si="11">SUM(C31:C39)</f>
        <v>103</v>
      </c>
      <c r="D40" s="106">
        <f t="shared" ref="D40" si="12">SUM(D31:D39)</f>
        <v>28180</v>
      </c>
      <c r="E40" s="106">
        <f t="shared" ref="E40" si="13">SUM(E31:E39)</f>
        <v>0</v>
      </c>
      <c r="F40" s="106">
        <f t="shared" ref="F40" si="14">SUM(F31:F39)</f>
        <v>0</v>
      </c>
      <c r="G40" s="106">
        <f t="shared" ref="G40" si="15">SUM(G31:G39)</f>
        <v>-463</v>
      </c>
      <c r="H40" s="106">
        <f t="shared" ref="H40:I40" si="16">SUM(H31:H39)</f>
        <v>4420</v>
      </c>
      <c r="I40" s="106">
        <f t="shared" si="16"/>
        <v>3817</v>
      </c>
      <c r="J40" s="106">
        <f>SUM(J31:J39)</f>
        <v>902605</v>
      </c>
      <c r="N40" s="25" t="s">
        <v>23</v>
      </c>
    </row>
    <row r="41" spans="1:14" ht="15">
      <c r="A41" s="58" t="s">
        <v>136</v>
      </c>
      <c r="B41" s="107"/>
      <c r="C41" s="107"/>
      <c r="D41" s="108">
        <v>0</v>
      </c>
      <c r="E41" s="107"/>
      <c r="F41" s="107"/>
      <c r="G41" s="108">
        <v>0</v>
      </c>
      <c r="H41" s="107"/>
      <c r="I41" s="107"/>
      <c r="J41" s="109">
        <f>M19+D41+G41</f>
        <v>0</v>
      </c>
      <c r="N41" s="25" t="s">
        <v>23</v>
      </c>
    </row>
    <row r="42" spans="1:14" ht="15">
      <c r="A42" s="85" t="s">
        <v>150</v>
      </c>
      <c r="B42" s="22"/>
      <c r="C42" s="22"/>
      <c r="D42" s="110">
        <f>SUM(D40:D41)</f>
        <v>28180</v>
      </c>
      <c r="E42" s="22"/>
      <c r="F42" s="22"/>
      <c r="G42" s="110">
        <f>SUM(G40:G41)</f>
        <v>-463</v>
      </c>
      <c r="H42" s="22"/>
      <c r="I42" s="22"/>
      <c r="J42" s="111">
        <f>M20+D42+G42</f>
        <v>902605</v>
      </c>
      <c r="N42" s="25" t="s">
        <v>23</v>
      </c>
    </row>
    <row r="43" spans="1:14">
      <c r="A43" s="57" t="s">
        <v>31</v>
      </c>
      <c r="B43" s="112"/>
      <c r="C43" s="112">
        <v>0</v>
      </c>
      <c r="D43" s="112"/>
      <c r="E43" s="112"/>
      <c r="F43" s="112">
        <v>0</v>
      </c>
      <c r="G43" s="112"/>
      <c r="H43" s="112"/>
      <c r="I43" s="112">
        <f t="shared" ref="I43:I49" si="17">L21+C43+F43</f>
        <v>550</v>
      </c>
      <c r="J43" s="113"/>
      <c r="N43" s="25" t="s">
        <v>23</v>
      </c>
    </row>
    <row r="44" spans="1:14">
      <c r="A44" s="15" t="s">
        <v>138</v>
      </c>
      <c r="B44" s="21"/>
      <c r="C44" s="21">
        <f>C40+C43</f>
        <v>103</v>
      </c>
      <c r="D44" s="21"/>
      <c r="E44" s="21"/>
      <c r="F44" s="21">
        <f>F40+F43</f>
        <v>0</v>
      </c>
      <c r="G44" s="21"/>
      <c r="H44" s="21"/>
      <c r="I44" s="21">
        <f t="shared" si="17"/>
        <v>4367</v>
      </c>
      <c r="J44" s="102"/>
      <c r="N44" s="25" t="s">
        <v>23</v>
      </c>
    </row>
    <row r="45" spans="1:14">
      <c r="A45" s="15"/>
      <c r="B45" s="21"/>
      <c r="C45" s="21"/>
      <c r="D45" s="21"/>
      <c r="E45" s="21"/>
      <c r="F45" s="21"/>
      <c r="G45" s="21"/>
      <c r="H45" s="21"/>
      <c r="I45" s="21">
        <f t="shared" si="17"/>
        <v>0</v>
      </c>
      <c r="J45" s="102"/>
      <c r="N45" s="25" t="s">
        <v>23</v>
      </c>
    </row>
    <row r="46" spans="1:14">
      <c r="A46" s="15" t="s">
        <v>32</v>
      </c>
      <c r="B46" s="21"/>
      <c r="C46" s="21"/>
      <c r="D46" s="21"/>
      <c r="E46" s="21"/>
      <c r="F46" s="21"/>
      <c r="G46" s="21"/>
      <c r="H46" s="21"/>
      <c r="I46" s="21">
        <f t="shared" si="17"/>
        <v>0</v>
      </c>
      <c r="J46" s="102"/>
      <c r="N46" s="25" t="s">
        <v>23</v>
      </c>
    </row>
    <row r="47" spans="1:14">
      <c r="A47" s="16" t="s">
        <v>33</v>
      </c>
      <c r="B47" s="21"/>
      <c r="C47" s="21">
        <v>0</v>
      </c>
      <c r="D47" s="21"/>
      <c r="E47" s="21"/>
      <c r="F47" s="21">
        <v>0</v>
      </c>
      <c r="G47" s="21"/>
      <c r="H47" s="21"/>
      <c r="I47" s="21">
        <f t="shared" si="17"/>
        <v>0</v>
      </c>
      <c r="J47" s="102"/>
      <c r="N47" s="25" t="s">
        <v>23</v>
      </c>
    </row>
    <row r="48" spans="1:14">
      <c r="A48" s="17" t="s">
        <v>34</v>
      </c>
      <c r="B48" s="114"/>
      <c r="C48" s="114">
        <v>0</v>
      </c>
      <c r="D48" s="114"/>
      <c r="E48" s="114"/>
      <c r="F48" s="114">
        <v>0</v>
      </c>
      <c r="G48" s="114"/>
      <c r="H48" s="114"/>
      <c r="I48" s="114">
        <f t="shared" si="17"/>
        <v>0</v>
      </c>
      <c r="J48" s="115"/>
      <c r="N48" s="25" t="s">
        <v>23</v>
      </c>
    </row>
    <row r="49" spans="1:14" ht="15" thickBot="1">
      <c r="A49" s="18" t="s">
        <v>139</v>
      </c>
      <c r="B49" s="116"/>
      <c r="C49" s="116">
        <f>C44+C47+C48</f>
        <v>103</v>
      </c>
      <c r="D49" s="116"/>
      <c r="E49" s="116"/>
      <c r="F49" s="116">
        <f>F44+F47+F48</f>
        <v>0</v>
      </c>
      <c r="G49" s="116"/>
      <c r="H49" s="116"/>
      <c r="I49" s="116">
        <f t="shared" si="17"/>
        <v>4367</v>
      </c>
      <c r="J49" s="117"/>
      <c r="N49" s="25" t="s">
        <v>23</v>
      </c>
    </row>
    <row r="50" spans="1:14">
      <c r="N50" s="4" t="s">
        <v>24</v>
      </c>
    </row>
    <row r="51" spans="1:14">
      <c r="A51" s="23" t="s">
        <v>167</v>
      </c>
    </row>
    <row r="52" spans="1:14">
      <c r="A52" s="153"/>
    </row>
  </sheetData>
  <mergeCells count="15">
    <mergeCell ref="A5:M5"/>
    <mergeCell ref="A6:M6"/>
    <mergeCell ref="A29:A30"/>
    <mergeCell ref="A1:M1"/>
    <mergeCell ref="A2:M2"/>
    <mergeCell ref="A3:M3"/>
    <mergeCell ref="A4:M4"/>
    <mergeCell ref="A7:A8"/>
    <mergeCell ref="B7:D7"/>
    <mergeCell ref="E7:G7"/>
    <mergeCell ref="H7:J7"/>
    <mergeCell ref="K7:M7"/>
    <mergeCell ref="B29:D29"/>
    <mergeCell ref="E29:G29"/>
    <mergeCell ref="H29:J29"/>
  </mergeCells>
  <printOptions horizontalCentered="1"/>
  <pageMargins left="0.7" right="0.7" top="0.75" bottom="0.75" header="0.3" footer="0.3"/>
  <pageSetup scale="54" orientation="landscape" r:id="rId1"/>
  <headerFooter>
    <oddHeader>&amp;L&amp;"Arial,Bold"&amp;12B. Summary of Requirements</oddHeader>
    <oddFooter>&amp;C&amp;"Arial,Regular"Exhibit B - Summary of Requirements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Z45"/>
  <sheetViews>
    <sheetView view="pageBreakPreview" zoomScale="80" zoomScaleNormal="100" zoomScaleSheetLayoutView="80" workbookViewId="0">
      <selection activeCell="U10" sqref="U10"/>
    </sheetView>
  </sheetViews>
  <sheetFormatPr defaultRowHeight="14.25"/>
  <cols>
    <col min="1" max="1" width="37.140625" style="9" customWidth="1"/>
    <col min="2" max="3" width="8.28515625" style="9" customWidth="1"/>
    <col min="4" max="4" width="12.7109375" style="9" customWidth="1"/>
    <col min="5" max="5" width="7.140625" style="9" customWidth="1"/>
    <col min="6" max="6" width="8.7109375" style="9" customWidth="1"/>
    <col min="7" max="7" width="12.7109375" style="9" customWidth="1"/>
    <col min="8" max="9" width="8.28515625" style="9" customWidth="1"/>
    <col min="10" max="15" width="12.7109375" style="9" customWidth="1"/>
    <col min="16" max="17" width="8.28515625" style="9" customWidth="1"/>
    <col min="18" max="18" width="12.7109375" style="9" customWidth="1"/>
    <col min="19" max="19" width="14" style="4" bestFit="1" customWidth="1"/>
    <col min="20" max="20" width="4.5703125" style="9" customWidth="1"/>
    <col min="21" max="22" width="8.28515625" style="9" customWidth="1"/>
    <col min="23" max="23" width="12.7109375" style="9" customWidth="1"/>
    <col min="24" max="25" width="8.28515625" style="9" customWidth="1"/>
    <col min="26" max="26" width="12.7109375" style="9" customWidth="1"/>
    <col min="27" max="16384" width="9.140625" style="9"/>
  </cols>
  <sheetData>
    <row r="1" spans="1:26" ht="18">
      <c r="A1" s="213" t="s">
        <v>40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5" t="s">
        <v>23</v>
      </c>
      <c r="T1" s="6"/>
      <c r="U1" s="6"/>
      <c r="V1" s="6"/>
      <c r="W1" s="6"/>
      <c r="X1" s="6"/>
      <c r="Y1" s="6"/>
      <c r="Z1" s="6"/>
    </row>
    <row r="2" spans="1:26" ht="15">
      <c r="A2" s="214" t="s">
        <v>226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5" t="s">
        <v>23</v>
      </c>
      <c r="T2" s="7"/>
      <c r="U2" s="7"/>
      <c r="V2" s="7"/>
      <c r="W2" s="7"/>
      <c r="X2" s="7"/>
      <c r="Y2" s="7"/>
      <c r="Z2" s="7"/>
    </row>
    <row r="3" spans="1:26">
      <c r="A3" s="223" t="s">
        <v>1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5" t="s">
        <v>23</v>
      </c>
      <c r="T3" s="10"/>
      <c r="U3" s="10"/>
      <c r="V3" s="10"/>
      <c r="W3" s="10"/>
      <c r="X3" s="10"/>
      <c r="Y3" s="10"/>
      <c r="Z3" s="10"/>
    </row>
    <row r="4" spans="1:26">
      <c r="A4" s="220" t="s">
        <v>2</v>
      </c>
      <c r="B4" s="220"/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5" t="s">
        <v>23</v>
      </c>
      <c r="T4" s="8"/>
      <c r="U4" s="8"/>
      <c r="V4" s="8"/>
      <c r="W4" s="8"/>
      <c r="X4" s="8"/>
      <c r="Y4" s="8"/>
      <c r="Z4" s="8"/>
    </row>
    <row r="5" spans="1:26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25" t="s">
        <v>23</v>
      </c>
      <c r="T5" s="8"/>
      <c r="U5" s="8"/>
      <c r="V5" s="8"/>
      <c r="W5" s="8"/>
      <c r="X5" s="8"/>
      <c r="Y5" s="8"/>
      <c r="Z5" s="8"/>
    </row>
    <row r="6" spans="1:26" ht="15" thickBot="1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5" t="s">
        <v>23</v>
      </c>
      <c r="T6" s="8"/>
      <c r="U6" s="8"/>
      <c r="V6" s="8"/>
      <c r="W6" s="8"/>
      <c r="X6" s="8"/>
      <c r="Y6" s="8"/>
      <c r="Z6" s="8"/>
    </row>
    <row r="7" spans="1:26" ht="33.75" customHeight="1">
      <c r="A7" s="221" t="s">
        <v>140</v>
      </c>
      <c r="B7" s="224" t="s">
        <v>161</v>
      </c>
      <c r="C7" s="224"/>
      <c r="D7" s="224"/>
      <c r="E7" s="224" t="s">
        <v>136</v>
      </c>
      <c r="F7" s="233"/>
      <c r="G7" s="234"/>
      <c r="H7" s="224" t="s">
        <v>41</v>
      </c>
      <c r="I7" s="224"/>
      <c r="J7" s="224"/>
      <c r="K7" s="235" t="s">
        <v>183</v>
      </c>
      <c r="L7" s="233"/>
      <c r="M7" s="234"/>
      <c r="N7" s="84" t="s">
        <v>42</v>
      </c>
      <c r="O7" s="84" t="s">
        <v>141</v>
      </c>
      <c r="P7" s="224" t="s">
        <v>45</v>
      </c>
      <c r="Q7" s="224"/>
      <c r="R7" s="225"/>
      <c r="S7" s="25" t="s">
        <v>23</v>
      </c>
    </row>
    <row r="8" spans="1:26" ht="28.5">
      <c r="A8" s="222"/>
      <c r="B8" s="11" t="s">
        <v>4</v>
      </c>
      <c r="C8" s="78" t="s">
        <v>134</v>
      </c>
      <c r="D8" s="11" t="s">
        <v>5</v>
      </c>
      <c r="E8" s="11" t="s">
        <v>4</v>
      </c>
      <c r="F8" s="78" t="s">
        <v>134</v>
      </c>
      <c r="G8" s="11" t="s">
        <v>5</v>
      </c>
      <c r="H8" s="11" t="s">
        <v>4</v>
      </c>
      <c r="I8" s="11" t="s">
        <v>134</v>
      </c>
      <c r="J8" s="11" t="s">
        <v>5</v>
      </c>
      <c r="K8" s="11" t="s">
        <v>4</v>
      </c>
      <c r="L8" s="11" t="s">
        <v>134</v>
      </c>
      <c r="M8" s="11" t="s">
        <v>5</v>
      </c>
      <c r="N8" s="19" t="s">
        <v>5</v>
      </c>
      <c r="O8" s="11" t="s">
        <v>5</v>
      </c>
      <c r="P8" s="11" t="s">
        <v>4</v>
      </c>
      <c r="Q8" s="11" t="s">
        <v>134</v>
      </c>
      <c r="R8" s="12" t="s">
        <v>5</v>
      </c>
      <c r="S8" s="25" t="s">
        <v>23</v>
      </c>
    </row>
    <row r="9" spans="1:26" ht="43.5">
      <c r="A9" s="266" t="s">
        <v>182</v>
      </c>
      <c r="B9" s="267">
        <v>48</v>
      </c>
      <c r="C9" s="267">
        <v>48</v>
      </c>
      <c r="D9" s="202">
        <v>10724</v>
      </c>
      <c r="E9" s="201">
        <v>0</v>
      </c>
      <c r="F9" s="201">
        <v>0</v>
      </c>
      <c r="G9" s="202">
        <v>0</v>
      </c>
      <c r="H9" s="201">
        <v>6</v>
      </c>
      <c r="I9" s="201">
        <v>1</v>
      </c>
      <c r="J9" s="202">
        <v>143</v>
      </c>
      <c r="K9" s="203"/>
      <c r="L9" s="203"/>
      <c r="M9" s="203"/>
      <c r="N9" s="100">
        <v>0</v>
      </c>
      <c r="O9" s="100">
        <v>0</v>
      </c>
      <c r="P9" s="160">
        <f>B9+H9+K9</f>
        <v>54</v>
      </c>
      <c r="Q9" s="160">
        <f>C9+I9+L9</f>
        <v>49</v>
      </c>
      <c r="R9" s="160">
        <f>D9+J9+N9+O9+G9+M9</f>
        <v>10867</v>
      </c>
      <c r="S9" s="25" t="s">
        <v>23</v>
      </c>
    </row>
    <row r="10" spans="1:26" ht="15.75">
      <c r="A10" s="268" t="s">
        <v>172</v>
      </c>
      <c r="B10" s="269">
        <v>639</v>
      </c>
      <c r="C10" s="269">
        <v>527</v>
      </c>
      <c r="D10" s="159">
        <v>104877</v>
      </c>
      <c r="E10" s="159">
        <v>0</v>
      </c>
      <c r="F10" s="159">
        <v>0</v>
      </c>
      <c r="G10" s="159">
        <v>0</v>
      </c>
      <c r="H10" s="159">
        <v>0</v>
      </c>
      <c r="I10" s="159">
        <v>0</v>
      </c>
      <c r="J10" s="159">
        <v>0</v>
      </c>
      <c r="K10" s="159"/>
      <c r="L10" s="159"/>
      <c r="M10" s="159"/>
      <c r="N10" s="159">
        <v>564</v>
      </c>
      <c r="O10" s="159">
        <v>68</v>
      </c>
      <c r="P10" s="157">
        <f t="shared" ref="P10:P19" si="0">B10+H10+K10</f>
        <v>639</v>
      </c>
      <c r="Q10" s="157">
        <f t="shared" ref="Q10:Q19" si="1">C10+I10+L10</f>
        <v>527</v>
      </c>
      <c r="R10" s="157">
        <f t="shared" ref="R10:R19" si="2">D10+J10+N10+O10+G10+M10</f>
        <v>105509</v>
      </c>
      <c r="S10" s="25" t="s">
        <v>23</v>
      </c>
    </row>
    <row r="11" spans="1:26" ht="15.75">
      <c r="A11" s="268" t="s">
        <v>173</v>
      </c>
      <c r="B11" s="269">
        <v>751</v>
      </c>
      <c r="C11" s="269">
        <v>686</v>
      </c>
      <c r="D11" s="159">
        <v>174000</v>
      </c>
      <c r="E11" s="159">
        <v>0</v>
      </c>
      <c r="F11" s="159">
        <v>0</v>
      </c>
      <c r="G11" s="159">
        <v>0</v>
      </c>
      <c r="H11" s="159">
        <v>0</v>
      </c>
      <c r="I11" s="159">
        <v>0</v>
      </c>
      <c r="J11" s="159">
        <v>-269</v>
      </c>
      <c r="K11" s="159">
        <v>0</v>
      </c>
      <c r="L11" s="159">
        <v>0</v>
      </c>
      <c r="M11" s="159">
        <v>0</v>
      </c>
      <c r="N11" s="159">
        <v>4367</v>
      </c>
      <c r="O11" s="159">
        <v>5</v>
      </c>
      <c r="P11" s="157">
        <f t="shared" si="0"/>
        <v>751</v>
      </c>
      <c r="Q11" s="157">
        <f t="shared" si="1"/>
        <v>686</v>
      </c>
      <c r="R11" s="157">
        <f t="shared" si="2"/>
        <v>178103</v>
      </c>
      <c r="S11" s="25" t="s">
        <v>23</v>
      </c>
    </row>
    <row r="12" spans="1:26" ht="31.5">
      <c r="A12" s="268" t="s">
        <v>174</v>
      </c>
      <c r="B12" s="269">
        <v>1420</v>
      </c>
      <c r="C12" s="269">
        <v>1326</v>
      </c>
      <c r="D12" s="159">
        <v>283103</v>
      </c>
      <c r="E12" s="159">
        <v>0</v>
      </c>
      <c r="F12" s="159">
        <v>0</v>
      </c>
      <c r="G12" s="159">
        <v>0</v>
      </c>
      <c r="H12" s="159">
        <v>0</v>
      </c>
      <c r="I12" s="159">
        <v>0</v>
      </c>
      <c r="J12" s="159">
        <v>0</v>
      </c>
      <c r="K12" s="159">
        <v>0</v>
      </c>
      <c r="L12" s="159">
        <v>0</v>
      </c>
      <c r="M12" s="159">
        <v>557</v>
      </c>
      <c r="N12" s="159">
        <v>1106</v>
      </c>
      <c r="O12" s="159">
        <v>234</v>
      </c>
      <c r="P12" s="157">
        <f t="shared" si="0"/>
        <v>1420</v>
      </c>
      <c r="Q12" s="157">
        <f t="shared" si="1"/>
        <v>1326</v>
      </c>
      <c r="R12" s="157">
        <f t="shared" si="2"/>
        <v>285000</v>
      </c>
      <c r="S12" s="25" t="s">
        <v>23</v>
      </c>
    </row>
    <row r="13" spans="1:26" ht="31.5">
      <c r="A13" s="268" t="s">
        <v>175</v>
      </c>
      <c r="B13" s="269">
        <v>537</v>
      </c>
      <c r="C13" s="269">
        <v>531</v>
      </c>
      <c r="D13" s="159">
        <v>108009</v>
      </c>
      <c r="E13" s="159">
        <v>0</v>
      </c>
      <c r="F13" s="159">
        <v>0</v>
      </c>
      <c r="G13" s="159">
        <v>0</v>
      </c>
      <c r="H13" s="159">
        <v>0</v>
      </c>
      <c r="I13" s="159">
        <v>0</v>
      </c>
      <c r="J13" s="159">
        <v>0</v>
      </c>
      <c r="K13" s="159">
        <v>0</v>
      </c>
      <c r="L13" s="159">
        <v>0</v>
      </c>
      <c r="M13" s="159">
        <v>1500</v>
      </c>
      <c r="N13" s="159">
        <v>2000</v>
      </c>
      <c r="O13" s="159">
        <v>4</v>
      </c>
      <c r="P13" s="157">
        <f t="shared" si="0"/>
        <v>537</v>
      </c>
      <c r="Q13" s="157">
        <f t="shared" si="1"/>
        <v>531</v>
      </c>
      <c r="R13" s="157">
        <f t="shared" si="2"/>
        <v>111513</v>
      </c>
      <c r="S13" s="25" t="s">
        <v>23</v>
      </c>
    </row>
    <row r="14" spans="1:26" ht="15.75">
      <c r="A14" s="268" t="s">
        <v>176</v>
      </c>
      <c r="B14" s="269">
        <v>37</v>
      </c>
      <c r="C14" s="269">
        <v>28</v>
      </c>
      <c r="D14" s="159">
        <v>7605</v>
      </c>
      <c r="E14" s="159">
        <v>0</v>
      </c>
      <c r="F14" s="159">
        <v>0</v>
      </c>
      <c r="G14" s="159">
        <v>0</v>
      </c>
      <c r="H14" s="159">
        <v>-6</v>
      </c>
      <c r="I14" s="159">
        <v>-1</v>
      </c>
      <c r="J14" s="159">
        <v>-143</v>
      </c>
      <c r="K14" s="159">
        <v>0</v>
      </c>
      <c r="L14" s="159">
        <v>0</v>
      </c>
      <c r="M14" s="159">
        <v>0</v>
      </c>
      <c r="N14" s="159">
        <v>0</v>
      </c>
      <c r="O14" s="159">
        <v>0</v>
      </c>
      <c r="P14" s="157">
        <f t="shared" si="0"/>
        <v>31</v>
      </c>
      <c r="Q14" s="157">
        <f t="shared" si="1"/>
        <v>27</v>
      </c>
      <c r="R14" s="157">
        <f t="shared" si="2"/>
        <v>7462</v>
      </c>
      <c r="S14" s="25" t="s">
        <v>23</v>
      </c>
    </row>
    <row r="15" spans="1:26" ht="15.75">
      <c r="A15" s="268" t="s">
        <v>177</v>
      </c>
      <c r="B15" s="269">
        <v>715</v>
      </c>
      <c r="C15" s="269">
        <v>648</v>
      </c>
      <c r="D15" s="159">
        <v>144500</v>
      </c>
      <c r="E15" s="159">
        <v>0</v>
      </c>
      <c r="F15" s="159">
        <v>0</v>
      </c>
      <c r="G15" s="159">
        <v>0</v>
      </c>
      <c r="H15" s="159">
        <v>0</v>
      </c>
      <c r="I15" s="159">
        <v>0</v>
      </c>
      <c r="J15" s="159">
        <v>0</v>
      </c>
      <c r="K15" s="159">
        <v>0</v>
      </c>
      <c r="L15" s="159">
        <v>0</v>
      </c>
      <c r="M15" s="159">
        <v>0</v>
      </c>
      <c r="N15" s="159">
        <v>0</v>
      </c>
      <c r="O15" s="159">
        <v>0</v>
      </c>
      <c r="P15" s="157">
        <f t="shared" si="0"/>
        <v>715</v>
      </c>
      <c r="Q15" s="157">
        <f t="shared" si="1"/>
        <v>648</v>
      </c>
      <c r="R15" s="157">
        <f t="shared" si="2"/>
        <v>144500</v>
      </c>
      <c r="S15" s="25" t="s">
        <v>23</v>
      </c>
    </row>
    <row r="16" spans="1:26" ht="31.5">
      <c r="A16" s="268" t="s">
        <v>178</v>
      </c>
      <c r="B16" s="269">
        <v>77</v>
      </c>
      <c r="C16" s="269">
        <v>67</v>
      </c>
      <c r="D16" s="159">
        <v>29754</v>
      </c>
      <c r="E16" s="159">
        <v>0</v>
      </c>
      <c r="F16" s="159">
        <v>0</v>
      </c>
      <c r="G16" s="159">
        <v>0</v>
      </c>
      <c r="H16" s="159">
        <v>0</v>
      </c>
      <c r="I16" s="159">
        <v>0</v>
      </c>
      <c r="J16" s="159">
        <v>0</v>
      </c>
      <c r="K16" s="159">
        <v>0</v>
      </c>
      <c r="L16" s="159">
        <v>0</v>
      </c>
      <c r="M16" s="159">
        <v>0</v>
      </c>
      <c r="N16" s="159">
        <v>0</v>
      </c>
      <c r="O16" s="159">
        <v>0</v>
      </c>
      <c r="P16" s="157">
        <f t="shared" si="0"/>
        <v>77</v>
      </c>
      <c r="Q16" s="157">
        <f t="shared" si="1"/>
        <v>67</v>
      </c>
      <c r="R16" s="157">
        <f t="shared" si="2"/>
        <v>29754</v>
      </c>
      <c r="S16" s="25" t="s">
        <v>23</v>
      </c>
    </row>
    <row r="17" spans="1:19" ht="15.75">
      <c r="A17" s="158" t="s">
        <v>179</v>
      </c>
      <c r="B17" s="159">
        <v>3</v>
      </c>
      <c r="C17" s="159">
        <v>3</v>
      </c>
      <c r="D17" s="159">
        <v>795</v>
      </c>
      <c r="E17" s="159">
        <v>0</v>
      </c>
      <c r="F17" s="159">
        <v>0</v>
      </c>
      <c r="G17" s="159">
        <v>0</v>
      </c>
      <c r="H17" s="159">
        <v>-3</v>
      </c>
      <c r="I17" s="159">
        <v>-2</v>
      </c>
      <c r="J17" s="159">
        <v>-650</v>
      </c>
      <c r="K17" s="159">
        <v>0</v>
      </c>
      <c r="L17" s="159">
        <v>0</v>
      </c>
      <c r="M17" s="159">
        <v>0</v>
      </c>
      <c r="N17" s="159">
        <v>0</v>
      </c>
      <c r="O17" s="159">
        <v>0</v>
      </c>
      <c r="P17" s="157">
        <f t="shared" si="0"/>
        <v>0</v>
      </c>
      <c r="Q17" s="157">
        <f t="shared" si="1"/>
        <v>1</v>
      </c>
      <c r="R17" s="157">
        <f t="shared" si="2"/>
        <v>145</v>
      </c>
      <c r="S17" s="25" t="s">
        <v>23</v>
      </c>
    </row>
    <row r="18" spans="1:19" ht="15.75">
      <c r="A18" s="158" t="s">
        <v>180</v>
      </c>
      <c r="B18" s="159">
        <v>0</v>
      </c>
      <c r="C18" s="159">
        <v>0</v>
      </c>
      <c r="D18" s="159">
        <v>0</v>
      </c>
      <c r="E18" s="159">
        <v>0</v>
      </c>
      <c r="F18" s="159">
        <v>0</v>
      </c>
      <c r="G18" s="159">
        <v>0</v>
      </c>
      <c r="H18" s="159">
        <v>0</v>
      </c>
      <c r="I18" s="159">
        <v>0</v>
      </c>
      <c r="J18" s="159">
        <v>0</v>
      </c>
      <c r="K18" s="159">
        <v>0</v>
      </c>
      <c r="L18" s="159">
        <v>0</v>
      </c>
      <c r="M18" s="159">
        <v>0</v>
      </c>
      <c r="N18" s="159">
        <v>0</v>
      </c>
      <c r="O18" s="159">
        <v>0</v>
      </c>
      <c r="P18" s="157">
        <f t="shared" si="0"/>
        <v>0</v>
      </c>
      <c r="Q18" s="157">
        <f t="shared" si="1"/>
        <v>0</v>
      </c>
      <c r="R18" s="157">
        <f t="shared" si="2"/>
        <v>0</v>
      </c>
      <c r="S18" s="25" t="s">
        <v>23</v>
      </c>
    </row>
    <row r="19" spans="1:19" ht="15.75">
      <c r="A19" s="158" t="s">
        <v>181</v>
      </c>
      <c r="B19" s="164">
        <v>0</v>
      </c>
      <c r="C19" s="164">
        <v>0</v>
      </c>
      <c r="D19" s="164">
        <v>0</v>
      </c>
      <c r="E19" s="164">
        <v>0</v>
      </c>
      <c r="F19" s="164">
        <v>0</v>
      </c>
      <c r="G19" s="164">
        <v>0</v>
      </c>
      <c r="H19" s="164">
        <v>0</v>
      </c>
      <c r="I19" s="164">
        <v>0</v>
      </c>
      <c r="J19" s="164">
        <v>1119</v>
      </c>
      <c r="K19" s="164">
        <v>0</v>
      </c>
      <c r="L19" s="164">
        <v>0</v>
      </c>
      <c r="M19" s="164">
        <v>-2031</v>
      </c>
      <c r="N19" s="164">
        <v>1977</v>
      </c>
      <c r="O19" s="164">
        <v>0</v>
      </c>
      <c r="P19" s="103">
        <f t="shared" si="0"/>
        <v>0</v>
      </c>
      <c r="Q19" s="103">
        <f t="shared" si="1"/>
        <v>0</v>
      </c>
      <c r="R19" s="103">
        <f t="shared" si="2"/>
        <v>1065</v>
      </c>
      <c r="S19" s="25" t="s">
        <v>23</v>
      </c>
    </row>
    <row r="20" spans="1:19" ht="15">
      <c r="A20" s="14" t="s">
        <v>137</v>
      </c>
      <c r="B20" s="105">
        <f t="shared" ref="B20:J20" si="3">SUM(B9:B19)</f>
        <v>4227</v>
      </c>
      <c r="C20" s="105">
        <f t="shared" si="3"/>
        <v>3864</v>
      </c>
      <c r="D20" s="105">
        <f t="shared" si="3"/>
        <v>863367</v>
      </c>
      <c r="E20" s="105">
        <f t="shared" si="3"/>
        <v>0</v>
      </c>
      <c r="F20" s="105">
        <f t="shared" si="3"/>
        <v>0</v>
      </c>
      <c r="G20" s="105">
        <f t="shared" si="3"/>
        <v>0</v>
      </c>
      <c r="H20" s="105">
        <f t="shared" si="3"/>
        <v>-3</v>
      </c>
      <c r="I20" s="105">
        <f t="shared" si="3"/>
        <v>-2</v>
      </c>
      <c r="J20" s="105">
        <f t="shared" si="3"/>
        <v>200</v>
      </c>
      <c r="K20" s="105">
        <f t="shared" ref="K20:M20" si="4">SUM(K9:K19)</f>
        <v>0</v>
      </c>
      <c r="L20" s="105">
        <f t="shared" si="4"/>
        <v>0</v>
      </c>
      <c r="M20" s="105">
        <f t="shared" si="4"/>
        <v>26</v>
      </c>
      <c r="N20" s="105">
        <f>SUM(N9:N19)</f>
        <v>10014</v>
      </c>
      <c r="O20" s="105">
        <f>SUM(O9:O19)</f>
        <v>311</v>
      </c>
      <c r="P20" s="105">
        <f>SUM(P9:P19)</f>
        <v>4224</v>
      </c>
      <c r="Q20" s="105">
        <f>SUM(Q9:Q19)</f>
        <v>3862</v>
      </c>
      <c r="R20" s="106">
        <f>SUM(R9:R19)</f>
        <v>873918</v>
      </c>
      <c r="S20" s="25" t="s">
        <v>23</v>
      </c>
    </row>
    <row r="21" spans="1:19">
      <c r="A21" s="57" t="s">
        <v>31</v>
      </c>
      <c r="B21" s="112"/>
      <c r="C21" s="112">
        <f>SUM(29+7+268+112+104)</f>
        <v>520</v>
      </c>
      <c r="D21" s="112"/>
      <c r="E21" s="112"/>
      <c r="F21" s="112">
        <v>0</v>
      </c>
      <c r="G21" s="112"/>
      <c r="H21" s="112"/>
      <c r="I21" s="112">
        <v>0</v>
      </c>
      <c r="J21" s="112"/>
      <c r="K21" s="112"/>
      <c r="L21" s="112"/>
      <c r="M21" s="112"/>
      <c r="N21" s="112"/>
      <c r="O21" s="112"/>
      <c r="P21" s="112"/>
      <c r="Q21" s="112">
        <f>C21+I21+F21</f>
        <v>520</v>
      </c>
      <c r="R21" s="113"/>
      <c r="S21" s="25" t="s">
        <v>23</v>
      </c>
    </row>
    <row r="22" spans="1:19">
      <c r="A22" s="79" t="s">
        <v>138</v>
      </c>
      <c r="B22" s="21"/>
      <c r="C22" s="21">
        <f>C20+C21</f>
        <v>4384</v>
      </c>
      <c r="D22" s="21"/>
      <c r="E22" s="21"/>
      <c r="F22" s="21">
        <f>F20+F21</f>
        <v>0</v>
      </c>
      <c r="G22" s="21"/>
      <c r="H22" s="21"/>
      <c r="I22" s="21">
        <f>I20+I21</f>
        <v>-2</v>
      </c>
      <c r="J22" s="21"/>
      <c r="K22" s="21"/>
      <c r="L22" s="21"/>
      <c r="M22" s="21"/>
      <c r="N22" s="21"/>
      <c r="O22" s="21"/>
      <c r="P22" s="21"/>
      <c r="Q22" s="112">
        <f>Q20+Q21</f>
        <v>4382</v>
      </c>
      <c r="R22" s="102"/>
      <c r="S22" s="25" t="s">
        <v>23</v>
      </c>
    </row>
    <row r="23" spans="1:19">
      <c r="A23" s="15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102"/>
      <c r="S23" s="25" t="s">
        <v>23</v>
      </c>
    </row>
    <row r="24" spans="1:19">
      <c r="A24" s="15" t="s">
        <v>32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102"/>
      <c r="S24" s="25" t="s">
        <v>23</v>
      </c>
    </row>
    <row r="25" spans="1:19">
      <c r="A25" s="16" t="s">
        <v>33</v>
      </c>
      <c r="B25" s="21"/>
      <c r="C25" s="21">
        <v>0</v>
      </c>
      <c r="D25" s="21"/>
      <c r="E25" s="21"/>
      <c r="F25" s="21">
        <v>0</v>
      </c>
      <c r="G25" s="21"/>
      <c r="H25" s="21"/>
      <c r="I25" s="21">
        <v>0</v>
      </c>
      <c r="J25" s="21"/>
      <c r="K25" s="21"/>
      <c r="L25" s="21"/>
      <c r="M25" s="21"/>
      <c r="N25" s="21"/>
      <c r="O25" s="21"/>
      <c r="P25" s="21"/>
      <c r="Q25" s="21">
        <f>C25+I25+F25</f>
        <v>0</v>
      </c>
      <c r="R25" s="102"/>
      <c r="S25" s="25" t="s">
        <v>23</v>
      </c>
    </row>
    <row r="26" spans="1:19">
      <c r="A26" s="17" t="s">
        <v>34</v>
      </c>
      <c r="B26" s="114"/>
      <c r="C26" s="114">
        <v>0</v>
      </c>
      <c r="D26" s="114"/>
      <c r="E26" s="114"/>
      <c r="F26" s="114">
        <v>0</v>
      </c>
      <c r="G26" s="114"/>
      <c r="H26" s="114"/>
      <c r="I26" s="114">
        <v>0</v>
      </c>
      <c r="J26" s="114"/>
      <c r="K26" s="114"/>
      <c r="L26" s="114"/>
      <c r="M26" s="114"/>
      <c r="N26" s="114"/>
      <c r="O26" s="114"/>
      <c r="P26" s="114"/>
      <c r="Q26" s="21">
        <f>C26+I26+F25</f>
        <v>0</v>
      </c>
      <c r="R26" s="115"/>
      <c r="S26" s="25" t="s">
        <v>23</v>
      </c>
    </row>
    <row r="27" spans="1:19" ht="15" thickBot="1">
      <c r="A27" s="80" t="s">
        <v>139</v>
      </c>
      <c r="B27" s="116"/>
      <c r="C27" s="116">
        <f>C22+C25+C26</f>
        <v>4384</v>
      </c>
      <c r="D27" s="116"/>
      <c r="E27" s="116"/>
      <c r="F27" s="116">
        <f>F22+F25+F26</f>
        <v>0</v>
      </c>
      <c r="G27" s="116"/>
      <c r="H27" s="116"/>
      <c r="I27" s="116">
        <f>I22+I25+I26</f>
        <v>-2</v>
      </c>
      <c r="J27" s="116"/>
      <c r="K27" s="116"/>
      <c r="L27" s="116"/>
      <c r="M27" s="116"/>
      <c r="N27" s="116"/>
      <c r="O27" s="116"/>
      <c r="P27" s="116"/>
      <c r="Q27" s="116">
        <f>SUM(Q22,Q25:Q26)</f>
        <v>4382</v>
      </c>
      <c r="R27" s="117"/>
      <c r="S27" s="25" t="s">
        <v>23</v>
      </c>
    </row>
    <row r="28" spans="1:19">
      <c r="S28" s="25" t="s">
        <v>23</v>
      </c>
    </row>
    <row r="29" spans="1:19" ht="15">
      <c r="A29" s="5" t="s">
        <v>41</v>
      </c>
      <c r="S29" s="25" t="s">
        <v>23</v>
      </c>
    </row>
    <row r="30" spans="1:19" ht="15.75">
      <c r="A30" s="165" t="s">
        <v>184</v>
      </c>
      <c r="B30" s="165"/>
      <c r="C30" s="165"/>
      <c r="D30" s="165"/>
      <c r="E30" s="165"/>
      <c r="F30" s="165"/>
      <c r="G30" s="165"/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165"/>
      <c r="S30" s="25" t="s">
        <v>23</v>
      </c>
    </row>
    <row r="31" spans="1:19" ht="15.75">
      <c r="A31" s="165" t="s">
        <v>185</v>
      </c>
      <c r="B31" s="165"/>
      <c r="C31" s="165"/>
      <c r="D31" s="165"/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165"/>
      <c r="S31" s="25" t="s">
        <v>23</v>
      </c>
    </row>
    <row r="32" spans="1:19" ht="15.75">
      <c r="A32" s="231" t="s">
        <v>186</v>
      </c>
      <c r="B32" s="232"/>
      <c r="C32" s="232"/>
      <c r="D32" s="232"/>
      <c r="E32" s="232"/>
      <c r="F32" s="232"/>
      <c r="G32" s="232"/>
      <c r="H32" s="232"/>
      <c r="I32" s="232"/>
      <c r="J32" s="232"/>
      <c r="K32" s="232"/>
      <c r="L32" s="232"/>
      <c r="M32" s="232"/>
      <c r="N32" s="232"/>
      <c r="O32" s="232"/>
      <c r="P32" s="232"/>
      <c r="Q32" s="232"/>
      <c r="R32" s="232"/>
      <c r="S32" s="25" t="s">
        <v>23</v>
      </c>
    </row>
    <row r="33" spans="1:19" ht="15.75">
      <c r="A33" s="231" t="s">
        <v>187</v>
      </c>
      <c r="B33" s="232"/>
      <c r="C33" s="232"/>
      <c r="D33" s="232"/>
      <c r="E33" s="232"/>
      <c r="F33" s="232"/>
      <c r="G33" s="232"/>
      <c r="H33" s="232"/>
      <c r="I33" s="232"/>
      <c r="J33" s="232"/>
      <c r="K33" s="232"/>
      <c r="L33" s="232"/>
      <c r="M33" s="232"/>
      <c r="N33" s="232"/>
      <c r="O33" s="232"/>
      <c r="P33" s="232"/>
      <c r="Q33" s="232"/>
      <c r="R33" s="232"/>
      <c r="S33" s="25" t="s">
        <v>23</v>
      </c>
    </row>
    <row r="34" spans="1:19" ht="15.75">
      <c r="A34" s="166"/>
      <c r="B34" s="167"/>
      <c r="C34" s="167"/>
      <c r="D34" s="167"/>
      <c r="E34" s="167"/>
      <c r="F34" s="167"/>
      <c r="G34" s="167"/>
      <c r="H34" s="167"/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25" t="s">
        <v>23</v>
      </c>
    </row>
    <row r="35" spans="1:19" ht="15.75">
      <c r="A35" s="166" t="s">
        <v>188</v>
      </c>
      <c r="B35" s="167"/>
      <c r="C35" s="167"/>
      <c r="D35" s="167"/>
      <c r="E35" s="167"/>
      <c r="F35" s="167"/>
      <c r="G35" s="167"/>
      <c r="H35" s="167"/>
      <c r="I35" s="167"/>
      <c r="J35" s="167"/>
      <c r="K35" s="167"/>
      <c r="L35" s="167"/>
      <c r="M35" s="167"/>
      <c r="N35" s="167"/>
      <c r="O35" s="167"/>
      <c r="P35" s="167"/>
      <c r="Q35" s="167"/>
      <c r="R35" s="167"/>
      <c r="S35" s="25" t="s">
        <v>23</v>
      </c>
    </row>
    <row r="36" spans="1:19" ht="15.75">
      <c r="A36" s="166" t="s">
        <v>189</v>
      </c>
      <c r="B36" s="167"/>
      <c r="C36" s="167"/>
      <c r="D36" s="167"/>
      <c r="E36" s="167"/>
      <c r="F36" s="167"/>
      <c r="G36" s="167"/>
      <c r="H36" s="167"/>
      <c r="I36" s="167"/>
      <c r="J36" s="167"/>
      <c r="K36" s="167"/>
      <c r="L36" s="167"/>
      <c r="M36" s="167"/>
      <c r="N36" s="167"/>
      <c r="O36" s="167"/>
      <c r="P36" s="167"/>
      <c r="Q36" s="167"/>
      <c r="R36" s="167"/>
      <c r="S36" s="25" t="s">
        <v>23</v>
      </c>
    </row>
    <row r="37" spans="1:19" ht="15.75">
      <c r="A37" s="166" t="s">
        <v>190</v>
      </c>
      <c r="B37" s="167"/>
      <c r="C37" s="167"/>
      <c r="D37" s="167"/>
      <c r="E37" s="167"/>
      <c r="F37" s="167"/>
      <c r="G37" s="167"/>
      <c r="H37" s="167"/>
      <c r="I37" s="167"/>
      <c r="J37" s="167"/>
      <c r="K37" s="167"/>
      <c r="L37" s="167"/>
      <c r="M37" s="167"/>
      <c r="N37" s="167"/>
      <c r="O37" s="167"/>
      <c r="P37" s="167"/>
      <c r="Q37" s="167"/>
      <c r="R37" s="167"/>
      <c r="S37" s="25" t="s">
        <v>23</v>
      </c>
    </row>
    <row r="38" spans="1:19" ht="15">
      <c r="A38" s="5" t="s">
        <v>152</v>
      </c>
      <c r="S38" s="25" t="s">
        <v>23</v>
      </c>
    </row>
    <row r="39" spans="1:19" ht="15.75">
      <c r="A39" s="231" t="s">
        <v>191</v>
      </c>
      <c r="B39" s="232"/>
      <c r="C39" s="232"/>
      <c r="D39" s="232"/>
      <c r="E39" s="232"/>
      <c r="F39" s="232"/>
      <c r="G39" s="232"/>
      <c r="H39" s="232"/>
      <c r="I39" s="232"/>
      <c r="J39" s="232"/>
      <c r="K39" s="232"/>
      <c r="L39" s="232"/>
      <c r="M39" s="232"/>
      <c r="N39" s="232"/>
      <c r="O39" s="232"/>
      <c r="P39" s="232"/>
      <c r="Q39" s="232"/>
      <c r="R39" s="232"/>
      <c r="S39" s="25" t="s">
        <v>23</v>
      </c>
    </row>
    <row r="40" spans="1:19">
      <c r="A40" s="230"/>
      <c r="B40" s="230"/>
      <c r="C40" s="230"/>
      <c r="D40" s="230"/>
      <c r="E40" s="230"/>
      <c r="F40" s="230"/>
      <c r="G40" s="230"/>
      <c r="H40" s="230"/>
      <c r="I40" s="230"/>
      <c r="J40" s="230"/>
      <c r="K40" s="230"/>
      <c r="L40" s="230"/>
      <c r="M40" s="230"/>
      <c r="N40" s="230"/>
      <c r="O40" s="230"/>
      <c r="P40" s="230"/>
      <c r="Q40" s="230"/>
      <c r="R40" s="230"/>
      <c r="S40" s="25" t="s">
        <v>23</v>
      </c>
    </row>
    <row r="41" spans="1:19" ht="15">
      <c r="A41" s="5" t="s">
        <v>153</v>
      </c>
      <c r="S41" s="25" t="s">
        <v>23</v>
      </c>
    </row>
    <row r="42" spans="1:19" ht="15.75">
      <c r="A42" s="231" t="s">
        <v>192</v>
      </c>
      <c r="B42" s="232"/>
      <c r="C42" s="232"/>
      <c r="D42" s="232"/>
      <c r="E42" s="232"/>
      <c r="F42" s="232"/>
      <c r="G42" s="232"/>
      <c r="H42" s="232"/>
      <c r="I42" s="232"/>
      <c r="J42" s="232"/>
      <c r="K42" s="232"/>
      <c r="L42" s="232"/>
      <c r="M42" s="232"/>
      <c r="N42" s="232"/>
      <c r="O42" s="232"/>
      <c r="P42" s="232"/>
      <c r="Q42" s="232"/>
      <c r="R42" s="232"/>
      <c r="S42" s="25" t="s">
        <v>23</v>
      </c>
    </row>
    <row r="43" spans="1:19">
      <c r="A43" s="230"/>
      <c r="B43" s="230"/>
      <c r="C43" s="230"/>
      <c r="D43" s="230"/>
      <c r="E43" s="230"/>
      <c r="F43" s="230"/>
      <c r="G43" s="230"/>
      <c r="H43" s="230"/>
      <c r="I43" s="230"/>
      <c r="J43" s="230"/>
      <c r="K43" s="230"/>
      <c r="L43" s="230"/>
      <c r="M43" s="230"/>
      <c r="N43" s="230"/>
      <c r="O43" s="230"/>
      <c r="P43" s="230"/>
      <c r="Q43" s="230"/>
      <c r="R43" s="230"/>
      <c r="S43" s="25" t="s">
        <v>23</v>
      </c>
    </row>
    <row r="44" spans="1:19">
      <c r="S44" s="25" t="s">
        <v>23</v>
      </c>
    </row>
    <row r="45" spans="1:19">
      <c r="S45" s="4" t="s">
        <v>24</v>
      </c>
    </row>
  </sheetData>
  <mergeCells count="16">
    <mergeCell ref="A32:R32"/>
    <mergeCell ref="A7:A8"/>
    <mergeCell ref="B7:D7"/>
    <mergeCell ref="H7:J7"/>
    <mergeCell ref="P7:R7"/>
    <mergeCell ref="A1:R1"/>
    <mergeCell ref="A2:R2"/>
    <mergeCell ref="A3:R3"/>
    <mergeCell ref="A4:R4"/>
    <mergeCell ref="E7:G7"/>
    <mergeCell ref="K7:M7"/>
    <mergeCell ref="A43:R43"/>
    <mergeCell ref="A33:R33"/>
    <mergeCell ref="A39:R39"/>
    <mergeCell ref="A40:R40"/>
    <mergeCell ref="A42:R42"/>
  </mergeCells>
  <printOptions horizontalCentered="1"/>
  <pageMargins left="0.7" right="0.7" top="0.64" bottom="0.61" header="0.3" footer="0.3"/>
  <pageSetup scale="56" orientation="landscape" r:id="rId1"/>
  <headerFooter>
    <oddHeader>&amp;L&amp;"Arial,Bold"&amp;12F. Crosswalk of 2012 Availability</oddHeader>
    <oddFooter>&amp;C&amp;"Arial,Regular"Exhibit F - Crosswalk of 2012 Availability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X49"/>
  <sheetViews>
    <sheetView view="pageBreakPreview" topLeftCell="A7" zoomScale="80" zoomScaleNormal="100" zoomScaleSheetLayoutView="80" workbookViewId="0">
      <selection activeCell="T8" sqref="T8"/>
    </sheetView>
  </sheetViews>
  <sheetFormatPr defaultRowHeight="14.25"/>
  <cols>
    <col min="1" max="1" width="37.140625" style="9" customWidth="1"/>
    <col min="2" max="3" width="8.28515625" style="9" customWidth="1"/>
    <col min="4" max="4" width="12.7109375" style="9" customWidth="1"/>
    <col min="5" max="5" width="15" style="9" customWidth="1"/>
    <col min="6" max="7" width="8.28515625" style="9" customWidth="1"/>
    <col min="8" max="13" width="12.7109375" style="9" customWidth="1"/>
    <col min="14" max="15" width="8.28515625" style="9" customWidth="1"/>
    <col min="16" max="16" width="12.7109375" style="9" customWidth="1"/>
    <col min="17" max="17" width="14" style="4" bestFit="1" customWidth="1"/>
    <col min="18" max="18" width="4.5703125" style="9" customWidth="1"/>
    <col min="19" max="20" width="8.28515625" style="9" customWidth="1"/>
    <col min="21" max="21" width="12.7109375" style="9" customWidth="1"/>
    <col min="22" max="23" width="8.28515625" style="9" customWidth="1"/>
    <col min="24" max="24" width="12.7109375" style="9" customWidth="1"/>
    <col min="25" max="16384" width="9.140625" style="9"/>
  </cols>
  <sheetData>
    <row r="1" spans="1:24" ht="18">
      <c r="A1" s="213" t="s">
        <v>43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5" t="s">
        <v>23</v>
      </c>
      <c r="R1" s="6"/>
      <c r="S1" s="6"/>
      <c r="T1" s="6"/>
      <c r="U1" s="6"/>
      <c r="V1" s="6"/>
      <c r="W1" s="6"/>
      <c r="X1" s="6"/>
    </row>
    <row r="2" spans="1:24" ht="15">
      <c r="A2" s="214" t="s">
        <v>226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5" t="s">
        <v>23</v>
      </c>
      <c r="R2" s="7"/>
      <c r="S2" s="7"/>
      <c r="T2" s="7"/>
      <c r="U2" s="7"/>
      <c r="V2" s="7"/>
      <c r="W2" s="7"/>
      <c r="X2" s="7"/>
    </row>
    <row r="3" spans="1:24">
      <c r="A3" s="223" t="s">
        <v>1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5" t="s">
        <v>23</v>
      </c>
      <c r="R3" s="10"/>
      <c r="S3" s="10"/>
      <c r="T3" s="10"/>
      <c r="U3" s="10"/>
      <c r="V3" s="10"/>
      <c r="W3" s="10"/>
      <c r="X3" s="10"/>
    </row>
    <row r="4" spans="1:24">
      <c r="A4" s="220" t="s">
        <v>2</v>
      </c>
      <c r="B4" s="220"/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5" t="s">
        <v>23</v>
      </c>
      <c r="R4" s="8"/>
      <c r="S4" s="8"/>
      <c r="T4" s="8"/>
      <c r="U4" s="8"/>
      <c r="V4" s="8"/>
      <c r="W4" s="8"/>
      <c r="X4" s="8"/>
    </row>
    <row r="5" spans="1:24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25" t="s">
        <v>23</v>
      </c>
      <c r="R5" s="8"/>
      <c r="S5" s="8"/>
      <c r="T5" s="8"/>
      <c r="U5" s="8"/>
      <c r="V5" s="8"/>
      <c r="W5" s="8"/>
      <c r="X5" s="8"/>
    </row>
    <row r="6" spans="1:24" ht="15" thickBot="1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5" t="s">
        <v>23</v>
      </c>
      <c r="R6" s="8"/>
      <c r="S6" s="8"/>
      <c r="T6" s="8"/>
      <c r="U6" s="8"/>
      <c r="V6" s="8"/>
      <c r="W6" s="8"/>
      <c r="X6" s="8"/>
    </row>
    <row r="7" spans="1:24" ht="60">
      <c r="A7" s="221" t="s">
        <v>140</v>
      </c>
      <c r="B7" s="224" t="s">
        <v>193</v>
      </c>
      <c r="C7" s="224"/>
      <c r="D7" s="224"/>
      <c r="E7" s="156" t="s">
        <v>168</v>
      </c>
      <c r="F7" s="224" t="s">
        <v>169</v>
      </c>
      <c r="G7" s="224"/>
      <c r="H7" s="224"/>
      <c r="I7" s="235" t="s">
        <v>183</v>
      </c>
      <c r="J7" s="233"/>
      <c r="K7" s="234"/>
      <c r="L7" s="84" t="s">
        <v>170</v>
      </c>
      <c r="M7" s="53" t="s">
        <v>171</v>
      </c>
      <c r="N7" s="224" t="s">
        <v>44</v>
      </c>
      <c r="O7" s="224"/>
      <c r="P7" s="225"/>
      <c r="Q7" s="25" t="s">
        <v>23</v>
      </c>
    </row>
    <row r="8" spans="1:24" ht="28.5">
      <c r="A8" s="222"/>
      <c r="B8" s="11" t="s">
        <v>4</v>
      </c>
      <c r="C8" s="19" t="s">
        <v>135</v>
      </c>
      <c r="D8" s="11" t="s">
        <v>5</v>
      </c>
      <c r="E8" s="19" t="s">
        <v>5</v>
      </c>
      <c r="F8" s="11" t="s">
        <v>4</v>
      </c>
      <c r="G8" s="11" t="s">
        <v>135</v>
      </c>
      <c r="H8" s="11" t="s">
        <v>5</v>
      </c>
      <c r="I8" s="11" t="s">
        <v>4</v>
      </c>
      <c r="J8" s="11" t="s">
        <v>135</v>
      </c>
      <c r="K8" s="11" t="s">
        <v>5</v>
      </c>
      <c r="L8" s="19" t="s">
        <v>5</v>
      </c>
      <c r="M8" s="11" t="s">
        <v>5</v>
      </c>
      <c r="N8" s="11" t="s">
        <v>4</v>
      </c>
      <c r="O8" s="11" t="s">
        <v>135</v>
      </c>
      <c r="P8" s="12" t="s">
        <v>5</v>
      </c>
      <c r="Q8" s="25" t="s">
        <v>23</v>
      </c>
    </row>
    <row r="9" spans="1:24" ht="43.5">
      <c r="A9" s="266" t="s">
        <v>182</v>
      </c>
      <c r="B9" s="267">
        <v>48</v>
      </c>
      <c r="C9" s="267">
        <v>49</v>
      </c>
      <c r="D9" s="202">
        <v>10790</v>
      </c>
      <c r="E9" s="202">
        <v>0</v>
      </c>
      <c r="F9" s="201">
        <v>6</v>
      </c>
      <c r="G9" s="201">
        <v>6</v>
      </c>
      <c r="H9" s="202">
        <v>570</v>
      </c>
      <c r="I9" s="201">
        <v>0</v>
      </c>
      <c r="J9" s="201">
        <v>0</v>
      </c>
      <c r="K9" s="202">
        <v>0</v>
      </c>
      <c r="L9" s="202">
        <v>0</v>
      </c>
      <c r="M9" s="202">
        <v>0</v>
      </c>
      <c r="N9" s="160">
        <f>B9+F9+I9</f>
        <v>54</v>
      </c>
      <c r="O9" s="160">
        <f>C9+G9+J9</f>
        <v>55</v>
      </c>
      <c r="P9" s="160">
        <f>D9+E9+H9++K9+L9+M9</f>
        <v>11360</v>
      </c>
      <c r="Q9" s="25" t="s">
        <v>23</v>
      </c>
    </row>
    <row r="10" spans="1:24" ht="15.75">
      <c r="A10" s="268" t="s">
        <v>172</v>
      </c>
      <c r="B10" s="269">
        <v>639</v>
      </c>
      <c r="C10" s="269">
        <v>519</v>
      </c>
      <c r="D10" s="159">
        <v>105519</v>
      </c>
      <c r="E10" s="159">
        <v>0</v>
      </c>
      <c r="F10" s="159">
        <v>0</v>
      </c>
      <c r="G10" s="159">
        <v>0</v>
      </c>
      <c r="H10" s="159">
        <v>0</v>
      </c>
      <c r="I10" s="159">
        <v>0</v>
      </c>
      <c r="J10" s="159">
        <v>0</v>
      </c>
      <c r="K10" s="159">
        <v>0</v>
      </c>
      <c r="L10" s="159">
        <v>11</v>
      </c>
      <c r="M10" s="159">
        <v>369</v>
      </c>
      <c r="N10" s="157">
        <f t="shared" ref="N10:N21" si="0">B10+F10+I10</f>
        <v>639</v>
      </c>
      <c r="O10" s="157">
        <f t="shared" ref="O10:O21" si="1">C10+G10+J10</f>
        <v>519</v>
      </c>
      <c r="P10" s="157">
        <f t="shared" ref="P10:P21" si="2">D10+E10+H10++K10+L10+M10</f>
        <v>105899</v>
      </c>
      <c r="Q10" s="25" t="s">
        <v>23</v>
      </c>
    </row>
    <row r="11" spans="1:24" ht="15.75">
      <c r="A11" s="268" t="s">
        <v>173</v>
      </c>
      <c r="B11" s="269">
        <v>751</v>
      </c>
      <c r="C11" s="269">
        <v>670</v>
      </c>
      <c r="D11" s="159">
        <v>175065</v>
      </c>
      <c r="E11" s="159">
        <v>0</v>
      </c>
      <c r="F11" s="159">
        <v>0</v>
      </c>
      <c r="G11" s="159">
        <v>0</v>
      </c>
      <c r="H11" s="159">
        <v>0</v>
      </c>
      <c r="I11" s="159">
        <v>0</v>
      </c>
      <c r="J11" s="159">
        <v>0</v>
      </c>
      <c r="K11" s="159">
        <v>0</v>
      </c>
      <c r="L11" s="159">
        <v>424</v>
      </c>
      <c r="M11" s="159">
        <v>1</v>
      </c>
      <c r="N11" s="157">
        <f t="shared" si="0"/>
        <v>751</v>
      </c>
      <c r="O11" s="157">
        <f t="shared" si="1"/>
        <v>670</v>
      </c>
      <c r="P11" s="157">
        <f t="shared" si="2"/>
        <v>175490</v>
      </c>
      <c r="Q11" s="25" t="s">
        <v>23</v>
      </c>
    </row>
    <row r="12" spans="1:24" ht="31.5">
      <c r="A12" s="268" t="s">
        <v>174</v>
      </c>
      <c r="B12" s="269">
        <v>1420</v>
      </c>
      <c r="C12" s="269">
        <v>1233</v>
      </c>
      <c r="D12" s="159">
        <v>284836</v>
      </c>
      <c r="E12" s="159">
        <v>0</v>
      </c>
      <c r="F12" s="159">
        <v>0</v>
      </c>
      <c r="G12" s="159">
        <v>0</v>
      </c>
      <c r="H12" s="159">
        <v>0</v>
      </c>
      <c r="I12" s="159">
        <v>0</v>
      </c>
      <c r="J12" s="159">
        <v>0</v>
      </c>
      <c r="K12" s="159">
        <v>0</v>
      </c>
      <c r="L12" s="159">
        <v>517</v>
      </c>
      <c r="M12" s="159">
        <v>1</v>
      </c>
      <c r="N12" s="157">
        <f t="shared" si="0"/>
        <v>1420</v>
      </c>
      <c r="O12" s="157">
        <f t="shared" si="1"/>
        <v>1233</v>
      </c>
      <c r="P12" s="157">
        <f t="shared" si="2"/>
        <v>285354</v>
      </c>
      <c r="Q12" s="25" t="s">
        <v>23</v>
      </c>
    </row>
    <row r="13" spans="1:24" ht="31.5">
      <c r="A13" s="268" t="s">
        <v>175</v>
      </c>
      <c r="B13" s="269">
        <v>537</v>
      </c>
      <c r="C13" s="269">
        <v>520</v>
      </c>
      <c r="D13" s="159">
        <v>108670</v>
      </c>
      <c r="E13" s="159">
        <v>0</v>
      </c>
      <c r="F13" s="159">
        <v>0</v>
      </c>
      <c r="G13" s="159">
        <v>0</v>
      </c>
      <c r="H13" s="159">
        <v>0</v>
      </c>
      <c r="I13" s="159">
        <v>0</v>
      </c>
      <c r="J13" s="159">
        <v>0</v>
      </c>
      <c r="K13" s="159">
        <v>300</v>
      </c>
      <c r="L13" s="159">
        <v>2004</v>
      </c>
      <c r="M13" s="159">
        <v>0</v>
      </c>
      <c r="N13" s="157">
        <f t="shared" si="0"/>
        <v>537</v>
      </c>
      <c r="O13" s="157">
        <f t="shared" si="1"/>
        <v>520</v>
      </c>
      <c r="P13" s="157">
        <f t="shared" si="2"/>
        <v>110974</v>
      </c>
      <c r="Q13" s="25" t="s">
        <v>23</v>
      </c>
    </row>
    <row r="14" spans="1:24" ht="15.75">
      <c r="A14" s="268" t="s">
        <v>176</v>
      </c>
      <c r="B14" s="269">
        <v>37</v>
      </c>
      <c r="C14" s="269">
        <v>28</v>
      </c>
      <c r="D14" s="159">
        <v>7652</v>
      </c>
      <c r="E14" s="159">
        <v>0</v>
      </c>
      <c r="F14" s="159">
        <v>-8</v>
      </c>
      <c r="G14" s="159">
        <v>-8</v>
      </c>
      <c r="H14" s="159">
        <v>-570</v>
      </c>
      <c r="I14" s="159">
        <v>0</v>
      </c>
      <c r="J14" s="159">
        <v>0</v>
      </c>
      <c r="K14" s="159">
        <v>0</v>
      </c>
      <c r="L14" s="159">
        <v>0</v>
      </c>
      <c r="M14" s="159">
        <v>0</v>
      </c>
      <c r="N14" s="157">
        <f t="shared" si="0"/>
        <v>29</v>
      </c>
      <c r="O14" s="157">
        <f t="shared" si="1"/>
        <v>20</v>
      </c>
      <c r="P14" s="157">
        <f t="shared" si="2"/>
        <v>7082</v>
      </c>
      <c r="Q14" s="25" t="s">
        <v>23</v>
      </c>
    </row>
    <row r="15" spans="1:24" ht="15.75">
      <c r="A15" s="268" t="s">
        <v>177</v>
      </c>
      <c r="B15" s="269">
        <v>715</v>
      </c>
      <c r="C15" s="269">
        <v>630</v>
      </c>
      <c r="D15" s="159">
        <v>145384</v>
      </c>
      <c r="E15" s="159">
        <v>0</v>
      </c>
      <c r="F15" s="159">
        <v>0</v>
      </c>
      <c r="G15" s="159">
        <v>0</v>
      </c>
      <c r="H15" s="159">
        <v>0</v>
      </c>
      <c r="I15" s="159">
        <v>0</v>
      </c>
      <c r="J15" s="159">
        <v>0</v>
      </c>
      <c r="K15" s="159">
        <v>0</v>
      </c>
      <c r="L15" s="159">
        <v>0</v>
      </c>
      <c r="M15" s="159">
        <v>0</v>
      </c>
      <c r="N15" s="157">
        <f t="shared" si="0"/>
        <v>715</v>
      </c>
      <c r="O15" s="157">
        <f t="shared" si="1"/>
        <v>630</v>
      </c>
      <c r="P15" s="157">
        <f t="shared" si="2"/>
        <v>145384</v>
      </c>
      <c r="Q15" s="25" t="s">
        <v>23</v>
      </c>
    </row>
    <row r="16" spans="1:24" ht="31.5">
      <c r="A16" s="268" t="s">
        <v>178</v>
      </c>
      <c r="B16" s="269">
        <v>77</v>
      </c>
      <c r="C16" s="269">
        <v>69</v>
      </c>
      <c r="D16" s="159">
        <v>29936</v>
      </c>
      <c r="E16" s="159">
        <v>0</v>
      </c>
      <c r="F16" s="159">
        <v>0</v>
      </c>
      <c r="G16" s="159">
        <v>0</v>
      </c>
      <c r="H16" s="159">
        <v>0</v>
      </c>
      <c r="I16" s="159">
        <v>0</v>
      </c>
      <c r="J16" s="159">
        <v>0</v>
      </c>
      <c r="K16" s="159">
        <v>0</v>
      </c>
      <c r="L16" s="159">
        <v>0</v>
      </c>
      <c r="M16" s="159">
        <v>0</v>
      </c>
      <c r="N16" s="157">
        <f t="shared" si="0"/>
        <v>77</v>
      </c>
      <c r="O16" s="157">
        <f t="shared" si="1"/>
        <v>69</v>
      </c>
      <c r="P16" s="157">
        <f t="shared" si="2"/>
        <v>29936</v>
      </c>
      <c r="Q16" s="25" t="s">
        <v>23</v>
      </c>
    </row>
    <row r="17" spans="1:17" ht="15.75">
      <c r="A17" s="158" t="s">
        <v>179</v>
      </c>
      <c r="B17" s="159">
        <v>3</v>
      </c>
      <c r="C17" s="159">
        <v>3</v>
      </c>
      <c r="D17" s="159">
        <v>800</v>
      </c>
      <c r="E17" s="159">
        <v>0</v>
      </c>
      <c r="F17" s="159">
        <v>-3</v>
      </c>
      <c r="G17" s="159">
        <v>-3</v>
      </c>
      <c r="H17" s="159">
        <v>-800</v>
      </c>
      <c r="I17" s="159">
        <v>0</v>
      </c>
      <c r="J17" s="159">
        <v>0</v>
      </c>
      <c r="K17" s="159">
        <v>0</v>
      </c>
      <c r="L17" s="159">
        <v>0</v>
      </c>
      <c r="M17" s="159">
        <v>0</v>
      </c>
      <c r="N17" s="157">
        <f t="shared" si="0"/>
        <v>0</v>
      </c>
      <c r="O17" s="157">
        <f t="shared" si="1"/>
        <v>0</v>
      </c>
      <c r="P17" s="157">
        <f t="shared" si="2"/>
        <v>0</v>
      </c>
      <c r="Q17" s="25" t="s">
        <v>23</v>
      </c>
    </row>
    <row r="18" spans="1:17" ht="15.75">
      <c r="A18" s="158" t="s">
        <v>180</v>
      </c>
      <c r="B18" s="159">
        <v>0</v>
      </c>
      <c r="C18" s="159">
        <v>0</v>
      </c>
      <c r="D18" s="159">
        <v>0</v>
      </c>
      <c r="E18" s="159">
        <v>0</v>
      </c>
      <c r="F18" s="159">
        <v>0</v>
      </c>
      <c r="G18" s="159">
        <v>0</v>
      </c>
      <c r="H18" s="159">
        <v>0</v>
      </c>
      <c r="I18" s="159">
        <v>0</v>
      </c>
      <c r="J18" s="159">
        <v>0</v>
      </c>
      <c r="K18" s="159">
        <v>0</v>
      </c>
      <c r="L18" s="159">
        <v>0</v>
      </c>
      <c r="M18" s="159">
        <v>0</v>
      </c>
      <c r="N18" s="157">
        <f t="shared" si="0"/>
        <v>0</v>
      </c>
      <c r="O18" s="157">
        <f t="shared" si="1"/>
        <v>0</v>
      </c>
      <c r="P18" s="157">
        <f t="shared" si="2"/>
        <v>0</v>
      </c>
      <c r="Q18" s="25" t="s">
        <v>23</v>
      </c>
    </row>
    <row r="19" spans="1:17" ht="15.75">
      <c r="A19" s="158" t="s">
        <v>181</v>
      </c>
      <c r="B19" s="164">
        <v>0</v>
      </c>
      <c r="C19" s="164">
        <v>0</v>
      </c>
      <c r="D19" s="164">
        <v>0</v>
      </c>
      <c r="E19" s="164">
        <v>0</v>
      </c>
      <c r="F19" s="164">
        <v>0</v>
      </c>
      <c r="G19" s="164">
        <v>0</v>
      </c>
      <c r="H19" s="164">
        <v>1450</v>
      </c>
      <c r="I19" s="164">
        <v>0</v>
      </c>
      <c r="J19" s="164">
        <v>0</v>
      </c>
      <c r="K19" s="164">
        <v>-300</v>
      </c>
      <c r="L19" s="164">
        <v>1065</v>
      </c>
      <c r="M19" s="164">
        <v>0</v>
      </c>
      <c r="N19" s="157">
        <f t="shared" si="0"/>
        <v>0</v>
      </c>
      <c r="O19" s="157">
        <f t="shared" si="1"/>
        <v>0</v>
      </c>
      <c r="P19" s="157">
        <f t="shared" si="2"/>
        <v>2215</v>
      </c>
      <c r="Q19" s="25" t="s">
        <v>23</v>
      </c>
    </row>
    <row r="20" spans="1:17" hidden="1">
      <c r="A20" s="15" t="s">
        <v>28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/>
      <c r="J20" s="21"/>
      <c r="K20" s="21"/>
      <c r="L20" s="21">
        <v>0</v>
      </c>
      <c r="M20" s="21">
        <v>0</v>
      </c>
      <c r="N20" s="161">
        <f t="shared" si="0"/>
        <v>0</v>
      </c>
      <c r="O20" s="157">
        <f t="shared" si="1"/>
        <v>0</v>
      </c>
      <c r="P20" s="170">
        <f t="shared" si="2"/>
        <v>0</v>
      </c>
      <c r="Q20" s="25" t="s">
        <v>23</v>
      </c>
    </row>
    <row r="21" spans="1:17" hidden="1">
      <c r="A21" s="13" t="s">
        <v>29</v>
      </c>
      <c r="B21" s="103">
        <v>0</v>
      </c>
      <c r="C21" s="103">
        <v>0</v>
      </c>
      <c r="D21" s="103">
        <v>0</v>
      </c>
      <c r="E21" s="103">
        <v>0</v>
      </c>
      <c r="F21" s="103">
        <v>0</v>
      </c>
      <c r="G21" s="103">
        <v>0</v>
      </c>
      <c r="H21" s="103">
        <v>0</v>
      </c>
      <c r="I21" s="103"/>
      <c r="J21" s="103"/>
      <c r="K21" s="103"/>
      <c r="L21" s="103">
        <v>0</v>
      </c>
      <c r="M21" s="103">
        <v>0</v>
      </c>
      <c r="N21" s="162">
        <f t="shared" si="0"/>
        <v>0</v>
      </c>
      <c r="O21" s="103">
        <f t="shared" si="1"/>
        <v>0</v>
      </c>
      <c r="P21" s="171">
        <f t="shared" si="2"/>
        <v>0</v>
      </c>
      <c r="Q21" s="25" t="s">
        <v>23</v>
      </c>
    </row>
    <row r="22" spans="1:17" ht="15">
      <c r="A22" s="14" t="s">
        <v>137</v>
      </c>
      <c r="B22" s="105">
        <f>SUM(B9:B21)</f>
        <v>4227</v>
      </c>
      <c r="C22" s="105">
        <f t="shared" ref="C22:P22" si="3">SUM(C9:C21)</f>
        <v>3721</v>
      </c>
      <c r="D22" s="105">
        <f t="shared" si="3"/>
        <v>868652</v>
      </c>
      <c r="E22" s="105">
        <f t="shared" si="3"/>
        <v>0</v>
      </c>
      <c r="F22" s="105">
        <f t="shared" si="3"/>
        <v>-5</v>
      </c>
      <c r="G22" s="105">
        <f t="shared" si="3"/>
        <v>-5</v>
      </c>
      <c r="H22" s="105">
        <f t="shared" si="3"/>
        <v>650</v>
      </c>
      <c r="I22" s="105"/>
      <c r="J22" s="105"/>
      <c r="K22" s="105"/>
      <c r="L22" s="105">
        <f>SUM(L9:L21)</f>
        <v>4021</v>
      </c>
      <c r="M22" s="168">
        <f>SUM(M9:M21)</f>
        <v>371</v>
      </c>
      <c r="N22" s="168">
        <f t="shared" si="3"/>
        <v>4222</v>
      </c>
      <c r="O22" s="168">
        <f t="shared" si="3"/>
        <v>3716</v>
      </c>
      <c r="P22" s="169">
        <f t="shared" si="3"/>
        <v>873694</v>
      </c>
      <c r="Q22" s="25" t="s">
        <v>23</v>
      </c>
    </row>
    <row r="23" spans="1:17">
      <c r="A23" s="86" t="s">
        <v>136</v>
      </c>
      <c r="B23" s="100"/>
      <c r="C23" s="100"/>
      <c r="D23" s="100">
        <v>0</v>
      </c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1">
        <f>D23+E23+H23+L23+M23</f>
        <v>0</v>
      </c>
      <c r="Q23" s="25" t="s">
        <v>23</v>
      </c>
    </row>
    <row r="24" spans="1:17">
      <c r="A24" s="87" t="s">
        <v>150</v>
      </c>
      <c r="B24" s="118"/>
      <c r="C24" s="118"/>
      <c r="D24" s="118">
        <f>SUM(D22:D23)</f>
        <v>868652</v>
      </c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9">
        <f>SUM(P22:P23)</f>
        <v>873694</v>
      </c>
      <c r="Q24" s="25" t="s">
        <v>23</v>
      </c>
    </row>
    <row r="25" spans="1:17">
      <c r="A25" s="57" t="s">
        <v>31</v>
      </c>
      <c r="B25" s="112"/>
      <c r="C25" s="257">
        <f>SUM(29+282+124+115)</f>
        <v>550</v>
      </c>
      <c r="D25" s="112"/>
      <c r="E25" s="112"/>
      <c r="F25" s="112"/>
      <c r="G25" s="112">
        <v>0</v>
      </c>
      <c r="H25" s="112"/>
      <c r="I25" s="112"/>
      <c r="J25" s="112"/>
      <c r="K25" s="112"/>
      <c r="L25" s="112">
        <v>0</v>
      </c>
      <c r="M25" s="112"/>
      <c r="N25" s="112"/>
      <c r="O25" s="112">
        <f t="shared" ref="O25" si="4">C25+G25</f>
        <v>550</v>
      </c>
      <c r="P25" s="113"/>
      <c r="Q25" s="25" t="s">
        <v>23</v>
      </c>
    </row>
    <row r="26" spans="1:17">
      <c r="A26" s="79" t="s">
        <v>138</v>
      </c>
      <c r="B26" s="21"/>
      <c r="C26" s="21">
        <f>C22+C25</f>
        <v>4271</v>
      </c>
      <c r="D26" s="21"/>
      <c r="E26" s="21"/>
      <c r="F26" s="21"/>
      <c r="G26" s="21">
        <f>G22+G25</f>
        <v>-5</v>
      </c>
      <c r="H26" s="21"/>
      <c r="I26" s="21"/>
      <c r="J26" s="21"/>
      <c r="K26" s="21"/>
      <c r="L26" s="21">
        <f>L22+L25</f>
        <v>4021</v>
      </c>
      <c r="M26" s="21"/>
      <c r="N26" s="21"/>
      <c r="O26" s="21">
        <f>O22+O25</f>
        <v>4266</v>
      </c>
      <c r="P26" s="102"/>
      <c r="Q26" s="25" t="s">
        <v>23</v>
      </c>
    </row>
    <row r="27" spans="1:17">
      <c r="A27" s="15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102"/>
      <c r="Q27" s="25" t="s">
        <v>23</v>
      </c>
    </row>
    <row r="28" spans="1:17">
      <c r="A28" s="15" t="s">
        <v>32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102"/>
      <c r="Q28" s="25" t="s">
        <v>23</v>
      </c>
    </row>
    <row r="29" spans="1:17">
      <c r="A29" s="16" t="s">
        <v>33</v>
      </c>
      <c r="B29" s="21"/>
      <c r="C29" s="21">
        <v>0</v>
      </c>
      <c r="D29" s="21"/>
      <c r="E29" s="21"/>
      <c r="F29" s="21"/>
      <c r="G29" s="21">
        <v>0</v>
      </c>
      <c r="H29" s="21"/>
      <c r="I29" s="21"/>
      <c r="J29" s="21"/>
      <c r="K29" s="21"/>
      <c r="L29" s="21">
        <v>0</v>
      </c>
      <c r="M29" s="21"/>
      <c r="N29" s="21"/>
      <c r="O29" s="21">
        <f t="shared" ref="O29:O30" si="5">C29+G29</f>
        <v>0</v>
      </c>
      <c r="P29" s="102"/>
      <c r="Q29" s="25" t="s">
        <v>23</v>
      </c>
    </row>
    <row r="30" spans="1:17">
      <c r="A30" s="17" t="s">
        <v>34</v>
      </c>
      <c r="B30" s="114"/>
      <c r="C30" s="114">
        <v>0</v>
      </c>
      <c r="D30" s="114"/>
      <c r="E30" s="114"/>
      <c r="F30" s="114"/>
      <c r="G30" s="114">
        <v>0</v>
      </c>
      <c r="H30" s="114"/>
      <c r="I30" s="114"/>
      <c r="J30" s="114"/>
      <c r="K30" s="114"/>
      <c r="L30" s="114">
        <v>0</v>
      </c>
      <c r="M30" s="114"/>
      <c r="N30" s="114"/>
      <c r="O30" s="114">
        <f t="shared" si="5"/>
        <v>0</v>
      </c>
      <c r="P30" s="115"/>
      <c r="Q30" s="25" t="s">
        <v>23</v>
      </c>
    </row>
    <row r="31" spans="1:17" ht="15" thickBot="1">
      <c r="A31" s="80" t="s">
        <v>139</v>
      </c>
      <c r="B31" s="116"/>
      <c r="C31" s="116">
        <f>C26+C29+C30</f>
        <v>4271</v>
      </c>
      <c r="D31" s="116"/>
      <c r="E31" s="116"/>
      <c r="F31" s="116"/>
      <c r="G31" s="116">
        <f>G26+G29+G30</f>
        <v>-5</v>
      </c>
      <c r="H31" s="116"/>
      <c r="I31" s="116"/>
      <c r="J31" s="116"/>
      <c r="K31" s="116"/>
      <c r="L31" s="116">
        <f>L26+L29+L30</f>
        <v>4021</v>
      </c>
      <c r="M31" s="116"/>
      <c r="N31" s="116"/>
      <c r="O31" s="116">
        <f>SUM(O26,O29:O30)</f>
        <v>4266</v>
      </c>
      <c r="P31" s="117"/>
      <c r="Q31" s="25" t="s">
        <v>23</v>
      </c>
    </row>
    <row r="32" spans="1:17">
      <c r="Q32" s="25" t="s">
        <v>23</v>
      </c>
    </row>
    <row r="33" spans="1:17">
      <c r="Q33" s="25" t="s">
        <v>23</v>
      </c>
    </row>
    <row r="34" spans="1:17">
      <c r="Q34" s="25" t="s">
        <v>23</v>
      </c>
    </row>
    <row r="35" spans="1:17" ht="15">
      <c r="A35" s="5" t="s">
        <v>41</v>
      </c>
      <c r="Q35" s="25" t="s">
        <v>23</v>
      </c>
    </row>
    <row r="36" spans="1:17" ht="40.5" customHeight="1">
      <c r="A36" s="236" t="s">
        <v>219</v>
      </c>
      <c r="B36" s="236"/>
      <c r="C36" s="236"/>
      <c r="D36" s="236"/>
      <c r="E36" s="236"/>
      <c r="F36" s="236"/>
      <c r="G36" s="236"/>
      <c r="H36" s="236"/>
      <c r="I36" s="236"/>
      <c r="J36" s="236"/>
      <c r="K36" s="236"/>
      <c r="L36" s="236"/>
      <c r="M36" s="236"/>
      <c r="N36" s="236"/>
      <c r="O36" s="236"/>
      <c r="P36" s="236"/>
      <c r="Q36" s="25" t="s">
        <v>23</v>
      </c>
    </row>
    <row r="37" spans="1:17" ht="15.75">
      <c r="A37" s="165" t="s">
        <v>194</v>
      </c>
      <c r="B37" s="165"/>
      <c r="C37" s="165"/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25" t="s">
        <v>23</v>
      </c>
    </row>
    <row r="38" spans="1:17" ht="15.75">
      <c r="A38" s="231" t="s">
        <v>195</v>
      </c>
      <c r="B38" s="232"/>
      <c r="C38" s="232"/>
      <c r="D38" s="232"/>
      <c r="E38" s="232"/>
      <c r="F38" s="232"/>
      <c r="G38" s="232"/>
      <c r="H38" s="232"/>
      <c r="I38" s="232"/>
      <c r="J38" s="232"/>
      <c r="K38" s="232"/>
      <c r="L38" s="232"/>
      <c r="M38" s="232"/>
      <c r="N38" s="232"/>
      <c r="O38" s="232"/>
      <c r="P38" s="232"/>
      <c r="Q38" s="25" t="s">
        <v>23</v>
      </c>
    </row>
    <row r="39" spans="1:17" ht="15.75">
      <c r="A39" s="166"/>
      <c r="B39" s="167"/>
      <c r="C39" s="167"/>
      <c r="D39" s="167"/>
      <c r="E39" s="167"/>
      <c r="F39" s="167"/>
      <c r="G39" s="167"/>
      <c r="H39" s="167"/>
      <c r="I39" s="167"/>
      <c r="J39" s="167"/>
      <c r="K39" s="167"/>
      <c r="L39" s="167"/>
      <c r="M39" s="167"/>
      <c r="N39" s="167"/>
      <c r="O39" s="167"/>
      <c r="P39" s="167"/>
      <c r="Q39" s="25" t="s">
        <v>23</v>
      </c>
    </row>
    <row r="40" spans="1:17" ht="15.75">
      <c r="A40" s="166" t="s">
        <v>183</v>
      </c>
      <c r="B40" s="167"/>
      <c r="C40" s="167"/>
      <c r="D40" s="167"/>
      <c r="E40" s="167"/>
      <c r="F40" s="167"/>
      <c r="G40" s="167"/>
      <c r="H40" s="167"/>
      <c r="I40" s="167"/>
      <c r="J40" s="167"/>
      <c r="K40" s="167"/>
      <c r="L40" s="167"/>
      <c r="M40" s="167"/>
      <c r="N40" s="167"/>
      <c r="O40" s="167"/>
      <c r="P40" s="167"/>
      <c r="Q40" s="25" t="s">
        <v>23</v>
      </c>
    </row>
    <row r="41" spans="1:17" ht="15.75">
      <c r="A41" s="166" t="s">
        <v>196</v>
      </c>
      <c r="B41" s="167"/>
      <c r="C41" s="167"/>
      <c r="D41" s="167"/>
      <c r="E41" s="167"/>
      <c r="F41" s="167"/>
      <c r="G41" s="167"/>
      <c r="H41" s="167"/>
      <c r="I41" s="167"/>
      <c r="J41" s="167"/>
      <c r="K41" s="167"/>
      <c r="L41" s="167"/>
      <c r="M41" s="167"/>
      <c r="N41" s="167"/>
      <c r="O41" s="167"/>
      <c r="P41" s="167"/>
      <c r="Q41" s="25" t="s">
        <v>23</v>
      </c>
    </row>
    <row r="42" spans="1:17" ht="15">
      <c r="A42" s="5" t="s">
        <v>152</v>
      </c>
      <c r="Q42" s="25" t="s">
        <v>23</v>
      </c>
    </row>
    <row r="43" spans="1:17" ht="15.75">
      <c r="A43" s="231" t="s">
        <v>197</v>
      </c>
      <c r="B43" s="232"/>
      <c r="C43" s="232"/>
      <c r="D43" s="232"/>
      <c r="E43" s="232"/>
      <c r="F43" s="232"/>
      <c r="G43" s="232"/>
      <c r="H43" s="232"/>
      <c r="I43" s="232"/>
      <c r="J43" s="232"/>
      <c r="K43" s="232"/>
      <c r="L43" s="232"/>
      <c r="M43" s="232"/>
      <c r="N43" s="232"/>
      <c r="O43" s="232"/>
      <c r="P43" s="232"/>
      <c r="Q43" s="25" t="s">
        <v>23</v>
      </c>
    </row>
    <row r="44" spans="1:17">
      <c r="A44" s="230"/>
      <c r="B44" s="230"/>
      <c r="C44" s="230"/>
      <c r="D44" s="230"/>
      <c r="E44" s="230"/>
      <c r="F44" s="230"/>
      <c r="G44" s="230"/>
      <c r="H44" s="230"/>
      <c r="I44" s="230"/>
      <c r="J44" s="230"/>
      <c r="K44" s="230"/>
      <c r="L44" s="230"/>
      <c r="M44" s="230"/>
      <c r="N44" s="230"/>
      <c r="O44" s="230"/>
      <c r="P44" s="230"/>
      <c r="Q44" s="25" t="s">
        <v>23</v>
      </c>
    </row>
    <row r="45" spans="1:17" ht="15">
      <c r="A45" s="5" t="s">
        <v>153</v>
      </c>
      <c r="Q45" s="25" t="s">
        <v>23</v>
      </c>
    </row>
    <row r="46" spans="1:17" ht="15.75">
      <c r="A46" s="231" t="s">
        <v>198</v>
      </c>
      <c r="B46" s="232"/>
      <c r="C46" s="232"/>
      <c r="D46" s="232"/>
      <c r="E46" s="232"/>
      <c r="F46" s="232"/>
      <c r="G46" s="232"/>
      <c r="H46" s="232"/>
      <c r="I46" s="232"/>
      <c r="J46" s="232"/>
      <c r="K46" s="232"/>
      <c r="L46" s="232"/>
      <c r="M46" s="232"/>
      <c r="N46" s="232"/>
      <c r="O46" s="232"/>
      <c r="P46" s="232"/>
      <c r="Q46" s="25" t="s">
        <v>23</v>
      </c>
    </row>
    <row r="47" spans="1:17" ht="15.75">
      <c r="A47" s="165"/>
      <c r="B47" s="172"/>
      <c r="C47" s="172"/>
      <c r="D47" s="172"/>
      <c r="E47" s="172"/>
      <c r="F47" s="172"/>
      <c r="G47" s="172"/>
      <c r="H47" s="172"/>
      <c r="I47" s="166"/>
      <c r="J47" s="166"/>
      <c r="K47" s="166"/>
      <c r="L47" s="166"/>
      <c r="M47" s="166"/>
      <c r="N47" s="166"/>
      <c r="O47" s="166"/>
      <c r="P47" s="166"/>
      <c r="Q47" s="25" t="s">
        <v>23</v>
      </c>
    </row>
    <row r="48" spans="1:17" ht="15.75">
      <c r="A48" s="172" t="s">
        <v>199</v>
      </c>
      <c r="B48" s="172"/>
      <c r="C48" s="172"/>
      <c r="D48" s="172"/>
      <c r="E48" s="172"/>
      <c r="F48" s="172"/>
      <c r="G48" s="172"/>
      <c r="H48" s="172"/>
      <c r="I48" s="166"/>
      <c r="J48" s="166"/>
      <c r="K48" s="166"/>
      <c r="L48" s="166"/>
      <c r="M48" s="166"/>
      <c r="N48" s="166"/>
      <c r="O48" s="166"/>
      <c r="P48" s="166"/>
      <c r="Q48" s="25" t="s">
        <v>23</v>
      </c>
    </row>
    <row r="49" spans="17:17">
      <c r="Q49" s="4" t="s">
        <v>24</v>
      </c>
    </row>
  </sheetData>
  <mergeCells count="14">
    <mergeCell ref="A38:P38"/>
    <mergeCell ref="A43:P43"/>
    <mergeCell ref="A44:P44"/>
    <mergeCell ref="A46:P46"/>
    <mergeCell ref="A1:P1"/>
    <mergeCell ref="A2:P2"/>
    <mergeCell ref="A3:P3"/>
    <mergeCell ref="A4:P4"/>
    <mergeCell ref="A7:A8"/>
    <mergeCell ref="B7:D7"/>
    <mergeCell ref="F7:H7"/>
    <mergeCell ref="N7:P7"/>
    <mergeCell ref="I7:K7"/>
    <mergeCell ref="A36:P36"/>
  </mergeCells>
  <printOptions horizontalCentered="1"/>
  <pageMargins left="0.7" right="0.7" top="0.66" bottom="0.66" header="0.3" footer="0.3"/>
  <pageSetup scale="60" orientation="landscape" r:id="rId1"/>
  <headerFooter>
    <oddHeader>&amp;L&amp;"Arial,Bold"&amp;12G. Crosswalk of 2013 Availability</oddHeader>
    <oddFooter>&amp;C&amp;"Arial,Regular"Exhibit G - Crosswalk of 2013 Availability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R37"/>
  <sheetViews>
    <sheetView view="pageBreakPreview" zoomScale="80" zoomScaleNormal="100" zoomScaleSheetLayoutView="80" workbookViewId="0">
      <selection activeCell="O29" sqref="O29"/>
    </sheetView>
  </sheetViews>
  <sheetFormatPr defaultRowHeight="14.25"/>
  <cols>
    <col min="1" max="1" width="45.85546875" style="9" customWidth="1"/>
    <col min="2" max="9" width="13.7109375" style="9" customWidth="1"/>
    <col min="10" max="10" width="15" style="9" customWidth="1"/>
    <col min="11" max="11" width="14" style="4" bestFit="1" customWidth="1"/>
    <col min="12" max="12" width="4.5703125" style="9" customWidth="1"/>
    <col min="13" max="14" width="8.28515625" style="9" customWidth="1"/>
    <col min="15" max="15" width="12.7109375" style="9" customWidth="1"/>
    <col min="16" max="17" width="8.28515625" style="9" customWidth="1"/>
    <col min="18" max="18" width="12.7109375" style="9" customWidth="1"/>
    <col min="19" max="16384" width="9.140625" style="9"/>
  </cols>
  <sheetData>
    <row r="1" spans="1:18" ht="18">
      <c r="A1" s="213" t="s">
        <v>48</v>
      </c>
      <c r="B1" s="213"/>
      <c r="C1" s="213"/>
      <c r="D1" s="213"/>
      <c r="E1" s="213"/>
      <c r="F1" s="213"/>
      <c r="G1" s="213"/>
      <c r="H1" s="213"/>
      <c r="I1" s="213"/>
      <c r="J1" s="213"/>
      <c r="K1" s="25" t="s">
        <v>23</v>
      </c>
      <c r="L1" s="6"/>
      <c r="M1" s="6"/>
      <c r="N1" s="6"/>
      <c r="O1" s="6"/>
      <c r="P1" s="6"/>
      <c r="Q1" s="6"/>
      <c r="R1" s="6"/>
    </row>
    <row r="2" spans="1:18" ht="15">
      <c r="A2" s="214" t="s">
        <v>226</v>
      </c>
      <c r="B2" s="214"/>
      <c r="C2" s="214"/>
      <c r="D2" s="214"/>
      <c r="E2" s="214"/>
      <c r="F2" s="214"/>
      <c r="G2" s="214"/>
      <c r="H2" s="214"/>
      <c r="I2" s="214"/>
      <c r="J2" s="214"/>
      <c r="K2" s="25" t="s">
        <v>23</v>
      </c>
      <c r="L2" s="7"/>
      <c r="M2" s="7"/>
      <c r="N2" s="7"/>
      <c r="O2" s="7"/>
      <c r="P2" s="7"/>
      <c r="Q2" s="7"/>
      <c r="R2" s="7"/>
    </row>
    <row r="3" spans="1:18">
      <c r="A3" s="227" t="s">
        <v>1</v>
      </c>
      <c r="B3" s="227"/>
      <c r="C3" s="227"/>
      <c r="D3" s="227"/>
      <c r="E3" s="227"/>
      <c r="F3" s="227"/>
      <c r="G3" s="227"/>
      <c r="H3" s="227"/>
      <c r="I3" s="227"/>
      <c r="J3" s="227"/>
      <c r="K3" s="25" t="s">
        <v>23</v>
      </c>
      <c r="L3" s="10"/>
      <c r="M3" s="10"/>
      <c r="N3" s="10"/>
      <c r="O3" s="10"/>
      <c r="P3" s="10"/>
      <c r="Q3" s="10"/>
      <c r="R3" s="10"/>
    </row>
    <row r="4" spans="1:18">
      <c r="A4" s="220" t="s">
        <v>2</v>
      </c>
      <c r="B4" s="220"/>
      <c r="C4" s="220"/>
      <c r="D4" s="220"/>
      <c r="E4" s="220"/>
      <c r="F4" s="220"/>
      <c r="G4" s="220"/>
      <c r="H4" s="220"/>
      <c r="I4" s="220"/>
      <c r="J4" s="220"/>
      <c r="K4" s="25" t="s">
        <v>23</v>
      </c>
      <c r="L4" s="8"/>
      <c r="M4" s="8"/>
      <c r="N4" s="8"/>
      <c r="O4" s="8"/>
      <c r="P4" s="8"/>
      <c r="Q4" s="8"/>
      <c r="R4" s="8"/>
    </row>
    <row r="5" spans="1:18">
      <c r="A5" s="220"/>
      <c r="B5" s="220"/>
      <c r="C5" s="220"/>
      <c r="D5" s="220"/>
      <c r="E5" s="220"/>
      <c r="F5" s="220"/>
      <c r="G5" s="220"/>
      <c r="H5" s="220"/>
      <c r="I5" s="220"/>
      <c r="J5" s="220"/>
      <c r="K5" s="25" t="s">
        <v>23</v>
      </c>
      <c r="L5" s="8"/>
      <c r="M5" s="8"/>
      <c r="N5" s="8"/>
      <c r="O5" s="8"/>
      <c r="P5" s="8"/>
      <c r="Q5" s="8"/>
      <c r="R5" s="8"/>
    </row>
    <row r="6" spans="1:18" ht="15" thickBot="1">
      <c r="A6" s="220"/>
      <c r="B6" s="220"/>
      <c r="C6" s="220"/>
      <c r="D6" s="220"/>
      <c r="E6" s="220"/>
      <c r="F6" s="220"/>
      <c r="G6" s="220"/>
      <c r="H6" s="220"/>
      <c r="I6" s="220"/>
      <c r="J6" s="220"/>
      <c r="K6" s="25" t="s">
        <v>23</v>
      </c>
      <c r="L6" s="8"/>
      <c r="M6" s="8"/>
      <c r="N6" s="8"/>
      <c r="O6" s="8"/>
      <c r="P6" s="8"/>
      <c r="Q6" s="8"/>
      <c r="R6" s="8"/>
    </row>
    <row r="7" spans="1:18" s="20" customFormat="1" ht="15">
      <c r="A7" s="228" t="s">
        <v>50</v>
      </c>
      <c r="B7" s="237" t="s">
        <v>38</v>
      </c>
      <c r="C7" s="226"/>
      <c r="D7" s="237" t="s">
        <v>7</v>
      </c>
      <c r="E7" s="226"/>
      <c r="F7" s="235" t="s">
        <v>27</v>
      </c>
      <c r="G7" s="233"/>
      <c r="H7" s="233"/>
      <c r="I7" s="233"/>
      <c r="J7" s="238"/>
      <c r="K7" s="25" t="s">
        <v>23</v>
      </c>
    </row>
    <row r="8" spans="1:18" s="20" customFormat="1" ht="28.5">
      <c r="A8" s="229"/>
      <c r="B8" s="26" t="s">
        <v>4</v>
      </c>
      <c r="C8" s="26" t="s">
        <v>47</v>
      </c>
      <c r="D8" s="26" t="s">
        <v>4</v>
      </c>
      <c r="E8" s="26" t="s">
        <v>47</v>
      </c>
      <c r="F8" s="26" t="s">
        <v>49</v>
      </c>
      <c r="G8" s="26" t="s">
        <v>36</v>
      </c>
      <c r="H8" s="99" t="s">
        <v>37</v>
      </c>
      <c r="I8" s="26" t="s">
        <v>68</v>
      </c>
      <c r="J8" s="27" t="s">
        <v>69</v>
      </c>
      <c r="K8" s="25" t="s">
        <v>23</v>
      </c>
    </row>
    <row r="9" spans="1:18">
      <c r="A9" s="28" t="s">
        <v>67</v>
      </c>
      <c r="B9" s="100">
        <f>SUM(1+7)</f>
        <v>8</v>
      </c>
      <c r="C9" s="100">
        <v>0</v>
      </c>
      <c r="D9" s="100">
        <f>SUM(1+1+7)</f>
        <v>9</v>
      </c>
      <c r="E9" s="100">
        <v>0</v>
      </c>
      <c r="F9" s="100">
        <v>0</v>
      </c>
      <c r="G9" s="100">
        <v>0</v>
      </c>
      <c r="H9" s="100">
        <v>0</v>
      </c>
      <c r="I9" s="100">
        <f>D9+F9+G9+H9</f>
        <v>9</v>
      </c>
      <c r="J9" s="100">
        <v>0</v>
      </c>
      <c r="K9" s="25" t="s">
        <v>23</v>
      </c>
    </row>
    <row r="10" spans="1:18">
      <c r="A10" s="82" t="s">
        <v>66</v>
      </c>
      <c r="B10" s="114">
        <f>SUM(20+1)</f>
        <v>21</v>
      </c>
      <c r="C10" s="114">
        <v>0</v>
      </c>
      <c r="D10" s="114">
        <v>20</v>
      </c>
      <c r="E10" s="114">
        <v>0</v>
      </c>
      <c r="F10" s="114">
        <v>0</v>
      </c>
      <c r="G10" s="114">
        <v>0</v>
      </c>
      <c r="H10" s="114">
        <v>0</v>
      </c>
      <c r="I10" s="114">
        <f t="shared" ref="I10:I35" si="0">D10+F10+G10+H10</f>
        <v>20</v>
      </c>
      <c r="J10" s="114">
        <v>0</v>
      </c>
      <c r="K10" s="25" t="s">
        <v>23</v>
      </c>
    </row>
    <row r="11" spans="1:18">
      <c r="A11" s="155" t="s">
        <v>222</v>
      </c>
      <c r="B11" s="157"/>
      <c r="C11" s="157"/>
      <c r="D11" s="157"/>
      <c r="E11" s="157"/>
      <c r="F11" s="157"/>
      <c r="G11" s="157">
        <v>2</v>
      </c>
      <c r="H11" s="157"/>
      <c r="I11" s="114">
        <f t="shared" si="0"/>
        <v>2</v>
      </c>
      <c r="J11" s="157"/>
      <c r="K11" s="25" t="s">
        <v>23</v>
      </c>
    </row>
    <row r="12" spans="1:18">
      <c r="A12" s="29" t="s">
        <v>51</v>
      </c>
      <c r="B12" s="112">
        <v>1</v>
      </c>
      <c r="C12" s="112">
        <v>0</v>
      </c>
      <c r="D12" s="112">
        <v>1</v>
      </c>
      <c r="E12" s="112">
        <v>0</v>
      </c>
      <c r="F12" s="112">
        <v>0</v>
      </c>
      <c r="G12" s="112">
        <v>0</v>
      </c>
      <c r="H12" s="112">
        <v>0</v>
      </c>
      <c r="I12" s="112">
        <f t="shared" si="0"/>
        <v>1</v>
      </c>
      <c r="J12" s="112">
        <v>0</v>
      </c>
      <c r="K12" s="25" t="s">
        <v>23</v>
      </c>
    </row>
    <row r="13" spans="1:18">
      <c r="A13" s="183" t="s">
        <v>223</v>
      </c>
      <c r="B13" s="112">
        <v>16</v>
      </c>
      <c r="C13" s="112"/>
      <c r="D13" s="112">
        <v>16</v>
      </c>
      <c r="E13" s="112"/>
      <c r="F13" s="112"/>
      <c r="G13" s="112">
        <v>2</v>
      </c>
      <c r="H13" s="112"/>
      <c r="I13" s="112">
        <f t="shared" si="0"/>
        <v>18</v>
      </c>
      <c r="J13" s="112"/>
      <c r="K13" s="25" t="s">
        <v>23</v>
      </c>
    </row>
    <row r="14" spans="1:18">
      <c r="A14" s="30" t="s">
        <v>52</v>
      </c>
      <c r="B14" s="21">
        <f>SUM(8+10+8+11)</f>
        <v>37</v>
      </c>
      <c r="C14" s="21">
        <v>0</v>
      </c>
      <c r="D14" s="21">
        <f>SUM(8+10+8+11)</f>
        <v>37</v>
      </c>
      <c r="E14" s="21">
        <v>1</v>
      </c>
      <c r="F14" s="21">
        <v>0</v>
      </c>
      <c r="G14" s="21">
        <v>2</v>
      </c>
      <c r="H14" s="21">
        <v>0</v>
      </c>
      <c r="I14" s="21">
        <f t="shared" si="0"/>
        <v>39</v>
      </c>
      <c r="J14" s="21">
        <v>1</v>
      </c>
      <c r="K14" s="25" t="s">
        <v>23</v>
      </c>
    </row>
    <row r="15" spans="1:18">
      <c r="A15" s="30" t="s">
        <v>53</v>
      </c>
      <c r="B15" s="21">
        <f>SUM(16+108+148+250+69+154+8+70+1)</f>
        <v>824</v>
      </c>
      <c r="C15" s="21">
        <f>SUM(81+21+5)</f>
        <v>107</v>
      </c>
      <c r="D15" s="21">
        <f>SUM(16+108+148+250+69+154+8+70+1)</f>
        <v>824</v>
      </c>
      <c r="E15" s="21">
        <f>SUM(81+23+5)</f>
        <v>109</v>
      </c>
      <c r="F15" s="21">
        <f>SUM(2-6-1)</f>
        <v>-5</v>
      </c>
      <c r="G15" s="21">
        <f>SUM(6+12+22)</f>
        <v>40</v>
      </c>
      <c r="H15" s="21">
        <v>0</v>
      </c>
      <c r="I15" s="21">
        <f t="shared" si="0"/>
        <v>859</v>
      </c>
      <c r="J15" s="21">
        <f>SUM(81+23+5)</f>
        <v>109</v>
      </c>
      <c r="K15" s="25" t="s">
        <v>23</v>
      </c>
    </row>
    <row r="16" spans="1:18">
      <c r="A16" s="30" t="s">
        <v>54</v>
      </c>
      <c r="B16" s="21">
        <f>SUM(1+9+10+7+7+1)</f>
        <v>35</v>
      </c>
      <c r="C16" s="21">
        <v>35</v>
      </c>
      <c r="D16" s="21">
        <f>SUM(1+9+10+7+7+1)</f>
        <v>35</v>
      </c>
      <c r="E16" s="21">
        <v>35</v>
      </c>
      <c r="F16" s="21">
        <v>0</v>
      </c>
      <c r="G16" s="21">
        <f>SUM(4+1)</f>
        <v>5</v>
      </c>
      <c r="H16" s="21">
        <v>0</v>
      </c>
      <c r="I16" s="21">
        <f t="shared" si="0"/>
        <v>40</v>
      </c>
      <c r="J16" s="21">
        <v>35</v>
      </c>
      <c r="K16" s="25" t="s">
        <v>23</v>
      </c>
    </row>
    <row r="17" spans="1:11">
      <c r="A17" s="182" t="s">
        <v>224</v>
      </c>
      <c r="B17" s="21">
        <v>10</v>
      </c>
      <c r="C17" s="21"/>
      <c r="D17" s="21">
        <v>10</v>
      </c>
      <c r="E17" s="21"/>
      <c r="F17" s="21"/>
      <c r="G17" s="21"/>
      <c r="H17" s="21">
        <v>0</v>
      </c>
      <c r="I17" s="21">
        <f t="shared" si="0"/>
        <v>10</v>
      </c>
      <c r="J17" s="21"/>
      <c r="K17" s="25" t="s">
        <v>23</v>
      </c>
    </row>
    <row r="18" spans="1:11">
      <c r="A18" s="30" t="s">
        <v>55</v>
      </c>
      <c r="B18" s="21">
        <f>SUM(7+22+370+440+1020+370+384+25+1+2)</f>
        <v>2641</v>
      </c>
      <c r="C18" s="21">
        <f>SUM(195+63+24)</f>
        <v>282</v>
      </c>
      <c r="D18" s="21">
        <f>SUM(22+377+440+1020+370+384+25+1+2)</f>
        <v>2641</v>
      </c>
      <c r="E18" s="21">
        <f>SUM(195+69+24)</f>
        <v>288</v>
      </c>
      <c r="F18" s="21">
        <f>SUM(-1+-1+2-2)</f>
        <v>-2</v>
      </c>
      <c r="G18" s="21">
        <f>SUM(32+32+44)</f>
        <v>108</v>
      </c>
      <c r="H18" s="21">
        <v>0</v>
      </c>
      <c r="I18" s="21">
        <f t="shared" si="0"/>
        <v>2747</v>
      </c>
      <c r="J18" s="21">
        <f>SUM(195+69+24)</f>
        <v>288</v>
      </c>
      <c r="K18" s="25" t="s">
        <v>23</v>
      </c>
    </row>
    <row r="19" spans="1:11">
      <c r="A19" s="30" t="s">
        <v>56</v>
      </c>
      <c r="B19" s="21">
        <f>SUM(6+125+90+150+63+102+4)</f>
        <v>540</v>
      </c>
      <c r="C19" s="21">
        <f>SUM(25+20)</f>
        <v>45</v>
      </c>
      <c r="D19" s="21">
        <f>SUM(6+125+90+150+63+102+4)</f>
        <v>540</v>
      </c>
      <c r="E19" s="21">
        <f>SUM(25+22)</f>
        <v>47</v>
      </c>
      <c r="F19" s="21">
        <f>SUM(3+-4)</f>
        <v>-1</v>
      </c>
      <c r="G19" s="21">
        <f>SUM(12+7+9)</f>
        <v>28</v>
      </c>
      <c r="H19" s="21">
        <v>0</v>
      </c>
      <c r="I19" s="21">
        <f t="shared" si="0"/>
        <v>567</v>
      </c>
      <c r="J19" s="21">
        <f>SUM(25+22)</f>
        <v>47</v>
      </c>
      <c r="K19" s="25" t="s">
        <v>23</v>
      </c>
    </row>
    <row r="20" spans="1:11">
      <c r="A20" s="30" t="s">
        <v>57</v>
      </c>
      <c r="B20" s="21">
        <f>SUM(2+1+3+1)</f>
        <v>7</v>
      </c>
      <c r="C20" s="21">
        <v>1</v>
      </c>
      <c r="D20" s="21">
        <f>SUM(2+1+3+1)</f>
        <v>7</v>
      </c>
      <c r="E20" s="21">
        <v>1</v>
      </c>
      <c r="F20" s="21">
        <v>0</v>
      </c>
      <c r="G20" s="21">
        <v>0</v>
      </c>
      <c r="H20" s="21">
        <v>0</v>
      </c>
      <c r="I20" s="21">
        <f t="shared" si="0"/>
        <v>7</v>
      </c>
      <c r="J20" s="21">
        <v>1</v>
      </c>
      <c r="K20" s="25" t="s">
        <v>23</v>
      </c>
    </row>
    <row r="21" spans="1:11">
      <c r="A21" s="30" t="s">
        <v>58</v>
      </c>
      <c r="B21" s="21">
        <f>SUM(2+5)</f>
        <v>7</v>
      </c>
      <c r="C21" s="21">
        <v>0</v>
      </c>
      <c r="D21" s="21">
        <f>SUM(2+5)</f>
        <v>7</v>
      </c>
      <c r="E21" s="21">
        <v>0</v>
      </c>
      <c r="F21" s="21">
        <v>0</v>
      </c>
      <c r="G21" s="21">
        <v>0</v>
      </c>
      <c r="H21" s="21">
        <v>0</v>
      </c>
      <c r="I21" s="21">
        <f t="shared" si="0"/>
        <v>7</v>
      </c>
      <c r="J21" s="21">
        <v>0</v>
      </c>
      <c r="K21" s="25" t="s">
        <v>23</v>
      </c>
    </row>
    <row r="22" spans="1:11">
      <c r="A22" s="182" t="s">
        <v>220</v>
      </c>
      <c r="B22" s="21"/>
      <c r="C22" s="21">
        <v>4</v>
      </c>
      <c r="D22" s="21"/>
      <c r="E22" s="21">
        <v>4</v>
      </c>
      <c r="F22" s="21"/>
      <c r="G22" s="21"/>
      <c r="H22" s="21"/>
      <c r="I22" s="21">
        <f t="shared" si="0"/>
        <v>0</v>
      </c>
      <c r="J22" s="21">
        <v>4</v>
      </c>
      <c r="K22" s="25" t="s">
        <v>23</v>
      </c>
    </row>
    <row r="23" spans="1:11">
      <c r="A23" s="30" t="s">
        <v>59</v>
      </c>
      <c r="B23" s="21">
        <f>SUM(1+4)</f>
        <v>5</v>
      </c>
      <c r="C23" s="21">
        <v>0</v>
      </c>
      <c r="D23" s="21">
        <f>SUM(1+4)</f>
        <v>5</v>
      </c>
      <c r="E23" s="21">
        <v>0</v>
      </c>
      <c r="F23" s="21">
        <v>0</v>
      </c>
      <c r="G23" s="21">
        <v>0</v>
      </c>
      <c r="H23" s="21">
        <v>0</v>
      </c>
      <c r="I23" s="21">
        <f t="shared" si="0"/>
        <v>5</v>
      </c>
      <c r="J23" s="21">
        <v>0</v>
      </c>
      <c r="K23" s="25" t="s">
        <v>23</v>
      </c>
    </row>
    <row r="24" spans="1:11">
      <c r="A24" s="182" t="s">
        <v>225</v>
      </c>
      <c r="B24" s="21">
        <v>3</v>
      </c>
      <c r="C24" s="21"/>
      <c r="D24" s="21">
        <v>3</v>
      </c>
      <c r="E24" s="21"/>
      <c r="F24" s="21"/>
      <c r="G24" s="21">
        <v>3</v>
      </c>
      <c r="H24" s="21"/>
      <c r="I24" s="21">
        <f t="shared" si="0"/>
        <v>6</v>
      </c>
      <c r="J24" s="21"/>
      <c r="K24" s="25" t="s">
        <v>23</v>
      </c>
    </row>
    <row r="25" spans="1:11">
      <c r="A25" s="30" t="s">
        <v>60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  <c r="I25" s="21">
        <f t="shared" si="0"/>
        <v>0</v>
      </c>
      <c r="J25" s="21">
        <v>0</v>
      </c>
      <c r="K25" s="25" t="s">
        <v>23</v>
      </c>
    </row>
    <row r="26" spans="1:11">
      <c r="A26" s="30" t="s">
        <v>61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3</v>
      </c>
      <c r="H26" s="21">
        <v>0</v>
      </c>
      <c r="I26" s="21">
        <f t="shared" si="0"/>
        <v>3</v>
      </c>
      <c r="J26" s="21">
        <v>0</v>
      </c>
      <c r="K26" s="25" t="s">
        <v>23</v>
      </c>
    </row>
    <row r="27" spans="1:11">
      <c r="A27" s="30" t="s">
        <v>62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  <c r="H27" s="21">
        <v>0</v>
      </c>
      <c r="I27" s="21">
        <f t="shared" si="0"/>
        <v>0</v>
      </c>
      <c r="J27" s="21">
        <v>0</v>
      </c>
      <c r="K27" s="25" t="s">
        <v>23</v>
      </c>
    </row>
    <row r="28" spans="1:11">
      <c r="A28" s="30" t="s">
        <v>63</v>
      </c>
      <c r="B28" s="21">
        <v>0</v>
      </c>
      <c r="C28" s="21">
        <v>0</v>
      </c>
      <c r="D28" s="21">
        <v>0</v>
      </c>
      <c r="E28" s="21">
        <v>0</v>
      </c>
      <c r="F28" s="21">
        <v>1</v>
      </c>
      <c r="G28" s="21">
        <v>0</v>
      </c>
      <c r="H28" s="21">
        <v>0</v>
      </c>
      <c r="I28" s="21">
        <f t="shared" si="0"/>
        <v>1</v>
      </c>
      <c r="J28" s="21">
        <v>0</v>
      </c>
      <c r="K28" s="25" t="s">
        <v>23</v>
      </c>
    </row>
    <row r="29" spans="1:11">
      <c r="A29" s="182" t="s">
        <v>221</v>
      </c>
      <c r="B29" s="21"/>
      <c r="C29" s="21">
        <v>1</v>
      </c>
      <c r="D29" s="21"/>
      <c r="E29" s="21">
        <v>1</v>
      </c>
      <c r="F29" s="21"/>
      <c r="G29" s="21"/>
      <c r="H29" s="21"/>
      <c r="I29" s="21">
        <f t="shared" si="0"/>
        <v>0</v>
      </c>
      <c r="J29" s="21">
        <v>1</v>
      </c>
      <c r="K29" s="25" t="s">
        <v>23</v>
      </c>
    </row>
    <row r="30" spans="1:11">
      <c r="A30" s="30" t="s">
        <v>65</v>
      </c>
      <c r="B30" s="21">
        <f>SUM(1+11+24+14+18+4)</f>
        <v>72</v>
      </c>
      <c r="C30" s="21">
        <v>1</v>
      </c>
      <c r="D30" s="21">
        <f>SUM(1+11+24+14+18+4)</f>
        <v>72</v>
      </c>
      <c r="E30" s="21">
        <v>1</v>
      </c>
      <c r="F30" s="21">
        <v>0</v>
      </c>
      <c r="G30" s="21">
        <v>7</v>
      </c>
      <c r="H30" s="21">
        <v>0</v>
      </c>
      <c r="I30" s="21">
        <f t="shared" si="0"/>
        <v>79</v>
      </c>
      <c r="J30" s="21">
        <v>1</v>
      </c>
      <c r="K30" s="25" t="s">
        <v>23</v>
      </c>
    </row>
    <row r="31" spans="1:11">
      <c r="A31" s="30" t="s">
        <v>64</v>
      </c>
      <c r="B31" s="21">
        <v>0</v>
      </c>
      <c r="C31" s="21">
        <v>0</v>
      </c>
      <c r="D31" s="21">
        <v>0</v>
      </c>
      <c r="E31" s="21">
        <v>0</v>
      </c>
      <c r="F31" s="21">
        <v>0</v>
      </c>
      <c r="G31" s="21">
        <v>0</v>
      </c>
      <c r="H31" s="21">
        <v>0</v>
      </c>
      <c r="I31" s="21">
        <f t="shared" si="0"/>
        <v>0</v>
      </c>
      <c r="J31" s="21">
        <v>0</v>
      </c>
      <c r="K31" s="25" t="s">
        <v>23</v>
      </c>
    </row>
    <row r="32" spans="1:11" ht="15">
      <c r="A32" s="33" t="s">
        <v>30</v>
      </c>
      <c r="B32" s="105">
        <f t="shared" ref="B32:J32" si="1">SUM(B9:B31)</f>
        <v>4227</v>
      </c>
      <c r="C32" s="105">
        <f t="shared" si="1"/>
        <v>476</v>
      </c>
      <c r="D32" s="105">
        <f t="shared" si="1"/>
        <v>4227</v>
      </c>
      <c r="E32" s="105">
        <f t="shared" si="1"/>
        <v>487</v>
      </c>
      <c r="F32" s="105">
        <f t="shared" si="1"/>
        <v>-7</v>
      </c>
      <c r="G32" s="105">
        <f t="shared" si="1"/>
        <v>200</v>
      </c>
      <c r="H32" s="105">
        <f t="shared" si="1"/>
        <v>0</v>
      </c>
      <c r="I32" s="105">
        <f>SUM(I9:I31)</f>
        <v>4420</v>
      </c>
      <c r="J32" s="106">
        <f t="shared" si="1"/>
        <v>487</v>
      </c>
      <c r="K32" s="25" t="s">
        <v>23</v>
      </c>
    </row>
    <row r="33" spans="1:11">
      <c r="A33" s="31" t="s">
        <v>70</v>
      </c>
      <c r="B33" s="112">
        <v>4134</v>
      </c>
      <c r="C33" s="112">
        <f>SUM(210+93+29)</f>
        <v>332</v>
      </c>
      <c r="D33" s="112">
        <f>SUM(48+611+737+1398+478+715+37+69+11)</f>
        <v>4104</v>
      </c>
      <c r="E33" s="112">
        <f>SUM(210+103+29)</f>
        <v>342</v>
      </c>
      <c r="F33" s="112">
        <f>SUM(3+-8-2)</f>
        <v>-7</v>
      </c>
      <c r="G33" s="112">
        <f>SUM(60+51+85)</f>
        <v>196</v>
      </c>
      <c r="H33" s="112">
        <f>SUM(H12:H32)</f>
        <v>0</v>
      </c>
      <c r="I33" s="112">
        <f t="shared" si="0"/>
        <v>4293</v>
      </c>
      <c r="J33" s="112">
        <f>SUM(210+103+29)</f>
        <v>342</v>
      </c>
      <c r="K33" s="25" t="s">
        <v>23</v>
      </c>
    </row>
    <row r="34" spans="1:11">
      <c r="A34" s="32" t="s">
        <v>71</v>
      </c>
      <c r="B34" s="21">
        <f>SUM(19+59)</f>
        <v>78</v>
      </c>
      <c r="C34" s="21">
        <v>11</v>
      </c>
      <c r="D34" s="21">
        <f>SUM(28+21+59)</f>
        <v>108</v>
      </c>
      <c r="E34" s="21">
        <v>12</v>
      </c>
      <c r="F34" s="21">
        <v>0</v>
      </c>
      <c r="G34" s="21">
        <v>0</v>
      </c>
      <c r="H34" s="21">
        <f>SUM(H14:H33)</f>
        <v>0</v>
      </c>
      <c r="I34" s="21">
        <f t="shared" si="0"/>
        <v>108</v>
      </c>
      <c r="J34" s="21">
        <v>12</v>
      </c>
      <c r="K34" s="25" t="s">
        <v>23</v>
      </c>
    </row>
    <row r="35" spans="1:11">
      <c r="A35" s="32" t="s">
        <v>72</v>
      </c>
      <c r="B35" s="21">
        <f>SUM(14+1)</f>
        <v>15</v>
      </c>
      <c r="C35" s="21">
        <v>133</v>
      </c>
      <c r="D35" s="21">
        <f>SUM(14+1)</f>
        <v>15</v>
      </c>
      <c r="E35" s="21">
        <v>133</v>
      </c>
      <c r="F35" s="21">
        <v>0</v>
      </c>
      <c r="G35" s="21">
        <v>4</v>
      </c>
      <c r="H35" s="21">
        <f>SUM(H15:H34)</f>
        <v>0</v>
      </c>
      <c r="I35" s="21">
        <f t="shared" si="0"/>
        <v>19</v>
      </c>
      <c r="J35" s="21">
        <v>133</v>
      </c>
      <c r="K35" s="25" t="s">
        <v>23</v>
      </c>
    </row>
    <row r="36" spans="1:11" ht="15">
      <c r="A36" s="33" t="s">
        <v>30</v>
      </c>
      <c r="B36" s="105">
        <f>SUM(B33:B35)</f>
        <v>4227</v>
      </c>
      <c r="C36" s="105">
        <f t="shared" ref="C36:J36" si="2">SUM(C33:C35)</f>
        <v>476</v>
      </c>
      <c r="D36" s="105">
        <f t="shared" si="2"/>
        <v>4227</v>
      </c>
      <c r="E36" s="105">
        <f t="shared" si="2"/>
        <v>487</v>
      </c>
      <c r="F36" s="105">
        <f t="shared" si="2"/>
        <v>-7</v>
      </c>
      <c r="G36" s="105">
        <f t="shared" si="2"/>
        <v>200</v>
      </c>
      <c r="H36" s="105">
        <f t="shared" si="2"/>
        <v>0</v>
      </c>
      <c r="I36" s="105">
        <f t="shared" si="2"/>
        <v>4420</v>
      </c>
      <c r="J36" s="106">
        <f t="shared" si="2"/>
        <v>487</v>
      </c>
      <c r="K36" s="25" t="s">
        <v>23</v>
      </c>
    </row>
    <row r="37" spans="1:11">
      <c r="K37" s="25" t="s">
        <v>24</v>
      </c>
    </row>
  </sheetData>
  <mergeCells count="10">
    <mergeCell ref="B7:C7"/>
    <mergeCell ref="D7:E7"/>
    <mergeCell ref="F7:J7"/>
    <mergeCell ref="A1:J1"/>
    <mergeCell ref="A2:J2"/>
    <mergeCell ref="A3:J3"/>
    <mergeCell ref="A4:J4"/>
    <mergeCell ref="A5:J5"/>
    <mergeCell ref="A7:A8"/>
    <mergeCell ref="A6:J6"/>
  </mergeCells>
  <printOptions horizontalCentered="1"/>
  <pageMargins left="0.7" right="0.7" top="0.75" bottom="0.75" header="0.3" footer="0.3"/>
  <pageSetup scale="71" orientation="landscape" r:id="rId1"/>
  <headerFooter>
    <oddHeader>&amp;L&amp;"Arial,Bold"&amp;12I. Detail of Permanent Positions by Category</oddHeader>
    <oddFooter>&amp;C&amp;"Arial,Regular"Exhibit I - Details of Permanent Positions by Category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T33"/>
  <sheetViews>
    <sheetView view="pageBreakPreview" zoomScale="80" zoomScaleNormal="100" zoomScaleSheetLayoutView="80" workbookViewId="0">
      <selection activeCell="O6" sqref="O6"/>
    </sheetView>
  </sheetViews>
  <sheetFormatPr defaultRowHeight="14.25"/>
  <cols>
    <col min="1" max="1" width="9.42578125" style="9" customWidth="1"/>
    <col min="2" max="2" width="13.5703125" style="9" customWidth="1"/>
    <col min="3" max="3" width="3.7109375" style="9" customWidth="1"/>
    <col min="4" max="4" width="10.7109375" style="9" bestFit="1" customWidth="1"/>
    <col min="5" max="5" width="8.28515625" style="9" customWidth="1"/>
    <col min="6" max="6" width="14" style="9" customWidth="1"/>
    <col min="7" max="7" width="8.28515625" style="9" customWidth="1"/>
    <col min="8" max="8" width="13.5703125" style="9" customWidth="1"/>
    <col min="9" max="9" width="8.28515625" style="9" customWidth="1"/>
    <col min="10" max="10" width="13.28515625" style="9" customWidth="1"/>
    <col min="11" max="11" width="8.28515625" style="9" customWidth="1"/>
    <col min="12" max="12" width="12.7109375" style="9" customWidth="1"/>
    <col min="13" max="13" width="14" style="4" bestFit="1" customWidth="1"/>
    <col min="14" max="14" width="4.5703125" style="9" customWidth="1"/>
    <col min="15" max="16" width="8.28515625" style="9" customWidth="1"/>
    <col min="17" max="17" width="12.7109375" style="9" customWidth="1"/>
    <col min="18" max="19" width="8.28515625" style="9" customWidth="1"/>
    <col min="20" max="20" width="12.7109375" style="9" customWidth="1"/>
    <col min="21" max="16384" width="9.140625" style="9"/>
  </cols>
  <sheetData>
    <row r="1" spans="1:20" ht="18">
      <c r="A1" s="213" t="s">
        <v>142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5" t="s">
        <v>23</v>
      </c>
      <c r="N1" s="6"/>
      <c r="O1" s="6"/>
      <c r="P1" s="6"/>
      <c r="Q1" s="6"/>
      <c r="R1" s="6"/>
      <c r="S1" s="6"/>
      <c r="T1" s="6"/>
    </row>
    <row r="2" spans="1:20" ht="15">
      <c r="A2" s="214" t="s">
        <v>226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5" t="s">
        <v>23</v>
      </c>
      <c r="N2" s="7"/>
      <c r="O2" s="7"/>
      <c r="P2" s="7"/>
      <c r="Q2" s="7"/>
      <c r="R2" s="7"/>
      <c r="S2" s="7"/>
      <c r="T2" s="7"/>
    </row>
    <row r="3" spans="1:20">
      <c r="A3" s="223" t="s">
        <v>1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5" t="s">
        <v>23</v>
      </c>
      <c r="N3" s="10"/>
      <c r="O3" s="10"/>
      <c r="P3" s="10"/>
      <c r="Q3" s="10"/>
      <c r="R3" s="10"/>
      <c r="S3" s="10"/>
      <c r="T3" s="10"/>
    </row>
    <row r="4" spans="1:20">
      <c r="A4" s="220" t="s">
        <v>2</v>
      </c>
      <c r="B4" s="220"/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5" t="s">
        <v>23</v>
      </c>
      <c r="N4" s="8"/>
      <c r="O4" s="8"/>
      <c r="P4" s="8"/>
      <c r="Q4" s="8"/>
      <c r="R4" s="8"/>
      <c r="S4" s="8"/>
      <c r="T4" s="8"/>
    </row>
    <row r="5" spans="1:20">
      <c r="A5" s="220"/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5" t="s">
        <v>23</v>
      </c>
      <c r="N5" s="8"/>
      <c r="O5" s="8"/>
      <c r="P5" s="8"/>
      <c r="Q5" s="8"/>
      <c r="R5" s="8"/>
      <c r="S5" s="8"/>
      <c r="T5" s="8"/>
    </row>
    <row r="6" spans="1:20" ht="15" thickBot="1">
      <c r="A6" s="220"/>
      <c r="B6" s="220"/>
      <c r="C6" s="220"/>
      <c r="D6" s="220"/>
      <c r="E6" s="220"/>
      <c r="F6" s="220"/>
      <c r="G6" s="220"/>
      <c r="H6" s="220"/>
      <c r="I6" s="220"/>
      <c r="J6" s="220"/>
      <c r="K6" s="220"/>
      <c r="L6" s="220"/>
      <c r="M6" s="25" t="s">
        <v>23</v>
      </c>
      <c r="N6" s="8"/>
      <c r="O6" s="8"/>
      <c r="P6" s="8"/>
      <c r="Q6" s="8"/>
      <c r="R6" s="8"/>
      <c r="S6" s="8"/>
      <c r="T6" s="8"/>
    </row>
    <row r="7" spans="1:20" ht="30.75" customHeight="1">
      <c r="A7" s="241" t="s">
        <v>116</v>
      </c>
      <c r="B7" s="242"/>
      <c r="C7" s="242"/>
      <c r="D7" s="243"/>
      <c r="E7" s="224" t="s">
        <v>6</v>
      </c>
      <c r="F7" s="224"/>
      <c r="G7" s="224" t="s">
        <v>7</v>
      </c>
      <c r="H7" s="224"/>
      <c r="I7" s="224" t="s">
        <v>27</v>
      </c>
      <c r="J7" s="224"/>
      <c r="K7" s="224" t="s">
        <v>46</v>
      </c>
      <c r="L7" s="225"/>
      <c r="M7" s="25" t="s">
        <v>23</v>
      </c>
    </row>
    <row r="8" spans="1:20" ht="28.5">
      <c r="A8" s="244"/>
      <c r="B8" s="245"/>
      <c r="C8" s="245"/>
      <c r="D8" s="246"/>
      <c r="E8" s="11" t="s">
        <v>4</v>
      </c>
      <c r="F8" s="11" t="s">
        <v>5</v>
      </c>
      <c r="G8" s="11" t="s">
        <v>4</v>
      </c>
      <c r="H8" s="11" t="s">
        <v>5</v>
      </c>
      <c r="I8" s="11" t="s">
        <v>4</v>
      </c>
      <c r="J8" s="11" t="s">
        <v>5</v>
      </c>
      <c r="K8" s="11" t="s">
        <v>4</v>
      </c>
      <c r="L8" s="12" t="s">
        <v>5</v>
      </c>
      <c r="M8" s="25" t="s">
        <v>23</v>
      </c>
    </row>
    <row r="9" spans="1:20">
      <c r="A9" s="60" t="s">
        <v>117</v>
      </c>
      <c r="B9" s="61">
        <v>145700</v>
      </c>
      <c r="C9" s="62" t="s">
        <v>122</v>
      </c>
      <c r="D9" s="63">
        <v>199700</v>
      </c>
      <c r="E9" s="120">
        <f>SUM(1+1+1+1+1+1+1)</f>
        <v>7</v>
      </c>
      <c r="F9" s="160">
        <f>SUM((B9+D9)/2*E9)</f>
        <v>1208900</v>
      </c>
      <c r="G9" s="120">
        <f>SUM(1+1+1+1+1+1+1)</f>
        <v>7</v>
      </c>
      <c r="H9" s="160">
        <f>SUM((B9+D9)/2*G9*1.005)</f>
        <v>1214944.4999999998</v>
      </c>
      <c r="I9" s="120">
        <f>SUM(1+1+1+1+1+1+1)</f>
        <v>7</v>
      </c>
      <c r="J9" s="160">
        <f>SUM((B9+D9)/2*I9*1.015)</f>
        <v>1227033.4999999998</v>
      </c>
      <c r="K9" s="160">
        <f>I9-G9</f>
        <v>0</v>
      </c>
      <c r="L9" s="121">
        <f>J9-H9</f>
        <v>12089</v>
      </c>
      <c r="M9" s="25" t="s">
        <v>23</v>
      </c>
    </row>
    <row r="10" spans="1:20">
      <c r="A10" s="81" t="s">
        <v>143</v>
      </c>
      <c r="B10" s="65">
        <v>119554</v>
      </c>
      <c r="C10" s="66" t="s">
        <v>122</v>
      </c>
      <c r="D10" s="67">
        <v>179700</v>
      </c>
      <c r="E10" s="122">
        <f>SUM(4+32+44+43+21+21+9)</f>
        <v>174</v>
      </c>
      <c r="F10" s="157">
        <f t="shared" ref="F10:F25" si="0">SUM((B10+D10)/2*E10)</f>
        <v>26035098</v>
      </c>
      <c r="G10" s="122">
        <f>SUM(4+32+44+43+21+21+9)</f>
        <v>174</v>
      </c>
      <c r="H10" s="157">
        <f t="shared" ref="H10:H25" si="1">SUM((B10+D10)/2*G10*1.005)</f>
        <v>26165273.489999998</v>
      </c>
      <c r="I10" s="122">
        <f>SUM(4+32+44+43+21+21+9)</f>
        <v>174</v>
      </c>
      <c r="J10" s="157">
        <f t="shared" ref="J10:J25" si="2">SUM((B10+D10)/2*I10*1.015)</f>
        <v>26425624.469999999</v>
      </c>
      <c r="K10" s="184">
        <f>I10-G10</f>
        <v>0</v>
      </c>
      <c r="L10" s="123">
        <f t="shared" ref="L10:L28" si="3">J10-H10</f>
        <v>260350.98000000045</v>
      </c>
      <c r="M10" s="25" t="s">
        <v>23</v>
      </c>
    </row>
    <row r="11" spans="1:20">
      <c r="A11" s="64" t="s">
        <v>105</v>
      </c>
      <c r="B11" s="65">
        <v>123758</v>
      </c>
      <c r="C11" s="66" t="s">
        <v>122</v>
      </c>
      <c r="D11" s="67">
        <v>155500</v>
      </c>
      <c r="E11" s="122">
        <f>SUM(17+270+396+740+313+328+16+3)</f>
        <v>2083</v>
      </c>
      <c r="F11" s="157">
        <f t="shared" si="0"/>
        <v>290847207</v>
      </c>
      <c r="G11" s="122">
        <f>SUM(284+17+396+740+313+328+17+3)</f>
        <v>2098</v>
      </c>
      <c r="H11" s="157">
        <f t="shared" si="1"/>
        <v>294406350.20999998</v>
      </c>
      <c r="I11" s="122">
        <f>SUM(17+284+395+740+313+327+16+3)</f>
        <v>2095</v>
      </c>
      <c r="J11" s="157">
        <f t="shared" si="2"/>
        <v>296910596.32499999</v>
      </c>
      <c r="K11" s="122">
        <f t="shared" ref="K11:K25" si="4">I11-G11</f>
        <v>-3</v>
      </c>
      <c r="L11" s="123">
        <f t="shared" si="3"/>
        <v>2504246.1150000095</v>
      </c>
      <c r="M11" s="25" t="s">
        <v>23</v>
      </c>
    </row>
    <row r="12" spans="1:20">
      <c r="A12" s="64" t="s">
        <v>106</v>
      </c>
      <c r="B12" s="65">
        <v>105211</v>
      </c>
      <c r="C12" s="66" t="s">
        <v>122</v>
      </c>
      <c r="D12" s="67">
        <v>136771</v>
      </c>
      <c r="E12" s="122">
        <f>SUM(3+83+58+153+34+72+1+4)</f>
        <v>408</v>
      </c>
      <c r="F12" s="157">
        <f t="shared" si="0"/>
        <v>49364328</v>
      </c>
      <c r="G12" s="122">
        <f>SUM(3+83+58+153+34+72+3+10)</f>
        <v>416</v>
      </c>
      <c r="H12" s="157">
        <f t="shared" si="1"/>
        <v>50583917.279999994</v>
      </c>
      <c r="I12" s="122">
        <f>SUM(4+83+90+191+34+118+2+10)</f>
        <v>532</v>
      </c>
      <c r="J12" s="157">
        <f t="shared" si="2"/>
        <v>65332720.179999992</v>
      </c>
      <c r="K12" s="122">
        <f t="shared" si="4"/>
        <v>116</v>
      </c>
      <c r="L12" s="123">
        <f t="shared" si="3"/>
        <v>14748802.899999999</v>
      </c>
      <c r="M12" s="25" t="s">
        <v>23</v>
      </c>
    </row>
    <row r="13" spans="1:20">
      <c r="A13" s="64" t="s">
        <v>107</v>
      </c>
      <c r="B13" s="65">
        <v>89033</v>
      </c>
      <c r="C13" s="66" t="s">
        <v>122</v>
      </c>
      <c r="D13" s="67">
        <v>115742</v>
      </c>
      <c r="E13" s="122">
        <f>SUM(3+49+55+96+28+80+1+12)</f>
        <v>324</v>
      </c>
      <c r="F13" s="157">
        <f t="shared" si="0"/>
        <v>33173550</v>
      </c>
      <c r="G13" s="122">
        <f>SUM(3+49+55+96+28+80+1+13)</f>
        <v>325</v>
      </c>
      <c r="H13" s="157">
        <f t="shared" si="1"/>
        <v>33442317.187499996</v>
      </c>
      <c r="I13" s="122">
        <f>SUM(4+49+59+96+28+81+13)</f>
        <v>330</v>
      </c>
      <c r="J13" s="157">
        <f t="shared" si="2"/>
        <v>34294693.125</v>
      </c>
      <c r="K13" s="122">
        <f t="shared" si="4"/>
        <v>5</v>
      </c>
      <c r="L13" s="123">
        <f t="shared" si="3"/>
        <v>852375.93750000373</v>
      </c>
      <c r="M13" s="25" t="s">
        <v>23</v>
      </c>
    </row>
    <row r="14" spans="1:20">
      <c r="A14" s="64" t="s">
        <v>108</v>
      </c>
      <c r="B14" s="65">
        <v>74872</v>
      </c>
      <c r="C14" s="66" t="s">
        <v>122</v>
      </c>
      <c r="D14" s="67">
        <v>97333</v>
      </c>
      <c r="E14" s="122">
        <f>SUM(9+20+41+56+22+35+2+26+3)</f>
        <v>214</v>
      </c>
      <c r="F14" s="157">
        <f t="shared" si="0"/>
        <v>18425935</v>
      </c>
      <c r="G14" s="122">
        <f>SUM(9+20+41+56+22+35+2+30+8+3)</f>
        <v>226</v>
      </c>
      <c r="H14" s="157">
        <f t="shared" si="1"/>
        <v>19556460.824999999</v>
      </c>
      <c r="I14" s="122">
        <f>SUM(10+20+41+66+22+52+30+8)</f>
        <v>249</v>
      </c>
      <c r="J14" s="157">
        <f t="shared" si="2"/>
        <v>21761115.337499999</v>
      </c>
      <c r="K14" s="122">
        <f t="shared" si="4"/>
        <v>23</v>
      </c>
      <c r="L14" s="123">
        <f t="shared" si="3"/>
        <v>2204654.5124999993</v>
      </c>
      <c r="M14" s="25" t="s">
        <v>23</v>
      </c>
    </row>
    <row r="15" spans="1:20">
      <c r="A15" s="64" t="s">
        <v>109</v>
      </c>
      <c r="B15" s="65">
        <v>62467</v>
      </c>
      <c r="C15" s="66" t="s">
        <v>122</v>
      </c>
      <c r="D15" s="67">
        <v>81204</v>
      </c>
      <c r="E15" s="122">
        <f>SUM(5+38+55+109+30+56+6+27)</f>
        <v>326</v>
      </c>
      <c r="F15" s="157">
        <f t="shared" si="0"/>
        <v>23418373</v>
      </c>
      <c r="G15" s="122">
        <f>SUM(5+38+55+109+30+56+3+7)</f>
        <v>303</v>
      </c>
      <c r="H15" s="157">
        <f t="shared" si="1"/>
        <v>21874987.282499999</v>
      </c>
      <c r="I15" s="122">
        <f>SUM(6+38+55+109+30+66+2+7)</f>
        <v>313</v>
      </c>
      <c r="J15" s="157">
        <f t="shared" si="2"/>
        <v>22821779.172499999</v>
      </c>
      <c r="K15" s="122">
        <f t="shared" si="4"/>
        <v>10</v>
      </c>
      <c r="L15" s="123">
        <f t="shared" si="3"/>
        <v>946791.8900000006</v>
      </c>
      <c r="M15" s="25" t="s">
        <v>23</v>
      </c>
    </row>
    <row r="16" spans="1:20">
      <c r="A16" s="64" t="s">
        <v>110</v>
      </c>
      <c r="B16" s="65">
        <v>56857</v>
      </c>
      <c r="C16" s="66" t="s">
        <v>122</v>
      </c>
      <c r="D16" s="67">
        <v>73917</v>
      </c>
      <c r="E16" s="122">
        <f>SUM(12+7+81+2+4)</f>
        <v>106</v>
      </c>
      <c r="F16" s="157">
        <f t="shared" si="0"/>
        <v>6931022</v>
      </c>
      <c r="G16" s="122">
        <f>SUM(12+7+2+4)</f>
        <v>25</v>
      </c>
      <c r="H16" s="157">
        <f t="shared" si="1"/>
        <v>1642848.3749999998</v>
      </c>
      <c r="I16" s="122">
        <f>SUM(12+7+2+4)</f>
        <v>25</v>
      </c>
      <c r="J16" s="157">
        <f t="shared" si="2"/>
        <v>1659195.1249999998</v>
      </c>
      <c r="K16" s="122">
        <f t="shared" si="4"/>
        <v>0</v>
      </c>
      <c r="L16" s="123">
        <f t="shared" si="3"/>
        <v>16346.75</v>
      </c>
      <c r="M16" s="25" t="s">
        <v>23</v>
      </c>
    </row>
    <row r="17" spans="1:13">
      <c r="A17" s="64" t="s">
        <v>111</v>
      </c>
      <c r="B17" s="68">
        <v>51630</v>
      </c>
      <c r="C17" s="69" t="s">
        <v>122</v>
      </c>
      <c r="D17" s="70">
        <v>67114</v>
      </c>
      <c r="E17" s="122">
        <f>SUM(6+48+45+33+36+1+5)</f>
        <v>174</v>
      </c>
      <c r="F17" s="157">
        <f t="shared" si="0"/>
        <v>10330728</v>
      </c>
      <c r="G17" s="122">
        <f>SUM(6+48+45+81+33+36+4)</f>
        <v>253</v>
      </c>
      <c r="H17" s="157">
        <f t="shared" si="1"/>
        <v>15096221.579999998</v>
      </c>
      <c r="I17" s="122">
        <f>SUM(6+48+67+81+33+45-1+4)</f>
        <v>283</v>
      </c>
      <c r="J17" s="157">
        <f t="shared" si="2"/>
        <v>17054310.139999997</v>
      </c>
      <c r="K17" s="122">
        <f t="shared" si="4"/>
        <v>30</v>
      </c>
      <c r="L17" s="123">
        <f t="shared" si="3"/>
        <v>1958088.5599999987</v>
      </c>
      <c r="M17" s="25" t="s">
        <v>23</v>
      </c>
    </row>
    <row r="18" spans="1:13">
      <c r="A18" s="64" t="s">
        <v>112</v>
      </c>
      <c r="B18" s="68">
        <v>46745</v>
      </c>
      <c r="C18" s="69" t="s">
        <v>122</v>
      </c>
      <c r="D18" s="70">
        <v>60765</v>
      </c>
      <c r="E18" s="122">
        <f>SUM(44+20+28+22+15)</f>
        <v>129</v>
      </c>
      <c r="F18" s="157">
        <f t="shared" si="0"/>
        <v>6934395</v>
      </c>
      <c r="G18" s="122">
        <f>SUM(44+20+28+22+15)</f>
        <v>129</v>
      </c>
      <c r="H18" s="157">
        <f t="shared" si="1"/>
        <v>6969066.9749999996</v>
      </c>
      <c r="I18" s="122">
        <f>SUM(1+44+20+28+22+15)</f>
        <v>130</v>
      </c>
      <c r="J18" s="157">
        <f t="shared" si="2"/>
        <v>7092972.2499999991</v>
      </c>
      <c r="K18" s="122">
        <f t="shared" si="4"/>
        <v>1</v>
      </c>
      <c r="L18" s="123">
        <f t="shared" si="3"/>
        <v>123905.27499999944</v>
      </c>
      <c r="M18" s="25" t="s">
        <v>23</v>
      </c>
    </row>
    <row r="19" spans="1:13">
      <c r="A19" s="64" t="s">
        <v>113</v>
      </c>
      <c r="B19" s="68">
        <v>42209</v>
      </c>
      <c r="C19" s="69" t="s">
        <v>122</v>
      </c>
      <c r="D19" s="70">
        <v>54875</v>
      </c>
      <c r="E19" s="122">
        <f>SUM(21+21+84+20+34)</f>
        <v>180</v>
      </c>
      <c r="F19" s="157">
        <f t="shared" si="0"/>
        <v>8737560</v>
      </c>
      <c r="G19" s="122">
        <f>SUM(9+21+84+20+34+1+1)</f>
        <v>170</v>
      </c>
      <c r="H19" s="157">
        <f t="shared" si="1"/>
        <v>8293400.6999999993</v>
      </c>
      <c r="I19" s="122">
        <f>SUM(1+9+27+86+20+36+1)</f>
        <v>180</v>
      </c>
      <c r="J19" s="157">
        <f t="shared" si="2"/>
        <v>8868623.3999999985</v>
      </c>
      <c r="K19" s="122">
        <f t="shared" si="4"/>
        <v>10</v>
      </c>
      <c r="L19" s="123">
        <f t="shared" si="3"/>
        <v>575222.69999999925</v>
      </c>
      <c r="M19" s="25" t="s">
        <v>23</v>
      </c>
    </row>
    <row r="20" spans="1:13">
      <c r="A20" s="64" t="s">
        <v>114</v>
      </c>
      <c r="B20" s="68">
        <v>37983</v>
      </c>
      <c r="C20" s="69" t="s">
        <v>122</v>
      </c>
      <c r="D20" s="70">
        <v>49375</v>
      </c>
      <c r="E20" s="122">
        <f>SUM(3+7+6+1+4)</f>
        <v>21</v>
      </c>
      <c r="F20" s="157">
        <f t="shared" si="0"/>
        <v>917259</v>
      </c>
      <c r="G20" s="122">
        <f>SUM(3+7+6+1+4)</f>
        <v>21</v>
      </c>
      <c r="H20" s="157">
        <f t="shared" si="1"/>
        <v>921845.29499999993</v>
      </c>
      <c r="I20" s="122">
        <f>SUM(3+7+6+1+4)</f>
        <v>21</v>
      </c>
      <c r="J20" s="157">
        <f t="shared" si="2"/>
        <v>931017.88499999989</v>
      </c>
      <c r="K20" s="122">
        <f t="shared" si="4"/>
        <v>0</v>
      </c>
      <c r="L20" s="123">
        <f t="shared" si="3"/>
        <v>9172.5899999999674</v>
      </c>
      <c r="M20" s="25" t="s">
        <v>23</v>
      </c>
    </row>
    <row r="21" spans="1:13">
      <c r="A21" s="64" t="s">
        <v>115</v>
      </c>
      <c r="B21" s="68">
        <v>37075</v>
      </c>
      <c r="C21" s="69" t="s">
        <v>122</v>
      </c>
      <c r="D21" s="70">
        <v>44293</v>
      </c>
      <c r="E21" s="122">
        <f>SUM(6+4+15+1+4)</f>
        <v>30</v>
      </c>
      <c r="F21" s="157">
        <f t="shared" si="0"/>
        <v>1220520</v>
      </c>
      <c r="G21" s="122">
        <f>SUM(8+4+15+1+4+1)</f>
        <v>33</v>
      </c>
      <c r="H21" s="157">
        <f t="shared" si="1"/>
        <v>1349284.8599999999</v>
      </c>
      <c r="I21" s="122">
        <f>SUM(8+4+16+1+4+1)</f>
        <v>34</v>
      </c>
      <c r="J21" s="157">
        <f t="shared" si="2"/>
        <v>1404004.8399999999</v>
      </c>
      <c r="K21" s="122">
        <f t="shared" si="4"/>
        <v>1</v>
      </c>
      <c r="L21" s="123">
        <f t="shared" si="3"/>
        <v>54719.979999999981</v>
      </c>
      <c r="M21" s="25" t="s">
        <v>23</v>
      </c>
    </row>
    <row r="22" spans="1:13">
      <c r="A22" s="64" t="s">
        <v>118</v>
      </c>
      <c r="B22" s="68">
        <v>30456</v>
      </c>
      <c r="C22" s="69" t="s">
        <v>122</v>
      </c>
      <c r="D22" s="70">
        <v>39590</v>
      </c>
      <c r="E22" s="122">
        <f>SUM(5+4+5+9)</f>
        <v>23</v>
      </c>
      <c r="F22" s="157">
        <f t="shared" si="0"/>
        <v>805529</v>
      </c>
      <c r="G22" s="122">
        <f>SUM(6+4+5+9)</f>
        <v>24</v>
      </c>
      <c r="H22" s="157">
        <f t="shared" si="1"/>
        <v>844754.75999999989</v>
      </c>
      <c r="I22" s="122">
        <f>SUM(6+4+5+9)</f>
        <v>24</v>
      </c>
      <c r="J22" s="157">
        <f t="shared" si="2"/>
        <v>853160.27999999991</v>
      </c>
      <c r="K22" s="122">
        <f t="shared" si="4"/>
        <v>0</v>
      </c>
      <c r="L22" s="123">
        <f t="shared" si="3"/>
        <v>8405.5200000000186</v>
      </c>
      <c r="M22" s="25" t="s">
        <v>23</v>
      </c>
    </row>
    <row r="23" spans="1:13">
      <c r="A23" s="64" t="s">
        <v>119</v>
      </c>
      <c r="B23" s="68">
        <v>27130</v>
      </c>
      <c r="C23" s="69" t="s">
        <v>122</v>
      </c>
      <c r="D23" s="70">
        <v>35269</v>
      </c>
      <c r="E23" s="122">
        <f>SUM(5+1+4+9)</f>
        <v>19</v>
      </c>
      <c r="F23" s="157">
        <f t="shared" si="0"/>
        <v>592790.5</v>
      </c>
      <c r="G23" s="122">
        <f>SUM(2+1+4+9)</f>
        <v>16</v>
      </c>
      <c r="H23" s="157">
        <f t="shared" si="1"/>
        <v>501687.95999999996</v>
      </c>
      <c r="I23" s="122">
        <f>SUM(2+1+4+9)</f>
        <v>16</v>
      </c>
      <c r="J23" s="157">
        <f t="shared" si="2"/>
        <v>506679.87999999995</v>
      </c>
      <c r="K23" s="122">
        <f t="shared" si="4"/>
        <v>0</v>
      </c>
      <c r="L23" s="123">
        <f t="shared" si="3"/>
        <v>4991.9199999999837</v>
      </c>
      <c r="M23" s="25" t="s">
        <v>23</v>
      </c>
    </row>
    <row r="24" spans="1:13">
      <c r="A24" s="64" t="s">
        <v>120</v>
      </c>
      <c r="B24" s="68">
        <v>24865</v>
      </c>
      <c r="C24" s="69" t="s">
        <v>122</v>
      </c>
      <c r="D24" s="70">
        <v>31292</v>
      </c>
      <c r="E24" s="122">
        <f>SUM(2+7)</f>
        <v>9</v>
      </c>
      <c r="F24" s="157">
        <f t="shared" si="0"/>
        <v>252706.5</v>
      </c>
      <c r="G24" s="122">
        <v>7</v>
      </c>
      <c r="H24" s="157">
        <f t="shared" si="1"/>
        <v>197532.24749999997</v>
      </c>
      <c r="I24" s="122">
        <v>7</v>
      </c>
      <c r="J24" s="157">
        <f t="shared" si="2"/>
        <v>199497.74249999999</v>
      </c>
      <c r="K24" s="122">
        <f t="shared" si="4"/>
        <v>0</v>
      </c>
      <c r="L24" s="123">
        <f t="shared" si="3"/>
        <v>1965.4950000000244</v>
      </c>
      <c r="M24" s="25" t="s">
        <v>23</v>
      </c>
    </row>
    <row r="25" spans="1:13">
      <c r="A25" s="59" t="s">
        <v>121</v>
      </c>
      <c r="B25" s="54">
        <v>22115</v>
      </c>
      <c r="C25" s="55" t="s">
        <v>122</v>
      </c>
      <c r="D25" s="56">
        <v>27663</v>
      </c>
      <c r="E25" s="103">
        <v>0</v>
      </c>
      <c r="F25" s="103">
        <f t="shared" si="0"/>
        <v>0</v>
      </c>
      <c r="G25" s="103">
        <v>0</v>
      </c>
      <c r="H25" s="184">
        <f t="shared" si="1"/>
        <v>0</v>
      </c>
      <c r="I25" s="103">
        <v>0</v>
      </c>
      <c r="J25" s="184">
        <f t="shared" si="2"/>
        <v>0</v>
      </c>
      <c r="K25" s="103">
        <f t="shared" si="4"/>
        <v>0</v>
      </c>
      <c r="L25" s="124">
        <f t="shared" si="3"/>
        <v>0</v>
      </c>
      <c r="M25" s="25" t="s">
        <v>23</v>
      </c>
    </row>
    <row r="26" spans="1:13" ht="15">
      <c r="A26" s="247" t="s">
        <v>123</v>
      </c>
      <c r="B26" s="248"/>
      <c r="C26" s="248"/>
      <c r="D26" s="249"/>
      <c r="E26" s="105">
        <f t="shared" ref="E26:L26" si="5">SUM(E9:E25)</f>
        <v>4227</v>
      </c>
      <c r="F26" s="105">
        <f t="shared" si="5"/>
        <v>479195901</v>
      </c>
      <c r="G26" s="105">
        <f t="shared" si="5"/>
        <v>4227</v>
      </c>
      <c r="H26" s="105">
        <f t="shared" si="5"/>
        <v>483060893.52749997</v>
      </c>
      <c r="I26" s="105">
        <f t="shared" si="5"/>
        <v>4420</v>
      </c>
      <c r="J26" s="105">
        <f t="shared" si="5"/>
        <v>507343023.65249985</v>
      </c>
      <c r="K26" s="105">
        <f t="shared" si="5"/>
        <v>193</v>
      </c>
      <c r="L26" s="106">
        <f t="shared" si="5"/>
        <v>24282130.125000011</v>
      </c>
      <c r="M26" s="25" t="s">
        <v>23</v>
      </c>
    </row>
    <row r="27" spans="1:13" ht="15">
      <c r="A27" s="250" t="s">
        <v>124</v>
      </c>
      <c r="B27" s="251"/>
      <c r="C27" s="251"/>
      <c r="D27" s="251"/>
      <c r="E27" s="120"/>
      <c r="F27" s="125">
        <f>SUM((B10+D10)/2)</f>
        <v>149627</v>
      </c>
      <c r="G27" s="120"/>
      <c r="H27" s="125">
        <f>SUM((B10+D10)/2*1.005)</f>
        <v>150375.13499999998</v>
      </c>
      <c r="I27" s="120"/>
      <c r="J27" s="125">
        <f>SUM((B10+D10)/2*1.015)</f>
        <v>151871.405</v>
      </c>
      <c r="K27" s="120"/>
      <c r="L27" s="123">
        <f t="shared" si="3"/>
        <v>1496.2700000000186</v>
      </c>
      <c r="M27" s="25" t="s">
        <v>23</v>
      </c>
    </row>
    <row r="28" spans="1:13" ht="15">
      <c r="A28" s="252" t="s">
        <v>125</v>
      </c>
      <c r="B28" s="253"/>
      <c r="C28" s="253"/>
      <c r="D28" s="253"/>
      <c r="E28" s="122"/>
      <c r="F28" s="126">
        <f>SUM((F11:F25))/(E26-181)</f>
        <v>111703.38680177953</v>
      </c>
      <c r="G28" s="122"/>
      <c r="H28" s="126">
        <f>SUM((H11:H25))/(G26-181)</f>
        <v>112624.98159602075</v>
      </c>
      <c r="I28" s="122"/>
      <c r="J28" s="126">
        <f>SUM((J11:J25))/(I26-181)</f>
        <v>113161.20917256425</v>
      </c>
      <c r="K28" s="122"/>
      <c r="L28" s="123">
        <f t="shared" si="3"/>
        <v>536.22757654350426</v>
      </c>
      <c r="M28" s="25" t="s">
        <v>23</v>
      </c>
    </row>
    <row r="29" spans="1:13" ht="15.75" thickBot="1">
      <c r="A29" s="239" t="s">
        <v>126</v>
      </c>
      <c r="B29" s="240"/>
      <c r="C29" s="240"/>
      <c r="D29" s="240"/>
      <c r="E29" s="127"/>
      <c r="F29" s="128">
        <v>13</v>
      </c>
      <c r="G29" s="127"/>
      <c r="H29" s="128">
        <v>13</v>
      </c>
      <c r="I29" s="127"/>
      <c r="J29" s="128">
        <v>13</v>
      </c>
      <c r="K29" s="127"/>
      <c r="L29" s="129"/>
      <c r="M29" s="25" t="s">
        <v>23</v>
      </c>
    </row>
    <row r="30" spans="1:13">
      <c r="M30" s="25" t="s">
        <v>23</v>
      </c>
    </row>
    <row r="31" spans="1:13">
      <c r="M31" s="25" t="s">
        <v>24</v>
      </c>
    </row>
    <row r="32" spans="1:13">
      <c r="M32" s="25"/>
    </row>
    <row r="33" spans="13:13">
      <c r="M33" s="25"/>
    </row>
  </sheetData>
  <mergeCells count="15">
    <mergeCell ref="E7:F7"/>
    <mergeCell ref="G7:H7"/>
    <mergeCell ref="I7:J7"/>
    <mergeCell ref="K7:L7"/>
    <mergeCell ref="A1:L1"/>
    <mergeCell ref="A2:L2"/>
    <mergeCell ref="A3:L3"/>
    <mergeCell ref="A4:L4"/>
    <mergeCell ref="A5:L5"/>
    <mergeCell ref="A6:L6"/>
    <mergeCell ref="A29:D29"/>
    <mergeCell ref="A7:D8"/>
    <mergeCell ref="A26:D26"/>
    <mergeCell ref="A27:D27"/>
    <mergeCell ref="A28:D28"/>
  </mergeCells>
  <printOptions horizontalCentered="1"/>
  <pageMargins left="0.7" right="0.7" top="0.75" bottom="0.75" header="0.3" footer="0.3"/>
  <pageSetup scale="98" orientation="landscape" r:id="rId1"/>
  <headerFooter>
    <oddHeader>&amp;L&amp;"Arial,Bold"&amp;12K. Summary of Requirements by Grade</oddHeader>
    <oddFooter>&amp;C&amp;"Arial,Regular"Exhibit K - Summary of Requirements by Grade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Q51"/>
  <sheetViews>
    <sheetView view="pageBreakPreview" zoomScale="90" zoomScaleNormal="100" zoomScaleSheetLayoutView="9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K10" sqref="K10"/>
    </sheetView>
  </sheetViews>
  <sheetFormatPr defaultRowHeight="14.25"/>
  <cols>
    <col min="1" max="1" width="86.5703125" style="9" customWidth="1"/>
    <col min="2" max="2" width="8.28515625" style="9" customWidth="1"/>
    <col min="3" max="3" width="12.7109375" style="9" customWidth="1"/>
    <col min="4" max="4" width="8.28515625" style="9" customWidth="1"/>
    <col min="5" max="5" width="12.7109375" style="9" customWidth="1"/>
    <col min="6" max="6" width="8.28515625" style="9" customWidth="1"/>
    <col min="7" max="7" width="12.7109375" style="9" customWidth="1"/>
    <col min="8" max="8" width="8.28515625" style="9" customWidth="1"/>
    <col min="9" max="9" width="12.7109375" style="9" customWidth="1"/>
    <col min="10" max="10" width="14" style="4" bestFit="1" customWidth="1"/>
    <col min="11" max="11" width="4.5703125" style="9" customWidth="1"/>
    <col min="12" max="13" width="8.28515625" style="9" customWidth="1"/>
    <col min="14" max="14" width="12.7109375" style="9" customWidth="1"/>
    <col min="15" max="16" width="8.28515625" style="9" customWidth="1"/>
    <col min="17" max="17" width="12.7109375" style="9" customWidth="1"/>
    <col min="18" max="16384" width="9.140625" style="9"/>
  </cols>
  <sheetData>
    <row r="1" spans="1:17" ht="18">
      <c r="A1" s="213" t="s">
        <v>73</v>
      </c>
      <c r="B1" s="213"/>
      <c r="C1" s="213"/>
      <c r="D1" s="213"/>
      <c r="E1" s="213"/>
      <c r="F1" s="213"/>
      <c r="G1" s="213"/>
      <c r="H1" s="213"/>
      <c r="I1" s="213"/>
      <c r="J1" s="25" t="s">
        <v>23</v>
      </c>
      <c r="K1" s="6"/>
      <c r="L1" s="6"/>
      <c r="M1" s="6"/>
      <c r="N1" s="6"/>
      <c r="O1" s="6"/>
      <c r="P1" s="6"/>
      <c r="Q1" s="6"/>
    </row>
    <row r="2" spans="1:17" ht="15">
      <c r="A2" s="214" t="s">
        <v>226</v>
      </c>
      <c r="B2" s="214"/>
      <c r="C2" s="214"/>
      <c r="D2" s="214"/>
      <c r="E2" s="214"/>
      <c r="F2" s="214"/>
      <c r="G2" s="214"/>
      <c r="H2" s="214"/>
      <c r="I2" s="214"/>
      <c r="J2" s="25" t="s">
        <v>23</v>
      </c>
      <c r="K2" s="7"/>
      <c r="L2" s="7"/>
      <c r="M2" s="7"/>
      <c r="N2" s="7"/>
      <c r="O2" s="7"/>
      <c r="P2" s="7"/>
      <c r="Q2" s="7"/>
    </row>
    <row r="3" spans="1:17">
      <c r="A3" s="223" t="s">
        <v>1</v>
      </c>
      <c r="B3" s="223"/>
      <c r="C3" s="223"/>
      <c r="D3" s="223"/>
      <c r="E3" s="223"/>
      <c r="F3" s="223"/>
      <c r="G3" s="223"/>
      <c r="H3" s="223"/>
      <c r="I3" s="223"/>
      <c r="J3" s="25" t="s">
        <v>23</v>
      </c>
      <c r="K3" s="10"/>
      <c r="L3" s="10"/>
      <c r="M3" s="10"/>
      <c r="N3" s="10"/>
      <c r="O3" s="10"/>
      <c r="P3" s="10"/>
      <c r="Q3" s="10"/>
    </row>
    <row r="4" spans="1:17">
      <c r="A4" s="220" t="s">
        <v>2</v>
      </c>
      <c r="B4" s="220"/>
      <c r="C4" s="220"/>
      <c r="D4" s="220"/>
      <c r="E4" s="220"/>
      <c r="F4" s="220"/>
      <c r="G4" s="220"/>
      <c r="H4" s="220"/>
      <c r="I4" s="220"/>
      <c r="J4" s="25" t="s">
        <v>23</v>
      </c>
      <c r="K4" s="8"/>
      <c r="L4" s="8"/>
      <c r="M4" s="8"/>
      <c r="N4" s="8"/>
      <c r="O4" s="8"/>
      <c r="P4" s="8"/>
      <c r="Q4" s="8"/>
    </row>
    <row r="5" spans="1:17" ht="15" thickBot="1">
      <c r="A5" s="220"/>
      <c r="B5" s="220"/>
      <c r="C5" s="220"/>
      <c r="D5" s="220"/>
      <c r="E5" s="220"/>
      <c r="F5" s="220"/>
      <c r="G5" s="220"/>
      <c r="H5" s="220"/>
      <c r="I5" s="220"/>
      <c r="J5" s="25" t="s">
        <v>23</v>
      </c>
      <c r="K5" s="8"/>
      <c r="L5" s="8"/>
      <c r="M5" s="8"/>
      <c r="N5" s="8"/>
      <c r="O5" s="8"/>
      <c r="P5" s="8"/>
      <c r="Q5" s="8"/>
    </row>
    <row r="6" spans="1:17" ht="15">
      <c r="A6" s="221" t="s">
        <v>74</v>
      </c>
      <c r="B6" s="224" t="s">
        <v>45</v>
      </c>
      <c r="C6" s="224"/>
      <c r="D6" s="224" t="s">
        <v>165</v>
      </c>
      <c r="E6" s="224"/>
      <c r="F6" s="224" t="s">
        <v>27</v>
      </c>
      <c r="G6" s="224"/>
      <c r="H6" s="224" t="s">
        <v>46</v>
      </c>
      <c r="I6" s="225"/>
      <c r="J6" s="25" t="s">
        <v>23</v>
      </c>
    </row>
    <row r="7" spans="1:17" ht="28.5">
      <c r="A7" s="222"/>
      <c r="B7" s="26" t="s">
        <v>35</v>
      </c>
      <c r="C7" s="11" t="s">
        <v>5</v>
      </c>
      <c r="D7" s="11" t="s">
        <v>35</v>
      </c>
      <c r="E7" s="11" t="s">
        <v>5</v>
      </c>
      <c r="F7" s="11" t="s">
        <v>35</v>
      </c>
      <c r="G7" s="11" t="s">
        <v>5</v>
      </c>
      <c r="H7" s="11" t="s">
        <v>35</v>
      </c>
      <c r="I7" s="12" t="s">
        <v>5</v>
      </c>
      <c r="J7" s="25" t="s">
        <v>23</v>
      </c>
    </row>
    <row r="8" spans="1:17">
      <c r="A8" s="34" t="s">
        <v>75</v>
      </c>
      <c r="B8" s="100">
        <f>SUM(49+499+617+1239+475+67+28+587)</f>
        <v>3561</v>
      </c>
      <c r="C8" s="100">
        <v>411889</v>
      </c>
      <c r="D8" s="100">
        <f>SUM(49+493+603+1177+470+69+28+569)</f>
        <v>3458</v>
      </c>
      <c r="E8" s="100">
        <v>421012</v>
      </c>
      <c r="F8" s="100">
        <f>SUM(55+493+636+1203+470+69+20+608)</f>
        <v>3554</v>
      </c>
      <c r="G8" s="100">
        <v>437812</v>
      </c>
      <c r="H8" s="100">
        <f>F8-D8</f>
        <v>96</v>
      </c>
      <c r="I8" s="101">
        <f>G8-E8</f>
        <v>16800</v>
      </c>
      <c r="J8" s="25" t="s">
        <v>23</v>
      </c>
    </row>
    <row r="9" spans="1:17">
      <c r="A9" s="35" t="s">
        <v>76</v>
      </c>
      <c r="B9" s="21">
        <f>SUM(26+69+87+56+57)</f>
        <v>295</v>
      </c>
      <c r="C9" s="21">
        <v>29070</v>
      </c>
      <c r="D9" s="21">
        <f>SUM(26+67+56+50+57)</f>
        <v>256</v>
      </c>
      <c r="E9" s="21">
        <v>27859</v>
      </c>
      <c r="F9" s="21">
        <f>SUM(26+67+56+50+60)</f>
        <v>259</v>
      </c>
      <c r="G9" s="21">
        <v>27895</v>
      </c>
      <c r="H9" s="21">
        <f t="shared" ref="H9:H13" si="0">F9-D9</f>
        <v>3</v>
      </c>
      <c r="I9" s="102">
        <f>G9-E9</f>
        <v>36</v>
      </c>
      <c r="J9" s="25" t="s">
        <v>23</v>
      </c>
    </row>
    <row r="10" spans="1:17">
      <c r="A10" s="83" t="s">
        <v>145</v>
      </c>
      <c r="B10" s="21">
        <f>SUM(B11:B12)</f>
        <v>7</v>
      </c>
      <c r="C10" s="21">
        <v>4974</v>
      </c>
      <c r="D10" s="21">
        <f t="shared" ref="D10:F10" si="1">SUM(D11:D12)</f>
        <v>12</v>
      </c>
      <c r="E10" s="21">
        <v>4725</v>
      </c>
      <c r="F10" s="21">
        <f t="shared" si="1"/>
        <v>12</v>
      </c>
      <c r="G10" s="21">
        <v>4599</v>
      </c>
      <c r="H10" s="21">
        <f t="shared" si="0"/>
        <v>0</v>
      </c>
      <c r="I10" s="102">
        <f>G10-E10</f>
        <v>-126</v>
      </c>
      <c r="J10" s="25" t="s">
        <v>23</v>
      </c>
    </row>
    <row r="11" spans="1:17">
      <c r="A11" s="36" t="s">
        <v>34</v>
      </c>
      <c r="B11" s="130">
        <f>SUM(3+4)</f>
        <v>7</v>
      </c>
      <c r="C11" s="130">
        <v>0</v>
      </c>
      <c r="D11" s="130">
        <f>SUM(8+4)</f>
        <v>12</v>
      </c>
      <c r="E11" s="130">
        <v>0</v>
      </c>
      <c r="F11" s="130">
        <f>SUM(8+4)</f>
        <v>12</v>
      </c>
      <c r="G11" s="130">
        <v>0</v>
      </c>
      <c r="H11" s="130">
        <f t="shared" si="0"/>
        <v>0</v>
      </c>
      <c r="I11" s="131">
        <f>G11-E11</f>
        <v>0</v>
      </c>
      <c r="J11" s="25" t="s">
        <v>23</v>
      </c>
    </row>
    <row r="12" spans="1:17">
      <c r="A12" s="36" t="s">
        <v>77</v>
      </c>
      <c r="B12" s="130">
        <v>0</v>
      </c>
      <c r="C12" s="130">
        <v>0</v>
      </c>
      <c r="D12" s="130">
        <v>0</v>
      </c>
      <c r="E12" s="130">
        <v>0</v>
      </c>
      <c r="F12" s="130">
        <v>0</v>
      </c>
      <c r="G12" s="130">
        <v>0</v>
      </c>
      <c r="H12" s="130">
        <f t="shared" si="0"/>
        <v>0</v>
      </c>
      <c r="I12" s="131">
        <f>G12-E12</f>
        <v>0</v>
      </c>
      <c r="J12" s="25" t="s">
        <v>23</v>
      </c>
    </row>
    <row r="13" spans="1:17">
      <c r="A13" s="35" t="s">
        <v>78</v>
      </c>
      <c r="B13" s="118">
        <v>0</v>
      </c>
      <c r="C13" s="118">
        <v>2172</v>
      </c>
      <c r="D13" s="118">
        <v>0</v>
      </c>
      <c r="E13" s="118">
        <v>3953</v>
      </c>
      <c r="F13" s="118">
        <v>0</v>
      </c>
      <c r="G13" s="118">
        <v>4321</v>
      </c>
      <c r="H13" s="118">
        <f t="shared" si="0"/>
        <v>0</v>
      </c>
      <c r="I13" s="119">
        <f>G13-E13</f>
        <v>368</v>
      </c>
      <c r="J13" s="25" t="s">
        <v>23</v>
      </c>
    </row>
    <row r="14" spans="1:17" ht="15">
      <c r="A14" s="38" t="s">
        <v>30</v>
      </c>
      <c r="B14" s="90">
        <f>SUM(B8:B10,B13)</f>
        <v>3863</v>
      </c>
      <c r="C14" s="90">
        <f>SUM(C8:C10,C13)</f>
        <v>448105</v>
      </c>
      <c r="D14" s="90">
        <f t="shared" ref="D14:I14" si="2">SUM(D8:D10,D13)</f>
        <v>3726</v>
      </c>
      <c r="E14" s="90">
        <f t="shared" si="2"/>
        <v>457549</v>
      </c>
      <c r="F14" s="90">
        <f t="shared" si="2"/>
        <v>3825</v>
      </c>
      <c r="G14" s="90">
        <f>SUM(G8:G10,G13)</f>
        <v>474627</v>
      </c>
      <c r="H14" s="90">
        <f t="shared" si="2"/>
        <v>99</v>
      </c>
      <c r="I14" s="94">
        <f t="shared" si="2"/>
        <v>17078</v>
      </c>
      <c r="J14" s="25" t="s">
        <v>23</v>
      </c>
    </row>
    <row r="15" spans="1:17" ht="15">
      <c r="A15" s="37" t="s">
        <v>79</v>
      </c>
      <c r="B15" s="21"/>
      <c r="C15" s="21"/>
      <c r="D15" s="21"/>
      <c r="E15" s="21"/>
      <c r="F15" s="21"/>
      <c r="G15" s="21"/>
      <c r="H15" s="21"/>
      <c r="I15" s="102"/>
      <c r="J15" s="25" t="s">
        <v>23</v>
      </c>
    </row>
    <row r="16" spans="1:17">
      <c r="A16" s="35" t="s">
        <v>80</v>
      </c>
      <c r="B16" s="21"/>
      <c r="C16" s="21">
        <v>124814</v>
      </c>
      <c r="D16" s="21"/>
      <c r="E16" s="21">
        <v>122612</v>
      </c>
      <c r="F16" s="21"/>
      <c r="G16" s="21">
        <v>130076</v>
      </c>
      <c r="H16" s="21"/>
      <c r="I16" s="102">
        <f t="shared" ref="I16:I36" si="3">G16-E16</f>
        <v>7464</v>
      </c>
      <c r="J16" s="25" t="s">
        <v>23</v>
      </c>
    </row>
    <row r="17" spans="1:10">
      <c r="A17" s="35" t="s">
        <v>81</v>
      </c>
      <c r="B17" s="21"/>
      <c r="C17" s="21">
        <v>854</v>
      </c>
      <c r="D17" s="21"/>
      <c r="E17" s="21">
        <v>60</v>
      </c>
      <c r="F17" s="21"/>
      <c r="G17" s="21">
        <v>60</v>
      </c>
      <c r="H17" s="21"/>
      <c r="I17" s="102">
        <f t="shared" si="3"/>
        <v>0</v>
      </c>
      <c r="J17" s="25" t="s">
        <v>23</v>
      </c>
    </row>
    <row r="18" spans="1:10">
      <c r="A18" s="35" t="s">
        <v>82</v>
      </c>
      <c r="B18" s="21"/>
      <c r="C18" s="21">
        <v>15322</v>
      </c>
      <c r="D18" s="21"/>
      <c r="E18" s="21">
        <v>16693</v>
      </c>
      <c r="F18" s="21"/>
      <c r="G18" s="21">
        <v>17630</v>
      </c>
      <c r="H18" s="21"/>
      <c r="I18" s="102">
        <f t="shared" si="3"/>
        <v>937</v>
      </c>
      <c r="J18" s="25" t="s">
        <v>23</v>
      </c>
    </row>
    <row r="19" spans="1:10">
      <c r="A19" s="83" t="s">
        <v>146</v>
      </c>
      <c r="B19" s="21"/>
      <c r="C19" s="21">
        <v>5537</v>
      </c>
      <c r="D19" s="21"/>
      <c r="E19" s="21">
        <v>4388</v>
      </c>
      <c r="F19" s="21"/>
      <c r="G19" s="21">
        <v>4462</v>
      </c>
      <c r="H19" s="21"/>
      <c r="I19" s="102">
        <f t="shared" si="3"/>
        <v>74</v>
      </c>
      <c r="J19" s="25" t="s">
        <v>23</v>
      </c>
    </row>
    <row r="20" spans="1:10">
      <c r="A20" s="35" t="s">
        <v>83</v>
      </c>
      <c r="B20" s="21"/>
      <c r="C20" s="21">
        <v>104608</v>
      </c>
      <c r="D20" s="21"/>
      <c r="E20" s="21">
        <v>107264</v>
      </c>
      <c r="F20" s="21"/>
      <c r="G20" s="21">
        <v>106012</v>
      </c>
      <c r="H20" s="21"/>
      <c r="I20" s="102">
        <f t="shared" si="3"/>
        <v>-1252</v>
      </c>
      <c r="J20" s="25" t="s">
        <v>23</v>
      </c>
    </row>
    <row r="21" spans="1:10">
      <c r="A21" s="35" t="s">
        <v>84</v>
      </c>
      <c r="B21" s="21"/>
      <c r="C21" s="21">
        <v>3373</v>
      </c>
      <c r="D21" s="21"/>
      <c r="E21" s="21">
        <v>2898</v>
      </c>
      <c r="F21" s="21"/>
      <c r="G21" s="21">
        <v>2950</v>
      </c>
      <c r="H21" s="21"/>
      <c r="I21" s="102">
        <f t="shared" si="3"/>
        <v>52</v>
      </c>
      <c r="J21" s="25" t="s">
        <v>23</v>
      </c>
    </row>
    <row r="22" spans="1:10">
      <c r="A22" s="35" t="s">
        <v>85</v>
      </c>
      <c r="B22" s="21"/>
      <c r="C22" s="21">
        <v>12887</v>
      </c>
      <c r="D22" s="21"/>
      <c r="E22" s="21">
        <v>13620</v>
      </c>
      <c r="F22" s="21"/>
      <c r="G22" s="21">
        <v>14055</v>
      </c>
      <c r="H22" s="21"/>
      <c r="I22" s="102">
        <f t="shared" si="3"/>
        <v>435</v>
      </c>
      <c r="J22" s="25" t="s">
        <v>23</v>
      </c>
    </row>
    <row r="23" spans="1:10">
      <c r="A23" s="35" t="s">
        <v>86</v>
      </c>
      <c r="B23" s="21"/>
      <c r="C23" s="21">
        <v>1694</v>
      </c>
      <c r="D23" s="21"/>
      <c r="E23" s="21">
        <v>1873</v>
      </c>
      <c r="F23" s="21"/>
      <c r="G23" s="21">
        <v>1914</v>
      </c>
      <c r="H23" s="21"/>
      <c r="I23" s="102">
        <f t="shared" si="3"/>
        <v>41</v>
      </c>
      <c r="J23" s="25" t="s">
        <v>23</v>
      </c>
    </row>
    <row r="24" spans="1:10">
      <c r="A24" s="35" t="s">
        <v>87</v>
      </c>
      <c r="B24" s="21"/>
      <c r="C24" s="21">
        <v>14450</v>
      </c>
      <c r="D24" s="21"/>
      <c r="E24" s="21">
        <v>13087</v>
      </c>
      <c r="F24" s="21"/>
      <c r="G24" s="21">
        <v>13505</v>
      </c>
      <c r="H24" s="21"/>
      <c r="I24" s="102">
        <f t="shared" si="3"/>
        <v>418</v>
      </c>
      <c r="J24" s="25" t="s">
        <v>23</v>
      </c>
    </row>
    <row r="25" spans="1:10">
      <c r="A25" s="35" t="s">
        <v>88</v>
      </c>
      <c r="B25" s="21"/>
      <c r="C25" s="21">
        <v>79021</v>
      </c>
      <c r="D25" s="21"/>
      <c r="E25" s="21">
        <v>84006</v>
      </c>
      <c r="F25" s="21"/>
      <c r="G25" s="21">
        <v>81167</v>
      </c>
      <c r="H25" s="21"/>
      <c r="I25" s="102">
        <f t="shared" si="3"/>
        <v>-2839</v>
      </c>
      <c r="J25" s="25" t="s">
        <v>23</v>
      </c>
    </row>
    <row r="26" spans="1:10">
      <c r="A26" s="35" t="s">
        <v>89</v>
      </c>
      <c r="B26" s="21"/>
      <c r="C26" s="21">
        <v>23233</v>
      </c>
      <c r="D26" s="21"/>
      <c r="E26" s="21">
        <v>22800</v>
      </c>
      <c r="F26" s="21"/>
      <c r="G26" s="21">
        <v>25512</v>
      </c>
      <c r="H26" s="21"/>
      <c r="I26" s="102">
        <f t="shared" si="3"/>
        <v>2712</v>
      </c>
      <c r="J26" s="25" t="s">
        <v>23</v>
      </c>
    </row>
    <row r="27" spans="1:10">
      <c r="A27" s="35" t="s">
        <v>90</v>
      </c>
      <c r="B27" s="21"/>
      <c r="C27" s="21">
        <v>108</v>
      </c>
      <c r="D27" s="21"/>
      <c r="E27" s="21">
        <v>64</v>
      </c>
      <c r="F27" s="21"/>
      <c r="G27" s="21">
        <v>64</v>
      </c>
      <c r="H27" s="21"/>
      <c r="I27" s="102">
        <f t="shared" si="3"/>
        <v>0</v>
      </c>
      <c r="J27" s="25" t="s">
        <v>23</v>
      </c>
    </row>
    <row r="28" spans="1:10">
      <c r="A28" s="35" t="s">
        <v>91</v>
      </c>
      <c r="B28" s="21"/>
      <c r="C28" s="21">
        <v>0</v>
      </c>
      <c r="D28" s="21"/>
      <c r="E28" s="21">
        <v>0</v>
      </c>
      <c r="F28" s="21"/>
      <c r="G28" s="21">
        <v>0</v>
      </c>
      <c r="H28" s="21"/>
      <c r="I28" s="102">
        <f t="shared" si="3"/>
        <v>0</v>
      </c>
      <c r="J28" s="25" t="s">
        <v>23</v>
      </c>
    </row>
    <row r="29" spans="1:10">
      <c r="A29" s="35" t="s">
        <v>39</v>
      </c>
      <c r="B29" s="21"/>
      <c r="C29" s="21">
        <v>393</v>
      </c>
      <c r="D29" s="21"/>
      <c r="E29" s="21">
        <v>292</v>
      </c>
      <c r="F29" s="21"/>
      <c r="G29" s="21">
        <v>335</v>
      </c>
      <c r="H29" s="21"/>
      <c r="I29" s="102">
        <f t="shared" si="3"/>
        <v>43</v>
      </c>
      <c r="J29" s="25" t="s">
        <v>23</v>
      </c>
    </row>
    <row r="30" spans="1:10">
      <c r="A30" s="35" t="s">
        <v>92</v>
      </c>
      <c r="B30" s="21"/>
      <c r="C30" s="21">
        <v>961</v>
      </c>
      <c r="D30" s="21"/>
      <c r="E30" s="21">
        <v>672</v>
      </c>
      <c r="F30" s="21"/>
      <c r="G30" s="21">
        <v>697</v>
      </c>
      <c r="H30" s="21"/>
      <c r="I30" s="102">
        <f t="shared" si="3"/>
        <v>25</v>
      </c>
      <c r="J30" s="25" t="s">
        <v>23</v>
      </c>
    </row>
    <row r="31" spans="1:10">
      <c r="A31" s="35" t="s">
        <v>93</v>
      </c>
      <c r="B31" s="21"/>
      <c r="C31" s="21">
        <v>0</v>
      </c>
      <c r="D31" s="21"/>
      <c r="E31" s="21">
        <v>0</v>
      </c>
      <c r="F31" s="21"/>
      <c r="G31" s="21">
        <v>0</v>
      </c>
      <c r="H31" s="21"/>
      <c r="I31" s="102">
        <f t="shared" si="3"/>
        <v>0</v>
      </c>
      <c r="J31" s="25" t="s">
        <v>23</v>
      </c>
    </row>
    <row r="32" spans="1:10">
      <c r="A32" s="35" t="s">
        <v>94</v>
      </c>
      <c r="B32" s="21"/>
      <c r="C32" s="21">
        <v>4212</v>
      </c>
      <c r="D32" s="21"/>
      <c r="E32" s="21">
        <v>4114</v>
      </c>
      <c r="F32" s="21"/>
      <c r="G32" s="21">
        <v>4379</v>
      </c>
      <c r="H32" s="21"/>
      <c r="I32" s="102">
        <f t="shared" si="3"/>
        <v>265</v>
      </c>
      <c r="J32" s="25" t="s">
        <v>23</v>
      </c>
    </row>
    <row r="33" spans="1:10">
      <c r="A33" s="35" t="s">
        <v>95</v>
      </c>
      <c r="B33" s="21"/>
      <c r="C33" s="21">
        <v>10707</v>
      </c>
      <c r="D33" s="21"/>
      <c r="E33" s="21">
        <v>4696</v>
      </c>
      <c r="F33" s="21"/>
      <c r="G33" s="21">
        <v>7284</v>
      </c>
      <c r="H33" s="21"/>
      <c r="I33" s="102">
        <f t="shared" si="3"/>
        <v>2588</v>
      </c>
      <c r="J33" s="25" t="s">
        <v>23</v>
      </c>
    </row>
    <row r="34" spans="1:10">
      <c r="A34" s="35" t="s">
        <v>96</v>
      </c>
      <c r="B34" s="21"/>
      <c r="C34" s="21">
        <v>61</v>
      </c>
      <c r="D34" s="21"/>
      <c r="E34" s="21">
        <v>0</v>
      </c>
      <c r="F34" s="21"/>
      <c r="G34" s="21">
        <v>3085</v>
      </c>
      <c r="H34" s="21"/>
      <c r="I34" s="102">
        <f t="shared" si="3"/>
        <v>3085</v>
      </c>
      <c r="J34" s="25" t="s">
        <v>23</v>
      </c>
    </row>
    <row r="35" spans="1:10">
      <c r="A35" s="35" t="s">
        <v>97</v>
      </c>
      <c r="B35" s="21"/>
      <c r="C35" s="21">
        <v>10188</v>
      </c>
      <c r="D35" s="21"/>
      <c r="E35" s="21">
        <v>14791</v>
      </c>
      <c r="F35" s="21"/>
      <c r="G35" s="21">
        <v>14791</v>
      </c>
      <c r="H35" s="21"/>
      <c r="I35" s="102">
        <f t="shared" si="3"/>
        <v>0</v>
      </c>
      <c r="J35" s="25" t="s">
        <v>23</v>
      </c>
    </row>
    <row r="36" spans="1:10">
      <c r="A36" s="35" t="s">
        <v>98</v>
      </c>
      <c r="B36" s="21"/>
      <c r="C36" s="21">
        <v>709</v>
      </c>
      <c r="D36" s="21"/>
      <c r="E36" s="21">
        <v>0</v>
      </c>
      <c r="F36" s="21"/>
      <c r="G36" s="21">
        <v>0</v>
      </c>
      <c r="H36" s="21"/>
      <c r="I36" s="102">
        <f t="shared" si="3"/>
        <v>0</v>
      </c>
      <c r="J36" s="25" t="s">
        <v>23</v>
      </c>
    </row>
    <row r="37" spans="1:10" ht="15">
      <c r="A37" s="38" t="s">
        <v>99</v>
      </c>
      <c r="B37" s="44"/>
      <c r="C37" s="44">
        <f>SUM(C14:C36)</f>
        <v>861237</v>
      </c>
      <c r="D37" s="44"/>
      <c r="E37" s="44">
        <f t="shared" ref="E37:I37" si="4">SUM(E14:E36)</f>
        <v>871479</v>
      </c>
      <c r="F37" s="44"/>
      <c r="G37" s="44">
        <f t="shared" si="4"/>
        <v>902605</v>
      </c>
      <c r="H37" s="44"/>
      <c r="I37" s="46">
        <f t="shared" si="4"/>
        <v>31126</v>
      </c>
      <c r="J37" s="25" t="s">
        <v>23</v>
      </c>
    </row>
    <row r="38" spans="1:10">
      <c r="A38" s="83" t="s">
        <v>147</v>
      </c>
      <c r="B38" s="21"/>
      <c r="C38" s="21">
        <v>-10014</v>
      </c>
      <c r="D38" s="21"/>
      <c r="E38" s="21">
        <f>SUM(-2004+-517+-424-11)</f>
        <v>-2956</v>
      </c>
      <c r="F38" s="21"/>
      <c r="G38" s="21">
        <v>0</v>
      </c>
      <c r="H38" s="21"/>
      <c r="I38" s="102">
        <f>G38-E38</f>
        <v>2956</v>
      </c>
      <c r="J38" s="25" t="s">
        <v>23</v>
      </c>
    </row>
    <row r="39" spans="1:10">
      <c r="A39" s="140" t="s">
        <v>159</v>
      </c>
      <c r="B39" s="21"/>
      <c r="C39" s="21">
        <v>-200</v>
      </c>
      <c r="D39" s="21"/>
      <c r="E39" s="21">
        <f>SUM(570-570+800)</f>
        <v>800</v>
      </c>
      <c r="F39" s="21"/>
      <c r="G39" s="21">
        <v>0</v>
      </c>
      <c r="H39" s="21"/>
      <c r="I39" s="102">
        <f t="shared" ref="I39:I43" si="5">G39-E39</f>
        <v>-800</v>
      </c>
      <c r="J39" s="25" t="s">
        <v>23</v>
      </c>
    </row>
    <row r="40" spans="1:10">
      <c r="A40" s="140" t="s">
        <v>218</v>
      </c>
      <c r="B40" s="21"/>
      <c r="C40" s="21">
        <v>-26</v>
      </c>
      <c r="D40" s="21"/>
      <c r="E40" s="21">
        <v>-300</v>
      </c>
      <c r="F40" s="21"/>
      <c r="G40" s="21"/>
      <c r="H40" s="21"/>
      <c r="I40" s="102"/>
      <c r="J40" s="25" t="s">
        <v>23</v>
      </c>
    </row>
    <row r="41" spans="1:10">
      <c r="A41" s="140" t="s">
        <v>160</v>
      </c>
      <c r="B41" s="21"/>
      <c r="C41" s="21">
        <v>-311</v>
      </c>
      <c r="D41" s="21"/>
      <c r="E41" s="21">
        <v>-371</v>
      </c>
      <c r="F41" s="21"/>
      <c r="G41" s="21">
        <v>0</v>
      </c>
      <c r="H41" s="21"/>
      <c r="I41" s="102">
        <f t="shared" si="5"/>
        <v>371</v>
      </c>
      <c r="J41" s="25" t="s">
        <v>23</v>
      </c>
    </row>
    <row r="42" spans="1:10">
      <c r="A42" s="35" t="s">
        <v>100</v>
      </c>
      <c r="B42" s="21"/>
      <c r="C42" s="21">
        <v>4021</v>
      </c>
      <c r="D42" s="21"/>
      <c r="E42" s="21">
        <v>0</v>
      </c>
      <c r="F42" s="21"/>
      <c r="G42" s="21">
        <v>0</v>
      </c>
      <c r="H42" s="21"/>
      <c r="I42" s="102">
        <f t="shared" si="5"/>
        <v>0</v>
      </c>
      <c r="J42" s="25" t="s">
        <v>23</v>
      </c>
    </row>
    <row r="43" spans="1:10">
      <c r="A43" s="88" t="s">
        <v>151</v>
      </c>
      <c r="B43" s="21"/>
      <c r="C43" s="21">
        <v>8660</v>
      </c>
      <c r="D43" s="21"/>
      <c r="E43" s="21">
        <v>0</v>
      </c>
      <c r="F43" s="21"/>
      <c r="G43" s="21">
        <v>0</v>
      </c>
      <c r="H43" s="21"/>
      <c r="I43" s="102">
        <f t="shared" si="5"/>
        <v>0</v>
      </c>
      <c r="J43" s="25" t="s">
        <v>23</v>
      </c>
    </row>
    <row r="44" spans="1:10" ht="15.75" thickBot="1">
      <c r="A44" s="39" t="s">
        <v>101</v>
      </c>
      <c r="B44" s="132">
        <f t="shared" ref="B44:I44" si="6">SUM(B37:B43)</f>
        <v>0</v>
      </c>
      <c r="C44" s="132">
        <f>SUM(C37:C43)</f>
        <v>863367</v>
      </c>
      <c r="D44" s="132">
        <f t="shared" si="6"/>
        <v>0</v>
      </c>
      <c r="E44" s="132">
        <f t="shared" si="6"/>
        <v>868652</v>
      </c>
      <c r="F44" s="132">
        <f t="shared" si="6"/>
        <v>0</v>
      </c>
      <c r="G44" s="132">
        <f t="shared" si="6"/>
        <v>902605</v>
      </c>
      <c r="H44" s="132">
        <f t="shared" si="6"/>
        <v>0</v>
      </c>
      <c r="I44" s="133">
        <f t="shared" si="6"/>
        <v>33653</v>
      </c>
      <c r="J44" s="25" t="s">
        <v>23</v>
      </c>
    </row>
    <row r="45" spans="1:10">
      <c r="A45" s="41" t="s">
        <v>31</v>
      </c>
      <c r="B45" s="134"/>
      <c r="C45" s="134"/>
      <c r="D45" s="134"/>
      <c r="E45" s="134"/>
      <c r="F45" s="134"/>
      <c r="G45" s="134"/>
      <c r="H45" s="134"/>
      <c r="I45" s="135"/>
      <c r="J45" s="25" t="s">
        <v>23</v>
      </c>
    </row>
    <row r="46" spans="1:10">
      <c r="A46" s="35" t="s">
        <v>102</v>
      </c>
      <c r="B46" s="21">
        <v>520</v>
      </c>
      <c r="C46" s="21"/>
      <c r="D46" s="21">
        <v>550</v>
      </c>
      <c r="E46" s="21"/>
      <c r="F46" s="21">
        <v>550</v>
      </c>
      <c r="G46" s="21"/>
      <c r="H46" s="21">
        <f>F46-D46</f>
        <v>0</v>
      </c>
      <c r="I46" s="102"/>
      <c r="J46" s="25" t="s">
        <v>23</v>
      </c>
    </row>
    <row r="47" spans="1:10">
      <c r="A47" s="35"/>
      <c r="B47" s="21"/>
      <c r="C47" s="21"/>
      <c r="D47" s="21"/>
      <c r="E47" s="21"/>
      <c r="F47" s="21"/>
      <c r="G47" s="21"/>
      <c r="H47" s="21"/>
      <c r="I47" s="102"/>
      <c r="J47" s="25" t="s">
        <v>23</v>
      </c>
    </row>
    <row r="48" spans="1:10">
      <c r="A48" s="35" t="s">
        <v>103</v>
      </c>
      <c r="B48" s="21"/>
      <c r="C48" s="21">
        <v>0</v>
      </c>
      <c r="D48" s="21"/>
      <c r="E48" s="21">
        <v>0</v>
      </c>
      <c r="F48" s="21"/>
      <c r="G48" s="21">
        <v>0</v>
      </c>
      <c r="H48" s="21"/>
      <c r="I48" s="102">
        <f t="shared" ref="I48:I49" si="7">G48-E48</f>
        <v>0</v>
      </c>
      <c r="J48" s="25" t="s">
        <v>23</v>
      </c>
    </row>
    <row r="49" spans="1:10" ht="15" thickBot="1">
      <c r="A49" s="40" t="s">
        <v>104</v>
      </c>
      <c r="B49" s="136"/>
      <c r="C49" s="136">
        <v>0</v>
      </c>
      <c r="D49" s="136"/>
      <c r="E49" s="136">
        <v>0</v>
      </c>
      <c r="F49" s="136"/>
      <c r="G49" s="136">
        <v>0</v>
      </c>
      <c r="H49" s="136"/>
      <c r="I49" s="137">
        <f t="shared" si="7"/>
        <v>0</v>
      </c>
      <c r="J49" s="25" t="s">
        <v>23</v>
      </c>
    </row>
    <row r="50" spans="1:10">
      <c r="J50" s="4" t="s">
        <v>24</v>
      </c>
    </row>
    <row r="51" spans="1:10">
      <c r="A51" s="154" t="s">
        <v>166</v>
      </c>
    </row>
  </sheetData>
  <mergeCells count="10">
    <mergeCell ref="A6:A7"/>
    <mergeCell ref="B6:C6"/>
    <mergeCell ref="D6:E6"/>
    <mergeCell ref="F6:G6"/>
    <mergeCell ref="H6:I6"/>
    <mergeCell ref="A1:I1"/>
    <mergeCell ref="A2:I2"/>
    <mergeCell ref="A3:I3"/>
    <mergeCell ref="A4:I4"/>
    <mergeCell ref="A5:I5"/>
  </mergeCells>
  <printOptions horizontalCentered="1"/>
  <pageMargins left="0.6" right="0.6" top="0.56999999999999995" bottom="0.55000000000000004" header="0.3" footer="0.3"/>
  <pageSetup scale="72" orientation="landscape" r:id="rId1"/>
  <headerFooter>
    <oddHeader>&amp;L&amp;"Arial,Bold"&amp;12L. Summary of Requirements by Object Class</oddHeader>
    <oddFooter>&amp;C&amp;"Arial,Regular"Exhibit L - Summary of Requirements by Object Class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B. Summ of Req.</vt:lpstr>
      <vt:lpstr>B. Summ of Req. by DU</vt:lpstr>
      <vt:lpstr>F. 2012 Crosswalk</vt:lpstr>
      <vt:lpstr>G. 2013 Crosswalk</vt:lpstr>
      <vt:lpstr>I. Permanent Positions</vt:lpstr>
      <vt:lpstr>K. Summary by Grade</vt:lpstr>
      <vt:lpstr>L. Summary by OC</vt:lpstr>
      <vt:lpstr>'B. Summ of Req.'!Print_Area</vt:lpstr>
      <vt:lpstr>'B. Summ of Req. by DU'!Print_Area</vt:lpstr>
      <vt:lpstr>'F. 2012 Crosswalk'!Print_Area</vt:lpstr>
      <vt:lpstr>'G. 2013 Crosswalk'!Print_Area</vt:lpstr>
      <vt:lpstr>'I. Permanent Positions'!Print_Area</vt:lpstr>
      <vt:lpstr>'K. Summary by Grade'!Print_Area</vt:lpstr>
      <vt:lpstr>'L. Summary by OC'!Print_Area</vt:lpstr>
    </vt:vector>
  </TitlesOfParts>
  <Company>JMD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tphan</dc:creator>
  <cp:lastModifiedBy>rsbechtel</cp:lastModifiedBy>
  <cp:lastPrinted>2013-03-26T15:58:20Z</cp:lastPrinted>
  <dcterms:created xsi:type="dcterms:W3CDTF">2012-12-06T16:08:32Z</dcterms:created>
  <dcterms:modified xsi:type="dcterms:W3CDTF">2013-03-28T17:07:43Z</dcterms:modified>
</cp:coreProperties>
</file>