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5576" windowHeight="12408" tabRatio="806"/>
  </bookViews>
  <sheets>
    <sheet name="B. Summ of Req.-S&amp;E" sheetId="1" r:id="rId1"/>
    <sheet name="B. Summ of Req. by DU-S&amp;E" sheetId="2" r:id="rId2"/>
    <sheet name="E. ATB Justification-S&amp;E" sheetId="3" r:id="rId3"/>
    <sheet name="F. 2012 Crosswalk-S&amp;E" sheetId="4" r:id="rId4"/>
    <sheet name="G. 2013 Crosswalk-S&amp;E" sheetId="5" r:id="rId5"/>
    <sheet name="H. Reimbursable Resources-S&amp;E" sheetId="6" r:id="rId6"/>
    <sheet name="I. Permanent Positions-S&amp;E" sheetId="7" r:id="rId7"/>
    <sheet name="J. Financial Analysis-S&amp;E" sheetId="8" r:id="rId8"/>
    <sheet name="K. Summary by Grade-S&amp;E" sheetId="9" r:id="rId9"/>
    <sheet name="L. Summary by OC-S&amp;E" sheetId="10" r:id="rId10"/>
    <sheet name="B. Summ of Req. - RES" sheetId="11" r:id="rId11"/>
    <sheet name="B. Summ of Req. by DU - RES" sheetId="12" r:id="rId12"/>
    <sheet name="C. Program Changes by DU - RES " sheetId="13" r:id="rId13"/>
    <sheet name="D. Strat Goals &amp; Objs - RES" sheetId="14" r:id="rId14"/>
    <sheet name="F. 2012 Crosswalk - RES" sheetId="15" r:id="rId15"/>
    <sheet name="G. 2013 Crosswalk - RES" sheetId="16" r:id="rId16"/>
    <sheet name="H. Reimbursable Resources - RES" sheetId="17" r:id="rId17"/>
    <sheet name="J. Financial Analysis - RES" sheetId="18" r:id="rId18"/>
    <sheet name="L. Summary by OC - RES" sheetId="19" r:id="rId19"/>
    <sheet name="B. Summ of Req.-SLLEA" sheetId="20" r:id="rId20"/>
    <sheet name="B. Summ of Req. by DU-SLLEA" sheetId="21" r:id="rId21"/>
    <sheet name="C. Program Changes by DU-SLLEA" sheetId="22" r:id="rId22"/>
    <sheet name="D. Strategic Goals-SLLEA" sheetId="23" r:id="rId23"/>
    <sheet name="F. 2012 Crosswalk-SLLEA" sheetId="24" r:id="rId24"/>
    <sheet name="G. 2013 Crosswalk-SLLEA" sheetId="25" r:id="rId25"/>
    <sheet name="H. Reimbursable Resources-SLLEA" sheetId="26" r:id="rId26"/>
    <sheet name="J. Financial Analysis-SLLEA" sheetId="27" r:id="rId27"/>
    <sheet name="L. Summary by OC-SLLEA" sheetId="28" r:id="rId28"/>
    <sheet name="B. Summ of Req. - JJ" sheetId="29" r:id="rId29"/>
    <sheet name="B. Summ of Req. by DU - JJ" sheetId="30" r:id="rId30"/>
    <sheet name="C. Program Changes by DU - JJ" sheetId="31" r:id="rId31"/>
    <sheet name="D. Strategic Goals &amp; Object-JJ" sheetId="32" r:id="rId32"/>
    <sheet name="F. 2012 Crosswalk - JJ" sheetId="33" r:id="rId33"/>
    <sheet name="G. 2013 Crosswalk - JJ" sheetId="34" r:id="rId34"/>
    <sheet name="H. Reimbursable Resources - JJ" sheetId="35" r:id="rId35"/>
    <sheet name="J. Financial Analysis - JJ" sheetId="36" r:id="rId36"/>
    <sheet name="L. Summary by OC - JJ" sheetId="37" r:id="rId37"/>
    <sheet name="B. Summ of Req.-PSOB" sheetId="38" r:id="rId38"/>
    <sheet name="B. Summ of Req. by DU - PSOB" sheetId="39" r:id="rId39"/>
    <sheet name="C. Program Changes by DU-PSOB" sheetId="40" r:id="rId40"/>
    <sheet name="D. Strategic Goals-PSOB" sheetId="41" r:id="rId41"/>
    <sheet name="F. 2012 Crosswalk-PSOB" sheetId="42" r:id="rId42"/>
    <sheet name="G. 2013 Crosswalk-PSOB" sheetId="43" r:id="rId43"/>
    <sheet name="J. Financial Analysis-PSOB" sheetId="44" r:id="rId44"/>
    <sheet name="L. Summary by OC-PSOB" sheetId="45" r:id="rId45"/>
    <sheet name="B. Summ of Req.-CVF" sheetId="46" r:id="rId46"/>
    <sheet name="B. Summ of Req. by DU - CVF" sheetId="47" r:id="rId47"/>
    <sheet name="C. Program Changes by DU-CVF" sheetId="48" r:id="rId48"/>
    <sheet name="D. Strategic Goals &amp; Object-CVF" sheetId="49" r:id="rId49"/>
    <sheet name="F. 2012 Crosswalk-CVF" sheetId="50" r:id="rId50"/>
    <sheet name="G. 2013 Crosswalk-CVF" sheetId="51" r:id="rId51"/>
    <sheet name="J. Financial Analysis-CVF" sheetId="52" r:id="rId52"/>
    <sheet name="L. Summary by OC-CVF" sheetId="53" r:id="rId53"/>
    <sheet name="M. Studies" sheetId="54" r:id="rId54"/>
    <sheet name="N. OJP Summary of Changes " sheetId="55" r:id="rId55"/>
  </sheets>
  <externalReferences>
    <externalReference r:id="rId56"/>
    <externalReference r:id="rId57"/>
    <externalReference r:id="rId58"/>
    <externalReference r:id="rId59"/>
    <externalReference r:id="rId60"/>
  </externalReferences>
  <definedNames>
    <definedName name="_1_______________GA_ROLLUP" localSheetId="54">#REF!</definedName>
    <definedName name="_1_______________GA_ROLLUP">#REF!</definedName>
    <definedName name="_10______GA_ROLLUP" localSheetId="54">#REF!</definedName>
    <definedName name="_10______GA_ROLLUP">#REF!</definedName>
    <definedName name="_11_____POS_BY_CAT" localSheetId="54">#REF!</definedName>
    <definedName name="_11_____POS_BY_CAT">#REF!</definedName>
    <definedName name="_11POS_BY_CAT">#REF!</definedName>
    <definedName name="_12____ATTORNEY_SUPP">#REF!</definedName>
    <definedName name="_13__ATTORNEY_SUPP">#REF!</definedName>
    <definedName name="_14__GA_ROLLUP">#REF!</definedName>
    <definedName name="_15__POS_BY_CAT">#REF!</definedName>
    <definedName name="_16ATTORNEY_SUPP">#REF!</definedName>
    <definedName name="_17GA_ROLLUP">#REF!</definedName>
    <definedName name="_18POS_BY_CAT">#REF!</definedName>
    <definedName name="_2_____________GA_ROLLUP">#REF!</definedName>
    <definedName name="_2ATTORNEY_SUPP">#REF!</definedName>
    <definedName name="_3_____________POS_BY_CAT">#REF!</definedName>
    <definedName name="_4___________POS_BY_CAT">#REF!</definedName>
    <definedName name="_5__________ATTORNEY_SUPP">#REF!</definedName>
    <definedName name="_6__________GA_ROLLUP">#REF!</definedName>
    <definedName name="_7________ATTORNEY_SUPP">#REF!</definedName>
    <definedName name="_7GA_ROLLUP">#REF!</definedName>
    <definedName name="_8________POS_BY_CAT">#REF!</definedName>
    <definedName name="_9______ATTORNEY_SUPP">#REF!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28">'B. Summ of Req. - JJ'!$A$1:$D$50</definedName>
    <definedName name="_xlnm.Print_Area" localSheetId="10">'B. Summ of Req. - RES'!$A$1:$D$50</definedName>
    <definedName name="_xlnm.Print_Area" localSheetId="46">'B. Summ of Req. by DU - CVF'!$A$1:$M$35</definedName>
    <definedName name="_xlnm.Print_Area" localSheetId="29">'B. Summ of Req. by DU - JJ'!$A$1:$M$60</definedName>
    <definedName name="_xlnm.Print_Area" localSheetId="38">'B. Summ of Req. by DU - PSOB'!$A$1:$M$37</definedName>
    <definedName name="_xlnm.Print_Area" localSheetId="11">'B. Summ of Req. by DU - RES'!$A$1:$M$51</definedName>
    <definedName name="_xlnm.Print_Area" localSheetId="1">'B. Summ of Req. by DU-S&amp;E'!$A$1:$M$35</definedName>
    <definedName name="_xlnm.Print_Area" localSheetId="20">'B. Summ of Req. by DU-SLLEA'!$A$1:$M$138</definedName>
    <definedName name="_xlnm.Print_Area" localSheetId="45">'B. Summ of Req.-CVF'!$A$1:$D$29</definedName>
    <definedName name="_xlnm.Print_Area" localSheetId="37">'B. Summ of Req.-PSOB'!$A$1:$D$28</definedName>
    <definedName name="_xlnm.Print_Area" localSheetId="0">'B. Summ of Req.-S&amp;E'!$A$1:$D$38</definedName>
    <definedName name="_xlnm.Print_Area" localSheetId="19">'B. Summ of Req.-SLLEA'!$A$1:$D$51</definedName>
    <definedName name="_xlnm.Print_Area" localSheetId="30">'C. Program Changes by DU - JJ'!$A$1:$J$24</definedName>
    <definedName name="_xlnm.Print_Area" localSheetId="12">'C. Program Changes by DU - RES '!$A$1:$J$18</definedName>
    <definedName name="_xlnm.Print_Area" localSheetId="47">'C. Program Changes by DU-CVF'!$A$1:$J$11</definedName>
    <definedName name="_xlnm.Print_Area" localSheetId="39">'C. Program Changes by DU-PSOB'!$A$1:$J$12</definedName>
    <definedName name="_xlnm.Print_Area" localSheetId="21">'C. Program Changes by DU-SLLEA'!$A$1:$J$29</definedName>
    <definedName name="_xlnm.Print_Area" localSheetId="13">'D. Strat Goals &amp; Objs - RES'!$A$1:$N$33</definedName>
    <definedName name="_xlnm.Print_Area" localSheetId="48">'D. Strategic Goals &amp; Object-CVF'!$A$1:$N$32</definedName>
    <definedName name="_xlnm.Print_Area" localSheetId="31">'D. Strategic Goals &amp; Object-JJ'!$A$1:$N$33</definedName>
    <definedName name="_xlnm.Print_Area" localSheetId="40">'D. Strategic Goals-PSOB'!$A$1:$N$32</definedName>
    <definedName name="_xlnm.Print_Area" localSheetId="22">'D. Strategic Goals-SLLEA'!$A$1:$N$32</definedName>
    <definedName name="_xlnm.Print_Area" localSheetId="2">'E. ATB Justification-S&amp;E'!$A$1:$G$25</definedName>
    <definedName name="_xlnm.Print_Area" localSheetId="32">'F. 2012 Crosswalk - JJ'!$A$1:$O$44</definedName>
    <definedName name="_xlnm.Print_Area" localSheetId="14">'F. 2012 Crosswalk - RES'!$A$1:$O$41</definedName>
    <definedName name="_xlnm.Print_Area" localSheetId="49">'F. 2012 Crosswalk-CVF'!$A$1:$O$26</definedName>
    <definedName name="_xlnm.Print_Area" localSheetId="41">'F. 2012 Crosswalk-PSOB'!$A$1:$O$29</definedName>
    <definedName name="_xlnm.Print_Area" localSheetId="3">'F. 2012 Crosswalk-S&amp;E'!$A$1:$O$28</definedName>
    <definedName name="_xlnm.Print_Area" localSheetId="23">'F. 2012 Crosswalk-SLLEA'!$A$1:$O$89</definedName>
    <definedName name="_xlnm.Print_Area" localSheetId="33">'G. 2013 Crosswalk - JJ'!$A$1:$M$44</definedName>
    <definedName name="_xlnm.Print_Area" localSheetId="15">'G. 2013 Crosswalk - RES'!$A$1:$M$46</definedName>
    <definedName name="_xlnm.Print_Area" localSheetId="50">'G. 2013 Crosswalk-CVF'!$A$1:$M$29</definedName>
    <definedName name="_xlnm.Print_Area" localSheetId="42">'G. 2013 Crosswalk-PSOB'!$A$1:$M$30</definedName>
    <definedName name="_xlnm.Print_Area" localSheetId="4">'G. 2013 Crosswalk-S&amp;E'!$A$1:$M$30</definedName>
    <definedName name="_xlnm.Print_Area" localSheetId="24">'G. 2013 Crosswalk-SLLEA'!$A$1:$M$79</definedName>
    <definedName name="_xlnm.Print_Area" localSheetId="34">'H. Reimbursable Resources - JJ'!$A$1:$M$17</definedName>
    <definedName name="_xlnm.Print_Area" localSheetId="16">'H. Reimbursable Resources - RES'!$A$1:$M$19</definedName>
    <definedName name="_xlnm.Print_Area" localSheetId="5">'H. Reimbursable Resources-S&amp;E'!$A$1:$M$20</definedName>
    <definedName name="_xlnm.Print_Area" localSheetId="25">'H. Reimbursable Resources-SLLEA'!$A$1:$M$23</definedName>
    <definedName name="_xlnm.Print_Area" localSheetId="6">'I. Permanent Positions-S&amp;E'!$A$1:$J$26</definedName>
    <definedName name="_xlnm.Print_Area" localSheetId="35">'J. Financial Analysis - JJ'!$A$1:$M$29</definedName>
    <definedName name="_xlnm.Print_Area" localSheetId="17">'J. Financial Analysis - RES'!$A$1:$M$19</definedName>
    <definedName name="_xlnm.Print_Area" localSheetId="51">'J. Financial Analysis-CVF'!$A$1:$E$10</definedName>
    <definedName name="_xlnm.Print_Area" localSheetId="43">'J. Financial Analysis-PSOB'!$A$1:$E$13</definedName>
    <definedName name="_xlnm.Print_Area" localSheetId="7">'J. Financial Analysis-S&amp;E'!$A$1:$E$17</definedName>
    <definedName name="_xlnm.Print_Area" localSheetId="26">'J. Financial Analysis-SLLEA'!$A$1:$Q$32</definedName>
    <definedName name="_xlnm.Print_Area" localSheetId="8">'K. Summary by Grade-S&amp;E'!$A$1:$L$27</definedName>
    <definedName name="_xlnm.Print_Area" localSheetId="36">'L. Summary by OC - JJ'!$A$1:$I$50</definedName>
    <definedName name="_xlnm.Print_Area" localSheetId="18">'L. Summary by OC - RES'!$A$1:$I$50</definedName>
    <definedName name="_xlnm.Print_Area" localSheetId="52">'L. Summary by OC-CVF'!$A$1:$I$49</definedName>
    <definedName name="_xlnm.Print_Area" localSheetId="44">'L. Summary by OC-PSOB'!$A$1:$I$44</definedName>
    <definedName name="_xlnm.Print_Area" localSheetId="9">'L. Summary by OC-S&amp;E'!$A$1:$I$45</definedName>
    <definedName name="_xlnm.Print_Area" localSheetId="27">'L. Summary by OC-SLLEA'!$A$1:$I$45</definedName>
    <definedName name="_xlnm.Print_Area" localSheetId="53">'M. Studies'!$A$1:$J$64</definedName>
    <definedName name="_xlnm.Print_Area" localSheetId="54">'N. OJP Summary of Changes '!$A$1:$F$193</definedName>
    <definedName name="_xlnm.Print_Area">#REF!</definedName>
    <definedName name="_xlnm.Print_Titles" localSheetId="2">'E. ATB Justification-S&amp;E'!$1:$6</definedName>
    <definedName name="_xlnm.Print_Titles" localSheetId="35">'J. Financial Analysis - JJ'!$1:$5</definedName>
    <definedName name="_xlnm.Print_Titles" localSheetId="17">'J. Financial Analysis - RES'!$1:$5</definedName>
    <definedName name="_xlnm.Print_Titles" localSheetId="51">'J. Financial Analysis-CVF'!$1:$5</definedName>
    <definedName name="_xlnm.Print_Titles" localSheetId="43">'J. Financial Analysis-PSOB'!$1:$5</definedName>
    <definedName name="_xlnm.Print_Titles" localSheetId="7">'J. Financial Analysis-S&amp;E'!$1:$5</definedName>
    <definedName name="_xlnm.Print_Titles" localSheetId="26">'J. Financial Analysis-SLLEA'!$1:$5</definedName>
    <definedName name="_xlnm.Print_Titles" localSheetId="54">'N. OJP Summary of Changes '!$1:$1</definedName>
    <definedName name="REIMPRO" localSheetId="54">#REF!</definedName>
    <definedName name="REIMPRO">#REF!</definedName>
    <definedName name="REIMSOR" localSheetId="54">#REF!</definedName>
    <definedName name="REIMSOR">#REF!</definedName>
    <definedName name="Z_08380F1E_0CB7_4B3B_924E_2A270EA8DD30_.wvu.PrintArea" localSheetId="28" hidden="1">'B. Summ of Req. - JJ'!$A$1:$D$50</definedName>
    <definedName name="Z_08380F1E_0CB7_4B3B_924E_2A270EA8DD30_.wvu.PrintArea" localSheetId="10" hidden="1">'B. Summ of Req. - RES'!$A$1:$D$50</definedName>
    <definedName name="Z_08380F1E_0CB7_4B3B_924E_2A270EA8DD30_.wvu.PrintArea" localSheetId="46" hidden="1">'B. Summ of Req. by DU - CVF'!$A$1:$M$35</definedName>
    <definedName name="Z_08380F1E_0CB7_4B3B_924E_2A270EA8DD30_.wvu.PrintArea" localSheetId="29" hidden="1">'B. Summ of Req. by DU - JJ'!$A$1:$M$60</definedName>
    <definedName name="Z_08380F1E_0CB7_4B3B_924E_2A270EA8DD30_.wvu.PrintArea" localSheetId="38" hidden="1">'B. Summ of Req. by DU - PSOB'!$A$1:$M$37</definedName>
    <definedName name="Z_08380F1E_0CB7_4B3B_924E_2A270EA8DD30_.wvu.PrintArea" localSheetId="11" hidden="1">'B. Summ of Req. by DU - RES'!$A$1:$M$51</definedName>
    <definedName name="Z_08380F1E_0CB7_4B3B_924E_2A270EA8DD30_.wvu.PrintArea" localSheetId="1" hidden="1">'B. Summ of Req. by DU-S&amp;E'!$A$1:$M$35</definedName>
    <definedName name="Z_08380F1E_0CB7_4B3B_924E_2A270EA8DD30_.wvu.PrintArea" localSheetId="20" hidden="1">'B. Summ of Req. by DU-SLLEA'!$A$1:$M$138</definedName>
    <definedName name="Z_08380F1E_0CB7_4B3B_924E_2A270EA8DD30_.wvu.PrintArea" localSheetId="45" hidden="1">'B. Summ of Req.-CVF'!$A$1:$D$29</definedName>
    <definedName name="Z_08380F1E_0CB7_4B3B_924E_2A270EA8DD30_.wvu.PrintArea" localSheetId="37" hidden="1">'B. Summ of Req.-PSOB'!$A$1:$D$28</definedName>
    <definedName name="Z_08380F1E_0CB7_4B3B_924E_2A270EA8DD30_.wvu.PrintArea" localSheetId="0" hidden="1">'B. Summ of Req.-S&amp;E'!$A$1:$D$38</definedName>
    <definedName name="Z_08380F1E_0CB7_4B3B_924E_2A270EA8DD30_.wvu.PrintArea" localSheetId="19" hidden="1">'B. Summ of Req.-SLLEA'!$A$1:$D$51</definedName>
    <definedName name="Z_08380F1E_0CB7_4B3B_924E_2A270EA8DD30_.wvu.PrintArea" localSheetId="30" hidden="1">'C. Program Changes by DU - JJ'!$A$1:$J$24</definedName>
    <definedName name="Z_08380F1E_0CB7_4B3B_924E_2A270EA8DD30_.wvu.PrintArea" localSheetId="12" hidden="1">'C. Program Changes by DU - RES '!$A$1:$J$18</definedName>
    <definedName name="Z_08380F1E_0CB7_4B3B_924E_2A270EA8DD30_.wvu.PrintArea" localSheetId="47" hidden="1">'C. Program Changes by DU-CVF'!$A$1:$J$11</definedName>
    <definedName name="Z_08380F1E_0CB7_4B3B_924E_2A270EA8DD30_.wvu.PrintArea" localSheetId="39" hidden="1">'C. Program Changes by DU-PSOB'!$A$1:$J$12</definedName>
    <definedName name="Z_08380F1E_0CB7_4B3B_924E_2A270EA8DD30_.wvu.PrintArea" localSheetId="21" hidden="1">'C. Program Changes by DU-SLLEA'!$A$1:$J$29</definedName>
    <definedName name="Z_08380F1E_0CB7_4B3B_924E_2A270EA8DD30_.wvu.PrintArea" localSheetId="13" hidden="1">'D. Strat Goals &amp; Objs - RES'!$A$1:$N$33</definedName>
    <definedName name="Z_08380F1E_0CB7_4B3B_924E_2A270EA8DD30_.wvu.PrintArea" localSheetId="48" hidden="1">'D. Strategic Goals &amp; Object-CVF'!$A$1:$N$32</definedName>
    <definedName name="Z_08380F1E_0CB7_4B3B_924E_2A270EA8DD30_.wvu.PrintArea" localSheetId="31" hidden="1">'D. Strategic Goals &amp; Object-JJ'!$A$1:$N$33</definedName>
    <definedName name="Z_08380F1E_0CB7_4B3B_924E_2A270EA8DD30_.wvu.PrintArea" localSheetId="40" hidden="1">'D. Strategic Goals-PSOB'!$A$1:$N$32</definedName>
    <definedName name="Z_08380F1E_0CB7_4B3B_924E_2A270EA8DD30_.wvu.PrintArea" localSheetId="22" hidden="1">'D. Strategic Goals-SLLEA'!$A$1:$N$32</definedName>
    <definedName name="Z_08380F1E_0CB7_4B3B_924E_2A270EA8DD30_.wvu.PrintArea" localSheetId="2" hidden="1">'E. ATB Justification-S&amp;E'!$A$1:$G$25</definedName>
    <definedName name="Z_08380F1E_0CB7_4B3B_924E_2A270EA8DD30_.wvu.PrintArea" localSheetId="32" hidden="1">'F. 2012 Crosswalk - JJ'!$A$1:$O$44</definedName>
    <definedName name="Z_08380F1E_0CB7_4B3B_924E_2A270EA8DD30_.wvu.PrintArea" localSheetId="14" hidden="1">'F. 2012 Crosswalk - RES'!$A$1:$O$41</definedName>
    <definedName name="Z_08380F1E_0CB7_4B3B_924E_2A270EA8DD30_.wvu.PrintArea" localSheetId="49" hidden="1">'F. 2012 Crosswalk-CVF'!$A$1:$O$26</definedName>
    <definedName name="Z_08380F1E_0CB7_4B3B_924E_2A270EA8DD30_.wvu.PrintArea" localSheetId="41" hidden="1">'F. 2012 Crosswalk-PSOB'!$A$1:$O$29</definedName>
    <definedName name="Z_08380F1E_0CB7_4B3B_924E_2A270EA8DD30_.wvu.PrintArea" localSheetId="3" hidden="1">'F. 2012 Crosswalk-S&amp;E'!$A$1:$O$28</definedName>
    <definedName name="Z_08380F1E_0CB7_4B3B_924E_2A270EA8DD30_.wvu.PrintArea" localSheetId="23" hidden="1">'F. 2012 Crosswalk-SLLEA'!$A$1:$O$89</definedName>
    <definedName name="Z_08380F1E_0CB7_4B3B_924E_2A270EA8DD30_.wvu.PrintArea" localSheetId="33" hidden="1">'G. 2013 Crosswalk - JJ'!$A$1:$M$44</definedName>
    <definedName name="Z_08380F1E_0CB7_4B3B_924E_2A270EA8DD30_.wvu.PrintArea" localSheetId="15" hidden="1">'G. 2013 Crosswalk - RES'!$A$1:$M$46</definedName>
    <definedName name="Z_08380F1E_0CB7_4B3B_924E_2A270EA8DD30_.wvu.PrintArea" localSheetId="50" hidden="1">'G. 2013 Crosswalk-CVF'!$A$1:$M$29</definedName>
    <definedName name="Z_08380F1E_0CB7_4B3B_924E_2A270EA8DD30_.wvu.PrintArea" localSheetId="42" hidden="1">'G. 2013 Crosswalk-PSOB'!$A$1:$M$30</definedName>
    <definedName name="Z_08380F1E_0CB7_4B3B_924E_2A270EA8DD30_.wvu.PrintArea" localSheetId="4" hidden="1">'G. 2013 Crosswalk-S&amp;E'!$A$1:$M$30</definedName>
    <definedName name="Z_08380F1E_0CB7_4B3B_924E_2A270EA8DD30_.wvu.PrintArea" localSheetId="24" hidden="1">'G. 2013 Crosswalk-SLLEA'!$A$1:$M$79</definedName>
    <definedName name="Z_08380F1E_0CB7_4B3B_924E_2A270EA8DD30_.wvu.PrintArea" localSheetId="34" hidden="1">'H. Reimbursable Resources - JJ'!$A$1:$M$17</definedName>
    <definedName name="Z_08380F1E_0CB7_4B3B_924E_2A270EA8DD30_.wvu.PrintArea" localSheetId="16" hidden="1">'H. Reimbursable Resources - RES'!$A$1:$M$19</definedName>
    <definedName name="Z_08380F1E_0CB7_4B3B_924E_2A270EA8DD30_.wvu.PrintArea" localSheetId="5" hidden="1">'H. Reimbursable Resources-S&amp;E'!$A$1:$M$20</definedName>
    <definedName name="Z_08380F1E_0CB7_4B3B_924E_2A270EA8DD30_.wvu.PrintArea" localSheetId="25" hidden="1">'H. Reimbursable Resources-SLLEA'!$A$1:$M$23</definedName>
    <definedName name="Z_08380F1E_0CB7_4B3B_924E_2A270EA8DD30_.wvu.PrintArea" localSheetId="6" hidden="1">'I. Permanent Positions-S&amp;E'!$A$1:$J$26</definedName>
    <definedName name="Z_08380F1E_0CB7_4B3B_924E_2A270EA8DD30_.wvu.PrintArea" localSheetId="35" hidden="1">'J. Financial Analysis - JJ'!$A$1:$M$29</definedName>
    <definedName name="Z_08380F1E_0CB7_4B3B_924E_2A270EA8DD30_.wvu.PrintArea" localSheetId="17" hidden="1">'J. Financial Analysis - RES'!$A$1:$M$19</definedName>
    <definedName name="Z_08380F1E_0CB7_4B3B_924E_2A270EA8DD30_.wvu.PrintArea" localSheetId="51" hidden="1">'J. Financial Analysis-CVF'!$A$1:$E$10</definedName>
    <definedName name="Z_08380F1E_0CB7_4B3B_924E_2A270EA8DD30_.wvu.PrintArea" localSheetId="43" hidden="1">'J. Financial Analysis-PSOB'!$A$1:$E$13</definedName>
    <definedName name="Z_08380F1E_0CB7_4B3B_924E_2A270EA8DD30_.wvu.PrintArea" localSheetId="7" hidden="1">'J. Financial Analysis-S&amp;E'!$A$1:$E$17</definedName>
    <definedName name="Z_08380F1E_0CB7_4B3B_924E_2A270EA8DD30_.wvu.PrintArea" localSheetId="26" hidden="1">'J. Financial Analysis-SLLEA'!$A$1:$Q$32</definedName>
    <definedName name="Z_08380F1E_0CB7_4B3B_924E_2A270EA8DD30_.wvu.PrintArea" localSheetId="8" hidden="1">'K. Summary by Grade-S&amp;E'!$A$1:$L$27</definedName>
    <definedName name="Z_08380F1E_0CB7_4B3B_924E_2A270EA8DD30_.wvu.PrintArea" localSheetId="36" hidden="1">'L. Summary by OC - JJ'!$A$1:$I$50</definedName>
    <definedName name="Z_08380F1E_0CB7_4B3B_924E_2A270EA8DD30_.wvu.PrintArea" localSheetId="18" hidden="1">'L. Summary by OC - RES'!$A$1:$I$51</definedName>
    <definedName name="Z_08380F1E_0CB7_4B3B_924E_2A270EA8DD30_.wvu.PrintArea" localSheetId="52" hidden="1">'L. Summary by OC-CVF'!$A$1:$I$49</definedName>
    <definedName name="Z_08380F1E_0CB7_4B3B_924E_2A270EA8DD30_.wvu.PrintArea" localSheetId="44" hidden="1">'L. Summary by OC-PSOB'!$A$1:$I$44</definedName>
    <definedName name="Z_08380F1E_0CB7_4B3B_924E_2A270EA8DD30_.wvu.PrintArea" localSheetId="9" hidden="1">'L. Summary by OC-S&amp;E'!$A$1:$I$45</definedName>
    <definedName name="Z_08380F1E_0CB7_4B3B_924E_2A270EA8DD30_.wvu.PrintArea" localSheetId="27" hidden="1">'L. Summary by OC-SLLEA'!$A$1:$I$45</definedName>
    <definedName name="Z_08380F1E_0CB7_4B3B_924E_2A270EA8DD30_.wvu.PrintTitles" localSheetId="2" hidden="1">'E. ATB Justification-S&amp;E'!$1:$6</definedName>
    <definedName name="Z_08380F1E_0CB7_4B3B_924E_2A270EA8DD30_.wvu.PrintTitles" localSheetId="35" hidden="1">'J. Financial Analysis - JJ'!$1:$5</definedName>
    <definedName name="Z_08380F1E_0CB7_4B3B_924E_2A270EA8DD30_.wvu.PrintTitles" localSheetId="17" hidden="1">'J. Financial Analysis - RES'!$1:$5</definedName>
    <definedName name="Z_08380F1E_0CB7_4B3B_924E_2A270EA8DD30_.wvu.PrintTitles" localSheetId="51" hidden="1">'J. Financial Analysis-CVF'!$1:$5</definedName>
    <definedName name="Z_08380F1E_0CB7_4B3B_924E_2A270EA8DD30_.wvu.PrintTitles" localSheetId="43" hidden="1">'J. Financial Analysis-PSOB'!$1:$5</definedName>
    <definedName name="Z_08380F1E_0CB7_4B3B_924E_2A270EA8DD30_.wvu.PrintTitles" localSheetId="7" hidden="1">'J. Financial Analysis-S&amp;E'!$1:$5</definedName>
    <definedName name="Z_08380F1E_0CB7_4B3B_924E_2A270EA8DD30_.wvu.PrintTitles" localSheetId="26" hidden="1">'J. Financial Analysis-SLLEA'!$1:$5</definedName>
    <definedName name="Z_0858FC5C_8AD0_4060_88AE_AD6AA1B94ED6_.wvu.Cols" localSheetId="54" hidden="1">'N. OJP Summary of Changes '!#REF!,'N. OJP Summary of Changes '!#REF!,'N. OJP Summary of Changes '!#REF!</definedName>
    <definedName name="Z_0858FC5C_8AD0_4060_88AE_AD6AA1B94ED6_.wvu.PrintArea" localSheetId="54" hidden="1">'N. OJP Summary of Changes '!$A$1:$B$184</definedName>
    <definedName name="Z_0858FC5C_8AD0_4060_88AE_AD6AA1B94ED6_.wvu.PrintTitles" localSheetId="54" hidden="1">'N. OJP Summary of Changes '!$1:$1</definedName>
    <definedName name="Z_0858FC5C_8AD0_4060_88AE_AD6AA1B94ED6_.wvu.Rows" localSheetId="54" hidden="1">'N. OJP Summary of Changes '!#REF!,'N. OJP Summary of Changes '!#REF!,'N. OJP Summary of Changes '!#REF!,'N. OJP Summary of Changes '!#REF!,'N. OJP Summary of Changes '!#REF!,'N. OJP Summary of Changes '!#REF!</definedName>
    <definedName name="Z_12C66D54_5067_4346_818B_6EAB1C8A9183_.wvu.PrintArea" localSheetId="53" hidden="1">'M. Studies'!$A$1:$J$18</definedName>
    <definedName name="Z_27B9C207_C13F_4981_9CED_E69585BBD779_.wvu.PrintArea" localSheetId="53" hidden="1">'M. Studies'!$A$1:$J$40</definedName>
    <definedName name="Z_3118AF25_8423_420A_806A_487665220C68_.wvu.PrintArea" localSheetId="53" hidden="1">'M. Studies'!$A$1:$J$18</definedName>
    <definedName name="Z_4148B88B_8ED7_4FDE_9459_DEB244AD0552_.wvu.PrintArea" localSheetId="53" hidden="1">'M. Studies'!$A$1:$J$18</definedName>
    <definedName name="Z_4D0F9E3D_0229_48CC_A08B_F132802E9D7B_.wvu.PrintArea" localSheetId="53" hidden="1">'M. Studies'!$A$1:$J$18</definedName>
    <definedName name="Z_56C0A34E_45B4_448B_85E5_70B3A8E63333_.wvu.PrintArea" localSheetId="53" hidden="1">'M. Studies'!$A$1:$J$18</definedName>
    <definedName name="Z_5B2D5037_506A_47D5_AF28_C337BC9133BD_.wvu.PrintArea" localSheetId="28" hidden="1">'B. Summ of Req. - JJ'!$A$1:$D$50</definedName>
    <definedName name="Z_5B2D5037_506A_47D5_AF28_C337BC9133BD_.wvu.PrintArea" localSheetId="10" hidden="1">'B. Summ of Req. - RES'!$A$1:$D$50</definedName>
    <definedName name="Z_5B2D5037_506A_47D5_AF28_C337BC9133BD_.wvu.PrintArea" localSheetId="46" hidden="1">'B. Summ of Req. by DU - CVF'!$A$1:$M$35</definedName>
    <definedName name="Z_5B2D5037_506A_47D5_AF28_C337BC9133BD_.wvu.PrintArea" localSheetId="29" hidden="1">'B. Summ of Req. by DU - JJ'!$A$1:$M$60</definedName>
    <definedName name="Z_5B2D5037_506A_47D5_AF28_C337BC9133BD_.wvu.PrintArea" localSheetId="38" hidden="1">'B. Summ of Req. by DU - PSOB'!$A$1:$M$37</definedName>
    <definedName name="Z_5B2D5037_506A_47D5_AF28_C337BC9133BD_.wvu.PrintArea" localSheetId="11" hidden="1">'B. Summ of Req. by DU - RES'!$A$1:$M$51</definedName>
    <definedName name="Z_5B2D5037_506A_47D5_AF28_C337BC9133BD_.wvu.PrintArea" localSheetId="1" hidden="1">'B. Summ of Req. by DU-S&amp;E'!$A$1:$M$35</definedName>
    <definedName name="Z_5B2D5037_506A_47D5_AF28_C337BC9133BD_.wvu.PrintArea" localSheetId="20" hidden="1">'B. Summ of Req. by DU-SLLEA'!$A$1:$M$138</definedName>
    <definedName name="Z_5B2D5037_506A_47D5_AF28_C337BC9133BD_.wvu.PrintArea" localSheetId="45" hidden="1">'B. Summ of Req.-CVF'!$A$1:$D$29</definedName>
    <definedName name="Z_5B2D5037_506A_47D5_AF28_C337BC9133BD_.wvu.PrintArea" localSheetId="37" hidden="1">'B. Summ of Req.-PSOB'!$A$1:$D$28</definedName>
    <definedName name="Z_5B2D5037_506A_47D5_AF28_C337BC9133BD_.wvu.PrintArea" localSheetId="0" hidden="1">'B. Summ of Req.-S&amp;E'!$A$1:$D$38</definedName>
    <definedName name="Z_5B2D5037_506A_47D5_AF28_C337BC9133BD_.wvu.PrintArea" localSheetId="19" hidden="1">'B. Summ of Req.-SLLEA'!$A$1:$D$51</definedName>
    <definedName name="Z_5B2D5037_506A_47D5_AF28_C337BC9133BD_.wvu.PrintArea" localSheetId="30" hidden="1">'C. Program Changes by DU - JJ'!$A$1:$J$24</definedName>
    <definedName name="Z_5B2D5037_506A_47D5_AF28_C337BC9133BD_.wvu.PrintArea" localSheetId="12" hidden="1">'C. Program Changes by DU - RES '!$A$1:$J$18</definedName>
    <definedName name="Z_5B2D5037_506A_47D5_AF28_C337BC9133BD_.wvu.PrintArea" localSheetId="47" hidden="1">'C. Program Changes by DU-CVF'!$A$1:$J$11</definedName>
    <definedName name="Z_5B2D5037_506A_47D5_AF28_C337BC9133BD_.wvu.PrintArea" localSheetId="39" hidden="1">'C. Program Changes by DU-PSOB'!$A$1:$J$12</definedName>
    <definedName name="Z_5B2D5037_506A_47D5_AF28_C337BC9133BD_.wvu.PrintArea" localSheetId="21" hidden="1">'C. Program Changes by DU-SLLEA'!$A$1:$J$29</definedName>
    <definedName name="Z_5B2D5037_506A_47D5_AF28_C337BC9133BD_.wvu.PrintArea" localSheetId="13" hidden="1">'D. Strat Goals &amp; Objs - RES'!$A$1:$N$33</definedName>
    <definedName name="Z_5B2D5037_506A_47D5_AF28_C337BC9133BD_.wvu.PrintArea" localSheetId="48" hidden="1">'D. Strategic Goals &amp; Object-CVF'!$A$1:$N$32</definedName>
    <definedName name="Z_5B2D5037_506A_47D5_AF28_C337BC9133BD_.wvu.PrintArea" localSheetId="31" hidden="1">'D. Strategic Goals &amp; Object-JJ'!$A$1:$N$33</definedName>
    <definedName name="Z_5B2D5037_506A_47D5_AF28_C337BC9133BD_.wvu.PrintArea" localSheetId="40" hidden="1">'D. Strategic Goals-PSOB'!$A$1:$N$32</definedName>
    <definedName name="Z_5B2D5037_506A_47D5_AF28_C337BC9133BD_.wvu.PrintArea" localSheetId="22" hidden="1">'D. Strategic Goals-SLLEA'!$A$1:$N$32</definedName>
    <definedName name="Z_5B2D5037_506A_47D5_AF28_C337BC9133BD_.wvu.PrintArea" localSheetId="2" hidden="1">'E. ATB Justification-S&amp;E'!$A$1:$G$25</definedName>
    <definedName name="Z_5B2D5037_506A_47D5_AF28_C337BC9133BD_.wvu.PrintArea" localSheetId="32" hidden="1">'F. 2012 Crosswalk - JJ'!$A$1:$O$44</definedName>
    <definedName name="Z_5B2D5037_506A_47D5_AF28_C337BC9133BD_.wvu.PrintArea" localSheetId="14" hidden="1">'F. 2012 Crosswalk - RES'!$A$1:$O$41</definedName>
    <definedName name="Z_5B2D5037_506A_47D5_AF28_C337BC9133BD_.wvu.PrintArea" localSheetId="49" hidden="1">'F. 2012 Crosswalk-CVF'!$A$1:$O$26</definedName>
    <definedName name="Z_5B2D5037_506A_47D5_AF28_C337BC9133BD_.wvu.PrintArea" localSheetId="41" hidden="1">'F. 2012 Crosswalk-PSOB'!$A$1:$O$29</definedName>
    <definedName name="Z_5B2D5037_506A_47D5_AF28_C337BC9133BD_.wvu.PrintArea" localSheetId="3" hidden="1">'F. 2012 Crosswalk-S&amp;E'!$A$1:$O$28</definedName>
    <definedName name="Z_5B2D5037_506A_47D5_AF28_C337BC9133BD_.wvu.PrintArea" localSheetId="23" hidden="1">'F. 2012 Crosswalk-SLLEA'!$A$1:$O$89</definedName>
    <definedName name="Z_5B2D5037_506A_47D5_AF28_C337BC9133BD_.wvu.PrintArea" localSheetId="33" hidden="1">'G. 2013 Crosswalk - JJ'!$A$1:$M$44</definedName>
    <definedName name="Z_5B2D5037_506A_47D5_AF28_C337BC9133BD_.wvu.PrintArea" localSheetId="15" hidden="1">'G. 2013 Crosswalk - RES'!$A$1:$M$46</definedName>
    <definedName name="Z_5B2D5037_506A_47D5_AF28_C337BC9133BD_.wvu.PrintArea" localSheetId="50" hidden="1">'G. 2013 Crosswalk-CVF'!$A$1:$M$29</definedName>
    <definedName name="Z_5B2D5037_506A_47D5_AF28_C337BC9133BD_.wvu.PrintArea" localSheetId="42" hidden="1">'G. 2013 Crosswalk-PSOB'!$A$1:$M$30</definedName>
    <definedName name="Z_5B2D5037_506A_47D5_AF28_C337BC9133BD_.wvu.PrintArea" localSheetId="4" hidden="1">'G. 2013 Crosswalk-S&amp;E'!$A$1:$M$30</definedName>
    <definedName name="Z_5B2D5037_506A_47D5_AF28_C337BC9133BD_.wvu.PrintArea" localSheetId="24" hidden="1">'G. 2013 Crosswalk-SLLEA'!$A$1:$M$79</definedName>
    <definedName name="Z_5B2D5037_506A_47D5_AF28_C337BC9133BD_.wvu.PrintArea" localSheetId="34" hidden="1">'H. Reimbursable Resources - JJ'!$A$1:$M$17</definedName>
    <definedName name="Z_5B2D5037_506A_47D5_AF28_C337BC9133BD_.wvu.PrintArea" localSheetId="16" hidden="1">'H. Reimbursable Resources - RES'!$A$1:$M$19</definedName>
    <definedName name="Z_5B2D5037_506A_47D5_AF28_C337BC9133BD_.wvu.PrintArea" localSheetId="5" hidden="1">'H. Reimbursable Resources-S&amp;E'!$A$1:$M$20</definedName>
    <definedName name="Z_5B2D5037_506A_47D5_AF28_C337BC9133BD_.wvu.PrintArea" localSheetId="25" hidden="1">'H. Reimbursable Resources-SLLEA'!$A$1:$M$23</definedName>
    <definedName name="Z_5B2D5037_506A_47D5_AF28_C337BC9133BD_.wvu.PrintArea" localSheetId="6" hidden="1">'I. Permanent Positions-S&amp;E'!$A$1:$J$26</definedName>
    <definedName name="Z_5B2D5037_506A_47D5_AF28_C337BC9133BD_.wvu.PrintArea" localSheetId="35" hidden="1">'J. Financial Analysis - JJ'!$A$1:$M$29</definedName>
    <definedName name="Z_5B2D5037_506A_47D5_AF28_C337BC9133BD_.wvu.PrintArea" localSheetId="17" hidden="1">'J. Financial Analysis - RES'!$A$1:$M$19</definedName>
    <definedName name="Z_5B2D5037_506A_47D5_AF28_C337BC9133BD_.wvu.PrintArea" localSheetId="51" hidden="1">'J. Financial Analysis-CVF'!$A$1:$E$10</definedName>
    <definedName name="Z_5B2D5037_506A_47D5_AF28_C337BC9133BD_.wvu.PrintArea" localSheetId="43" hidden="1">'J. Financial Analysis-PSOB'!$A$1:$E$13</definedName>
    <definedName name="Z_5B2D5037_506A_47D5_AF28_C337BC9133BD_.wvu.PrintArea" localSheetId="7" hidden="1">'J. Financial Analysis-S&amp;E'!$A$1:$E$17</definedName>
    <definedName name="Z_5B2D5037_506A_47D5_AF28_C337BC9133BD_.wvu.PrintArea" localSheetId="26" hidden="1">'J. Financial Analysis-SLLEA'!$A$1:$Q$32</definedName>
    <definedName name="Z_5B2D5037_506A_47D5_AF28_C337BC9133BD_.wvu.PrintArea" localSheetId="8" hidden="1">'K. Summary by Grade-S&amp;E'!$A$1:$L$27</definedName>
    <definedName name="Z_5B2D5037_506A_47D5_AF28_C337BC9133BD_.wvu.PrintArea" localSheetId="36" hidden="1">'L. Summary by OC - JJ'!$A$1:$I$50</definedName>
    <definedName name="Z_5B2D5037_506A_47D5_AF28_C337BC9133BD_.wvu.PrintArea" localSheetId="18" hidden="1">'L. Summary by OC - RES'!$A$1:$I$50</definedName>
    <definedName name="Z_5B2D5037_506A_47D5_AF28_C337BC9133BD_.wvu.PrintArea" localSheetId="52" hidden="1">'L. Summary by OC-CVF'!$A$1:$I$49</definedName>
    <definedName name="Z_5B2D5037_506A_47D5_AF28_C337BC9133BD_.wvu.PrintArea" localSheetId="44" hidden="1">'L. Summary by OC-PSOB'!$A$1:$I$44</definedName>
    <definedName name="Z_5B2D5037_506A_47D5_AF28_C337BC9133BD_.wvu.PrintArea" localSheetId="9" hidden="1">'L. Summary by OC-S&amp;E'!$A$1:$I$45</definedName>
    <definedName name="Z_5B2D5037_506A_47D5_AF28_C337BC9133BD_.wvu.PrintArea" localSheetId="27" hidden="1">'L. Summary by OC-SLLEA'!$A$1:$I$45</definedName>
    <definedName name="Z_5B2D5037_506A_47D5_AF28_C337BC9133BD_.wvu.PrintArea" localSheetId="53" hidden="1">'M. Studies'!$A$1:$J$64</definedName>
    <definedName name="Z_5B2D5037_506A_47D5_AF28_C337BC9133BD_.wvu.PrintTitles" localSheetId="2" hidden="1">'E. ATB Justification-S&amp;E'!$1:$6</definedName>
    <definedName name="Z_5B2D5037_506A_47D5_AF28_C337BC9133BD_.wvu.PrintTitles" localSheetId="35" hidden="1">'J. Financial Analysis - JJ'!$1:$5</definedName>
    <definedName name="Z_5B2D5037_506A_47D5_AF28_C337BC9133BD_.wvu.PrintTitles" localSheetId="17" hidden="1">'J. Financial Analysis - RES'!$1:$5</definedName>
    <definedName name="Z_5B2D5037_506A_47D5_AF28_C337BC9133BD_.wvu.PrintTitles" localSheetId="51" hidden="1">'J. Financial Analysis-CVF'!$1:$5</definedName>
    <definedName name="Z_5B2D5037_506A_47D5_AF28_C337BC9133BD_.wvu.PrintTitles" localSheetId="43" hidden="1">'J. Financial Analysis-PSOB'!$1:$5</definedName>
    <definedName name="Z_5B2D5037_506A_47D5_AF28_C337BC9133BD_.wvu.PrintTitles" localSheetId="7" hidden="1">'J. Financial Analysis-S&amp;E'!$1:$5</definedName>
    <definedName name="Z_5B2D5037_506A_47D5_AF28_C337BC9133BD_.wvu.PrintTitles" localSheetId="26" hidden="1">'J. Financial Analysis-SLLEA'!$1:$5</definedName>
    <definedName name="Z_7BDFB364_C862_4B80_8C96_4E86C1CE68C8_.wvu.Cols" localSheetId="54" hidden="1">'N. OJP Summary of Changes '!#REF!,'N. OJP Summary of Changes '!#REF!,'N. OJP Summary of Changes '!#REF!,'N. OJP Summary of Changes '!#REF!,'N. OJP Summary of Changes '!#REF!,'N. OJP Summary of Changes '!#REF!</definedName>
    <definedName name="Z_7BDFB364_C862_4B80_8C96_4E86C1CE68C8_.wvu.PrintArea" localSheetId="54" hidden="1">'N. OJP Summary of Changes '!$A$1:$C$187</definedName>
    <definedName name="Z_7BDFB364_C862_4B80_8C96_4E86C1CE68C8_.wvu.PrintTitles" localSheetId="54" hidden="1">'N. OJP Summary of Changes '!$1:$1</definedName>
    <definedName name="Z_7BDFB364_C862_4B80_8C96_4E86C1CE68C8_.wvu.Rows" localSheetId="54" hidden="1">'N. OJP Summary of Changes '!#REF!,'N. OJP Summary of Changes '!#REF!,'N. OJP Summary of Changes '!#REF!,'N. OJP Summary of Changes '!#REF!</definedName>
    <definedName name="Z_9FB1A6BC_70E4_42BD_85D0_E751D5BBCA34_.wvu.Cols" localSheetId="54" hidden="1">'N. OJP Summary of Changes '!#REF!,'N. OJP Summary of Changes '!#REF!,'N. OJP Summary of Changes '!#REF!,'N. OJP Summary of Changes '!#REF!,'N. OJP Summary of Changes '!#REF!,'N. OJP Summary of Changes '!#REF!</definedName>
    <definedName name="Z_9FB1A6BC_70E4_42BD_85D0_E751D5BBCA34_.wvu.PrintArea" localSheetId="54" hidden="1">'N. OJP Summary of Changes '!$A$1:$C$187</definedName>
    <definedName name="Z_9FB1A6BC_70E4_42BD_85D0_E751D5BBCA34_.wvu.PrintTitles" localSheetId="54" hidden="1">'N. OJP Summary of Changes '!$1:$1</definedName>
    <definedName name="Z_9FB1A6BC_70E4_42BD_85D0_E751D5BBCA34_.wvu.Rows" localSheetId="54" hidden="1">'N. OJP Summary of Changes '!#REF!,'N. OJP Summary of Changes '!#REF!,'N. OJP Summary of Changes '!#REF!,'N. OJP Summary of Changes '!#REF!,'N. OJP Summary of Changes '!#REF!,'N. OJP Summary of Changes '!#REF!,'N. OJP Summary of Changes '!#REF!,'N. OJP Summary of Changes '!#REF!</definedName>
    <definedName name="Z_AB21D485_B25C_4861_87C3_6754CE948F1C_.wvu.PrintArea" localSheetId="53" hidden="1">'M. Studies'!$A$1:$J$18</definedName>
    <definedName name="Z_C6D68C6D_939C_4DFA_9385_A3F05DFB5EDA_.wvu.PrintArea" localSheetId="28" hidden="1">'B. Summ of Req. - JJ'!$A$1:$D$50</definedName>
    <definedName name="Z_C6D68C6D_939C_4DFA_9385_A3F05DFB5EDA_.wvu.PrintArea" localSheetId="10" hidden="1">'B. Summ of Req. - RES'!$A$1:$D$50</definedName>
    <definedName name="Z_C6D68C6D_939C_4DFA_9385_A3F05DFB5EDA_.wvu.PrintArea" localSheetId="46" hidden="1">'B. Summ of Req. by DU - CVF'!$A$1:$M$35</definedName>
    <definedName name="Z_C6D68C6D_939C_4DFA_9385_A3F05DFB5EDA_.wvu.PrintArea" localSheetId="29" hidden="1">'B. Summ of Req. by DU - JJ'!$A$1:$M$60</definedName>
    <definedName name="Z_C6D68C6D_939C_4DFA_9385_A3F05DFB5EDA_.wvu.PrintArea" localSheetId="38" hidden="1">'B. Summ of Req. by DU - PSOB'!$A$1:$M$37</definedName>
    <definedName name="Z_C6D68C6D_939C_4DFA_9385_A3F05DFB5EDA_.wvu.PrintArea" localSheetId="11" hidden="1">'B. Summ of Req. by DU - RES'!$A$1:$M$51</definedName>
    <definedName name="Z_C6D68C6D_939C_4DFA_9385_A3F05DFB5EDA_.wvu.PrintArea" localSheetId="1" hidden="1">'B. Summ of Req. by DU-S&amp;E'!$A$1:$M$35</definedName>
    <definedName name="Z_C6D68C6D_939C_4DFA_9385_A3F05DFB5EDA_.wvu.PrintArea" localSheetId="20" hidden="1">'B. Summ of Req. by DU-SLLEA'!$A$1:$M$138</definedName>
    <definedName name="Z_C6D68C6D_939C_4DFA_9385_A3F05DFB5EDA_.wvu.PrintArea" localSheetId="45" hidden="1">'B. Summ of Req.-CVF'!$A$1:$D$29</definedName>
    <definedName name="Z_C6D68C6D_939C_4DFA_9385_A3F05DFB5EDA_.wvu.PrintArea" localSheetId="37" hidden="1">'B. Summ of Req.-PSOB'!$A$1:$D$28</definedName>
    <definedName name="Z_C6D68C6D_939C_4DFA_9385_A3F05DFB5EDA_.wvu.PrintArea" localSheetId="0" hidden="1">'B. Summ of Req.-S&amp;E'!$A$1:$D$38</definedName>
    <definedName name="Z_C6D68C6D_939C_4DFA_9385_A3F05DFB5EDA_.wvu.PrintArea" localSheetId="19" hidden="1">'B. Summ of Req.-SLLEA'!$A$1:$D$51</definedName>
    <definedName name="Z_C6D68C6D_939C_4DFA_9385_A3F05DFB5EDA_.wvu.PrintArea" localSheetId="30" hidden="1">'C. Program Changes by DU - JJ'!$A$1:$J$24</definedName>
    <definedName name="Z_C6D68C6D_939C_4DFA_9385_A3F05DFB5EDA_.wvu.PrintArea" localSheetId="12" hidden="1">'C. Program Changes by DU - RES '!$A$1:$J$18</definedName>
    <definedName name="Z_C6D68C6D_939C_4DFA_9385_A3F05DFB5EDA_.wvu.PrintArea" localSheetId="47" hidden="1">'C. Program Changes by DU-CVF'!$A$1:$J$11</definedName>
    <definedName name="Z_C6D68C6D_939C_4DFA_9385_A3F05DFB5EDA_.wvu.PrintArea" localSheetId="39" hidden="1">'C. Program Changes by DU-PSOB'!$A$1:$J$12</definedName>
    <definedName name="Z_C6D68C6D_939C_4DFA_9385_A3F05DFB5EDA_.wvu.PrintArea" localSheetId="21" hidden="1">'C. Program Changes by DU-SLLEA'!$A$1:$J$29</definedName>
    <definedName name="Z_C6D68C6D_939C_4DFA_9385_A3F05DFB5EDA_.wvu.PrintArea" localSheetId="13" hidden="1">'D. Strat Goals &amp; Objs - RES'!$A$1:$N$33</definedName>
    <definedName name="Z_C6D68C6D_939C_4DFA_9385_A3F05DFB5EDA_.wvu.PrintArea" localSheetId="48" hidden="1">'D. Strategic Goals &amp; Object-CVF'!$A$1:$N$32</definedName>
    <definedName name="Z_C6D68C6D_939C_4DFA_9385_A3F05DFB5EDA_.wvu.PrintArea" localSheetId="31" hidden="1">'D. Strategic Goals &amp; Object-JJ'!$A$1:$N$33</definedName>
    <definedName name="Z_C6D68C6D_939C_4DFA_9385_A3F05DFB5EDA_.wvu.PrintArea" localSheetId="40" hidden="1">'D. Strategic Goals-PSOB'!$A$1:$N$32</definedName>
    <definedName name="Z_C6D68C6D_939C_4DFA_9385_A3F05DFB5EDA_.wvu.PrintArea" localSheetId="22" hidden="1">'D. Strategic Goals-SLLEA'!$A$1:$N$32</definedName>
    <definedName name="Z_C6D68C6D_939C_4DFA_9385_A3F05DFB5EDA_.wvu.PrintArea" localSheetId="2" hidden="1">'E. ATB Justification-S&amp;E'!$A$1:$G$25</definedName>
    <definedName name="Z_C6D68C6D_939C_4DFA_9385_A3F05DFB5EDA_.wvu.PrintArea" localSheetId="32" hidden="1">'F. 2012 Crosswalk - JJ'!$A$1:$O$44</definedName>
    <definedName name="Z_C6D68C6D_939C_4DFA_9385_A3F05DFB5EDA_.wvu.PrintArea" localSheetId="14" hidden="1">'F. 2012 Crosswalk - RES'!$A$1:$O$41</definedName>
    <definedName name="Z_C6D68C6D_939C_4DFA_9385_A3F05DFB5EDA_.wvu.PrintArea" localSheetId="49" hidden="1">'F. 2012 Crosswalk-CVF'!$A$1:$O$26</definedName>
    <definedName name="Z_C6D68C6D_939C_4DFA_9385_A3F05DFB5EDA_.wvu.PrintArea" localSheetId="41" hidden="1">'F. 2012 Crosswalk-PSOB'!$A$1:$O$29</definedName>
    <definedName name="Z_C6D68C6D_939C_4DFA_9385_A3F05DFB5EDA_.wvu.PrintArea" localSheetId="3" hidden="1">'F. 2012 Crosswalk-S&amp;E'!$A$1:$O$28</definedName>
    <definedName name="Z_C6D68C6D_939C_4DFA_9385_A3F05DFB5EDA_.wvu.PrintArea" localSheetId="23" hidden="1">'F. 2012 Crosswalk-SLLEA'!$A$1:$O$89</definedName>
    <definedName name="Z_C6D68C6D_939C_4DFA_9385_A3F05DFB5EDA_.wvu.PrintArea" localSheetId="33" hidden="1">'G. 2013 Crosswalk - JJ'!$A$1:$M$44</definedName>
    <definedName name="Z_C6D68C6D_939C_4DFA_9385_A3F05DFB5EDA_.wvu.PrintArea" localSheetId="15" hidden="1">'G. 2013 Crosswalk - RES'!$A$1:$M$46</definedName>
    <definedName name="Z_C6D68C6D_939C_4DFA_9385_A3F05DFB5EDA_.wvu.PrintArea" localSheetId="50" hidden="1">'G. 2013 Crosswalk-CVF'!$A$1:$M$29</definedName>
    <definedName name="Z_C6D68C6D_939C_4DFA_9385_A3F05DFB5EDA_.wvu.PrintArea" localSheetId="42" hidden="1">'G. 2013 Crosswalk-PSOB'!$A$1:$M$30</definedName>
    <definedName name="Z_C6D68C6D_939C_4DFA_9385_A3F05DFB5EDA_.wvu.PrintArea" localSheetId="4" hidden="1">'G. 2013 Crosswalk-S&amp;E'!$A$1:$M$30</definedName>
    <definedName name="Z_C6D68C6D_939C_4DFA_9385_A3F05DFB5EDA_.wvu.PrintArea" localSheetId="24" hidden="1">'G. 2013 Crosswalk-SLLEA'!$A$1:$M$79</definedName>
    <definedName name="Z_C6D68C6D_939C_4DFA_9385_A3F05DFB5EDA_.wvu.PrintArea" localSheetId="34" hidden="1">'H. Reimbursable Resources - JJ'!$A$1:$M$17</definedName>
    <definedName name="Z_C6D68C6D_939C_4DFA_9385_A3F05DFB5EDA_.wvu.PrintArea" localSheetId="16" hidden="1">'H. Reimbursable Resources - RES'!$A$1:$M$19</definedName>
    <definedName name="Z_C6D68C6D_939C_4DFA_9385_A3F05DFB5EDA_.wvu.PrintArea" localSheetId="5" hidden="1">'H. Reimbursable Resources-S&amp;E'!$A$1:$M$20</definedName>
    <definedName name="Z_C6D68C6D_939C_4DFA_9385_A3F05DFB5EDA_.wvu.PrintArea" localSheetId="25" hidden="1">'H. Reimbursable Resources-SLLEA'!$A$1:$M$23</definedName>
    <definedName name="Z_C6D68C6D_939C_4DFA_9385_A3F05DFB5EDA_.wvu.PrintArea" localSheetId="6" hidden="1">'I. Permanent Positions-S&amp;E'!$A$1:$J$26</definedName>
    <definedName name="Z_C6D68C6D_939C_4DFA_9385_A3F05DFB5EDA_.wvu.PrintArea" localSheetId="35" hidden="1">'J. Financial Analysis - JJ'!$A$1:$M$29</definedName>
    <definedName name="Z_C6D68C6D_939C_4DFA_9385_A3F05DFB5EDA_.wvu.PrintArea" localSheetId="17" hidden="1">'J. Financial Analysis - RES'!$A$1:$M$19</definedName>
    <definedName name="Z_C6D68C6D_939C_4DFA_9385_A3F05DFB5EDA_.wvu.PrintArea" localSheetId="51" hidden="1">'J. Financial Analysis-CVF'!$A$1:$E$10</definedName>
    <definedName name="Z_C6D68C6D_939C_4DFA_9385_A3F05DFB5EDA_.wvu.PrintArea" localSheetId="43" hidden="1">'J. Financial Analysis-PSOB'!$A$1:$E$13</definedName>
    <definedName name="Z_C6D68C6D_939C_4DFA_9385_A3F05DFB5EDA_.wvu.PrintArea" localSheetId="7" hidden="1">'J. Financial Analysis-S&amp;E'!$A$1:$E$17</definedName>
    <definedName name="Z_C6D68C6D_939C_4DFA_9385_A3F05DFB5EDA_.wvu.PrintArea" localSheetId="26" hidden="1">'J. Financial Analysis-SLLEA'!$A$1:$Q$32</definedName>
    <definedName name="Z_C6D68C6D_939C_4DFA_9385_A3F05DFB5EDA_.wvu.PrintArea" localSheetId="8" hidden="1">'K. Summary by Grade-S&amp;E'!$A$1:$L$27</definedName>
    <definedName name="Z_C6D68C6D_939C_4DFA_9385_A3F05DFB5EDA_.wvu.PrintArea" localSheetId="36" hidden="1">'L. Summary by OC - JJ'!$A$1:$I$50</definedName>
    <definedName name="Z_C6D68C6D_939C_4DFA_9385_A3F05DFB5EDA_.wvu.PrintArea" localSheetId="18" hidden="1">'L. Summary by OC - RES'!$A$1:$I$51</definedName>
    <definedName name="Z_C6D68C6D_939C_4DFA_9385_A3F05DFB5EDA_.wvu.PrintArea" localSheetId="52" hidden="1">'L. Summary by OC-CVF'!$A$1:$I$49</definedName>
    <definedName name="Z_C6D68C6D_939C_4DFA_9385_A3F05DFB5EDA_.wvu.PrintArea" localSheetId="44" hidden="1">'L. Summary by OC-PSOB'!$A$1:$I$44</definedName>
    <definedName name="Z_C6D68C6D_939C_4DFA_9385_A3F05DFB5EDA_.wvu.PrintArea" localSheetId="9" hidden="1">'L. Summary by OC-S&amp;E'!$A$1:$I$45</definedName>
    <definedName name="Z_C6D68C6D_939C_4DFA_9385_A3F05DFB5EDA_.wvu.PrintArea" localSheetId="27" hidden="1">'L. Summary by OC-SLLEA'!$A$1:$I$45</definedName>
    <definedName name="Z_C6D68C6D_939C_4DFA_9385_A3F05DFB5EDA_.wvu.PrintTitles" localSheetId="2" hidden="1">'E. ATB Justification-S&amp;E'!$1:$6</definedName>
    <definedName name="Z_C6D68C6D_939C_4DFA_9385_A3F05DFB5EDA_.wvu.PrintTitles" localSheetId="35" hidden="1">'J. Financial Analysis - JJ'!$1:$5</definedName>
    <definedName name="Z_C6D68C6D_939C_4DFA_9385_A3F05DFB5EDA_.wvu.PrintTitles" localSheetId="17" hidden="1">'J. Financial Analysis - RES'!$1:$5</definedName>
    <definedName name="Z_C6D68C6D_939C_4DFA_9385_A3F05DFB5EDA_.wvu.PrintTitles" localSheetId="51" hidden="1">'J. Financial Analysis-CVF'!$1:$5</definedName>
    <definedName name="Z_C6D68C6D_939C_4DFA_9385_A3F05DFB5EDA_.wvu.PrintTitles" localSheetId="43" hidden="1">'J. Financial Analysis-PSOB'!$1:$5</definedName>
    <definedName name="Z_C6D68C6D_939C_4DFA_9385_A3F05DFB5EDA_.wvu.PrintTitles" localSheetId="7" hidden="1">'J. Financial Analysis-S&amp;E'!$1:$5</definedName>
    <definedName name="Z_C6D68C6D_939C_4DFA_9385_A3F05DFB5EDA_.wvu.PrintTitles" localSheetId="26" hidden="1">'J. Financial Analysis-SLLEA'!$1:$5</definedName>
    <definedName name="Z_D19943A8_2C2A_430A_A724_8C7C332697C8_.wvu.PrintArea" localSheetId="28" hidden="1">'B. Summ of Req. - JJ'!$A$1:$D$50</definedName>
    <definedName name="Z_D19943A8_2C2A_430A_A724_8C7C332697C8_.wvu.PrintArea" localSheetId="10" hidden="1">'B. Summ of Req. - RES'!$A$1:$D$50</definedName>
    <definedName name="Z_D19943A8_2C2A_430A_A724_8C7C332697C8_.wvu.PrintArea" localSheetId="46" hidden="1">'B. Summ of Req. by DU - CVF'!$A$1:$M$35</definedName>
    <definedName name="Z_D19943A8_2C2A_430A_A724_8C7C332697C8_.wvu.PrintArea" localSheetId="29" hidden="1">'B. Summ of Req. by DU - JJ'!$A$1:$M$60</definedName>
    <definedName name="Z_D19943A8_2C2A_430A_A724_8C7C332697C8_.wvu.PrintArea" localSheetId="38" hidden="1">'B. Summ of Req. by DU - PSOB'!$A$1:$M$37</definedName>
    <definedName name="Z_D19943A8_2C2A_430A_A724_8C7C332697C8_.wvu.PrintArea" localSheetId="11" hidden="1">'B. Summ of Req. by DU - RES'!$A$1:$M$51</definedName>
    <definedName name="Z_D19943A8_2C2A_430A_A724_8C7C332697C8_.wvu.PrintArea" localSheetId="1" hidden="1">'B. Summ of Req. by DU-S&amp;E'!$A$1:$M$35</definedName>
    <definedName name="Z_D19943A8_2C2A_430A_A724_8C7C332697C8_.wvu.PrintArea" localSheetId="20" hidden="1">'B. Summ of Req. by DU-SLLEA'!$A$1:$M$138</definedName>
    <definedName name="Z_D19943A8_2C2A_430A_A724_8C7C332697C8_.wvu.PrintArea" localSheetId="45" hidden="1">'B. Summ of Req.-CVF'!$A$1:$D$29</definedName>
    <definedName name="Z_D19943A8_2C2A_430A_A724_8C7C332697C8_.wvu.PrintArea" localSheetId="37" hidden="1">'B. Summ of Req.-PSOB'!$A$1:$D$28</definedName>
    <definedName name="Z_D19943A8_2C2A_430A_A724_8C7C332697C8_.wvu.PrintArea" localSheetId="0" hidden="1">'B. Summ of Req.-S&amp;E'!$A$1:$D$38</definedName>
    <definedName name="Z_D19943A8_2C2A_430A_A724_8C7C332697C8_.wvu.PrintArea" localSheetId="19" hidden="1">'B. Summ of Req.-SLLEA'!$A$1:$D$51</definedName>
    <definedName name="Z_D19943A8_2C2A_430A_A724_8C7C332697C8_.wvu.PrintArea" localSheetId="30" hidden="1">'C. Program Changes by DU - JJ'!$A$1:$J$24</definedName>
    <definedName name="Z_D19943A8_2C2A_430A_A724_8C7C332697C8_.wvu.PrintArea" localSheetId="12" hidden="1">'C. Program Changes by DU - RES '!$A$1:$J$18</definedName>
    <definedName name="Z_D19943A8_2C2A_430A_A724_8C7C332697C8_.wvu.PrintArea" localSheetId="47" hidden="1">'C. Program Changes by DU-CVF'!$A$1:$J$11</definedName>
    <definedName name="Z_D19943A8_2C2A_430A_A724_8C7C332697C8_.wvu.PrintArea" localSheetId="39" hidden="1">'C. Program Changes by DU-PSOB'!$A$1:$J$12</definedName>
    <definedName name="Z_D19943A8_2C2A_430A_A724_8C7C332697C8_.wvu.PrintArea" localSheetId="21" hidden="1">'C. Program Changes by DU-SLLEA'!$A$1:$J$29</definedName>
    <definedName name="Z_D19943A8_2C2A_430A_A724_8C7C332697C8_.wvu.PrintArea" localSheetId="13" hidden="1">'D. Strat Goals &amp; Objs - RES'!$A$1:$N$33</definedName>
    <definedName name="Z_D19943A8_2C2A_430A_A724_8C7C332697C8_.wvu.PrintArea" localSheetId="48" hidden="1">'D. Strategic Goals &amp; Object-CVF'!$A$1:$N$32</definedName>
    <definedName name="Z_D19943A8_2C2A_430A_A724_8C7C332697C8_.wvu.PrintArea" localSheetId="31" hidden="1">'D. Strategic Goals &amp; Object-JJ'!$A$1:$N$33</definedName>
    <definedName name="Z_D19943A8_2C2A_430A_A724_8C7C332697C8_.wvu.PrintArea" localSheetId="40" hidden="1">'D. Strategic Goals-PSOB'!$A$1:$N$32</definedName>
    <definedName name="Z_D19943A8_2C2A_430A_A724_8C7C332697C8_.wvu.PrintArea" localSheetId="22" hidden="1">'D. Strategic Goals-SLLEA'!$A$1:$N$32</definedName>
    <definedName name="Z_D19943A8_2C2A_430A_A724_8C7C332697C8_.wvu.PrintArea" localSheetId="2" hidden="1">'E. ATB Justification-S&amp;E'!$A$1:$G$25</definedName>
    <definedName name="Z_D19943A8_2C2A_430A_A724_8C7C332697C8_.wvu.PrintArea" localSheetId="32" hidden="1">'F. 2012 Crosswalk - JJ'!$A$1:$O$44</definedName>
    <definedName name="Z_D19943A8_2C2A_430A_A724_8C7C332697C8_.wvu.PrintArea" localSheetId="14" hidden="1">'F. 2012 Crosswalk - RES'!$A$1:$O$41</definedName>
    <definedName name="Z_D19943A8_2C2A_430A_A724_8C7C332697C8_.wvu.PrintArea" localSheetId="49" hidden="1">'F. 2012 Crosswalk-CVF'!$A$1:$O$26</definedName>
    <definedName name="Z_D19943A8_2C2A_430A_A724_8C7C332697C8_.wvu.PrintArea" localSheetId="41" hidden="1">'F. 2012 Crosswalk-PSOB'!$A$1:$O$29</definedName>
    <definedName name="Z_D19943A8_2C2A_430A_A724_8C7C332697C8_.wvu.PrintArea" localSheetId="3" hidden="1">'F. 2012 Crosswalk-S&amp;E'!$A$1:$O$28</definedName>
    <definedName name="Z_D19943A8_2C2A_430A_A724_8C7C332697C8_.wvu.PrintArea" localSheetId="23" hidden="1">'F. 2012 Crosswalk-SLLEA'!$A$1:$O$89</definedName>
    <definedName name="Z_D19943A8_2C2A_430A_A724_8C7C332697C8_.wvu.PrintArea" localSheetId="33" hidden="1">'G. 2013 Crosswalk - JJ'!$A$1:$M$44</definedName>
    <definedName name="Z_D19943A8_2C2A_430A_A724_8C7C332697C8_.wvu.PrintArea" localSheetId="15" hidden="1">'G. 2013 Crosswalk - RES'!$A$1:$M$46</definedName>
    <definedName name="Z_D19943A8_2C2A_430A_A724_8C7C332697C8_.wvu.PrintArea" localSheetId="50" hidden="1">'G. 2013 Crosswalk-CVF'!$A$1:$M$29</definedName>
    <definedName name="Z_D19943A8_2C2A_430A_A724_8C7C332697C8_.wvu.PrintArea" localSheetId="42" hidden="1">'G. 2013 Crosswalk-PSOB'!$A$1:$M$30</definedName>
    <definedName name="Z_D19943A8_2C2A_430A_A724_8C7C332697C8_.wvu.PrintArea" localSheetId="4" hidden="1">'G. 2013 Crosswalk-S&amp;E'!$A$1:$M$30</definedName>
    <definedName name="Z_D19943A8_2C2A_430A_A724_8C7C332697C8_.wvu.PrintArea" localSheetId="24" hidden="1">'G. 2013 Crosswalk-SLLEA'!$A$1:$M$79</definedName>
    <definedName name="Z_D19943A8_2C2A_430A_A724_8C7C332697C8_.wvu.PrintArea" localSheetId="34" hidden="1">'H. Reimbursable Resources - JJ'!$A$1:$M$17</definedName>
    <definedName name="Z_D19943A8_2C2A_430A_A724_8C7C332697C8_.wvu.PrintArea" localSheetId="16" hidden="1">'H. Reimbursable Resources - RES'!$A$1:$M$19</definedName>
    <definedName name="Z_D19943A8_2C2A_430A_A724_8C7C332697C8_.wvu.PrintArea" localSheetId="5" hidden="1">'H. Reimbursable Resources-S&amp;E'!$A$1:$M$20</definedName>
    <definedName name="Z_D19943A8_2C2A_430A_A724_8C7C332697C8_.wvu.PrintArea" localSheetId="25" hidden="1">'H. Reimbursable Resources-SLLEA'!$A$1:$M$23</definedName>
    <definedName name="Z_D19943A8_2C2A_430A_A724_8C7C332697C8_.wvu.PrintArea" localSheetId="6" hidden="1">'I. Permanent Positions-S&amp;E'!$A$1:$J$26</definedName>
    <definedName name="Z_D19943A8_2C2A_430A_A724_8C7C332697C8_.wvu.PrintArea" localSheetId="35" hidden="1">'J. Financial Analysis - JJ'!$A$1:$M$29</definedName>
    <definedName name="Z_D19943A8_2C2A_430A_A724_8C7C332697C8_.wvu.PrintArea" localSheetId="17" hidden="1">'J. Financial Analysis - RES'!$A$1:$M$19</definedName>
    <definedName name="Z_D19943A8_2C2A_430A_A724_8C7C332697C8_.wvu.PrintArea" localSheetId="51" hidden="1">'J. Financial Analysis-CVF'!$A$1:$E$10</definedName>
    <definedName name="Z_D19943A8_2C2A_430A_A724_8C7C332697C8_.wvu.PrintArea" localSheetId="43" hidden="1">'J. Financial Analysis-PSOB'!$A$1:$E$13</definedName>
    <definedName name="Z_D19943A8_2C2A_430A_A724_8C7C332697C8_.wvu.PrintArea" localSheetId="7" hidden="1">'J. Financial Analysis-S&amp;E'!$A$1:$E$17</definedName>
    <definedName name="Z_D19943A8_2C2A_430A_A724_8C7C332697C8_.wvu.PrintArea" localSheetId="26" hidden="1">'J. Financial Analysis-SLLEA'!$A$1:$Q$32</definedName>
    <definedName name="Z_D19943A8_2C2A_430A_A724_8C7C332697C8_.wvu.PrintArea" localSheetId="8" hidden="1">'K. Summary by Grade-S&amp;E'!$A$1:$L$27</definedName>
    <definedName name="Z_D19943A8_2C2A_430A_A724_8C7C332697C8_.wvu.PrintArea" localSheetId="36" hidden="1">'L. Summary by OC - JJ'!$A$1:$I$50</definedName>
    <definedName name="Z_D19943A8_2C2A_430A_A724_8C7C332697C8_.wvu.PrintArea" localSheetId="18" hidden="1">'L. Summary by OC - RES'!$A$1:$I$51</definedName>
    <definedName name="Z_D19943A8_2C2A_430A_A724_8C7C332697C8_.wvu.PrintArea" localSheetId="52" hidden="1">'L. Summary by OC-CVF'!$A$1:$I$49</definedName>
    <definedName name="Z_D19943A8_2C2A_430A_A724_8C7C332697C8_.wvu.PrintArea" localSheetId="44" hidden="1">'L. Summary by OC-PSOB'!$A$1:$I$44</definedName>
    <definedName name="Z_D19943A8_2C2A_430A_A724_8C7C332697C8_.wvu.PrintArea" localSheetId="9" hidden="1">'L. Summary by OC-S&amp;E'!$A$1:$I$45</definedName>
    <definedName name="Z_D19943A8_2C2A_430A_A724_8C7C332697C8_.wvu.PrintArea" localSheetId="27" hidden="1">'L. Summary by OC-SLLEA'!$A$1:$I$45</definedName>
    <definedName name="Z_D19943A8_2C2A_430A_A724_8C7C332697C8_.wvu.PrintTitles" localSheetId="2" hidden="1">'E. ATB Justification-S&amp;E'!$1:$6</definedName>
    <definedName name="Z_D19943A8_2C2A_430A_A724_8C7C332697C8_.wvu.PrintTitles" localSheetId="35" hidden="1">'J. Financial Analysis - JJ'!$1:$5</definedName>
    <definedName name="Z_D19943A8_2C2A_430A_A724_8C7C332697C8_.wvu.PrintTitles" localSheetId="17" hidden="1">'J. Financial Analysis - RES'!$1:$5</definedName>
    <definedName name="Z_D19943A8_2C2A_430A_A724_8C7C332697C8_.wvu.PrintTitles" localSheetId="51" hidden="1">'J. Financial Analysis-CVF'!$1:$5</definedName>
    <definedName name="Z_D19943A8_2C2A_430A_A724_8C7C332697C8_.wvu.PrintTitles" localSheetId="43" hidden="1">'J. Financial Analysis-PSOB'!$1:$5</definedName>
    <definedName name="Z_D19943A8_2C2A_430A_A724_8C7C332697C8_.wvu.PrintTitles" localSheetId="7" hidden="1">'J. Financial Analysis-S&amp;E'!$1:$5</definedName>
    <definedName name="Z_D19943A8_2C2A_430A_A724_8C7C332697C8_.wvu.PrintTitles" localSheetId="26" hidden="1">'J. Financial Analysis-SLLEA'!$1:$5</definedName>
    <definedName name="Z_DA38F665_F06D_4DFB_B852_747D93BB00EF_.wvu.PrintArea" localSheetId="53" hidden="1">'M. Studies'!$A$1:$J$40</definedName>
    <definedName name="Z_F6772377_6B25_4EEA_B255_4C2F62B37855_.wvu.PrintArea" localSheetId="53" hidden="1">'M. Studies'!$A$1:$J$40</definedName>
    <definedName name="Z_FE71BCE8_2CFB_4FC5_AE69_13623C7B8C8F_.wvu.Cols" localSheetId="54" hidden="1">'N. OJP Summary of Changes '!#REF!,'N. OJP Summary of Changes '!#REF!,'N. OJP Summary of Changes '!#REF!,'N. OJP Summary of Changes '!#REF!,'N. OJP Summary of Changes '!#REF!</definedName>
    <definedName name="Z_FE71BCE8_2CFB_4FC5_AE69_13623C7B8C8F_.wvu.PrintArea" localSheetId="54" hidden="1">'N. OJP Summary of Changes '!$A$1:$C$187</definedName>
    <definedName name="Z_FE71BCE8_2CFB_4FC5_AE69_13623C7B8C8F_.wvu.PrintTitles" localSheetId="54" hidden="1">'N. OJP Summary of Changes '!$1:$1</definedName>
    <definedName name="Z_FE71BCE8_2CFB_4FC5_AE69_13623C7B8C8F_.wvu.Rows" localSheetId="54" hidden="1">'N. OJP Summary of Changes '!#REF!,'N. OJP Summary of Changes '!#REF!,'N. OJP Summary of Changes '!#REF!,'N. OJP Summary of Changes '!#REF!,'N. OJP Summary of Changes '!#REF!,'N. OJP Summary of Changes '!#REF!,'N. OJP Summary of Changes '!#REF!,'N. OJP Summary of Changes '!#REF!</definedName>
  </definedNames>
  <calcPr calcId="145621"/>
  <customWorkbookViews>
    <customWorkbookView name="morser - Personal View" guid="{5B2D5037-506A-47D5-AF28-C337BC9133BD}" mergeInterval="0" personalView="1" maximized="1" windowWidth="1276" windowHeight="750" tabRatio="806" activeSheetId="1" showComments="commIndAndComment"/>
    <customWorkbookView name="besst - Personal View" guid="{08380F1E-0CB7-4B3B-924E-2A270EA8DD30}" mergeInterval="0" personalView="1" maximized="1" windowWidth="1276" windowHeight="779" tabRatio="806" activeSheetId="19"/>
    <customWorkbookView name="mattockc - Personal View" guid="{D19943A8-2C2A-430A-A724-8C7C332697C8}" mergeInterval="0" personalView="1" maximized="1" windowWidth="1276" windowHeight="779" tabRatio="806" activeSheetId="1"/>
    <customWorkbookView name="alamink - Personal View" guid="{C6D68C6D-939C-4DFA-9385-A3F05DFB5EDA}" mergeInterval="0" personalView="1" maximized="1" windowWidth="1276" windowHeight="799" tabRatio="806" activeSheetId="53"/>
  </customWorkbookViews>
</workbook>
</file>

<file path=xl/calcChain.xml><?xml version="1.0" encoding="utf-8"?>
<calcChain xmlns="http://schemas.openxmlformats.org/spreadsheetml/2006/main">
  <c r="C155" i="55" l="1"/>
  <c r="F146" i="55"/>
  <c r="D140" i="55"/>
  <c r="D142" i="55" s="1"/>
  <c r="C140" i="55"/>
  <c r="C142" i="55" s="1"/>
  <c r="E136" i="55"/>
  <c r="D136" i="55"/>
  <c r="C136" i="55"/>
  <c r="F134" i="55"/>
  <c r="F132" i="55"/>
  <c r="F131" i="55"/>
  <c r="F130" i="55"/>
  <c r="F129" i="55"/>
  <c r="C129" i="55"/>
  <c r="F128" i="55"/>
  <c r="F127" i="55"/>
  <c r="F126" i="55"/>
  <c r="D123" i="55"/>
  <c r="C123" i="55"/>
  <c r="F121" i="55"/>
  <c r="F123" i="55" s="1"/>
  <c r="F119" i="55"/>
  <c r="F118" i="55"/>
  <c r="F117" i="55"/>
  <c r="F116" i="55"/>
  <c r="F115" i="55"/>
  <c r="F114" i="55"/>
  <c r="F108" i="55"/>
  <c r="D108" i="55"/>
  <c r="E103" i="55"/>
  <c r="E110" i="55" s="1"/>
  <c r="C103" i="55"/>
  <c r="C110" i="55" s="1"/>
  <c r="C113" i="55" s="1"/>
  <c r="F101" i="55"/>
  <c r="D101" i="55"/>
  <c r="F100" i="55"/>
  <c r="D100" i="55"/>
  <c r="F99" i="55"/>
  <c r="D99" i="55"/>
  <c r="F98" i="55"/>
  <c r="D98" i="55"/>
  <c r="F97" i="55"/>
  <c r="D97" i="55"/>
  <c r="F96" i="55"/>
  <c r="D96" i="55"/>
  <c r="F95" i="55"/>
  <c r="D95" i="55"/>
  <c r="F94" i="55"/>
  <c r="D94" i="55"/>
  <c r="F93" i="55"/>
  <c r="D93" i="55"/>
  <c r="F92" i="55"/>
  <c r="D92" i="55"/>
  <c r="F91" i="55"/>
  <c r="D91" i="55"/>
  <c r="D90" i="55"/>
  <c r="D89" i="55"/>
  <c r="D88" i="55"/>
  <c r="F87" i="55"/>
  <c r="D87" i="55"/>
  <c r="F86" i="55"/>
  <c r="D86" i="55"/>
  <c r="F85" i="55"/>
  <c r="D85" i="55"/>
  <c r="F84" i="55"/>
  <c r="D84" i="55"/>
  <c r="F83" i="55"/>
  <c r="D83" i="55"/>
  <c r="F82" i="55"/>
  <c r="D82" i="55"/>
  <c r="F81" i="55"/>
  <c r="D81" i="55"/>
  <c r="F80" i="55"/>
  <c r="D80" i="55"/>
  <c r="F79" i="55"/>
  <c r="D79" i="55"/>
  <c r="F78" i="55"/>
  <c r="D78" i="55"/>
  <c r="F77" i="55"/>
  <c r="D77" i="55"/>
  <c r="F76" i="55"/>
  <c r="F103" i="55" s="1"/>
  <c r="D76" i="55"/>
  <c r="D103" i="55" s="1"/>
  <c r="E70" i="55"/>
  <c r="C70" i="55"/>
  <c r="F69" i="55"/>
  <c r="D69" i="55"/>
  <c r="F68" i="55"/>
  <c r="D68" i="55"/>
  <c r="F67" i="55"/>
  <c r="D67" i="55"/>
  <c r="F66" i="55"/>
  <c r="D66" i="55"/>
  <c r="F65" i="55"/>
  <c r="D65" i="55"/>
  <c r="F64" i="55"/>
  <c r="D64" i="55"/>
  <c r="F63" i="55"/>
  <c r="D63" i="55"/>
  <c r="F62" i="55"/>
  <c r="D62" i="55"/>
  <c r="F61" i="55"/>
  <c r="D61" i="55"/>
  <c r="F60" i="55"/>
  <c r="D60" i="55"/>
  <c r="F59" i="55"/>
  <c r="D59" i="55"/>
  <c r="F58" i="55"/>
  <c r="D58" i="55"/>
  <c r="F57" i="55"/>
  <c r="D57" i="55"/>
  <c r="F56" i="55"/>
  <c r="D56" i="55"/>
  <c r="F55" i="55"/>
  <c r="D55" i="55"/>
  <c r="F54" i="55"/>
  <c r="D54" i="55"/>
  <c r="F53" i="55"/>
  <c r="D53" i="55"/>
  <c r="F52" i="55"/>
  <c r="D52" i="55"/>
  <c r="F51" i="55"/>
  <c r="D51" i="55"/>
  <c r="F50" i="55"/>
  <c r="D50" i="55"/>
  <c r="F49" i="55"/>
  <c r="D49" i="55"/>
  <c r="F48" i="55"/>
  <c r="D48" i="55"/>
  <c r="F47" i="55"/>
  <c r="D47" i="55"/>
  <c r="F46" i="55"/>
  <c r="D46" i="55"/>
  <c r="F45" i="55"/>
  <c r="D45" i="55"/>
  <c r="F44" i="55"/>
  <c r="D44" i="55"/>
  <c r="F43" i="55"/>
  <c r="D43" i="55"/>
  <c r="F42" i="55"/>
  <c r="D42" i="55"/>
  <c r="F41" i="55"/>
  <c r="D41" i="55"/>
  <c r="F40" i="55"/>
  <c r="D40" i="55"/>
  <c r="F39" i="55"/>
  <c r="D39" i="55"/>
  <c r="F38" i="55"/>
  <c r="D38" i="55"/>
  <c r="F37" i="55"/>
  <c r="D37" i="55"/>
  <c r="F36" i="55"/>
  <c r="D36" i="55"/>
  <c r="F35" i="55"/>
  <c r="D35" i="55"/>
  <c r="F34" i="55"/>
  <c r="D34" i="55"/>
  <c r="F33" i="55"/>
  <c r="D33" i="55"/>
  <c r="F32" i="55"/>
  <c r="D32" i="55"/>
  <c r="F31" i="55"/>
  <c r="D31" i="55"/>
  <c r="F30" i="55"/>
  <c r="D30" i="55"/>
  <c r="F29" i="55"/>
  <c r="D29" i="55"/>
  <c r="F28" i="55"/>
  <c r="D28" i="55"/>
  <c r="F27" i="55"/>
  <c r="D27" i="55"/>
  <c r="F26" i="55"/>
  <c r="D26" i="55"/>
  <c r="F25" i="55"/>
  <c r="D25" i="55"/>
  <c r="F24" i="55"/>
  <c r="D24" i="55"/>
  <c r="F23" i="55"/>
  <c r="D23" i="55"/>
  <c r="F22" i="55"/>
  <c r="D22" i="55"/>
  <c r="F21" i="55"/>
  <c r="D21" i="55"/>
  <c r="F20" i="55"/>
  <c r="D20" i="55"/>
  <c r="F19" i="55"/>
  <c r="D19" i="55"/>
  <c r="F18" i="55"/>
  <c r="F70" i="55" s="1"/>
  <c r="D18" i="55"/>
  <c r="D70" i="55" s="1"/>
  <c r="E16" i="55"/>
  <c r="C16" i="55"/>
  <c r="F15" i="55"/>
  <c r="D15" i="55"/>
  <c r="F14" i="55"/>
  <c r="D14" i="55"/>
  <c r="F13" i="55"/>
  <c r="D13" i="55"/>
  <c r="F12" i="55"/>
  <c r="D12" i="55"/>
  <c r="F11" i="55"/>
  <c r="D11" i="55"/>
  <c r="F10" i="55"/>
  <c r="D10" i="55"/>
  <c r="F9" i="55"/>
  <c r="D9" i="55"/>
  <c r="F8" i="55"/>
  <c r="F16" i="55" s="1"/>
  <c r="D8" i="55"/>
  <c r="D16" i="55" s="1"/>
  <c r="F7" i="55"/>
  <c r="D7" i="55"/>
  <c r="F6" i="55"/>
  <c r="D6" i="55"/>
  <c r="F5" i="55"/>
  <c r="D5" i="55"/>
  <c r="F4" i="55"/>
  <c r="D4" i="55"/>
  <c r="E113" i="55" l="1"/>
  <c r="F113" i="55" s="1"/>
  <c r="E112" i="55"/>
  <c r="F112" i="55" s="1"/>
  <c r="F110" i="55"/>
  <c r="F136" i="55"/>
  <c r="D138" i="55"/>
  <c r="D144" i="55" s="1"/>
  <c r="D110" i="55"/>
  <c r="D113" i="55" s="1"/>
  <c r="C138" i="55"/>
  <c r="C144" i="55" s="1"/>
  <c r="E138" i="55"/>
  <c r="A5" i="54"/>
  <c r="F138" i="55" l="1"/>
  <c r="E43" i="19"/>
  <c r="I60" i="25" l="1"/>
  <c r="I10" i="7" l="1"/>
  <c r="M59" i="25"/>
  <c r="L13" i="6"/>
  <c r="L12" i="6"/>
  <c r="L11" i="6"/>
  <c r="L10" i="6"/>
  <c r="K13" i="6"/>
  <c r="K12" i="6"/>
  <c r="K11" i="6"/>
  <c r="K10" i="6"/>
  <c r="D26" i="1"/>
  <c r="E42" i="19"/>
  <c r="E26" i="19"/>
  <c r="C26" i="19"/>
  <c r="C19" i="19"/>
  <c r="C18" i="19"/>
  <c r="C35" i="19"/>
  <c r="C24" i="19"/>
  <c r="C25" i="19"/>
  <c r="M23" i="34" l="1"/>
  <c r="L23" i="34"/>
  <c r="K23" i="34"/>
  <c r="I23" i="34"/>
  <c r="C29" i="16"/>
  <c r="L23" i="16"/>
  <c r="K23" i="16"/>
  <c r="J23" i="16"/>
  <c r="I23" i="16"/>
  <c r="M23" i="16" s="1"/>
  <c r="O26" i="33" l="1"/>
  <c r="D40" i="11" l="1"/>
  <c r="A3" i="37" l="1"/>
  <c r="A2" i="37"/>
  <c r="I17" i="18" l="1"/>
  <c r="J23" i="14"/>
  <c r="L10" i="50" l="1"/>
  <c r="O9" i="50"/>
  <c r="J8" i="40" l="1"/>
  <c r="D23" i="38"/>
  <c r="I41" i="28"/>
  <c r="O68" i="24"/>
  <c r="G23" i="3" l="1"/>
  <c r="G25" i="33" l="1"/>
  <c r="G20" i="33"/>
  <c r="G17" i="33"/>
  <c r="G11" i="33"/>
  <c r="Q28" i="27" l="1"/>
  <c r="P28" i="27"/>
  <c r="Q27" i="27"/>
  <c r="P27" i="27"/>
  <c r="Q26" i="27"/>
  <c r="P26" i="27"/>
  <c r="Q25" i="27"/>
  <c r="P25" i="27"/>
  <c r="Q24" i="27"/>
  <c r="P24" i="27"/>
  <c r="Q23" i="27"/>
  <c r="P23" i="27"/>
  <c r="P29" i="27" s="1"/>
  <c r="P22" i="27"/>
  <c r="Q22" i="27"/>
  <c r="Q29" i="27" s="1"/>
  <c r="G29" i="27"/>
  <c r="F29" i="27"/>
  <c r="E29" i="27"/>
  <c r="D29" i="27"/>
  <c r="C29" i="27"/>
  <c r="B29" i="27"/>
  <c r="O29" i="27"/>
  <c r="N29" i="27"/>
  <c r="M29" i="27"/>
  <c r="L29" i="27"/>
  <c r="K29" i="27"/>
  <c r="J29" i="27"/>
  <c r="I29" i="27"/>
  <c r="H29" i="27"/>
  <c r="I9" i="40" l="1"/>
  <c r="H9" i="40"/>
  <c r="G9" i="40"/>
  <c r="J9" i="40"/>
  <c r="J23" i="31"/>
  <c r="I23" i="31"/>
  <c r="H23" i="31"/>
  <c r="G23" i="31"/>
  <c r="J22" i="31"/>
  <c r="I22" i="31"/>
  <c r="H22" i="31"/>
  <c r="G22" i="31"/>
  <c r="G24" i="31"/>
  <c r="J21" i="31"/>
  <c r="I21" i="31"/>
  <c r="H21" i="31"/>
  <c r="G21" i="31"/>
  <c r="J16" i="31"/>
  <c r="J15" i="31"/>
  <c r="J14" i="31"/>
  <c r="J13" i="31"/>
  <c r="J12" i="31"/>
  <c r="J11" i="31"/>
  <c r="J10" i="31"/>
  <c r="J9" i="31"/>
  <c r="I16" i="31"/>
  <c r="I15" i="31"/>
  <c r="I14" i="31"/>
  <c r="I13" i="31"/>
  <c r="I12" i="31"/>
  <c r="I11" i="31"/>
  <c r="I10" i="31"/>
  <c r="I9" i="31"/>
  <c r="H16" i="31"/>
  <c r="H15" i="31"/>
  <c r="H14" i="31"/>
  <c r="H13" i="31"/>
  <c r="H12" i="31"/>
  <c r="H11" i="31"/>
  <c r="H10" i="31"/>
  <c r="H9" i="31"/>
  <c r="G16" i="31"/>
  <c r="G15" i="31"/>
  <c r="G14" i="31"/>
  <c r="G13" i="31"/>
  <c r="G12" i="31"/>
  <c r="G11" i="31"/>
  <c r="G10" i="31"/>
  <c r="G9" i="31"/>
  <c r="J27" i="22"/>
  <c r="J26" i="22"/>
  <c r="J25" i="22"/>
  <c r="J24" i="22"/>
  <c r="I26" i="22"/>
  <c r="H26" i="22"/>
  <c r="G26" i="22"/>
  <c r="I25" i="22"/>
  <c r="H25" i="22"/>
  <c r="G25" i="22"/>
  <c r="I24" i="22"/>
  <c r="H24" i="22"/>
  <c r="G24" i="22"/>
  <c r="J18" i="22"/>
  <c r="J17" i="22"/>
  <c r="J16" i="22"/>
  <c r="J15" i="22"/>
  <c r="J14" i="22"/>
  <c r="J13" i="22"/>
  <c r="J12" i="22"/>
  <c r="J11" i="22"/>
  <c r="J10" i="22"/>
  <c r="J9" i="22"/>
  <c r="J8" i="22"/>
  <c r="I19" i="22"/>
  <c r="H19" i="22"/>
  <c r="G19" i="22"/>
  <c r="G61" i="21"/>
  <c r="J19" i="22" l="1"/>
  <c r="K9" i="6"/>
  <c r="A74" i="21" l="1"/>
  <c r="A75" i="21"/>
  <c r="A77" i="21"/>
  <c r="M10" i="25" l="1"/>
  <c r="I74" i="21"/>
  <c r="H74" i="21"/>
  <c r="F74" i="21"/>
  <c r="E74" i="21"/>
  <c r="C74" i="21"/>
  <c r="B74" i="21"/>
  <c r="I47" i="53" l="1"/>
  <c r="I46" i="53"/>
  <c r="H44" i="53"/>
  <c r="H42" i="53"/>
  <c r="F42" i="53"/>
  <c r="D42" i="53"/>
  <c r="B42" i="53"/>
  <c r="I41" i="53"/>
  <c r="I40" i="53"/>
  <c r="I39" i="53"/>
  <c r="I38" i="53"/>
  <c r="I22" i="53"/>
  <c r="I21" i="53"/>
  <c r="I20" i="53"/>
  <c r="I19" i="53"/>
  <c r="I18" i="53"/>
  <c r="I17" i="53"/>
  <c r="I16" i="53"/>
  <c r="I13" i="53"/>
  <c r="H13" i="53"/>
  <c r="I12" i="53"/>
  <c r="H12" i="53"/>
  <c r="I11" i="53"/>
  <c r="H11" i="53"/>
  <c r="G10" i="53"/>
  <c r="G14" i="53" s="1"/>
  <c r="F10" i="53"/>
  <c r="F14" i="53" s="1"/>
  <c r="E10" i="53"/>
  <c r="E14" i="53" s="1"/>
  <c r="E37" i="53" s="1"/>
  <c r="D10" i="53"/>
  <c r="D14" i="53" s="1"/>
  <c r="C10" i="53"/>
  <c r="C14" i="53" s="1"/>
  <c r="B10" i="53"/>
  <c r="B14" i="53" s="1"/>
  <c r="I9" i="53"/>
  <c r="H9" i="53"/>
  <c r="I8" i="53"/>
  <c r="H8" i="53"/>
  <c r="A3" i="53"/>
  <c r="A2" i="53"/>
  <c r="D10" i="52"/>
  <c r="C10" i="52"/>
  <c r="B10" i="52"/>
  <c r="E9" i="52"/>
  <c r="E10" i="52" s="1"/>
  <c r="A3" i="52"/>
  <c r="A2" i="52"/>
  <c r="L18" i="51"/>
  <c r="L17" i="51"/>
  <c r="L13" i="51"/>
  <c r="M11" i="51"/>
  <c r="J10" i="51"/>
  <c r="I10" i="51"/>
  <c r="I14" i="51" s="1"/>
  <c r="I19" i="51" s="1"/>
  <c r="H10" i="51"/>
  <c r="G10" i="51"/>
  <c r="G14" i="51" s="1"/>
  <c r="G19" i="51" s="1"/>
  <c r="F10" i="51"/>
  <c r="E10" i="51"/>
  <c r="D10" i="51"/>
  <c r="D12" i="51" s="1"/>
  <c r="C10" i="51"/>
  <c r="C14" i="51" s="1"/>
  <c r="C19" i="51" s="1"/>
  <c r="B10" i="51"/>
  <c r="M9" i="51"/>
  <c r="M10" i="51" s="1"/>
  <c r="M12" i="51" s="1"/>
  <c r="L9" i="51"/>
  <c r="L10" i="51" s="1"/>
  <c r="L14" i="51" s="1"/>
  <c r="K9" i="51"/>
  <c r="K10" i="51" s="1"/>
  <c r="A3" i="51"/>
  <c r="A2" i="51"/>
  <c r="N16" i="50"/>
  <c r="N15" i="50"/>
  <c r="N11" i="50"/>
  <c r="K10" i="50"/>
  <c r="J10" i="50"/>
  <c r="I10" i="50"/>
  <c r="I12" i="50" s="1"/>
  <c r="I17" i="50" s="1"/>
  <c r="H10" i="50"/>
  <c r="G10" i="50"/>
  <c r="F10" i="50"/>
  <c r="F12" i="50" s="1"/>
  <c r="F17" i="50" s="1"/>
  <c r="E10" i="50"/>
  <c r="D10" i="50"/>
  <c r="C10" i="50"/>
  <c r="C12" i="50" s="1"/>
  <c r="C17" i="50" s="1"/>
  <c r="B10" i="50"/>
  <c r="O10" i="50"/>
  <c r="N9" i="50"/>
  <c r="N10" i="50" s="1"/>
  <c r="N12" i="50" s="1"/>
  <c r="N17" i="50" s="1"/>
  <c r="M9" i="50"/>
  <c r="M10" i="50" s="1"/>
  <c r="A3" i="50"/>
  <c r="A2" i="50"/>
  <c r="L27" i="49"/>
  <c r="K27" i="49"/>
  <c r="J27" i="49"/>
  <c r="I27" i="49"/>
  <c r="H27" i="49"/>
  <c r="G27" i="49"/>
  <c r="F27" i="49"/>
  <c r="E27" i="49"/>
  <c r="D27" i="49"/>
  <c r="C27" i="49"/>
  <c r="N26" i="49"/>
  <c r="M26" i="49"/>
  <c r="N25" i="49"/>
  <c r="M25" i="49"/>
  <c r="N24" i="49"/>
  <c r="M24" i="49"/>
  <c r="N23" i="49"/>
  <c r="N27" i="49" s="1"/>
  <c r="M23" i="49"/>
  <c r="M27" i="49" s="1"/>
  <c r="L21" i="49"/>
  <c r="K21" i="49"/>
  <c r="J21" i="49"/>
  <c r="I21" i="49"/>
  <c r="H21" i="49"/>
  <c r="G21" i="49"/>
  <c r="F21" i="49"/>
  <c r="E21" i="49"/>
  <c r="D21" i="49"/>
  <c r="C21" i="49"/>
  <c r="N20" i="49"/>
  <c r="M20" i="49"/>
  <c r="N19" i="49"/>
  <c r="M19" i="49"/>
  <c r="N18" i="49"/>
  <c r="M18" i="49"/>
  <c r="N17" i="49"/>
  <c r="M17" i="49"/>
  <c r="N16" i="49"/>
  <c r="M16" i="49"/>
  <c r="N15" i="49"/>
  <c r="N21" i="49" s="1"/>
  <c r="M15" i="49"/>
  <c r="M21" i="49" s="1"/>
  <c r="L13" i="49"/>
  <c r="K13" i="49"/>
  <c r="J13" i="49"/>
  <c r="I13" i="49"/>
  <c r="H13" i="49"/>
  <c r="G13" i="49"/>
  <c r="F13" i="49"/>
  <c r="E13" i="49"/>
  <c r="D13" i="49"/>
  <c r="C13" i="49"/>
  <c r="N12" i="49"/>
  <c r="M12" i="49"/>
  <c r="N11" i="49"/>
  <c r="M11" i="49"/>
  <c r="N10" i="49"/>
  <c r="N13" i="49" s="1"/>
  <c r="M10" i="49"/>
  <c r="M13" i="49" s="1"/>
  <c r="A3" i="49"/>
  <c r="A2" i="49"/>
  <c r="F10" i="48"/>
  <c r="E10" i="48"/>
  <c r="D10" i="48"/>
  <c r="C10" i="48"/>
  <c r="J9" i="48"/>
  <c r="J10" i="48" s="1"/>
  <c r="I9" i="48"/>
  <c r="I10" i="48" s="1"/>
  <c r="H9" i="48"/>
  <c r="H10" i="48" s="1"/>
  <c r="G9" i="48"/>
  <c r="G10" i="48" s="1"/>
  <c r="A3" i="48"/>
  <c r="A2" i="48"/>
  <c r="I30" i="47"/>
  <c r="I29" i="47"/>
  <c r="G24" i="47"/>
  <c r="G26" i="47" s="1"/>
  <c r="F24" i="47"/>
  <c r="F28" i="47" s="1"/>
  <c r="F33" i="47" s="1"/>
  <c r="E24" i="47"/>
  <c r="D24" i="47"/>
  <c r="D26" i="47" s="1"/>
  <c r="C24" i="47"/>
  <c r="C28" i="47" s="1"/>
  <c r="C33" i="47" s="1"/>
  <c r="B24" i="47"/>
  <c r="A23" i="47"/>
  <c r="L18" i="47"/>
  <c r="I32" i="47" s="1"/>
  <c r="L17" i="47"/>
  <c r="I31" i="47" s="1"/>
  <c r="L13" i="47"/>
  <c r="I27" i="47" s="1"/>
  <c r="M11" i="47"/>
  <c r="J25" i="47" s="1"/>
  <c r="J10" i="47"/>
  <c r="J12" i="47" s="1"/>
  <c r="I10" i="47"/>
  <c r="I14" i="47" s="1"/>
  <c r="I19" i="47" s="1"/>
  <c r="H10" i="47"/>
  <c r="G10" i="47"/>
  <c r="G12" i="47" s="1"/>
  <c r="F10" i="47"/>
  <c r="F14" i="47" s="1"/>
  <c r="E10" i="47"/>
  <c r="D10" i="47"/>
  <c r="D12" i="47" s="1"/>
  <c r="C10" i="47"/>
  <c r="C14" i="47" s="1"/>
  <c r="C19" i="47" s="1"/>
  <c r="B10" i="47"/>
  <c r="M9" i="47"/>
  <c r="J23" i="47" s="1"/>
  <c r="J24" i="47" s="1"/>
  <c r="L9" i="47"/>
  <c r="I23" i="47" s="1"/>
  <c r="I24" i="47" s="1"/>
  <c r="K9" i="47"/>
  <c r="H23" i="47" s="1"/>
  <c r="H24" i="47" s="1"/>
  <c r="A3" i="47"/>
  <c r="A2" i="47"/>
  <c r="D22" i="46"/>
  <c r="D23" i="46" s="1"/>
  <c r="C22" i="46"/>
  <c r="C23" i="46" s="1"/>
  <c r="B22" i="46"/>
  <c r="B23" i="46" s="1"/>
  <c r="D15" i="46"/>
  <c r="C15" i="46"/>
  <c r="B15" i="46"/>
  <c r="B18" i="46" s="1"/>
  <c r="D10" i="46"/>
  <c r="C10" i="46"/>
  <c r="B10" i="46"/>
  <c r="C37" i="53" l="1"/>
  <c r="C28" i="49"/>
  <c r="E28" i="49"/>
  <c r="G28" i="49"/>
  <c r="I28" i="49"/>
  <c r="K28" i="49"/>
  <c r="D28" i="49"/>
  <c r="F28" i="49"/>
  <c r="H28" i="49"/>
  <c r="J28" i="49"/>
  <c r="L28" i="49"/>
  <c r="L19" i="51"/>
  <c r="B24" i="46"/>
  <c r="B26" i="46" s="1"/>
  <c r="E42" i="53"/>
  <c r="I36" i="53"/>
  <c r="I35" i="53"/>
  <c r="G34" i="53"/>
  <c r="I34" i="53" s="1"/>
  <c r="G33" i="53"/>
  <c r="I33" i="53" s="1"/>
  <c r="G32" i="53"/>
  <c r="I32" i="53" s="1"/>
  <c r="G31" i="53"/>
  <c r="I31" i="53" s="1"/>
  <c r="G30" i="53"/>
  <c r="I30" i="53" s="1"/>
  <c r="G29" i="53"/>
  <c r="I29" i="53" s="1"/>
  <c r="G28" i="53"/>
  <c r="I28" i="53" s="1"/>
  <c r="G27" i="53"/>
  <c r="I27" i="53" s="1"/>
  <c r="I26" i="53"/>
  <c r="I25" i="53"/>
  <c r="I24" i="53"/>
  <c r="I23" i="53"/>
  <c r="I10" i="53"/>
  <c r="I14" i="53" s="1"/>
  <c r="H10" i="53"/>
  <c r="H14" i="53" s="1"/>
  <c r="N28" i="49"/>
  <c r="M28" i="49"/>
  <c r="F19" i="47"/>
  <c r="L19" i="47" s="1"/>
  <c r="I33" i="47" s="1"/>
  <c r="L14" i="47"/>
  <c r="I28" i="47" s="1"/>
  <c r="M12" i="47"/>
  <c r="J26" i="47" s="1"/>
  <c r="L10" i="47"/>
  <c r="K10" i="47"/>
  <c r="M10" i="47"/>
  <c r="B27" i="46"/>
  <c r="D18" i="46"/>
  <c r="D24" i="46" s="1"/>
  <c r="C18" i="46"/>
  <c r="C24" i="46" s="1"/>
  <c r="C42" i="53" l="1"/>
  <c r="I37" i="53"/>
  <c r="I42" i="53" s="1"/>
  <c r="G37" i="53"/>
  <c r="G42" i="53" s="1"/>
  <c r="C26" i="46"/>
  <c r="C27" i="46"/>
  <c r="D27" i="46"/>
  <c r="D26" i="46"/>
  <c r="H42" i="45" l="1"/>
  <c r="F42" i="45"/>
  <c r="D42" i="45"/>
  <c r="B42" i="45"/>
  <c r="I41" i="45"/>
  <c r="I40" i="45"/>
  <c r="I39" i="45"/>
  <c r="I38" i="45"/>
  <c r="I36" i="45"/>
  <c r="I35" i="45"/>
  <c r="I34" i="45"/>
  <c r="I33" i="45"/>
  <c r="I32" i="45"/>
  <c r="I31" i="45"/>
  <c r="I30" i="45"/>
  <c r="I29" i="45"/>
  <c r="I28" i="45"/>
  <c r="I27" i="45"/>
  <c r="I26" i="45"/>
  <c r="I25" i="45"/>
  <c r="I24" i="45"/>
  <c r="I23" i="45"/>
  <c r="I22" i="45"/>
  <c r="I21" i="45"/>
  <c r="I20" i="45"/>
  <c r="I19" i="45"/>
  <c r="I18" i="45"/>
  <c r="I17" i="45"/>
  <c r="I16" i="45"/>
  <c r="I13" i="45"/>
  <c r="H13" i="45"/>
  <c r="I12" i="45"/>
  <c r="H12" i="45"/>
  <c r="I11" i="45"/>
  <c r="H11" i="45"/>
  <c r="G10" i="45"/>
  <c r="G14" i="45" s="1"/>
  <c r="G37" i="45" s="1"/>
  <c r="G42" i="45" s="1"/>
  <c r="F10" i="45"/>
  <c r="F14" i="45" s="1"/>
  <c r="E10" i="45"/>
  <c r="E14" i="45" s="1"/>
  <c r="D10" i="45"/>
  <c r="D14" i="45" s="1"/>
  <c r="C10" i="45"/>
  <c r="C14" i="45" s="1"/>
  <c r="C37" i="45" s="1"/>
  <c r="C42" i="45" s="1"/>
  <c r="B10" i="45"/>
  <c r="B14" i="45" s="1"/>
  <c r="I9" i="45"/>
  <c r="H9" i="45"/>
  <c r="I8" i="45"/>
  <c r="H8" i="45"/>
  <c r="D10" i="44"/>
  <c r="C10" i="44"/>
  <c r="B10" i="44"/>
  <c r="E9" i="44"/>
  <c r="E10" i="44" s="1"/>
  <c r="L19" i="43"/>
  <c r="L18" i="43"/>
  <c r="L14" i="43"/>
  <c r="M12" i="43"/>
  <c r="J11" i="43"/>
  <c r="I11" i="43"/>
  <c r="I15" i="43" s="1"/>
  <c r="I20" i="43" s="1"/>
  <c r="H11" i="43"/>
  <c r="G11" i="43"/>
  <c r="G15" i="43" s="1"/>
  <c r="G20" i="43" s="1"/>
  <c r="F11" i="43"/>
  <c r="E11" i="43"/>
  <c r="D11" i="43"/>
  <c r="D13" i="43" s="1"/>
  <c r="C11" i="43"/>
  <c r="C15" i="43" s="1"/>
  <c r="C20" i="43" s="1"/>
  <c r="B11" i="43"/>
  <c r="M10" i="43"/>
  <c r="L10" i="43"/>
  <c r="K10" i="43"/>
  <c r="M9" i="43"/>
  <c r="L9" i="43"/>
  <c r="L11" i="43" s="1"/>
  <c r="L15" i="43" s="1"/>
  <c r="L20" i="43" s="1"/>
  <c r="K9" i="43"/>
  <c r="N17" i="42"/>
  <c r="N16" i="42"/>
  <c r="N12" i="42"/>
  <c r="L11" i="42"/>
  <c r="K11" i="42"/>
  <c r="J11" i="42"/>
  <c r="I11" i="42"/>
  <c r="I13" i="42" s="1"/>
  <c r="I18" i="42" s="1"/>
  <c r="H11" i="42"/>
  <c r="G11" i="42"/>
  <c r="F11" i="42"/>
  <c r="F13" i="42" s="1"/>
  <c r="F18" i="42" s="1"/>
  <c r="E11" i="42"/>
  <c r="D11" i="42"/>
  <c r="C11" i="42"/>
  <c r="C13" i="42" s="1"/>
  <c r="C18" i="42" s="1"/>
  <c r="B11" i="42"/>
  <c r="O10" i="42"/>
  <c r="N10" i="42"/>
  <c r="M10" i="42"/>
  <c r="O9" i="42"/>
  <c r="O11" i="42" s="1"/>
  <c r="N9" i="42"/>
  <c r="N11" i="42" s="1"/>
  <c r="N13" i="42" s="1"/>
  <c r="N18" i="42" s="1"/>
  <c r="M9" i="42"/>
  <c r="M11" i="42" s="1"/>
  <c r="L27" i="41"/>
  <c r="K27" i="41"/>
  <c r="J27" i="41"/>
  <c r="I27" i="41"/>
  <c r="H27" i="41"/>
  <c r="G27" i="41"/>
  <c r="F27" i="41"/>
  <c r="E27" i="41"/>
  <c r="D27" i="41"/>
  <c r="C27" i="41"/>
  <c r="N26" i="41"/>
  <c r="M26" i="41"/>
  <c r="N25" i="41"/>
  <c r="M25" i="41"/>
  <c r="N24" i="41"/>
  <c r="M24" i="41"/>
  <c r="N23" i="41"/>
  <c r="N27" i="41" s="1"/>
  <c r="M23" i="41"/>
  <c r="M27" i="41" s="1"/>
  <c r="L21" i="41"/>
  <c r="K21" i="41"/>
  <c r="J21" i="41"/>
  <c r="I21" i="41"/>
  <c r="H21" i="41"/>
  <c r="G21" i="41"/>
  <c r="F21" i="41"/>
  <c r="E21" i="41"/>
  <c r="D21" i="41"/>
  <c r="C21" i="41"/>
  <c r="N20" i="41"/>
  <c r="M20" i="41"/>
  <c r="N19" i="41"/>
  <c r="M19" i="41"/>
  <c r="N18" i="41"/>
  <c r="M18" i="41"/>
  <c r="N17" i="41"/>
  <c r="M17" i="41"/>
  <c r="N16" i="41"/>
  <c r="M16" i="41"/>
  <c r="N15" i="41"/>
  <c r="N21" i="41" s="1"/>
  <c r="M15" i="41"/>
  <c r="M21" i="41" s="1"/>
  <c r="L13" i="41"/>
  <c r="K13" i="41"/>
  <c r="J13" i="41"/>
  <c r="I13" i="41"/>
  <c r="H13" i="41"/>
  <c r="G13" i="41"/>
  <c r="F13" i="41"/>
  <c r="E13" i="41"/>
  <c r="D13" i="41"/>
  <c r="C13" i="41"/>
  <c r="N12" i="41"/>
  <c r="M12" i="41"/>
  <c r="N11" i="41"/>
  <c r="M11" i="41"/>
  <c r="N10" i="41"/>
  <c r="N13" i="41" s="1"/>
  <c r="M10" i="41"/>
  <c r="M13" i="41" s="1"/>
  <c r="F9" i="40"/>
  <c r="E9" i="40"/>
  <c r="D9" i="40"/>
  <c r="C9" i="40"/>
  <c r="I32" i="39"/>
  <c r="I31" i="39"/>
  <c r="G26" i="39"/>
  <c r="G28" i="39" s="1"/>
  <c r="F26" i="39"/>
  <c r="F30" i="39" s="1"/>
  <c r="F35" i="39" s="1"/>
  <c r="E26" i="39"/>
  <c r="D26" i="39"/>
  <c r="D28" i="39" s="1"/>
  <c r="C26" i="39"/>
  <c r="C30" i="39" s="1"/>
  <c r="C35" i="39" s="1"/>
  <c r="B26" i="39"/>
  <c r="A25" i="39"/>
  <c r="A24" i="39"/>
  <c r="L19" i="39"/>
  <c r="I34" i="39" s="1"/>
  <c r="L18" i="39"/>
  <c r="I33" i="39" s="1"/>
  <c r="C15" i="39"/>
  <c r="C20" i="39" s="1"/>
  <c r="L14" i="39"/>
  <c r="I29" i="39" s="1"/>
  <c r="M12" i="39"/>
  <c r="J27" i="39" s="1"/>
  <c r="J11" i="39"/>
  <c r="J13" i="39" s="1"/>
  <c r="I11" i="39"/>
  <c r="I15" i="39" s="1"/>
  <c r="I20" i="39" s="1"/>
  <c r="H11" i="39"/>
  <c r="G11" i="39"/>
  <c r="G13" i="39" s="1"/>
  <c r="F11" i="39"/>
  <c r="F15" i="39" s="1"/>
  <c r="E11" i="39"/>
  <c r="D11" i="39"/>
  <c r="D13" i="39" s="1"/>
  <c r="C11" i="39"/>
  <c r="B11" i="39"/>
  <c r="M10" i="39"/>
  <c r="J25" i="39" s="1"/>
  <c r="L10" i="39"/>
  <c r="I25" i="39" s="1"/>
  <c r="K10" i="39"/>
  <c r="H25" i="39" s="1"/>
  <c r="M9" i="39"/>
  <c r="J24" i="39" s="1"/>
  <c r="L9" i="39"/>
  <c r="I24" i="39" s="1"/>
  <c r="I26" i="39" s="1"/>
  <c r="K9" i="39"/>
  <c r="H24" i="39" s="1"/>
  <c r="D21" i="38"/>
  <c r="D22" i="38" s="1"/>
  <c r="C21" i="38"/>
  <c r="C22" i="38" s="1"/>
  <c r="B21" i="38"/>
  <c r="B22" i="38" s="1"/>
  <c r="B16" i="38"/>
  <c r="D15" i="38"/>
  <c r="D16" i="38" s="1"/>
  <c r="C15" i="38"/>
  <c r="C16" i="38" s="1"/>
  <c r="B15" i="38"/>
  <c r="D10" i="38"/>
  <c r="C10" i="38"/>
  <c r="B10" i="38"/>
  <c r="E37" i="45" l="1"/>
  <c r="E42" i="45" s="1"/>
  <c r="C28" i="41"/>
  <c r="E28" i="41"/>
  <c r="G28" i="41"/>
  <c r="I28" i="41"/>
  <c r="K28" i="41"/>
  <c r="D28" i="41"/>
  <c r="F28" i="41"/>
  <c r="H28" i="41"/>
  <c r="J28" i="41"/>
  <c r="L28" i="41"/>
  <c r="B23" i="38"/>
  <c r="K11" i="43"/>
  <c r="M11" i="43"/>
  <c r="M13" i="43" s="1"/>
  <c r="I10" i="45"/>
  <c r="I14" i="45" s="1"/>
  <c r="I37" i="45" s="1"/>
  <c r="I42" i="45" s="1"/>
  <c r="H10" i="45"/>
  <c r="H14" i="45" s="1"/>
  <c r="M28" i="41"/>
  <c r="N28" i="41"/>
  <c r="H26" i="39"/>
  <c r="J26" i="39"/>
  <c r="F20" i="39"/>
  <c r="L20" i="39" s="1"/>
  <c r="I35" i="39" s="1"/>
  <c r="L15" i="39"/>
  <c r="I30" i="39" s="1"/>
  <c r="M13" i="39"/>
  <c r="J28" i="39" s="1"/>
  <c r="L11" i="39"/>
  <c r="K11" i="39"/>
  <c r="M11" i="39"/>
  <c r="D26" i="38"/>
  <c r="D25" i="38"/>
  <c r="C23" i="38"/>
  <c r="B26" i="38"/>
  <c r="B25" i="38"/>
  <c r="C25" i="38" l="1"/>
  <c r="C26" i="38"/>
  <c r="I48" i="37" l="1"/>
  <c r="I47" i="37"/>
  <c r="H45" i="37"/>
  <c r="H43" i="37"/>
  <c r="F43" i="37"/>
  <c r="D43" i="37"/>
  <c r="B43" i="37"/>
  <c r="I42" i="37"/>
  <c r="I41" i="37"/>
  <c r="I40" i="37"/>
  <c r="I39" i="37"/>
  <c r="I38" i="37"/>
  <c r="I36" i="37"/>
  <c r="I34" i="37"/>
  <c r="I33" i="37"/>
  <c r="I32" i="37"/>
  <c r="I31" i="37"/>
  <c r="I30" i="37"/>
  <c r="I29" i="37"/>
  <c r="I28" i="37"/>
  <c r="I27" i="37"/>
  <c r="I22" i="37"/>
  <c r="I21" i="37"/>
  <c r="I20" i="37"/>
  <c r="I19" i="37"/>
  <c r="I18" i="37"/>
  <c r="I17" i="37"/>
  <c r="I16" i="37"/>
  <c r="I13" i="37"/>
  <c r="H13" i="37"/>
  <c r="I12" i="37"/>
  <c r="H12" i="37"/>
  <c r="I11" i="37"/>
  <c r="H11" i="37"/>
  <c r="G10" i="37"/>
  <c r="G14" i="37" s="1"/>
  <c r="F10" i="37"/>
  <c r="F14" i="37" s="1"/>
  <c r="E10" i="37"/>
  <c r="E14" i="37" s="1"/>
  <c r="D10" i="37"/>
  <c r="D14" i="37" s="1"/>
  <c r="C10" i="37"/>
  <c r="C14" i="37" s="1"/>
  <c r="C37" i="37" s="1"/>
  <c r="B10" i="37"/>
  <c r="B14" i="37" s="1"/>
  <c r="I9" i="37"/>
  <c r="H9" i="37"/>
  <c r="I8" i="37"/>
  <c r="H8" i="37"/>
  <c r="L29" i="36"/>
  <c r="K29" i="36"/>
  <c r="J29" i="36"/>
  <c r="I29" i="36"/>
  <c r="H29" i="36"/>
  <c r="G29" i="36"/>
  <c r="F29" i="36"/>
  <c r="E29" i="36"/>
  <c r="D29" i="36"/>
  <c r="C29" i="36"/>
  <c r="B29" i="36"/>
  <c r="M28" i="36"/>
  <c r="M27" i="36"/>
  <c r="M26" i="36"/>
  <c r="M25" i="36"/>
  <c r="M24" i="36"/>
  <c r="M23" i="36"/>
  <c r="M29" i="36" s="1"/>
  <c r="M16" i="36"/>
  <c r="L16" i="36"/>
  <c r="K16" i="36"/>
  <c r="J16" i="36"/>
  <c r="I16" i="36"/>
  <c r="H16" i="36"/>
  <c r="G16" i="36"/>
  <c r="F16" i="36"/>
  <c r="E16" i="36"/>
  <c r="D16" i="36"/>
  <c r="C16" i="36"/>
  <c r="B16" i="36"/>
  <c r="A3" i="36"/>
  <c r="A2" i="36"/>
  <c r="J16" i="35"/>
  <c r="I16" i="35"/>
  <c r="H16" i="35"/>
  <c r="G16" i="35"/>
  <c r="F16" i="35"/>
  <c r="E16" i="35"/>
  <c r="D16" i="35"/>
  <c r="C16" i="35"/>
  <c r="B16" i="35"/>
  <c r="M15" i="35"/>
  <c r="M16" i="35" s="1"/>
  <c r="L15" i="35"/>
  <c r="L16" i="35" s="1"/>
  <c r="K15" i="35"/>
  <c r="K16" i="35" s="1"/>
  <c r="J11" i="35"/>
  <c r="I11" i="35"/>
  <c r="H11" i="35"/>
  <c r="G11" i="35"/>
  <c r="F11" i="35"/>
  <c r="E11" i="35"/>
  <c r="C11" i="35"/>
  <c r="B11" i="35"/>
  <c r="M10" i="35"/>
  <c r="L10" i="35"/>
  <c r="K10" i="35"/>
  <c r="D10" i="35"/>
  <c r="D11" i="35" s="1"/>
  <c r="M9" i="35"/>
  <c r="M11" i="35" s="1"/>
  <c r="L9" i="35"/>
  <c r="L11" i="35" s="1"/>
  <c r="K9" i="35"/>
  <c r="K11" i="35" s="1"/>
  <c r="A3" i="35"/>
  <c r="A2" i="35"/>
  <c r="L33" i="34"/>
  <c r="L32" i="34"/>
  <c r="L28" i="34"/>
  <c r="M26" i="34"/>
  <c r="H25" i="34"/>
  <c r="G25" i="34"/>
  <c r="G29" i="34" s="1"/>
  <c r="G34" i="34" s="1"/>
  <c r="F25" i="34"/>
  <c r="E25" i="34"/>
  <c r="D25" i="34"/>
  <c r="D27" i="34" s="1"/>
  <c r="C25" i="34"/>
  <c r="C29" i="34" s="1"/>
  <c r="C34" i="34" s="1"/>
  <c r="B25" i="34"/>
  <c r="L24" i="34"/>
  <c r="K24" i="34"/>
  <c r="M24" i="34"/>
  <c r="M22" i="34"/>
  <c r="L22" i="34"/>
  <c r="K22" i="34"/>
  <c r="L21" i="34"/>
  <c r="K21" i="34"/>
  <c r="J21" i="34"/>
  <c r="M21" i="34" s="1"/>
  <c r="M20" i="34"/>
  <c r="L20" i="34"/>
  <c r="K20" i="34"/>
  <c r="L19" i="34"/>
  <c r="K19" i="34"/>
  <c r="J19" i="34"/>
  <c r="M19" i="34" s="1"/>
  <c r="L18" i="34"/>
  <c r="K18" i="34"/>
  <c r="J18" i="34"/>
  <c r="M18" i="34" s="1"/>
  <c r="L17" i="34"/>
  <c r="K17" i="34"/>
  <c r="J17" i="34"/>
  <c r="M17" i="34" s="1"/>
  <c r="L16" i="34"/>
  <c r="K16" i="34"/>
  <c r="I16" i="34"/>
  <c r="M16" i="34" s="1"/>
  <c r="L15" i="34"/>
  <c r="K15" i="34"/>
  <c r="J15" i="34"/>
  <c r="M15" i="34" s="1"/>
  <c r="L14" i="34"/>
  <c r="K14" i="34"/>
  <c r="J14" i="34"/>
  <c r="I14" i="34"/>
  <c r="M14" i="34" s="1"/>
  <c r="M13" i="34"/>
  <c r="L13" i="34"/>
  <c r="K13" i="34"/>
  <c r="M12" i="34"/>
  <c r="L12" i="34"/>
  <c r="K12" i="34"/>
  <c r="L11" i="34"/>
  <c r="K11" i="34"/>
  <c r="J11" i="34"/>
  <c r="J25" i="34" s="1"/>
  <c r="I11" i="34"/>
  <c r="I25" i="34" s="1"/>
  <c r="I29" i="34" s="1"/>
  <c r="I34" i="34" s="1"/>
  <c r="M10" i="34"/>
  <c r="L10" i="34"/>
  <c r="K10" i="34"/>
  <c r="M9" i="34"/>
  <c r="L9" i="34"/>
  <c r="K9" i="34"/>
  <c r="K25" i="34" s="1"/>
  <c r="N32" i="33"/>
  <c r="N31" i="33"/>
  <c r="N27" i="33"/>
  <c r="K26" i="33"/>
  <c r="J26" i="33"/>
  <c r="I26" i="33"/>
  <c r="I28" i="33" s="1"/>
  <c r="I33" i="33" s="1"/>
  <c r="H26" i="33"/>
  <c r="F26" i="33"/>
  <c r="F28" i="33" s="1"/>
  <c r="F33" i="33" s="1"/>
  <c r="E26" i="33"/>
  <c r="D26" i="33"/>
  <c r="C26" i="33"/>
  <c r="C28" i="33" s="1"/>
  <c r="C33" i="33" s="1"/>
  <c r="B26" i="33"/>
  <c r="N25" i="33"/>
  <c r="M25" i="33"/>
  <c r="L25" i="33"/>
  <c r="O25" i="33" s="1"/>
  <c r="O24" i="33"/>
  <c r="N24" i="33"/>
  <c r="M24" i="33"/>
  <c r="O23" i="33"/>
  <c r="N23" i="33"/>
  <c r="M23" i="33"/>
  <c r="O22" i="33"/>
  <c r="N22" i="33"/>
  <c r="M22" i="33"/>
  <c r="O21" i="33"/>
  <c r="N21" i="33"/>
  <c r="M21" i="33"/>
  <c r="O20" i="33"/>
  <c r="N20" i="33"/>
  <c r="M20" i="33"/>
  <c r="O19" i="33"/>
  <c r="N19" i="33"/>
  <c r="M19" i="33"/>
  <c r="O18" i="33"/>
  <c r="N18" i="33"/>
  <c r="M18" i="33"/>
  <c r="O17" i="33"/>
  <c r="N17" i="33"/>
  <c r="M17" i="33"/>
  <c r="O16" i="33"/>
  <c r="N16" i="33"/>
  <c r="M16" i="33"/>
  <c r="O15" i="33"/>
  <c r="N15" i="33"/>
  <c r="M15" i="33"/>
  <c r="O14" i="33"/>
  <c r="N14" i="33"/>
  <c r="M14" i="33"/>
  <c r="O13" i="33"/>
  <c r="N13" i="33"/>
  <c r="M13" i="33"/>
  <c r="O12" i="33"/>
  <c r="N12" i="33"/>
  <c r="M12" i="33"/>
  <c r="L12" i="33"/>
  <c r="L26" i="33" s="1"/>
  <c r="O11" i="33"/>
  <c r="N11" i="33"/>
  <c r="M11" i="33"/>
  <c r="G26" i="33"/>
  <c r="O10" i="33"/>
  <c r="N10" i="33"/>
  <c r="M10" i="33"/>
  <c r="O9" i="33"/>
  <c r="N9" i="33"/>
  <c r="N26" i="33" s="1"/>
  <c r="N28" i="33" s="1"/>
  <c r="N33" i="33" s="1"/>
  <c r="M9" i="33"/>
  <c r="M26" i="33" s="1"/>
  <c r="A3" i="33"/>
  <c r="A2" i="33"/>
  <c r="L27" i="32"/>
  <c r="K27" i="32"/>
  <c r="K28" i="32" s="1"/>
  <c r="J27" i="32"/>
  <c r="J28" i="32" s="1"/>
  <c r="I27" i="32"/>
  <c r="I28" i="32" s="1"/>
  <c r="G27" i="32"/>
  <c r="G28" i="32" s="1"/>
  <c r="F27" i="32"/>
  <c r="F28" i="32" s="1"/>
  <c r="E27" i="32"/>
  <c r="E28" i="32" s="1"/>
  <c r="D27" i="32"/>
  <c r="D28" i="32" s="1"/>
  <c r="C27" i="32"/>
  <c r="N26" i="32"/>
  <c r="M26" i="32"/>
  <c r="N25" i="32"/>
  <c r="M25" i="32"/>
  <c r="N24" i="32"/>
  <c r="M24" i="32"/>
  <c r="M23" i="32"/>
  <c r="M27" i="32" s="1"/>
  <c r="M28" i="32" s="1"/>
  <c r="H23" i="32"/>
  <c r="H27" i="32" s="1"/>
  <c r="K21" i="32"/>
  <c r="J21" i="32"/>
  <c r="I21" i="32"/>
  <c r="G21" i="32"/>
  <c r="F21" i="32"/>
  <c r="E21" i="32"/>
  <c r="D21" i="32"/>
  <c r="N20" i="32"/>
  <c r="M20" i="32"/>
  <c r="N19" i="32"/>
  <c r="M19" i="32"/>
  <c r="N18" i="32"/>
  <c r="M18" i="32"/>
  <c r="N17" i="32"/>
  <c r="M17" i="32"/>
  <c r="M16" i="32"/>
  <c r="L16" i="32"/>
  <c r="L21" i="32" s="1"/>
  <c r="J16" i="32"/>
  <c r="H16" i="32"/>
  <c r="N16" i="32" s="1"/>
  <c r="F16" i="32"/>
  <c r="C16" i="32"/>
  <c r="M15" i="32"/>
  <c r="M21" i="32" s="1"/>
  <c r="J15" i="32"/>
  <c r="H15" i="32"/>
  <c r="N15" i="32" s="1"/>
  <c r="F15" i="32"/>
  <c r="C15" i="32"/>
  <c r="C21" i="32" s="1"/>
  <c r="L13" i="32"/>
  <c r="K13" i="32"/>
  <c r="J13" i="32"/>
  <c r="I13" i="32"/>
  <c r="H13" i="32"/>
  <c r="G13" i="32"/>
  <c r="F13" i="32"/>
  <c r="E13" i="32"/>
  <c r="D13" i="32"/>
  <c r="C13" i="32"/>
  <c r="N12" i="32"/>
  <c r="M12" i="32"/>
  <c r="N11" i="32"/>
  <c r="M11" i="32"/>
  <c r="N10" i="32"/>
  <c r="N13" i="32" s="1"/>
  <c r="M10" i="32"/>
  <c r="M13" i="32" s="1"/>
  <c r="A3" i="32"/>
  <c r="A2" i="32"/>
  <c r="F24" i="31"/>
  <c r="E24" i="31"/>
  <c r="D24" i="31"/>
  <c r="C24" i="31"/>
  <c r="J24" i="31"/>
  <c r="I24" i="31"/>
  <c r="H24" i="31"/>
  <c r="F17" i="31"/>
  <c r="E17" i="31"/>
  <c r="D17" i="31"/>
  <c r="C17" i="31"/>
  <c r="J17" i="31"/>
  <c r="I17" i="31"/>
  <c r="H17" i="31"/>
  <c r="G17" i="31"/>
  <c r="A3" i="31"/>
  <c r="A2" i="31"/>
  <c r="I55" i="30"/>
  <c r="I54" i="30"/>
  <c r="G49" i="30"/>
  <c r="G51" i="30" s="1"/>
  <c r="F49" i="30"/>
  <c r="F53" i="30" s="1"/>
  <c r="F58" i="30" s="1"/>
  <c r="E49" i="30"/>
  <c r="D49" i="30"/>
  <c r="D51" i="30" s="1"/>
  <c r="C49" i="30"/>
  <c r="C53" i="30" s="1"/>
  <c r="C58" i="30" s="1"/>
  <c r="B49" i="30"/>
  <c r="A48" i="30"/>
  <c r="A47" i="30"/>
  <c r="A46" i="30"/>
  <c r="A45" i="30"/>
  <c r="A44" i="30"/>
  <c r="A43" i="30"/>
  <c r="A42" i="30"/>
  <c r="A41" i="30"/>
  <c r="A40" i="30"/>
  <c r="A39" i="30"/>
  <c r="A38" i="30"/>
  <c r="A37" i="30"/>
  <c r="L32" i="30"/>
  <c r="I57" i="30" s="1"/>
  <c r="L31" i="30"/>
  <c r="I56" i="30" s="1"/>
  <c r="I28" i="30"/>
  <c r="I33" i="30" s="1"/>
  <c r="C28" i="30"/>
  <c r="C33" i="30" s="1"/>
  <c r="L27" i="30"/>
  <c r="I52" i="30" s="1"/>
  <c r="G26" i="30"/>
  <c r="M25" i="30"/>
  <c r="J50" i="30" s="1"/>
  <c r="J24" i="30"/>
  <c r="J26" i="30" s="1"/>
  <c r="I24" i="30"/>
  <c r="H24" i="30"/>
  <c r="G24" i="30"/>
  <c r="F24" i="30"/>
  <c r="F28" i="30" s="1"/>
  <c r="E24" i="30"/>
  <c r="D24" i="30"/>
  <c r="D26" i="30" s="1"/>
  <c r="C24" i="30"/>
  <c r="B24" i="30"/>
  <c r="M23" i="30"/>
  <c r="J48" i="30" s="1"/>
  <c r="L23" i="30"/>
  <c r="I48" i="30" s="1"/>
  <c r="K23" i="30"/>
  <c r="H48" i="30" s="1"/>
  <c r="M22" i="30"/>
  <c r="J47" i="30" s="1"/>
  <c r="L22" i="30"/>
  <c r="I47" i="30" s="1"/>
  <c r="K22" i="30"/>
  <c r="H47" i="30" s="1"/>
  <c r="M21" i="30"/>
  <c r="L21" i="30"/>
  <c r="K21" i="30"/>
  <c r="M20" i="30"/>
  <c r="L20" i="30"/>
  <c r="K20" i="30"/>
  <c r="M19" i="30"/>
  <c r="L19" i="30"/>
  <c r="K19" i="30"/>
  <c r="M18" i="30"/>
  <c r="J46" i="30" s="1"/>
  <c r="L18" i="30"/>
  <c r="I46" i="30" s="1"/>
  <c r="K18" i="30"/>
  <c r="H46" i="30" s="1"/>
  <c r="M17" i="30"/>
  <c r="J45" i="30" s="1"/>
  <c r="L17" i="30"/>
  <c r="I45" i="30" s="1"/>
  <c r="K17" i="30"/>
  <c r="H45" i="30" s="1"/>
  <c r="M16" i="30"/>
  <c r="J44" i="30" s="1"/>
  <c r="L16" i="30"/>
  <c r="I44" i="30" s="1"/>
  <c r="K16" i="30"/>
  <c r="H44" i="30" s="1"/>
  <c r="M15" i="30"/>
  <c r="J43" i="30" s="1"/>
  <c r="L15" i="30"/>
  <c r="I43" i="30" s="1"/>
  <c r="K15" i="30"/>
  <c r="H43" i="30" s="1"/>
  <c r="M14" i="30"/>
  <c r="J42" i="30" s="1"/>
  <c r="L14" i="30"/>
  <c r="I42" i="30" s="1"/>
  <c r="K14" i="30"/>
  <c r="H42" i="30" s="1"/>
  <c r="M13" i="30"/>
  <c r="J41" i="30" s="1"/>
  <c r="L13" i="30"/>
  <c r="I41" i="30" s="1"/>
  <c r="K13" i="30"/>
  <c r="H41" i="30" s="1"/>
  <c r="M12" i="30"/>
  <c r="J40" i="30" s="1"/>
  <c r="L12" i="30"/>
  <c r="I40" i="30" s="1"/>
  <c r="K12" i="30"/>
  <c r="H40" i="30" s="1"/>
  <c r="M11" i="30"/>
  <c r="J39" i="30" s="1"/>
  <c r="L11" i="30"/>
  <c r="I39" i="30" s="1"/>
  <c r="K11" i="30"/>
  <c r="H39" i="30" s="1"/>
  <c r="M10" i="30"/>
  <c r="J38" i="30" s="1"/>
  <c r="L10" i="30"/>
  <c r="I38" i="30" s="1"/>
  <c r="K10" i="30"/>
  <c r="H38" i="30" s="1"/>
  <c r="M9" i="30"/>
  <c r="J37" i="30" s="1"/>
  <c r="L9" i="30"/>
  <c r="I37" i="30" s="1"/>
  <c r="I49" i="30" s="1"/>
  <c r="K9" i="30"/>
  <c r="H37" i="30" s="1"/>
  <c r="H49" i="30" s="1"/>
  <c r="A3" i="30"/>
  <c r="A2" i="30"/>
  <c r="D43" i="29"/>
  <c r="C43" i="29"/>
  <c r="B43" i="29"/>
  <c r="D38" i="29"/>
  <c r="D44" i="29" s="1"/>
  <c r="C38" i="29"/>
  <c r="C44" i="29" s="1"/>
  <c r="B38" i="29"/>
  <c r="B44" i="29" s="1"/>
  <c r="D25" i="29"/>
  <c r="C25" i="29"/>
  <c r="C26" i="29" s="1"/>
  <c r="B25" i="29"/>
  <c r="D22" i="29"/>
  <c r="D26" i="29" s="1"/>
  <c r="C22" i="29"/>
  <c r="B22" i="29"/>
  <c r="B26" i="29" s="1"/>
  <c r="D16" i="29"/>
  <c r="C16" i="29"/>
  <c r="C27" i="29" s="1"/>
  <c r="C45" i="29" s="1"/>
  <c r="B16" i="29"/>
  <c r="D11" i="29"/>
  <c r="C11" i="29"/>
  <c r="B11" i="29"/>
  <c r="E26" i="37" l="1"/>
  <c r="E24" i="37"/>
  <c r="C43" i="37"/>
  <c r="E35" i="37"/>
  <c r="E25" i="37"/>
  <c r="E23" i="37"/>
  <c r="L25" i="34"/>
  <c r="L29" i="34" s="1"/>
  <c r="L34" i="34" s="1"/>
  <c r="G26" i="37"/>
  <c r="G24" i="37"/>
  <c r="G37" i="37" s="1"/>
  <c r="G43" i="37" s="1"/>
  <c r="G35" i="37"/>
  <c r="I35" i="37" s="1"/>
  <c r="G25" i="37"/>
  <c r="I25" i="37" s="1"/>
  <c r="G23" i="37"/>
  <c r="I23" i="37" s="1"/>
  <c r="E37" i="37"/>
  <c r="E43" i="37" s="1"/>
  <c r="H10" i="37"/>
  <c r="H14" i="37" s="1"/>
  <c r="I10" i="37"/>
  <c r="I14" i="37" s="1"/>
  <c r="M11" i="34"/>
  <c r="M25" i="34" s="1"/>
  <c r="M27" i="34" s="1"/>
  <c r="N21" i="32"/>
  <c r="H28" i="32"/>
  <c r="C28" i="32"/>
  <c r="L28" i="32"/>
  <c r="H21" i="32"/>
  <c r="N23" i="32"/>
  <c r="N27" i="32" s="1"/>
  <c r="N28" i="32" s="1"/>
  <c r="F33" i="30"/>
  <c r="L33" i="30" s="1"/>
  <c r="I58" i="30" s="1"/>
  <c r="L28" i="30"/>
  <c r="I53" i="30" s="1"/>
  <c r="M26" i="30"/>
  <c r="J51" i="30" s="1"/>
  <c r="J49" i="30"/>
  <c r="L24" i="30"/>
  <c r="K24" i="30"/>
  <c r="M24" i="30"/>
  <c r="C47" i="29"/>
  <c r="C48" i="29"/>
  <c r="B27" i="29"/>
  <c r="B45" i="29" s="1"/>
  <c r="D27" i="29"/>
  <c r="D45" i="29" s="1"/>
  <c r="I24" i="37" l="1"/>
  <c r="I26" i="37"/>
  <c r="D48" i="29"/>
  <c r="D47" i="29"/>
  <c r="B48" i="29"/>
  <c r="B47" i="29"/>
  <c r="I37" i="37" l="1"/>
  <c r="I43" i="37" s="1"/>
  <c r="H43" i="28"/>
  <c r="F43" i="28"/>
  <c r="D43" i="28"/>
  <c r="B43" i="28"/>
  <c r="I42" i="28"/>
  <c r="I40" i="28"/>
  <c r="I39" i="28"/>
  <c r="I38" i="28"/>
  <c r="I36" i="28"/>
  <c r="I35" i="28"/>
  <c r="I34" i="28"/>
  <c r="I33" i="28"/>
  <c r="I32" i="28"/>
  <c r="I31" i="28"/>
  <c r="I30" i="28"/>
  <c r="I29" i="28"/>
  <c r="I28" i="28"/>
  <c r="I27" i="28"/>
  <c r="I26" i="28"/>
  <c r="I25" i="28"/>
  <c r="I24" i="28"/>
  <c r="I23" i="28"/>
  <c r="I22" i="28"/>
  <c r="I21" i="28"/>
  <c r="I20" i="28"/>
  <c r="I19" i="28"/>
  <c r="I18" i="28"/>
  <c r="I17" i="28"/>
  <c r="I16" i="28"/>
  <c r="I13" i="28"/>
  <c r="H13" i="28"/>
  <c r="I12" i="28"/>
  <c r="H12" i="28"/>
  <c r="I11" i="28"/>
  <c r="H11" i="28"/>
  <c r="G10" i="28"/>
  <c r="G14" i="28" s="1"/>
  <c r="G37" i="28" s="1"/>
  <c r="G43" i="28" s="1"/>
  <c r="F10" i="28"/>
  <c r="F14" i="28" s="1"/>
  <c r="E10" i="28"/>
  <c r="E14" i="28" s="1"/>
  <c r="E37" i="28" s="1"/>
  <c r="E43" i="28" s="1"/>
  <c r="D10" i="28"/>
  <c r="D14" i="28" s="1"/>
  <c r="C10" i="28"/>
  <c r="C14" i="28" s="1"/>
  <c r="C37" i="28" s="1"/>
  <c r="C43" i="28" s="1"/>
  <c r="B10" i="28"/>
  <c r="B14" i="28" s="1"/>
  <c r="I9" i="28"/>
  <c r="H9" i="28"/>
  <c r="I8" i="28"/>
  <c r="H8" i="28"/>
  <c r="M16" i="27"/>
  <c r="G16" i="27"/>
  <c r="J22" i="26"/>
  <c r="I22" i="26"/>
  <c r="H22" i="26"/>
  <c r="G22" i="26"/>
  <c r="F22" i="26"/>
  <c r="E22" i="26"/>
  <c r="C22" i="26"/>
  <c r="B22" i="26"/>
  <c r="M21" i="26"/>
  <c r="M20" i="26"/>
  <c r="L20" i="26"/>
  <c r="K20" i="26"/>
  <c r="M19" i="26"/>
  <c r="L19" i="26"/>
  <c r="K19" i="26"/>
  <c r="D19" i="26"/>
  <c r="D22" i="26" s="1"/>
  <c r="M18" i="26"/>
  <c r="L18" i="26"/>
  <c r="K18" i="26"/>
  <c r="J14" i="26"/>
  <c r="I14" i="26"/>
  <c r="H14" i="26"/>
  <c r="G14" i="26"/>
  <c r="F14" i="26"/>
  <c r="E14" i="26"/>
  <c r="D14" i="26"/>
  <c r="C14" i="26"/>
  <c r="B14" i="26"/>
  <c r="M13" i="26"/>
  <c r="L13" i="26"/>
  <c r="K13" i="26"/>
  <c r="M12" i="26"/>
  <c r="L12" i="26"/>
  <c r="K12" i="26"/>
  <c r="M11" i="26"/>
  <c r="L11" i="26"/>
  <c r="K11" i="26"/>
  <c r="M10" i="26"/>
  <c r="L10" i="26"/>
  <c r="K10" i="26"/>
  <c r="M9" i="26"/>
  <c r="L9" i="26"/>
  <c r="K9" i="26"/>
  <c r="L68" i="25"/>
  <c r="L67" i="25"/>
  <c r="L63" i="25"/>
  <c r="M61" i="25"/>
  <c r="H60" i="25"/>
  <c r="G60" i="25"/>
  <c r="G64" i="25" s="1"/>
  <c r="G69" i="25" s="1"/>
  <c r="F60" i="25"/>
  <c r="E60" i="25"/>
  <c r="D60" i="25"/>
  <c r="D62" i="25" s="1"/>
  <c r="C60" i="25"/>
  <c r="C64" i="25" s="1"/>
  <c r="C69" i="25" s="1"/>
  <c r="B60" i="25"/>
  <c r="M58" i="25"/>
  <c r="J57" i="25"/>
  <c r="J60" i="25" s="1"/>
  <c r="M56" i="25"/>
  <c r="M55" i="25"/>
  <c r="M54" i="25"/>
  <c r="M53" i="25"/>
  <c r="M52" i="25"/>
  <c r="M51" i="25"/>
  <c r="M50" i="25"/>
  <c r="M49" i="25"/>
  <c r="M48" i="25"/>
  <c r="M47" i="25"/>
  <c r="M46" i="25"/>
  <c r="M45" i="25"/>
  <c r="M44" i="25"/>
  <c r="M43" i="25"/>
  <c r="M42" i="25"/>
  <c r="M41" i="25"/>
  <c r="M40" i="25"/>
  <c r="M39" i="25"/>
  <c r="M38" i="25"/>
  <c r="M37" i="25"/>
  <c r="I36" i="25"/>
  <c r="M35" i="25"/>
  <c r="M34" i="25"/>
  <c r="M33" i="25"/>
  <c r="M32" i="25"/>
  <c r="M31" i="25"/>
  <c r="M30" i="25"/>
  <c r="M29" i="25"/>
  <c r="M28" i="25"/>
  <c r="M27" i="25"/>
  <c r="M26" i="25"/>
  <c r="M25" i="25"/>
  <c r="M24" i="25"/>
  <c r="M23" i="25"/>
  <c r="M22" i="25"/>
  <c r="M21" i="25"/>
  <c r="M20" i="25"/>
  <c r="M19" i="25"/>
  <c r="M18" i="25"/>
  <c r="M17" i="25"/>
  <c r="M16" i="25"/>
  <c r="M15" i="25"/>
  <c r="M14" i="25"/>
  <c r="M13" i="25"/>
  <c r="M12" i="25"/>
  <c r="M11" i="25"/>
  <c r="N77" i="24"/>
  <c r="N76" i="24"/>
  <c r="N72" i="24"/>
  <c r="L71" i="24"/>
  <c r="I71" i="24"/>
  <c r="I73" i="24" s="1"/>
  <c r="I78" i="24" s="1"/>
  <c r="H71" i="24"/>
  <c r="G71" i="24"/>
  <c r="F71" i="24"/>
  <c r="F73" i="24" s="1"/>
  <c r="F78" i="24" s="1"/>
  <c r="E71" i="24"/>
  <c r="D71" i="24"/>
  <c r="C71" i="24"/>
  <c r="C73" i="24" s="1"/>
  <c r="C78" i="24" s="1"/>
  <c r="B71" i="24"/>
  <c r="O70" i="24"/>
  <c r="O69" i="24"/>
  <c r="O67" i="24"/>
  <c r="N66" i="24"/>
  <c r="M66" i="24"/>
  <c r="J66" i="24"/>
  <c r="J71" i="24" s="1"/>
  <c r="O65" i="24"/>
  <c r="O64" i="24"/>
  <c r="O63" i="24"/>
  <c r="O62" i="24"/>
  <c r="O61" i="24"/>
  <c r="O60" i="24"/>
  <c r="O59" i="24"/>
  <c r="O58" i="24"/>
  <c r="O57" i="24"/>
  <c r="O56" i="24"/>
  <c r="O55" i="24"/>
  <c r="O54" i="24"/>
  <c r="O53" i="24"/>
  <c r="N53" i="24"/>
  <c r="M53" i="24"/>
  <c r="O52" i="24"/>
  <c r="N52" i="24"/>
  <c r="M52" i="24"/>
  <c r="O51" i="24"/>
  <c r="N51" i="24"/>
  <c r="M51" i="24"/>
  <c r="O50" i="24"/>
  <c r="O49" i="24"/>
  <c r="O48" i="24"/>
  <c r="O47" i="24"/>
  <c r="O46" i="24"/>
  <c r="O45" i="24"/>
  <c r="O44" i="24"/>
  <c r="N44" i="24"/>
  <c r="M44" i="24"/>
  <c r="O43" i="24"/>
  <c r="N43" i="24"/>
  <c r="M43" i="24"/>
  <c r="O42" i="24"/>
  <c r="N42" i="24"/>
  <c r="M42" i="24"/>
  <c r="O41" i="24"/>
  <c r="N41" i="24"/>
  <c r="M41" i="24"/>
  <c r="O40" i="24"/>
  <c r="N40" i="24"/>
  <c r="M40" i="24"/>
  <c r="O39" i="24"/>
  <c r="N39" i="24"/>
  <c r="M39" i="24"/>
  <c r="O38" i="24"/>
  <c r="O37" i="24"/>
  <c r="N37" i="24"/>
  <c r="M37" i="24"/>
  <c r="O36" i="24"/>
  <c r="N36" i="24"/>
  <c r="M36" i="24"/>
  <c r="O35" i="24"/>
  <c r="N35" i="24"/>
  <c r="M35" i="24"/>
  <c r="O34" i="24"/>
  <c r="N34" i="24"/>
  <c r="M34" i="24"/>
  <c r="O33" i="24"/>
  <c r="N33" i="24"/>
  <c r="M33" i="24"/>
  <c r="O32" i="24"/>
  <c r="N31" i="24"/>
  <c r="M31" i="24"/>
  <c r="K31" i="24"/>
  <c r="O31" i="24" s="1"/>
  <c r="O30" i="24"/>
  <c r="N30" i="24"/>
  <c r="M30" i="24"/>
  <c r="O29" i="24"/>
  <c r="N29" i="24"/>
  <c r="M29" i="24"/>
  <c r="O28" i="24"/>
  <c r="N28" i="24"/>
  <c r="M28" i="24"/>
  <c r="O27" i="24"/>
  <c r="N27" i="24"/>
  <c r="M27" i="24"/>
  <c r="O26" i="24"/>
  <c r="N26" i="24"/>
  <c r="M26" i="24"/>
  <c r="O25" i="24"/>
  <c r="N25" i="24"/>
  <c r="M25" i="24"/>
  <c r="O24" i="24"/>
  <c r="N24" i="24"/>
  <c r="M24" i="24"/>
  <c r="O23" i="24"/>
  <c r="N23" i="24"/>
  <c r="M23" i="24"/>
  <c r="O22" i="24"/>
  <c r="O21" i="24"/>
  <c r="N21" i="24"/>
  <c r="M21" i="24"/>
  <c r="O20" i="24"/>
  <c r="N20" i="24"/>
  <c r="M20" i="24"/>
  <c r="O19" i="24"/>
  <c r="N19" i="24"/>
  <c r="M19" i="24"/>
  <c r="O18" i="24"/>
  <c r="N18" i="24"/>
  <c r="M18" i="24"/>
  <c r="O17" i="24"/>
  <c r="N17" i="24"/>
  <c r="M17" i="24"/>
  <c r="O16" i="24"/>
  <c r="N16" i="24"/>
  <c r="M16" i="24"/>
  <c r="O15" i="24"/>
  <c r="N15" i="24"/>
  <c r="M15" i="24"/>
  <c r="O14" i="24"/>
  <c r="N14" i="24"/>
  <c r="M14" i="24"/>
  <c r="O13" i="24"/>
  <c r="N13" i="24"/>
  <c r="M13" i="24"/>
  <c r="O12" i="24"/>
  <c r="N12" i="24"/>
  <c r="M12" i="24"/>
  <c r="O11" i="24"/>
  <c r="N11" i="24"/>
  <c r="M11" i="24"/>
  <c r="O10" i="24"/>
  <c r="N10" i="24"/>
  <c r="M10" i="24"/>
  <c r="O9" i="24"/>
  <c r="N9" i="24"/>
  <c r="M9" i="24"/>
  <c r="I64" i="25" l="1"/>
  <c r="I69" i="25" s="1"/>
  <c r="M60" i="25"/>
  <c r="L14" i="26"/>
  <c r="L22" i="26"/>
  <c r="K60" i="25"/>
  <c r="K14" i="26"/>
  <c r="M14" i="26"/>
  <c r="K22" i="26"/>
  <c r="M22" i="26"/>
  <c r="L60" i="25"/>
  <c r="L64" i="25" s="1"/>
  <c r="L69" i="25" s="1"/>
  <c r="M57" i="25"/>
  <c r="N71" i="24"/>
  <c r="N73" i="24" s="1"/>
  <c r="N78" i="24" s="1"/>
  <c r="M71" i="24"/>
  <c r="H10" i="28"/>
  <c r="H14" i="28" s="1"/>
  <c r="I10" i="28"/>
  <c r="I14" i="28" s="1"/>
  <c r="I37" i="28" s="1"/>
  <c r="I43" i="28" s="1"/>
  <c r="D16" i="27"/>
  <c r="F16" i="27"/>
  <c r="I16" i="27"/>
  <c r="N16" i="27"/>
  <c r="P16" i="27"/>
  <c r="E16" i="27"/>
  <c r="O16" i="27"/>
  <c r="Q16" i="27"/>
  <c r="H16" i="27"/>
  <c r="J16" i="27"/>
  <c r="L16" i="27"/>
  <c r="M36" i="25"/>
  <c r="K71" i="24"/>
  <c r="O66" i="24"/>
  <c r="O71" i="24" s="1"/>
  <c r="M62" i="25" l="1"/>
  <c r="B16" i="27"/>
  <c r="C16" i="27"/>
  <c r="K16" i="27"/>
  <c r="K9" i="21" l="1"/>
  <c r="L9" i="21"/>
  <c r="M9" i="21"/>
  <c r="K10" i="21"/>
  <c r="H75" i="21" s="1"/>
  <c r="L10" i="21"/>
  <c r="M10" i="21"/>
  <c r="K12" i="21"/>
  <c r="L12" i="21"/>
  <c r="I77" i="21" s="1"/>
  <c r="M12" i="21"/>
  <c r="K13" i="21"/>
  <c r="H78" i="21" s="1"/>
  <c r="L13" i="21"/>
  <c r="M13" i="21"/>
  <c r="J78" i="21" s="1"/>
  <c r="K14" i="21"/>
  <c r="L14" i="21"/>
  <c r="I79" i="21" s="1"/>
  <c r="M14" i="21"/>
  <c r="J79" i="21" s="1"/>
  <c r="M22" i="21"/>
  <c r="K23" i="21"/>
  <c r="L23" i="21"/>
  <c r="I88" i="21" s="1"/>
  <c r="M23" i="21"/>
  <c r="K24" i="21"/>
  <c r="H89" i="21" s="1"/>
  <c r="L24" i="21"/>
  <c r="M24" i="21"/>
  <c r="J89" i="21" s="1"/>
  <c r="K25" i="21"/>
  <c r="L25" i="21"/>
  <c r="I90" i="21" s="1"/>
  <c r="M25" i="21"/>
  <c r="K26" i="21"/>
  <c r="H91" i="21" s="1"/>
  <c r="L26" i="21"/>
  <c r="M26" i="21"/>
  <c r="K27" i="21"/>
  <c r="L27" i="21"/>
  <c r="I92" i="21" s="1"/>
  <c r="M27" i="21"/>
  <c r="K28" i="21"/>
  <c r="H93" i="21" s="1"/>
  <c r="L28" i="21"/>
  <c r="M28" i="21"/>
  <c r="J93" i="21" s="1"/>
  <c r="K33" i="21"/>
  <c r="L33" i="21"/>
  <c r="I98" i="21" s="1"/>
  <c r="M33" i="21"/>
  <c r="K34" i="21"/>
  <c r="H99" i="21" s="1"/>
  <c r="L34" i="21"/>
  <c r="M34" i="21"/>
  <c r="J99" i="21" s="1"/>
  <c r="K36" i="21"/>
  <c r="L36" i="21"/>
  <c r="I101" i="21" s="1"/>
  <c r="M36" i="21"/>
  <c r="K37" i="21"/>
  <c r="H102" i="21" s="1"/>
  <c r="L37" i="21"/>
  <c r="M37" i="21"/>
  <c r="K38" i="21"/>
  <c r="L38" i="21"/>
  <c r="I103" i="21" s="1"/>
  <c r="M38" i="21"/>
  <c r="K39" i="21"/>
  <c r="H104" i="21" s="1"/>
  <c r="L39" i="21"/>
  <c r="M39" i="21"/>
  <c r="K40" i="21"/>
  <c r="L40" i="21"/>
  <c r="I105" i="21" s="1"/>
  <c r="M40" i="21"/>
  <c r="K41" i="21"/>
  <c r="H106" i="21" s="1"/>
  <c r="L41" i="21"/>
  <c r="M41" i="21"/>
  <c r="J106" i="21" s="1"/>
  <c r="K42" i="21"/>
  <c r="L42" i="21"/>
  <c r="I107" i="21" s="1"/>
  <c r="M42" i="21"/>
  <c r="K43" i="21"/>
  <c r="H108" i="21" s="1"/>
  <c r="L43" i="21"/>
  <c r="M43" i="21"/>
  <c r="J108" i="21" s="1"/>
  <c r="K44" i="21"/>
  <c r="L44" i="21"/>
  <c r="I109" i="21" s="1"/>
  <c r="M44" i="21"/>
  <c r="K45" i="21"/>
  <c r="H110" i="21" s="1"/>
  <c r="L45" i="21"/>
  <c r="M45" i="21"/>
  <c r="J110" i="21" s="1"/>
  <c r="K46" i="21"/>
  <c r="L46" i="21"/>
  <c r="I111" i="21" s="1"/>
  <c r="M46" i="21"/>
  <c r="K47" i="21"/>
  <c r="H112" i="21" s="1"/>
  <c r="L47" i="21"/>
  <c r="M47" i="21"/>
  <c r="J112" i="21" s="1"/>
  <c r="K48" i="21"/>
  <c r="L48" i="21"/>
  <c r="I113" i="21" s="1"/>
  <c r="M48" i="21"/>
  <c r="K49" i="21"/>
  <c r="H114" i="21" s="1"/>
  <c r="L49" i="21"/>
  <c r="M49" i="21"/>
  <c r="J114" i="21" s="1"/>
  <c r="K50" i="21"/>
  <c r="L50" i="21"/>
  <c r="I115" i="21" s="1"/>
  <c r="M50" i="21"/>
  <c r="K58" i="21"/>
  <c r="H123" i="21" s="1"/>
  <c r="L58" i="21"/>
  <c r="M58" i="21"/>
  <c r="J123" i="21" s="1"/>
  <c r="K59" i="21"/>
  <c r="L59" i="21"/>
  <c r="I124" i="21" s="1"/>
  <c r="M59" i="21"/>
  <c r="K60" i="21"/>
  <c r="H125" i="21" s="1"/>
  <c r="L60" i="21"/>
  <c r="M60" i="21"/>
  <c r="J125" i="21" s="1"/>
  <c r="B61" i="21"/>
  <c r="C61" i="21"/>
  <c r="C65" i="21" s="1"/>
  <c r="C70" i="21" s="1"/>
  <c r="D61" i="21"/>
  <c r="E61" i="21"/>
  <c r="F61" i="21"/>
  <c r="G63" i="21"/>
  <c r="M63" i="21" s="1"/>
  <c r="H61" i="21"/>
  <c r="I61" i="21"/>
  <c r="I65" i="21" s="1"/>
  <c r="J61" i="21"/>
  <c r="K61" i="21"/>
  <c r="H126" i="21" s="1"/>
  <c r="M62" i="21"/>
  <c r="D63" i="21"/>
  <c r="J63" i="21"/>
  <c r="L64" i="21"/>
  <c r="F65" i="21"/>
  <c r="F70" i="21" s="1"/>
  <c r="L68" i="21"/>
  <c r="I134" i="21" s="1"/>
  <c r="L69" i="21"/>
  <c r="I75" i="21"/>
  <c r="H76" i="21"/>
  <c r="I76" i="21"/>
  <c r="J76" i="21"/>
  <c r="H77" i="21"/>
  <c r="J77" i="21"/>
  <c r="I78" i="21"/>
  <c r="H79" i="21"/>
  <c r="H80" i="21"/>
  <c r="I80" i="21"/>
  <c r="J80" i="21"/>
  <c r="H81" i="21"/>
  <c r="I81" i="21"/>
  <c r="J81" i="21"/>
  <c r="H82" i="21"/>
  <c r="I82" i="21"/>
  <c r="J82" i="21"/>
  <c r="H83" i="21"/>
  <c r="I83" i="21"/>
  <c r="J83" i="21"/>
  <c r="H84" i="21"/>
  <c r="I84" i="21"/>
  <c r="J84" i="21"/>
  <c r="H85" i="21"/>
  <c r="I85" i="21"/>
  <c r="J85" i="21"/>
  <c r="H86" i="21"/>
  <c r="I86" i="21"/>
  <c r="J86" i="21"/>
  <c r="H88" i="21"/>
  <c r="J88" i="21"/>
  <c r="I89" i="21"/>
  <c r="H90" i="21"/>
  <c r="J90" i="21"/>
  <c r="I91" i="21"/>
  <c r="H92" i="21"/>
  <c r="J92" i="21"/>
  <c r="I93" i="21"/>
  <c r="H94" i="21"/>
  <c r="I94" i="21"/>
  <c r="J94" i="21"/>
  <c r="H95" i="21"/>
  <c r="I95" i="21"/>
  <c r="J95" i="21"/>
  <c r="H96" i="21"/>
  <c r="I96" i="21"/>
  <c r="J96" i="21"/>
  <c r="H97" i="21"/>
  <c r="I97" i="21"/>
  <c r="J97" i="21"/>
  <c r="H98" i="21"/>
  <c r="I99" i="21"/>
  <c r="H100" i="21"/>
  <c r="I100" i="21"/>
  <c r="J100" i="21"/>
  <c r="H101" i="21"/>
  <c r="J101" i="21"/>
  <c r="I102" i="21"/>
  <c r="H103" i="21"/>
  <c r="I104" i="21"/>
  <c r="H105" i="21"/>
  <c r="I106" i="21"/>
  <c r="H107" i="21"/>
  <c r="J107" i="21"/>
  <c r="I108" i="21"/>
  <c r="H109" i="21"/>
  <c r="I110" i="21"/>
  <c r="H111" i="21"/>
  <c r="J111" i="21"/>
  <c r="I112" i="21"/>
  <c r="H113" i="21"/>
  <c r="J113" i="21"/>
  <c r="I114" i="21"/>
  <c r="H115" i="21"/>
  <c r="J115" i="21"/>
  <c r="H116" i="21"/>
  <c r="I116" i="21"/>
  <c r="J116" i="21"/>
  <c r="H117" i="21"/>
  <c r="I117" i="21"/>
  <c r="J117" i="21"/>
  <c r="H118" i="21"/>
  <c r="I118" i="21"/>
  <c r="J118" i="21"/>
  <c r="H119" i="21"/>
  <c r="I119" i="21"/>
  <c r="J119" i="21"/>
  <c r="H120" i="21"/>
  <c r="I120" i="21"/>
  <c r="J120" i="21"/>
  <c r="H121" i="21"/>
  <c r="I121" i="21"/>
  <c r="J121" i="21"/>
  <c r="H122" i="21"/>
  <c r="I122" i="21"/>
  <c r="J122" i="21"/>
  <c r="I123" i="21"/>
  <c r="H124" i="21"/>
  <c r="J124" i="21"/>
  <c r="I125" i="21"/>
  <c r="B127" i="21"/>
  <c r="C127" i="21"/>
  <c r="C131" i="21" s="1"/>
  <c r="C136" i="21" s="1"/>
  <c r="D127" i="21"/>
  <c r="D129" i="21" s="1"/>
  <c r="E127" i="21"/>
  <c r="F127" i="21"/>
  <c r="F131" i="21" s="1"/>
  <c r="F136" i="21" s="1"/>
  <c r="G127" i="21"/>
  <c r="G129" i="21" s="1"/>
  <c r="I130" i="21"/>
  <c r="I132" i="21"/>
  <c r="I133" i="21"/>
  <c r="I135" i="21"/>
  <c r="L27" i="23"/>
  <c r="K27" i="23"/>
  <c r="J27" i="23"/>
  <c r="I27" i="23"/>
  <c r="H27" i="23"/>
  <c r="G27" i="23"/>
  <c r="F27" i="23"/>
  <c r="E27" i="23"/>
  <c r="D27" i="23"/>
  <c r="C27" i="23"/>
  <c r="N26" i="23"/>
  <c r="M26" i="23"/>
  <c r="N25" i="23"/>
  <c r="M25" i="23"/>
  <c r="N24" i="23"/>
  <c r="M24" i="23"/>
  <c r="N23" i="23"/>
  <c r="N27" i="23" s="1"/>
  <c r="M23" i="23"/>
  <c r="M27" i="23" s="1"/>
  <c r="L21" i="23"/>
  <c r="K21" i="23"/>
  <c r="J21" i="23"/>
  <c r="I21" i="23"/>
  <c r="H21" i="23"/>
  <c r="G21" i="23"/>
  <c r="F21" i="23"/>
  <c r="E21" i="23"/>
  <c r="D21" i="23"/>
  <c r="C21" i="23"/>
  <c r="N20" i="23"/>
  <c r="M20" i="23"/>
  <c r="N19" i="23"/>
  <c r="M19" i="23"/>
  <c r="N18" i="23"/>
  <c r="M18" i="23"/>
  <c r="N17" i="23"/>
  <c r="M17" i="23"/>
  <c r="N16" i="23"/>
  <c r="M16" i="23"/>
  <c r="N15" i="23"/>
  <c r="N21" i="23" s="1"/>
  <c r="M15" i="23"/>
  <c r="M21" i="23" s="1"/>
  <c r="L13" i="23"/>
  <c r="K13" i="23"/>
  <c r="J13" i="23"/>
  <c r="I13" i="23"/>
  <c r="H13" i="23"/>
  <c r="G13" i="23"/>
  <c r="F13" i="23"/>
  <c r="E13" i="23"/>
  <c r="D13" i="23"/>
  <c r="C13" i="23"/>
  <c r="N12" i="23"/>
  <c r="M12" i="23"/>
  <c r="N11" i="23"/>
  <c r="M11" i="23"/>
  <c r="N10" i="23"/>
  <c r="N13" i="23" s="1"/>
  <c r="M10" i="23"/>
  <c r="M13" i="23" s="1"/>
  <c r="F28" i="22"/>
  <c r="E28" i="22"/>
  <c r="D28" i="22"/>
  <c r="C28" i="22"/>
  <c r="F19" i="22"/>
  <c r="J28" i="22" s="1"/>
  <c r="E19" i="22"/>
  <c r="I27" i="22" s="1"/>
  <c r="I28" i="22" s="1"/>
  <c r="D19" i="22"/>
  <c r="H27" i="22" s="1"/>
  <c r="H28" i="22" s="1"/>
  <c r="C19" i="22"/>
  <c r="G27" i="22" s="1"/>
  <c r="G28" i="22" s="1"/>
  <c r="D42" i="20"/>
  <c r="C42" i="20"/>
  <c r="B42" i="20"/>
  <c r="D36" i="20"/>
  <c r="C36" i="20"/>
  <c r="C43" i="20" s="1"/>
  <c r="B36" i="20"/>
  <c r="D20" i="20"/>
  <c r="D21" i="20" s="1"/>
  <c r="C20" i="20"/>
  <c r="C21" i="20" s="1"/>
  <c r="B20" i="20"/>
  <c r="B21" i="20" s="1"/>
  <c r="D15" i="20"/>
  <c r="C15" i="20"/>
  <c r="B15" i="20"/>
  <c r="D10" i="20"/>
  <c r="C10" i="20"/>
  <c r="B10" i="20"/>
  <c r="M61" i="21" l="1"/>
  <c r="J127" i="21"/>
  <c r="B22" i="20"/>
  <c r="D22" i="20"/>
  <c r="B43" i="20"/>
  <c r="D43" i="20"/>
  <c r="D28" i="23"/>
  <c r="F28" i="23"/>
  <c r="H28" i="23"/>
  <c r="J28" i="23"/>
  <c r="L28" i="23"/>
  <c r="C28" i="23"/>
  <c r="E28" i="23"/>
  <c r="G28" i="23"/>
  <c r="I28" i="23"/>
  <c r="K28" i="23"/>
  <c r="L65" i="21"/>
  <c r="I70" i="21"/>
  <c r="L70" i="21" s="1"/>
  <c r="L61" i="21"/>
  <c r="I126" i="21" s="1"/>
  <c r="I136" i="21"/>
  <c r="I131" i="21"/>
  <c r="J129" i="21"/>
  <c r="H127" i="21"/>
  <c r="I127" i="21"/>
  <c r="M28" i="23"/>
  <c r="N28" i="23"/>
  <c r="C22" i="20"/>
  <c r="C44" i="20" s="1"/>
  <c r="D44" i="20" l="1"/>
  <c r="B44" i="20"/>
  <c r="C46" i="20"/>
  <c r="C47" i="20"/>
  <c r="B47" i="20" l="1"/>
  <c r="B46" i="20"/>
  <c r="D47" i="20"/>
  <c r="D46" i="20"/>
  <c r="I48" i="19"/>
  <c r="I47" i="19"/>
  <c r="H45" i="19"/>
  <c r="H43" i="19"/>
  <c r="F43" i="19"/>
  <c r="D43" i="19"/>
  <c r="B43" i="19"/>
  <c r="I42" i="19"/>
  <c r="I41" i="19"/>
  <c r="I40" i="19"/>
  <c r="I39" i="19"/>
  <c r="I38" i="19"/>
  <c r="I36" i="19"/>
  <c r="I35" i="19"/>
  <c r="I34" i="19"/>
  <c r="I33" i="19"/>
  <c r="I32" i="19"/>
  <c r="I31" i="19"/>
  <c r="I30" i="19"/>
  <c r="I29" i="19"/>
  <c r="I28" i="19"/>
  <c r="I27" i="19"/>
  <c r="I26" i="19"/>
  <c r="I25" i="19"/>
  <c r="I24" i="19"/>
  <c r="I23" i="19"/>
  <c r="I22" i="19"/>
  <c r="I21" i="19"/>
  <c r="I20" i="19"/>
  <c r="I19" i="19"/>
  <c r="I18" i="19"/>
  <c r="I17" i="19"/>
  <c r="I16" i="19"/>
  <c r="I13" i="19"/>
  <c r="H13" i="19"/>
  <c r="I12" i="19"/>
  <c r="H12" i="19"/>
  <c r="I11" i="19"/>
  <c r="H11" i="19"/>
  <c r="G10" i="19"/>
  <c r="G14" i="19" s="1"/>
  <c r="G37" i="19" s="1"/>
  <c r="G43" i="19" s="1"/>
  <c r="F10" i="19"/>
  <c r="F14" i="19" s="1"/>
  <c r="E10" i="19"/>
  <c r="E14" i="19" s="1"/>
  <c r="E37" i="19" s="1"/>
  <c r="D10" i="19"/>
  <c r="D14" i="19" s="1"/>
  <c r="C14" i="19"/>
  <c r="C37" i="19" s="1"/>
  <c r="C43" i="19" s="1"/>
  <c r="B10" i="19"/>
  <c r="B14" i="19" s="1"/>
  <c r="I9" i="19"/>
  <c r="H9" i="19"/>
  <c r="I8" i="19"/>
  <c r="H8" i="19"/>
  <c r="A3" i="19"/>
  <c r="A2" i="19"/>
  <c r="L17" i="18"/>
  <c r="K17" i="18"/>
  <c r="J17" i="18"/>
  <c r="H17" i="18"/>
  <c r="G17" i="18"/>
  <c r="F17" i="18"/>
  <c r="E17" i="18"/>
  <c r="D17" i="18"/>
  <c r="C17" i="18"/>
  <c r="B17" i="18"/>
  <c r="M16" i="18"/>
  <c r="C16" i="18"/>
  <c r="M15" i="18"/>
  <c r="M14" i="18"/>
  <c r="M13" i="18"/>
  <c r="M12" i="18"/>
  <c r="M11" i="18"/>
  <c r="M10" i="18"/>
  <c r="A3" i="18"/>
  <c r="A2" i="18"/>
  <c r="J18" i="17"/>
  <c r="I18" i="17"/>
  <c r="H18" i="17"/>
  <c r="G18" i="17"/>
  <c r="F18" i="17"/>
  <c r="E18" i="17"/>
  <c r="D18" i="17"/>
  <c r="C18" i="17"/>
  <c r="B18" i="17"/>
  <c r="M17" i="17"/>
  <c r="L17" i="17"/>
  <c r="K17" i="17"/>
  <c r="M16" i="17"/>
  <c r="L16" i="17"/>
  <c r="K16" i="17"/>
  <c r="M15" i="17"/>
  <c r="M18" i="17" s="1"/>
  <c r="L15" i="17"/>
  <c r="L18" i="17" s="1"/>
  <c r="K15" i="17"/>
  <c r="K18" i="17" s="1"/>
  <c r="J11" i="17"/>
  <c r="I11" i="17"/>
  <c r="H11" i="17"/>
  <c r="G11" i="17"/>
  <c r="F11" i="17"/>
  <c r="E11" i="17"/>
  <c r="C11" i="17"/>
  <c r="B11" i="17"/>
  <c r="M10" i="17"/>
  <c r="L10" i="17"/>
  <c r="K10" i="17"/>
  <c r="D10" i="17"/>
  <c r="D11" i="17" s="1"/>
  <c r="M9" i="17"/>
  <c r="M11" i="17" s="1"/>
  <c r="L9" i="17"/>
  <c r="L11" i="17" s="1"/>
  <c r="K9" i="17"/>
  <c r="K11" i="17" s="1"/>
  <c r="A3" i="17"/>
  <c r="A2" i="17"/>
  <c r="L33" i="16"/>
  <c r="L32" i="16"/>
  <c r="L28" i="16"/>
  <c r="M26" i="16"/>
  <c r="H25" i="16"/>
  <c r="G25" i="16"/>
  <c r="G29" i="16" s="1"/>
  <c r="G34" i="16" s="1"/>
  <c r="F25" i="16"/>
  <c r="E25" i="16"/>
  <c r="D25" i="16"/>
  <c r="D27" i="16" s="1"/>
  <c r="C25" i="16"/>
  <c r="C34" i="16" s="1"/>
  <c r="B25" i="16"/>
  <c r="L24" i="16"/>
  <c r="K24" i="16"/>
  <c r="I25" i="16"/>
  <c r="M22" i="16"/>
  <c r="L22" i="16"/>
  <c r="K22" i="16"/>
  <c r="M21" i="16"/>
  <c r="L21" i="16"/>
  <c r="K21" i="16"/>
  <c r="L20" i="16"/>
  <c r="K20" i="16"/>
  <c r="J20" i="16"/>
  <c r="M20" i="16" s="1"/>
  <c r="L19" i="16"/>
  <c r="K19" i="16"/>
  <c r="J19" i="16"/>
  <c r="M19" i="16" s="1"/>
  <c r="M18" i="16"/>
  <c r="L18" i="16"/>
  <c r="K18" i="16"/>
  <c r="L17" i="16"/>
  <c r="K17" i="16"/>
  <c r="J17" i="16"/>
  <c r="M17" i="16" s="1"/>
  <c r="M16" i="16"/>
  <c r="L16" i="16"/>
  <c r="K16" i="16"/>
  <c r="M15" i="16"/>
  <c r="L15" i="16"/>
  <c r="K15" i="16"/>
  <c r="L14" i="16"/>
  <c r="K14" i="16"/>
  <c r="J14" i="16"/>
  <c r="M14" i="16" s="1"/>
  <c r="M13" i="16"/>
  <c r="L13" i="16"/>
  <c r="K13" i="16"/>
  <c r="M12" i="16"/>
  <c r="L12" i="16"/>
  <c r="K12" i="16"/>
  <c r="M11" i="16"/>
  <c r="L11" i="16"/>
  <c r="K11" i="16"/>
  <c r="L10" i="16"/>
  <c r="K10" i="16"/>
  <c r="J10" i="16"/>
  <c r="M10" i="16" s="1"/>
  <c r="L9" i="16"/>
  <c r="K9" i="16"/>
  <c r="J9" i="16"/>
  <c r="M9" i="16" s="1"/>
  <c r="A3" i="16"/>
  <c r="A2" i="16"/>
  <c r="N28" i="15"/>
  <c r="N27" i="15"/>
  <c r="N23" i="15"/>
  <c r="K22" i="15"/>
  <c r="I22" i="15"/>
  <c r="I24" i="15" s="1"/>
  <c r="I29" i="15" s="1"/>
  <c r="H22" i="15"/>
  <c r="F22" i="15"/>
  <c r="F24" i="15" s="1"/>
  <c r="F29" i="15" s="1"/>
  <c r="E22" i="15"/>
  <c r="D22" i="15"/>
  <c r="C22" i="15"/>
  <c r="C24" i="15" s="1"/>
  <c r="C29" i="15" s="1"/>
  <c r="B22" i="15"/>
  <c r="N21" i="15"/>
  <c r="M21" i="15"/>
  <c r="L21" i="15"/>
  <c r="O21" i="15" s="1"/>
  <c r="G21" i="15"/>
  <c r="G22" i="15" s="1"/>
  <c r="N20" i="15"/>
  <c r="M20" i="15"/>
  <c r="L20" i="15"/>
  <c r="O20" i="15" s="1"/>
  <c r="O19" i="15"/>
  <c r="N19" i="15"/>
  <c r="M19" i="15"/>
  <c r="O18" i="15"/>
  <c r="N18" i="15"/>
  <c r="M18" i="15"/>
  <c r="N17" i="15"/>
  <c r="M17" i="15"/>
  <c r="L17" i="15"/>
  <c r="O17" i="15" s="1"/>
  <c r="O16" i="15"/>
  <c r="N16" i="15"/>
  <c r="M16" i="15"/>
  <c r="O15" i="15"/>
  <c r="N15" i="15"/>
  <c r="M15" i="15"/>
  <c r="N14" i="15"/>
  <c r="M14" i="15"/>
  <c r="L14" i="15"/>
  <c r="J14" i="15"/>
  <c r="O14" i="15" s="1"/>
  <c r="O13" i="15"/>
  <c r="N13" i="15"/>
  <c r="M13" i="15"/>
  <c r="O12" i="15"/>
  <c r="N12" i="15"/>
  <c r="M12" i="15"/>
  <c r="O11" i="15"/>
  <c r="N11" i="15"/>
  <c r="M11" i="15"/>
  <c r="O10" i="15"/>
  <c r="N10" i="15"/>
  <c r="M10" i="15"/>
  <c r="N9" i="15"/>
  <c r="N22" i="15" s="1"/>
  <c r="N24" i="15" s="1"/>
  <c r="N29" i="15" s="1"/>
  <c r="M9" i="15"/>
  <c r="M22" i="15" s="1"/>
  <c r="L9" i="15"/>
  <c r="L22" i="15" s="1"/>
  <c r="J9" i="15"/>
  <c r="J22" i="15" s="1"/>
  <c r="A3" i="15"/>
  <c r="A2" i="15"/>
  <c r="L27" i="14"/>
  <c r="L28" i="14" s="1"/>
  <c r="K27" i="14"/>
  <c r="K28" i="14" s="1"/>
  <c r="I27" i="14"/>
  <c r="I28" i="14" s="1"/>
  <c r="H27" i="14"/>
  <c r="H28" i="14" s="1"/>
  <c r="G27" i="14"/>
  <c r="G28" i="14" s="1"/>
  <c r="F27" i="14"/>
  <c r="F28" i="14" s="1"/>
  <c r="E27" i="14"/>
  <c r="E28" i="14" s="1"/>
  <c r="D27" i="14"/>
  <c r="D28" i="14" s="1"/>
  <c r="C27" i="14"/>
  <c r="C28" i="14" s="1"/>
  <c r="N26" i="14"/>
  <c r="M26" i="14"/>
  <c r="N25" i="14"/>
  <c r="M25" i="14"/>
  <c r="N24" i="14"/>
  <c r="M24" i="14"/>
  <c r="M23" i="14"/>
  <c r="M27" i="14" s="1"/>
  <c r="J27" i="14"/>
  <c r="J28" i="14" s="1"/>
  <c r="L21" i="14"/>
  <c r="K21" i="14"/>
  <c r="J21" i="14"/>
  <c r="I21" i="14"/>
  <c r="H21" i="14"/>
  <c r="G21" i="14"/>
  <c r="F21" i="14"/>
  <c r="E21" i="14"/>
  <c r="D21" i="14"/>
  <c r="C21" i="14"/>
  <c r="N20" i="14"/>
  <c r="M20" i="14"/>
  <c r="N19" i="14"/>
  <c r="M19" i="14"/>
  <c r="N18" i="14"/>
  <c r="M18" i="14"/>
  <c r="N17" i="14"/>
  <c r="M17" i="14"/>
  <c r="N16" i="14"/>
  <c r="M16" i="14"/>
  <c r="N15" i="14"/>
  <c r="N21" i="14" s="1"/>
  <c r="M15" i="14"/>
  <c r="M21" i="14" s="1"/>
  <c r="L13" i="14"/>
  <c r="K13" i="14"/>
  <c r="J13" i="14"/>
  <c r="I13" i="14"/>
  <c r="H13" i="14"/>
  <c r="G13" i="14"/>
  <c r="F13" i="14"/>
  <c r="E13" i="14"/>
  <c r="D13" i="14"/>
  <c r="C13" i="14"/>
  <c r="N12" i="14"/>
  <c r="M12" i="14"/>
  <c r="N11" i="14"/>
  <c r="M11" i="14"/>
  <c r="N10" i="14"/>
  <c r="N13" i="14" s="1"/>
  <c r="M10" i="14"/>
  <c r="M13" i="14" s="1"/>
  <c r="A3" i="14"/>
  <c r="A2" i="14"/>
  <c r="F18" i="13"/>
  <c r="E18" i="13"/>
  <c r="D18" i="13"/>
  <c r="C18" i="13"/>
  <c r="J17" i="13"/>
  <c r="J18" i="13" s="1"/>
  <c r="I17" i="13"/>
  <c r="I18" i="13" s="1"/>
  <c r="H17" i="13"/>
  <c r="H18" i="13" s="1"/>
  <c r="G17" i="13"/>
  <c r="G18" i="13" s="1"/>
  <c r="F13" i="13"/>
  <c r="E13" i="13"/>
  <c r="D13" i="13"/>
  <c r="C13" i="13"/>
  <c r="J12" i="13"/>
  <c r="I12" i="13"/>
  <c r="H12" i="13"/>
  <c r="G12" i="13"/>
  <c r="J11" i="13"/>
  <c r="I11" i="13"/>
  <c r="H11" i="13"/>
  <c r="G11" i="13"/>
  <c r="J10" i="13"/>
  <c r="I10" i="13"/>
  <c r="H10" i="13"/>
  <c r="G10" i="13"/>
  <c r="J9" i="13"/>
  <c r="I9" i="13"/>
  <c r="I13" i="13" s="1"/>
  <c r="H9" i="13"/>
  <c r="H13" i="13" s="1"/>
  <c r="G9" i="13"/>
  <c r="G13" i="13" s="1"/>
  <c r="A3" i="13"/>
  <c r="A2" i="13"/>
  <c r="K25" i="16" l="1"/>
  <c r="L25" i="16"/>
  <c r="L29" i="16" s="1"/>
  <c r="L34" i="16" s="1"/>
  <c r="M17" i="18"/>
  <c r="J13" i="13"/>
  <c r="H10" i="19"/>
  <c r="H14" i="19" s="1"/>
  <c r="I10" i="19"/>
  <c r="I14" i="19" s="1"/>
  <c r="I37" i="19" s="1"/>
  <c r="I43" i="19" s="1"/>
  <c r="I29" i="16"/>
  <c r="I34" i="16" s="1"/>
  <c r="I27" i="16"/>
  <c r="M24" i="16"/>
  <c r="M25" i="16" s="1"/>
  <c r="M27" i="16" s="1"/>
  <c r="J25" i="16"/>
  <c r="O9" i="15"/>
  <c r="O22" i="15" s="1"/>
  <c r="M28" i="14"/>
  <c r="N23" i="14"/>
  <c r="N27" i="14" s="1"/>
  <c r="N28" i="14" s="1"/>
  <c r="I48" i="12" l="1"/>
  <c r="I46" i="12"/>
  <c r="I45" i="12"/>
  <c r="C44" i="12"/>
  <c r="C49" i="12" s="1"/>
  <c r="G40" i="12"/>
  <c r="G42" i="12" s="1"/>
  <c r="F40" i="12"/>
  <c r="F44" i="12" s="1"/>
  <c r="F49" i="12" s="1"/>
  <c r="E40" i="12"/>
  <c r="D40" i="12"/>
  <c r="D42" i="12" s="1"/>
  <c r="C40" i="12"/>
  <c r="B40" i="12"/>
  <c r="A39" i="12"/>
  <c r="I38" i="12"/>
  <c r="A38" i="12"/>
  <c r="A37" i="12"/>
  <c r="I36" i="12"/>
  <c r="A36" i="12"/>
  <c r="A35" i="12"/>
  <c r="A34" i="12"/>
  <c r="I33" i="12"/>
  <c r="A33" i="12"/>
  <c r="A32" i="12"/>
  <c r="A31" i="12"/>
  <c r="L26" i="12"/>
  <c r="L25" i="12"/>
  <c r="I47" i="12" s="1"/>
  <c r="I22" i="12"/>
  <c r="I27" i="12" s="1"/>
  <c r="C22" i="12"/>
  <c r="C27" i="12" s="1"/>
  <c r="L21" i="12"/>
  <c r="I43" i="12" s="1"/>
  <c r="G20" i="12"/>
  <c r="M19" i="12"/>
  <c r="J41" i="12" s="1"/>
  <c r="J18" i="12"/>
  <c r="J20" i="12" s="1"/>
  <c r="I18" i="12"/>
  <c r="H18" i="12"/>
  <c r="G18" i="12"/>
  <c r="F18" i="12"/>
  <c r="F22" i="12" s="1"/>
  <c r="E18" i="12"/>
  <c r="D18" i="12"/>
  <c r="D20" i="12" s="1"/>
  <c r="C18" i="12"/>
  <c r="B18" i="12"/>
  <c r="M17" i="12"/>
  <c r="J39" i="12" s="1"/>
  <c r="L17" i="12"/>
  <c r="I39" i="12" s="1"/>
  <c r="K17" i="12"/>
  <c r="H39" i="12" s="1"/>
  <c r="M16" i="12"/>
  <c r="J38" i="12" s="1"/>
  <c r="L16" i="12"/>
  <c r="K16" i="12"/>
  <c r="H38" i="12" s="1"/>
  <c r="M15" i="12"/>
  <c r="J37" i="12" s="1"/>
  <c r="L15" i="12"/>
  <c r="I37" i="12" s="1"/>
  <c r="K15" i="12"/>
  <c r="H37" i="12" s="1"/>
  <c r="M14" i="12"/>
  <c r="J36" i="12" s="1"/>
  <c r="L14" i="12"/>
  <c r="K14" i="12"/>
  <c r="H36" i="12" s="1"/>
  <c r="M13" i="12"/>
  <c r="J35" i="12" s="1"/>
  <c r="L13" i="12"/>
  <c r="K13" i="12"/>
  <c r="M12" i="12"/>
  <c r="J34" i="12" s="1"/>
  <c r="L12" i="12"/>
  <c r="K12" i="12"/>
  <c r="M11" i="12"/>
  <c r="J33" i="12" s="1"/>
  <c r="L11" i="12"/>
  <c r="K11" i="12"/>
  <c r="M10" i="12"/>
  <c r="J32" i="12" s="1"/>
  <c r="L10" i="12"/>
  <c r="K10" i="12"/>
  <c r="M9" i="12"/>
  <c r="J31" i="12" s="1"/>
  <c r="L9" i="12"/>
  <c r="I31" i="12" s="1"/>
  <c r="K9" i="12"/>
  <c r="H31" i="12" s="1"/>
  <c r="A3" i="12"/>
  <c r="A2" i="12"/>
  <c r="F27" i="12" l="1"/>
  <c r="L27" i="12" s="1"/>
  <c r="I49" i="12" s="1"/>
  <c r="L22" i="12"/>
  <c r="I44" i="12" s="1"/>
  <c r="M20" i="12"/>
  <c r="J42" i="12" s="1"/>
  <c r="J40" i="12"/>
  <c r="L18" i="12"/>
  <c r="I32" i="12"/>
  <c r="I40" i="12" s="1"/>
  <c r="I34" i="12"/>
  <c r="I35" i="12"/>
  <c r="K18" i="12"/>
  <c r="M18" i="12"/>
  <c r="H32" i="12"/>
  <c r="H40" i="12" s="1"/>
  <c r="H33" i="12"/>
  <c r="H34" i="12"/>
  <c r="H35" i="12"/>
  <c r="D43" i="11"/>
  <c r="C43" i="11"/>
  <c r="B43" i="11"/>
  <c r="D44" i="11"/>
  <c r="D45" i="11" s="1"/>
  <c r="C40" i="11"/>
  <c r="C44" i="11" s="1"/>
  <c r="B40" i="11"/>
  <c r="B44" i="11" s="1"/>
  <c r="D28" i="11"/>
  <c r="C28" i="11"/>
  <c r="C29" i="11" s="1"/>
  <c r="B28" i="11"/>
  <c r="B29" i="11" s="1"/>
  <c r="D25" i="11"/>
  <c r="D29" i="11" s="1"/>
  <c r="C25" i="11"/>
  <c r="B25" i="11"/>
  <c r="D19" i="11"/>
  <c r="C19" i="11"/>
  <c r="C30" i="11" s="1"/>
  <c r="C45" i="11" s="1"/>
  <c r="B19" i="11"/>
  <c r="B30" i="11" s="1"/>
  <c r="D14" i="11"/>
  <c r="C14" i="11"/>
  <c r="B14" i="11"/>
  <c r="C47" i="11" l="1"/>
  <c r="C48" i="11"/>
  <c r="B45" i="11"/>
  <c r="D30" i="11"/>
  <c r="D48" i="11" l="1"/>
  <c r="D47" i="11"/>
  <c r="B48" i="11"/>
  <c r="B47" i="11"/>
  <c r="G24" i="10" l="1"/>
  <c r="G20" i="10"/>
  <c r="E13" i="8" l="1"/>
  <c r="E9" i="8"/>
  <c r="E10" i="8"/>
  <c r="D9" i="8"/>
  <c r="D10" i="8"/>
  <c r="J25" i="9" l="1"/>
  <c r="J24" i="9"/>
  <c r="G15" i="3" l="1"/>
  <c r="F15" i="3"/>
  <c r="E15" i="3"/>
  <c r="N16" i="4" l="1"/>
  <c r="N15" i="4"/>
  <c r="N11" i="4"/>
  <c r="O9" i="4"/>
  <c r="G10" i="4"/>
  <c r="F10" i="4"/>
  <c r="F12" i="4" s="1"/>
  <c r="F17" i="4" s="1"/>
  <c r="E10" i="4"/>
  <c r="L18" i="5" l="1"/>
  <c r="L17" i="5"/>
  <c r="L13" i="5"/>
  <c r="N9" i="4" l="1"/>
  <c r="A23" i="2" l="1"/>
  <c r="B14" i="10" l="1"/>
  <c r="K9" i="2"/>
  <c r="H23" i="2" s="1"/>
  <c r="B10" i="2"/>
  <c r="B31" i="1"/>
  <c r="B32" i="1" s="1"/>
  <c r="D27" i="1"/>
  <c r="D15" i="1"/>
  <c r="D28" i="1" l="1"/>
  <c r="M11" i="5"/>
  <c r="M9" i="4"/>
  <c r="M11" i="2" l="1"/>
  <c r="J25" i="2" s="1"/>
  <c r="I25" i="7" l="1"/>
  <c r="I24" i="7"/>
  <c r="I23" i="7"/>
  <c r="I22" i="7"/>
  <c r="I21" i="7"/>
  <c r="I20" i="7"/>
  <c r="I19" i="7"/>
  <c r="I18" i="7"/>
  <c r="I17" i="7"/>
  <c r="I16" i="7"/>
  <c r="I15" i="7"/>
  <c r="I14" i="7"/>
  <c r="I13" i="7"/>
  <c r="I12" i="7"/>
  <c r="I11" i="7"/>
  <c r="I9" i="7"/>
  <c r="L22" i="9" l="1"/>
  <c r="K22" i="9"/>
  <c r="L21" i="9"/>
  <c r="K21" i="9"/>
  <c r="L20" i="9"/>
  <c r="K20" i="9"/>
  <c r="L19" i="9"/>
  <c r="K19" i="9"/>
  <c r="L18" i="9"/>
  <c r="K18" i="9"/>
  <c r="L17" i="9"/>
  <c r="K17" i="9"/>
  <c r="L16" i="9"/>
  <c r="K16" i="9"/>
  <c r="L15" i="9"/>
  <c r="K15" i="9"/>
  <c r="L14" i="9"/>
  <c r="K14" i="9"/>
  <c r="L13" i="9"/>
  <c r="K13" i="9"/>
  <c r="L12" i="9"/>
  <c r="K12" i="9"/>
  <c r="L11" i="9"/>
  <c r="K11" i="9"/>
  <c r="L10" i="9"/>
  <c r="K10" i="9"/>
  <c r="J23" i="9"/>
  <c r="I23" i="9"/>
  <c r="H23" i="9"/>
  <c r="G23" i="9"/>
  <c r="F23" i="9"/>
  <c r="E23" i="9"/>
  <c r="L9" i="9"/>
  <c r="K9" i="9"/>
  <c r="C11" i="8"/>
  <c r="E11" i="8" s="1"/>
  <c r="B11" i="8"/>
  <c r="D11" i="8" s="1"/>
  <c r="L23" i="9" l="1"/>
  <c r="K23" i="9"/>
  <c r="D12" i="8"/>
  <c r="D14" i="8" s="1"/>
  <c r="D15" i="8" s="1"/>
  <c r="C12" i="8"/>
  <c r="E14" i="8" l="1"/>
  <c r="E15" i="8" s="1"/>
  <c r="E12" i="8"/>
  <c r="C15" i="8"/>
  <c r="B14" i="8"/>
  <c r="I39" i="10"/>
  <c r="I40" i="10"/>
  <c r="I42" i="10"/>
  <c r="I38" i="10"/>
  <c r="B15" i="8" l="1"/>
  <c r="I36" i="10"/>
  <c r="I35" i="10"/>
  <c r="I34" i="10"/>
  <c r="I33" i="10"/>
  <c r="I32" i="10"/>
  <c r="I31" i="10"/>
  <c r="I30" i="10"/>
  <c r="I29" i="10"/>
  <c r="I28" i="10"/>
  <c r="I27" i="10"/>
  <c r="I26" i="10"/>
  <c r="I25" i="10"/>
  <c r="I24" i="10"/>
  <c r="I23" i="10"/>
  <c r="I22" i="10"/>
  <c r="I21" i="10"/>
  <c r="I20" i="10"/>
  <c r="I19" i="10"/>
  <c r="I18" i="10"/>
  <c r="I17" i="10"/>
  <c r="I16" i="10"/>
  <c r="I13" i="10"/>
  <c r="H13" i="10"/>
  <c r="I12" i="10"/>
  <c r="H12" i="10"/>
  <c r="I11" i="10"/>
  <c r="H11" i="10"/>
  <c r="I9" i="10"/>
  <c r="H9" i="10"/>
  <c r="C14" i="10"/>
  <c r="C37" i="10" s="1"/>
  <c r="C43" i="10" s="1"/>
  <c r="B43" i="10"/>
  <c r="I8" i="10"/>
  <c r="H8" i="10"/>
  <c r="J26" i="7"/>
  <c r="H26" i="7"/>
  <c r="G26" i="7"/>
  <c r="F26" i="7"/>
  <c r="E26" i="7"/>
  <c r="D26" i="7"/>
  <c r="C26" i="7"/>
  <c r="B26" i="7"/>
  <c r="F43" i="10" l="1"/>
  <c r="F14" i="10"/>
  <c r="G14" i="10"/>
  <c r="G37" i="10" s="1"/>
  <c r="G43" i="10" s="1"/>
  <c r="D43" i="10"/>
  <c r="D14" i="10"/>
  <c r="E14" i="10"/>
  <c r="E37" i="10" s="1"/>
  <c r="E43" i="10" s="1"/>
  <c r="I26" i="7"/>
  <c r="I10" i="10"/>
  <c r="I14" i="10" s="1"/>
  <c r="H10" i="10"/>
  <c r="H43" i="10" s="1"/>
  <c r="I37" i="10" l="1"/>
  <c r="I43" i="10" s="1"/>
  <c r="H14" i="10"/>
  <c r="J19" i="6" l="1"/>
  <c r="I19" i="6"/>
  <c r="H19" i="6"/>
  <c r="G19" i="6"/>
  <c r="F19" i="6"/>
  <c r="E19" i="6"/>
  <c r="D19" i="6"/>
  <c r="C19" i="6"/>
  <c r="B19" i="6"/>
  <c r="M18" i="6"/>
  <c r="L18" i="6"/>
  <c r="K18" i="6"/>
  <c r="M13" i="6"/>
  <c r="M9" i="6"/>
  <c r="L9" i="6"/>
  <c r="J14" i="6"/>
  <c r="I14" i="6"/>
  <c r="H14" i="6"/>
  <c r="G14" i="6"/>
  <c r="F14" i="6"/>
  <c r="E14" i="6"/>
  <c r="D14" i="6"/>
  <c r="C14" i="6"/>
  <c r="B14" i="6"/>
  <c r="J10" i="5"/>
  <c r="I10" i="5"/>
  <c r="I14" i="5" s="1"/>
  <c r="H10" i="5"/>
  <c r="G10" i="5"/>
  <c r="G14" i="5" s="1"/>
  <c r="G19" i="5" s="1"/>
  <c r="F10" i="5"/>
  <c r="E10" i="5"/>
  <c r="D10" i="5"/>
  <c r="D12" i="5" s="1"/>
  <c r="C10" i="5"/>
  <c r="C14" i="5" s="1"/>
  <c r="C19" i="5" s="1"/>
  <c r="B10" i="5"/>
  <c r="M9" i="5"/>
  <c r="L9" i="5"/>
  <c r="K9" i="5"/>
  <c r="J10" i="4"/>
  <c r="I10" i="4"/>
  <c r="I12" i="4" s="1"/>
  <c r="H10" i="4"/>
  <c r="L10" i="4"/>
  <c r="K10" i="4"/>
  <c r="D10" i="4"/>
  <c r="C10" i="4"/>
  <c r="C12" i="4" s="1"/>
  <c r="C17" i="4" s="1"/>
  <c r="B10" i="4"/>
  <c r="F23" i="3"/>
  <c r="E23" i="3"/>
  <c r="E19" i="3"/>
  <c r="F19" i="3"/>
  <c r="G19" i="3"/>
  <c r="G24" i="3" l="1"/>
  <c r="E24" i="3"/>
  <c r="F24" i="3"/>
  <c r="I17" i="4"/>
  <c r="L10" i="5"/>
  <c r="L14" i="5" s="1"/>
  <c r="L19" i="5" s="1"/>
  <c r="M10" i="5"/>
  <c r="M12" i="5" s="1"/>
  <c r="K10" i="5"/>
  <c r="K19" i="6"/>
  <c r="L19" i="6"/>
  <c r="M19" i="6"/>
  <c r="L14" i="6"/>
  <c r="K14" i="6"/>
  <c r="M14" i="6"/>
  <c r="I19" i="5"/>
  <c r="N10" i="4"/>
  <c r="M10" i="4"/>
  <c r="O10" i="4"/>
  <c r="N12" i="4" l="1"/>
  <c r="N17" i="4" s="1"/>
  <c r="L18" i="2" l="1"/>
  <c r="I32" i="2" s="1"/>
  <c r="L17" i="2"/>
  <c r="I31" i="2" s="1"/>
  <c r="L13" i="2"/>
  <c r="I27" i="2" s="1"/>
  <c r="G24" i="2"/>
  <c r="G26" i="2" s="1"/>
  <c r="F24" i="2"/>
  <c r="F28" i="2" s="1"/>
  <c r="F33" i="2" s="1"/>
  <c r="E24" i="2"/>
  <c r="D24" i="2"/>
  <c r="D26" i="2" s="1"/>
  <c r="C24" i="2"/>
  <c r="C28" i="2" s="1"/>
  <c r="C33" i="2" s="1"/>
  <c r="B24" i="2"/>
  <c r="J10" i="2"/>
  <c r="J12" i="2" s="1"/>
  <c r="I10" i="2"/>
  <c r="I14" i="2" s="1"/>
  <c r="I19" i="2" s="1"/>
  <c r="H10" i="2"/>
  <c r="G10" i="2"/>
  <c r="G12" i="2" s="1"/>
  <c r="F10" i="2"/>
  <c r="F14" i="2" s="1"/>
  <c r="E10" i="2"/>
  <c r="D10" i="2"/>
  <c r="D12" i="2" s="1"/>
  <c r="C10" i="2"/>
  <c r="C14" i="2" s="1"/>
  <c r="C19" i="2" s="1"/>
  <c r="M9" i="2"/>
  <c r="J23" i="2" s="1"/>
  <c r="L9" i="2"/>
  <c r="I23" i="2" s="1"/>
  <c r="D31" i="1"/>
  <c r="D32" i="1" s="1"/>
  <c r="C31" i="1"/>
  <c r="C32" i="1" s="1"/>
  <c r="C26" i="1"/>
  <c r="C27" i="1" s="1"/>
  <c r="B26" i="1"/>
  <c r="B27" i="1" s="1"/>
  <c r="B10" i="1"/>
  <c r="D10" i="1"/>
  <c r="M12" i="2" l="1"/>
  <c r="J26" i="2" s="1"/>
  <c r="K10" i="2"/>
  <c r="L10" i="2"/>
  <c r="M10" i="2"/>
  <c r="J24" i="2"/>
  <c r="F19" i="2"/>
  <c r="L19" i="2" s="1"/>
  <c r="I33" i="2" s="1"/>
  <c r="L14" i="2"/>
  <c r="I28" i="2" s="1"/>
  <c r="I24" i="2"/>
  <c r="H24" i="2"/>
  <c r="C28" i="1"/>
  <c r="B28" i="1"/>
  <c r="B33" i="1" s="1"/>
  <c r="D33" i="1" l="1"/>
  <c r="B36" i="1"/>
  <c r="B35" i="1"/>
  <c r="C33" i="1"/>
  <c r="D35" i="1" l="1"/>
  <c r="D36" i="1"/>
  <c r="C36" i="1"/>
  <c r="C35" i="1"/>
</calcChain>
</file>

<file path=xl/comments1.xml><?xml version="1.0" encoding="utf-8"?>
<comments xmlns="http://schemas.openxmlformats.org/spreadsheetml/2006/main">
  <authors>
    <author>Nyesha Newton</author>
  </authors>
  <commentList>
    <comment ref="A38" authorId="0">
      <text>
        <r>
          <rPr>
            <b/>
            <sz val="8"/>
            <color indexed="81"/>
            <rFont val="Tahoma"/>
            <family val="2"/>
          </rPr>
          <t>Nyesha Newton:</t>
        </r>
        <r>
          <rPr>
            <sz val="8"/>
            <color indexed="81"/>
            <rFont val="Tahoma"/>
            <family val="2"/>
          </rPr>
          <t xml:space="preserve">
As of 4/2011, OJJDP will administer the CEV program as opposed to BJA.</t>
        </r>
      </text>
    </comment>
    <comment ref="A159" authorId="0">
      <text>
        <r>
          <rPr>
            <b/>
            <sz val="8"/>
            <color indexed="81"/>
            <rFont val="Tahoma"/>
            <family val="2"/>
          </rPr>
          <t>Nyesha Newton: 5/13/2010--</t>
        </r>
        <r>
          <rPr>
            <sz val="8"/>
            <color indexed="81"/>
            <rFont val="Tahoma"/>
            <family val="2"/>
          </rPr>
          <t xml:space="preserve">
While BJA is the primary owner, NIJ owns the carve-out/transfer to NIST.</t>
        </r>
      </text>
    </comment>
  </commentList>
</comments>
</file>

<file path=xl/sharedStrings.xml><?xml version="1.0" encoding="utf-8"?>
<sst xmlns="http://schemas.openxmlformats.org/spreadsheetml/2006/main" count="4919" uniqueCount="672">
  <si>
    <t>Summary of Requirements</t>
  </si>
  <si>
    <t>(Dollars in Thousands)</t>
  </si>
  <si>
    <t>FY 2014 Request</t>
  </si>
  <si>
    <t>Direct Pos.</t>
  </si>
  <si>
    <t>Amount</t>
  </si>
  <si>
    <t>2012 Balance Rescission (if applicable)</t>
  </si>
  <si>
    <t>2013 Balance Rescission (if applicable)</t>
  </si>
  <si>
    <t>2012 Enacted</t>
  </si>
  <si>
    <t>2013 Continuing Resolution</t>
  </si>
  <si>
    <t>Transfers:</t>
  </si>
  <si>
    <t>Pay and Benefits</t>
  </si>
  <si>
    <t>Domestic Rent and Facilities</t>
  </si>
  <si>
    <t>Other Adjustments</t>
  </si>
  <si>
    <t>2014 Current Services</t>
  </si>
  <si>
    <t>Program Changes</t>
  </si>
  <si>
    <t>Increases: [list all]</t>
  </si>
  <si>
    <t>Subtotal, Increases</t>
  </si>
  <si>
    <t>Total Program Changes</t>
  </si>
  <si>
    <t>2014 Total Request</t>
  </si>
  <si>
    <t>2013 - 2014 Total Change</t>
  </si>
  <si>
    <t>end of line</t>
  </si>
  <si>
    <t>end of sheet</t>
  </si>
  <si>
    <t>2014 Increases</t>
  </si>
  <si>
    <t>2014 Offsets</t>
  </si>
  <si>
    <t>2014 Request</t>
  </si>
  <si>
    <t>Total</t>
  </si>
  <si>
    <t>Reimbursable FTE</t>
  </si>
  <si>
    <t>Other FTE:</t>
  </si>
  <si>
    <t>LEAP</t>
  </si>
  <si>
    <t>Overtime</t>
  </si>
  <si>
    <t>Direct FTE</t>
  </si>
  <si>
    <t>Program Increases</t>
  </si>
  <si>
    <t>Program Offsets</t>
  </si>
  <si>
    <t>2012 Appropriation Enacted with Balance Rescissions</t>
  </si>
  <si>
    <t>25.6 Medical Care</t>
  </si>
  <si>
    <t xml:space="preserve"> </t>
  </si>
  <si>
    <t>Subtotal, Pay and Benefits</t>
  </si>
  <si>
    <t>Subtotal, Domestic Rent and Facilities</t>
  </si>
  <si>
    <t>Subtotal, Other Adjustments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</si>
  <si>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</si>
  <si>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</si>
  <si>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</si>
  <si>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</si>
  <si>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</si>
  <si>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</si>
  <si>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</si>
  <si>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</si>
  <si>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</si>
  <si>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</si>
  <si>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</si>
  <si>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</si>
  <si>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</si>
  <si>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</si>
  <si>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</si>
  <si>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</si>
  <si>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</si>
  <si>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</si>
  <si>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</si>
  <si>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</si>
  <si>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</si>
  <si>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</si>
  <si>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</si>
  <si>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Supply Services (2000-2099)</t>
  </si>
  <si>
    <t>Motor Vehicle Operations (5703)</t>
  </si>
  <si>
    <t>Information Technology Mgmt  (2210)</t>
  </si>
  <si>
    <t>Total Direct Pos.</t>
  </si>
  <si>
    <t>Total Reimb. Pos.</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</si>
  <si>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</si>
  <si>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</si>
  <si>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</si>
  <si>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</si>
  <si>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</si>
  <si>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</si>
  <si>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</si>
  <si>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</si>
  <si>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</si>
  <si>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</si>
  <si>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</si>
  <si>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</si>
  <si>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</si>
  <si>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</si>
  <si>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</si>
  <si>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</si>
  <si>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</si>
  <si>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</si>
  <si>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</si>
  <si>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</si>
  <si>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</si>
  <si>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</si>
  <si>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</si>
  <si>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</si>
  <si>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</si>
  <si>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</si>
  <si>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</si>
  <si>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Total Direct Requirements</t>
  </si>
  <si>
    <t>Full-Time Permanent</t>
  </si>
  <si>
    <t>23.1 Rental Payments to GSA (Reimbursable)</t>
  </si>
  <si>
    <t>25.3 Other Goods and Services from Federal Sources - DHS Security (Reimbursable)</t>
  </si>
  <si>
    <t>Financial Analysis of Program Changes</t>
  </si>
  <si>
    <t>Grades</t>
  </si>
  <si>
    <t>GS-15</t>
  </si>
  <si>
    <t>GS-14</t>
  </si>
  <si>
    <t>GS-13</t>
  </si>
  <si>
    <t>GS-12</t>
  </si>
  <si>
    <t>GS-11</t>
  </si>
  <si>
    <t>GS-10</t>
  </si>
  <si>
    <t>GS-9</t>
  </si>
  <si>
    <t>GS-8</t>
  </si>
  <si>
    <t>GS-7</t>
  </si>
  <si>
    <t>GS-6</t>
  </si>
  <si>
    <t>GS-5</t>
  </si>
  <si>
    <t>Total Positions and Annual Amount</t>
  </si>
  <si>
    <t>Total FTEs and Personnel Compensation</t>
  </si>
  <si>
    <t>Grades and Salary Ranges</t>
  </si>
  <si>
    <t xml:space="preserve">EX </t>
  </si>
  <si>
    <t>GS-4</t>
  </si>
  <si>
    <t>-</t>
  </si>
  <si>
    <t>Total, Appropriated Positions</t>
  </si>
  <si>
    <t>Average SES Salary</t>
  </si>
  <si>
    <t>Average GS Salary</t>
  </si>
  <si>
    <t>Average GS Grade</t>
  </si>
  <si>
    <t>Base Adjustments</t>
  </si>
  <si>
    <t>Total 2013 Continuing Resolution (with Balance Rescission and Supplemental)</t>
  </si>
  <si>
    <t>Total Base Adjustments</t>
  </si>
  <si>
    <t>Total Technical and Base Adjustments</t>
  </si>
  <si>
    <t>2014 Total Request (with Balance Rescission)</t>
  </si>
  <si>
    <t xml:space="preserve">2012 Appropriation Enacted </t>
  </si>
  <si>
    <t>Estimate FTE</t>
  </si>
  <si>
    <t>Actual FTE</t>
  </si>
  <si>
    <t>Estim. FTE</t>
  </si>
  <si>
    <t>Balance Rescission</t>
  </si>
  <si>
    <t>Total Direct</t>
  </si>
  <si>
    <t>Total Direct and Reimb. FTE</t>
  </si>
  <si>
    <t>Grand Total, FTE</t>
  </si>
  <si>
    <t>Program Activity</t>
  </si>
  <si>
    <t>Justifications for Technical and Base Adjustments</t>
  </si>
  <si>
    <t>TOTAL DIRECT TECHNICAL and BASE ADJUSTMENTS</t>
  </si>
  <si>
    <t>2013 Supplemental Appropriation -  Sandy Hurricane Relief</t>
  </si>
  <si>
    <t>Supplemental Appropriation</t>
  </si>
  <si>
    <t>Recoveries/Refunds</t>
  </si>
  <si>
    <t>Obligations by Program Activity</t>
  </si>
  <si>
    <t>Summary of Requirements by Grade</t>
  </si>
  <si>
    <t>SES/SL</t>
  </si>
  <si>
    <t>2014 Balance Rescission [if applicable]</t>
  </si>
  <si>
    <t>FY 2013 Continuing Resolution</t>
  </si>
  <si>
    <t>Total Program Change Requests</t>
  </si>
  <si>
    <t>11.5 Other Personnel Compensation</t>
  </si>
  <si>
    <t>22.0 Transportation of Things</t>
  </si>
  <si>
    <t>Budgetary Resources</t>
  </si>
  <si>
    <t>Est. FTE</t>
  </si>
  <si>
    <t>Total Direct with Rescission</t>
  </si>
  <si>
    <t>Carryover:</t>
  </si>
  <si>
    <t>Recoveries/Refunds:</t>
  </si>
  <si>
    <r>
      <t>2012 Enacted</t>
    </r>
    <r>
      <rPr>
        <b/>
        <vertAlign val="superscript"/>
        <sz val="11"/>
        <color theme="1"/>
        <rFont val="Arial"/>
        <family val="2"/>
      </rPr>
      <t xml:space="preserve"> 1/</t>
    </r>
  </si>
  <si>
    <r>
      <t>Total 2012 Enacted (with Balance Rescission)</t>
    </r>
    <r>
      <rPr>
        <b/>
        <vertAlign val="superscript"/>
        <sz val="11"/>
        <color theme="1"/>
        <rFont val="Arial"/>
        <family val="2"/>
      </rPr>
      <t xml:space="preserve"> 1/</t>
    </r>
  </si>
  <si>
    <t>2014 Technical and Base Adjustments</t>
  </si>
  <si>
    <t>2013 CR 0.612% Increase</t>
  </si>
  <si>
    <t>Collections by Source</t>
  </si>
  <si>
    <t>2013 Planned</t>
  </si>
  <si>
    <t>2012 Appropriation Enacted w/o Balance Rescission</t>
  </si>
  <si>
    <t>Office of Justice Programs</t>
  </si>
  <si>
    <t>2014 Pay Raise 1.7%</t>
  </si>
  <si>
    <t>Annualization of 2013 Pay Raise</t>
  </si>
  <si>
    <t>Retirement</t>
  </si>
  <si>
    <t>Health Insurance Premiums</t>
  </si>
  <si>
    <t>Employees Compensation Fund</t>
  </si>
  <si>
    <t>Rental Payments to GSA</t>
  </si>
  <si>
    <t>Guard Service</t>
  </si>
  <si>
    <t>Working Capital Fund ATB</t>
  </si>
  <si>
    <t>Salaries and Expenses/Management and Administration</t>
  </si>
  <si>
    <r>
      <t>Health Insurance:</t>
    </r>
    <r>
      <rPr>
        <sz val="9"/>
        <color theme="1"/>
        <rFont val="Arial"/>
        <family val="2"/>
      </rPr>
      <t xml:space="preserve">
There is no increase for health insurance. The amount is $92K decrease.</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</si>
  <si>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$72Kis necessary to meet our increased retirement obligations as a result of this conversion.</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</si>
  <si>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decrease of $35K is required to meet these commitments.</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</si>
  <si>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$996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</si>
  <si>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rPr>
        <u/>
        <sz val="9"/>
        <color theme="1"/>
        <rFont val="Arial"/>
        <family val="2"/>
      </rPr>
      <t>Employee Compensation Fund:</t>
    </r>
    <r>
      <rPr>
        <sz val="9"/>
        <color theme="1"/>
        <rFont val="Arial"/>
        <family val="2"/>
      </rPr>
      <t xml:space="preserve">
The $42K decrease request reflects anticipated changes in payments to the Department of Labor for injury benefits under the Federal Employee Compensation Act.</t>
    </r>
  </si>
  <si>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$2K is required for this account.</t>
    </r>
  </si>
  <si>
    <t>Social Scientist, Economic, and Kindred (100-199)</t>
  </si>
  <si>
    <t>Engineering and Architecture (800-899)</t>
  </si>
  <si>
    <t>Physical Sciences (1300-1399)</t>
  </si>
  <si>
    <t>Mathematics and Statistics (1500-1599)</t>
  </si>
  <si>
    <t xml:space="preserve">Personnel and Resources for OJP Operations </t>
  </si>
  <si>
    <t>Executive Office of President</t>
  </si>
  <si>
    <t>Department of Homeland Security</t>
  </si>
  <si>
    <t>Department of Health and Human Services</t>
  </si>
  <si>
    <t>Department of Defense</t>
  </si>
  <si>
    <t>Research, Evaluation, and Statistics</t>
  </si>
  <si>
    <t>Transfer from State and Local Law Enforcement Assistance for RESS 2% set-aside</t>
  </si>
  <si>
    <t>Transfer from Juvenile Justice Programs for RESS 2% set-aside</t>
  </si>
  <si>
    <t>Transfer to NIST for research, testing, and evaluation programs.</t>
  </si>
  <si>
    <t>Transfer to BOP for Federal inmate research and evaluation purposes</t>
  </si>
  <si>
    <r>
      <t>Total 2012 Enacted (with Balance Rescission)</t>
    </r>
    <r>
      <rPr>
        <b/>
        <vertAlign val="superscript"/>
        <sz val="11"/>
        <color theme="1"/>
        <rFont val="Arial"/>
        <family val="2"/>
      </rPr>
      <t xml:space="preserve"> </t>
    </r>
  </si>
  <si>
    <t>Technical Adjustments</t>
  </si>
  <si>
    <t>Supplemental Adjustment - Sandy Hurricane Relief</t>
  </si>
  <si>
    <t>Adjustment - 2013 CR 0.612%</t>
  </si>
  <si>
    <t>Restoration of FY 2013 Rescission</t>
  </si>
  <si>
    <t>Total Technical Adjustments</t>
  </si>
  <si>
    <t xml:space="preserve">Increases: </t>
  </si>
  <si>
    <t>Criminal Justice Statistics Program</t>
  </si>
  <si>
    <t>Research, Development, and Evaluation Programs</t>
  </si>
  <si>
    <t>CrimeSolutions.gov (Evaluation Clearinghouse/What Works Repository)</t>
  </si>
  <si>
    <t>Forensic Science</t>
  </si>
  <si>
    <t>Transfer to NIST</t>
  </si>
  <si>
    <t>Transfer to NSF</t>
  </si>
  <si>
    <t xml:space="preserve">Offsets: </t>
  </si>
  <si>
    <t>Regional Information Sharing System</t>
  </si>
  <si>
    <t>Subtotal, Offsets</t>
  </si>
  <si>
    <t>Note: The FTE for FY 2012 is actual and for FY 2013 and FY 2014 are estimates.</t>
  </si>
  <si>
    <t>2013 Continuing Resolution*</t>
  </si>
  <si>
    <t>National Crime Victimization Survey (NCVS)</t>
  </si>
  <si>
    <t>Redesign of the NCVS</t>
  </si>
  <si>
    <t>Redesign and Development of Data Collection Programs for Indian Country</t>
  </si>
  <si>
    <t>Regional Information Sharing System (RISS)</t>
  </si>
  <si>
    <t>Transfer-NIST/OLES</t>
  </si>
  <si>
    <t>*The 2013 Continuing Resolution includes the 0.612% funding provided by the Continuing Appropriations Resolution, 2013 (P.L. 112-175, Section 101(c)).</t>
  </si>
  <si>
    <t>Total Program Offsets</t>
  </si>
  <si>
    <t>Agt./
Atty.</t>
  </si>
  <si>
    <t>Total Offsets</t>
  </si>
  <si>
    <t>Location of Description by Program Activity</t>
  </si>
  <si>
    <t>Total Program Increases</t>
  </si>
  <si>
    <t>Total Increases</t>
  </si>
  <si>
    <t>FY 2014 Program Increases/Offsets by Decision Unit</t>
  </si>
  <si>
    <t>Resources by Department of Justice Strategic Goal/Objective</t>
  </si>
  <si>
    <t>Strategic Goal and Strategic Objective</t>
  </si>
  <si>
    <t>2012 Appropriation Enacted</t>
  </si>
  <si>
    <t>Direct/
Reimb FTE</t>
  </si>
  <si>
    <t>Direct Amount</t>
  </si>
  <si>
    <t>Goal 1</t>
  </si>
  <si>
    <t xml:space="preserve">Prevent Terrorism and Promote the Nation's Security Consistent with the Rule of Law
</t>
  </si>
  <si>
    <t>Prevent, disrupt, and defeat terrorist operations before they occur.</t>
  </si>
  <si>
    <t>Prosecute those involved in terrorist acts.</t>
  </si>
  <si>
    <t>Combat espionage against the United States.</t>
  </si>
  <si>
    <t>Subtotal, Goal 1</t>
  </si>
  <si>
    <t>Goal 2</t>
  </si>
  <si>
    <t>Prevent Crime, Protect the Rights of the American People, and enforce Federal Law</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</si>
  <si>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</si>
  <si>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</si>
  <si>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</si>
  <si>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</si>
  <si>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</si>
  <si>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Subtotal, Goal 2</t>
  </si>
  <si>
    <t>Goal 3</t>
  </si>
  <si>
    <t>Ensure and Support the Fair, Impartial, Efficient, and Transparent Administration of Justice at the Federal, State, Local, Tribal and International Levels.</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</si>
  <si>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</si>
  <si>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</si>
  <si>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Provide for the safe, secure, humane, and cost-effective confinement of detainees awaiting trial and/or sentencing, and those of the custody of the Federal Prison System.</t>
  </si>
  <si>
    <t>Adjudicate all immigration cases promptly and impartially in accordance with due process.</t>
  </si>
  <si>
    <t>Subtotal, Goal 3</t>
  </si>
  <si>
    <t>TOTAL</t>
  </si>
  <si>
    <r>
      <t>Note</t>
    </r>
    <r>
      <rPr>
        <b/>
        <sz val="11"/>
        <color theme="1"/>
        <rFont val="Arial"/>
        <family val="2"/>
      </rPr>
      <t>:</t>
    </r>
    <r>
      <rPr>
        <sz val="11"/>
        <color theme="1"/>
        <rFont val="Arial"/>
        <family val="2"/>
      </rPr>
      <t xml:space="preserve"> Excludes Balance Rescission and/or Supplemental Appropriations.</t>
    </r>
  </si>
  <si>
    <t>*The 2013 Continuing Resolution includes the 0.612% funding provided by the Continuing Appropriations Resolution, 2013 (P.L. 112-175, Section 101 (c)).</t>
  </si>
  <si>
    <t>Management and Administration</t>
  </si>
  <si>
    <t>Domestic Terrorism Technology Development Program</t>
  </si>
  <si>
    <t>DNA and Forensics</t>
  </si>
  <si>
    <t>Gun Violence Prosecution Program</t>
  </si>
  <si>
    <t>Other Programs ($100K or less)</t>
  </si>
  <si>
    <t>Transfers consist of RESS 2% set-aside and transfers to NIST and BOP.</t>
  </si>
  <si>
    <t>$264K is direct carryover as of September 30, 2012.</t>
  </si>
  <si>
    <t>$4.323M for recoveries/refunds as of September 30, 2012.</t>
  </si>
  <si>
    <t>Enacted Rescission: $4.4M unobligated balance rescission as required by P.L. 112-55.</t>
  </si>
  <si>
    <t>RESS set-aside</t>
  </si>
  <si>
    <t>Missing and Exploited Children</t>
  </si>
  <si>
    <t>Victim Notification System</t>
  </si>
  <si>
    <t>Transfer to NIST.</t>
  </si>
  <si>
    <t>$5.667M is direct carryover as of January 2013.</t>
  </si>
  <si>
    <t>Department of Justice</t>
  </si>
  <si>
    <t>Criminal Justice Statistics</t>
  </si>
  <si>
    <t xml:space="preserve">Research, Evaluation, and Statistics </t>
  </si>
  <si>
    <t>Research, Evaluation, and Statistics (Reimbursable Funds)</t>
  </si>
  <si>
    <t>Increase</t>
  </si>
  <si>
    <t>Offsets</t>
  </si>
  <si>
    <t>41.0 Grants, subsidies, and contributions</t>
  </si>
  <si>
    <t>*The 2013 Availability includes the 0.612% funding provided by the Continuing Appropriations Resolution, 2013 (P.L. 112-175, Section 101 (c)).</t>
  </si>
  <si>
    <t>State and Local Law Enforcement Assistance</t>
  </si>
  <si>
    <t>Byrne Criminal Justice Innovation Program</t>
  </si>
  <si>
    <t>Criminal Justice Reform and Recidivism Reduction (Justice Reinvestment Initiative)</t>
  </si>
  <si>
    <t>Economic, High-Technology, and Cybercrime Prevention Program/Intellectual Property Enforcement</t>
  </si>
  <si>
    <t>Children Exposed to Violence</t>
  </si>
  <si>
    <t>Hawaii Opportunity Probation with Enforcement (HOPE)</t>
  </si>
  <si>
    <t>National Criminal Records History Improvement Program (NCHIP)</t>
  </si>
  <si>
    <t>Byrne Justice Assistance Grants</t>
  </si>
  <si>
    <t>Problem Solving Justice</t>
  </si>
  <si>
    <t>Residential Substance Abuse Treatment for State Prisoners</t>
  </si>
  <si>
    <t>Second Chance Act</t>
  </si>
  <si>
    <t>Byrne Incentive Grants</t>
  </si>
  <si>
    <t>Offsets:</t>
  </si>
  <si>
    <t>Capital Litigation Improvement Grant Program</t>
  </si>
  <si>
    <t>DNA Related and Forensic Programs and Activities</t>
  </si>
  <si>
    <t>Prison Rape Prevention and Prosecution Program</t>
  </si>
  <si>
    <t>Border Initiatives</t>
  </si>
  <si>
    <t>Bulletproof Vests Partnership</t>
  </si>
  <si>
    <t xml:space="preserve">     NIST Transfer</t>
  </si>
  <si>
    <t>Byrne Competitive Grants</t>
  </si>
  <si>
    <t xml:space="preserve">     Comprehensive Criminal Justice Reform and Recidivism Reduction</t>
  </si>
  <si>
    <t xml:space="preserve">     State and Local Antiterrorism Training (SLATT)</t>
  </si>
  <si>
    <t xml:space="preserve">     Research on Domestic Radicalization</t>
  </si>
  <si>
    <t xml:space="preserve">     State and Local Assistance Help Desk and Diagnostic Center (E2I)</t>
  </si>
  <si>
    <t xml:space="preserve">     VALOR Initiative</t>
  </si>
  <si>
    <t xml:space="preserve">     Smart Policing</t>
  </si>
  <si>
    <t xml:space="preserve">     Smart Prosecution</t>
  </si>
  <si>
    <t>Presidential Nominating  Conventions</t>
  </si>
  <si>
    <t>Court Appointed Special Advocate Program</t>
  </si>
  <si>
    <t>Criminal Justice Reform and Recidivism Reduction</t>
  </si>
  <si>
    <t xml:space="preserve">     DNA Backlog</t>
  </si>
  <si>
    <t xml:space="preserve">     Post-Conviction DNA Testing</t>
  </si>
  <si>
    <t xml:space="preserve">     Sexual Assault Nurse Examiners</t>
  </si>
  <si>
    <t xml:space="preserve">     Sexual Assault Kit Backlog Reduction</t>
  </si>
  <si>
    <t>Drug Court Program</t>
  </si>
  <si>
    <t>Economic, High-tech, Cybercrime Prevention</t>
  </si>
  <si>
    <t xml:space="preserve">     Intellectual Property Enforcement Program</t>
  </si>
  <si>
    <t>Implementation of Adam Walsh Act</t>
  </si>
  <si>
    <t>Indian Country Initiatives</t>
  </si>
  <si>
    <t>John R. Justice Loan Repayment Grant Program</t>
  </si>
  <si>
    <t>Mentally Ill Offender Act Program</t>
  </si>
  <si>
    <t>Missing Alzheimer's Patient Alert Program</t>
  </si>
  <si>
    <t>National Instant Criminal Background Check System (NICS)</t>
  </si>
  <si>
    <t>National Sex Offender Public Website</t>
  </si>
  <si>
    <t>Paul Coverdell Grants</t>
  </si>
  <si>
    <t>Prescription Drug Monitoring Program</t>
  </si>
  <si>
    <t>Problem Solving Courts/Problem Solving Justice</t>
  </si>
  <si>
    <t>Project Hawaii Opportunity Probation with Enforcement (HOPE)</t>
  </si>
  <si>
    <t>Residential Substance Abuse Treatment</t>
  </si>
  <si>
    <t>Second Chance Act/Offender Re-entry</t>
  </si>
  <si>
    <t xml:space="preserve">     Children of Incarcerated Parents Demonstration Grants</t>
  </si>
  <si>
    <t xml:space="preserve">     Pay for Success (discretionary)</t>
  </si>
  <si>
    <t xml:space="preserve">     Pay for Success (Permanent Housing Model)</t>
  </si>
  <si>
    <t xml:space="preserve">     Performance Partnership on Interagency Reentry</t>
  </si>
  <si>
    <t xml:space="preserve">     Smart Probation</t>
  </si>
  <si>
    <t>Smart Prosecution Initiative</t>
  </si>
  <si>
    <t>S&amp;L Gun Crime Prosecution Assistance/Violent Gang and Gun Crime Reduction</t>
  </si>
  <si>
    <t>Victims of Trafficking</t>
  </si>
  <si>
    <t>Presidential Nominating Conventions</t>
  </si>
  <si>
    <t>DNA Related and  Forensic Programs and Activities</t>
  </si>
  <si>
    <t>Second Chance Act/Offender Reentry</t>
  </si>
  <si>
    <t>Smart Policing Initiative</t>
  </si>
  <si>
    <t>State Criminal Alien Assistance Program (SCAAP)</t>
  </si>
  <si>
    <t>Program Eliminations</t>
  </si>
  <si>
    <t>Increases/Offsets</t>
  </si>
  <si>
    <t>Project Hawaii Opportunity Probation with Enforcement</t>
  </si>
  <si>
    <t>National Criminal History Improvement Program</t>
  </si>
  <si>
    <t>Economic High-Tech, Cybercrime Prevention</t>
  </si>
  <si>
    <t>Prison Rape and Prevention and Prosecution Program</t>
  </si>
  <si>
    <r>
      <t>Program Eliminations</t>
    </r>
    <r>
      <rPr>
        <vertAlign val="superscript"/>
        <sz val="11"/>
        <color theme="1"/>
        <rFont val="Arial"/>
        <family val="2"/>
      </rPr>
      <t>/1</t>
    </r>
  </si>
  <si>
    <t>Name of Budget Account</t>
  </si>
  <si>
    <t>Salaries and Expenses</t>
  </si>
  <si>
    <t>Rescission Undistributed</t>
  </si>
  <si>
    <t>Transfer from ONDCP</t>
  </si>
  <si>
    <t>Other Programs</t>
  </si>
  <si>
    <t>Southwest Border</t>
  </si>
  <si>
    <t>NIJ Research and Evaluation on Violence Against Women</t>
  </si>
  <si>
    <t>Violent Offender Initiative /Truth in Sentencing</t>
  </si>
  <si>
    <t>STOP Grants/Rural Domestic Violence &amp; Child Abuse Enforcement-OVW</t>
  </si>
  <si>
    <t>STOP Grants/Earmarks for VAWA Research -OVW</t>
  </si>
  <si>
    <t>STOP Grants/Law Enforcement and Prosecution-OVW</t>
  </si>
  <si>
    <t>Safe Havens for Children-OVW</t>
  </si>
  <si>
    <t>JAIBG Formula</t>
  </si>
  <si>
    <t>Byrne Formula Grants</t>
  </si>
  <si>
    <t>Byrne Improvement Discretionary</t>
  </si>
  <si>
    <t>VAWA II National Stalker and Domestic Violence Reduction Program</t>
  </si>
  <si>
    <t xml:space="preserve">     Reentry Courts (State, Local, and Tribal)</t>
  </si>
  <si>
    <t xml:space="preserve">     Offender Reentry Substance Abuse and Criminal Justice Collaboration</t>
  </si>
  <si>
    <t xml:space="preserve">     Prisoner Reentry Research</t>
  </si>
  <si>
    <t xml:space="preserve">     Mentoring Grants</t>
  </si>
  <si>
    <t xml:space="preserve">     Evaluation and Improvement of Education at Prisons, Jails, and Juvenile Facilities</t>
  </si>
  <si>
    <t xml:space="preserve">     Adult and Juvenile Offender State and Local Reentry Demonstration</t>
  </si>
  <si>
    <t xml:space="preserve">     Indian Alcohol and Substance Abuse Program</t>
  </si>
  <si>
    <t>Economic, High-Tech, Cybercrime Prevention</t>
  </si>
  <si>
    <t xml:space="preserve">     Post-Conviction  DNA Testing</t>
  </si>
  <si>
    <t>Child Abuse Training Programs for Judicial Personnel and Practitioners</t>
  </si>
  <si>
    <t xml:space="preserve">     JFAA/Wrongful Conviction Review</t>
  </si>
  <si>
    <t>Byrne  Criminal Justice Innovation Program</t>
  </si>
  <si>
    <t>State and Local Enforcement Assistance</t>
  </si>
  <si>
    <t>Office of Justice Program</t>
  </si>
  <si>
    <t>NIST Transfers</t>
  </si>
  <si>
    <t>OVW Undistributed</t>
  </si>
  <si>
    <t>National Offender Reentry</t>
  </si>
  <si>
    <t>Violence Against Women in Indian Country</t>
  </si>
  <si>
    <t>NIJ Research and Evaluation Violence Against Women</t>
  </si>
  <si>
    <t>STOP Earmark for Violence Against Women Research Agenda</t>
  </si>
  <si>
    <t>Truth in Sentencing</t>
  </si>
  <si>
    <t>Technology Career Training Demonstration Grants</t>
  </si>
  <si>
    <t>Violent Offender Incarceration</t>
  </si>
  <si>
    <t>Byrne Improvement Competitive Grants</t>
  </si>
  <si>
    <t>Byrne S&amp;L Justice Improvement Discretionary Grants</t>
  </si>
  <si>
    <t>Adult and Juvenile Offender S&amp;L Reentry Demonstration</t>
  </si>
  <si>
    <t>Youth Mentoring</t>
  </si>
  <si>
    <t>National Stalker and Domestic Violence Reduction Program</t>
  </si>
  <si>
    <t>Safe Havens for Children</t>
  </si>
  <si>
    <t>Southwest  Border</t>
  </si>
  <si>
    <t>Court Appointed Special Advocate</t>
  </si>
  <si>
    <t>Central Intelligence Agency</t>
  </si>
  <si>
    <t>Department of Housing and Urban Development</t>
  </si>
  <si>
    <t>Byrne Discretionary Grants</t>
  </si>
  <si>
    <t>410.0 Grants, Subsidies, and Contributions</t>
  </si>
  <si>
    <t xml:space="preserve">State and Local Law Enforcement </t>
  </si>
  <si>
    <r>
      <t>Program Eliminations</t>
    </r>
    <r>
      <rPr>
        <b/>
        <vertAlign val="superscript"/>
        <sz val="11"/>
        <color theme="1"/>
        <rFont val="Arial"/>
        <family val="2"/>
      </rPr>
      <t>/1</t>
    </r>
  </si>
  <si>
    <t>Juvenile Justice Programs</t>
  </si>
  <si>
    <r>
      <t>2012 Enacted</t>
    </r>
    <r>
      <rPr>
        <b/>
        <vertAlign val="superscript"/>
        <sz val="11"/>
        <color theme="1"/>
        <rFont val="Arial"/>
        <family val="2"/>
      </rPr>
      <t xml:space="preserve"> </t>
    </r>
  </si>
  <si>
    <t>Transfers to Research, Evaluation, and Statistics for RES 2% set-aside</t>
  </si>
  <si>
    <t>Children of Incarcerated Parents Web Portal</t>
  </si>
  <si>
    <t>Community-Based Violence Prevention Initiative</t>
  </si>
  <si>
    <t>Juvenile Justice Realignment Incentive Grants</t>
  </si>
  <si>
    <t>National Forum on Youth Violence Prevention</t>
  </si>
  <si>
    <t>Part B: Formula Grants</t>
  </si>
  <si>
    <t>Delinquency Prevention Program (commonly referred to as Title V: Incentive Grants)</t>
  </si>
  <si>
    <t>VOCA - Improving Investigation and Prosecution of Child Abuse Program</t>
  </si>
  <si>
    <t>Competitive Grants for Girls in the Juvenile Justice System</t>
  </si>
  <si>
    <t>Juvenile Accountability Block Grant (JABG) Program</t>
  </si>
  <si>
    <t>Enforcing Underage Drinking Laws</t>
  </si>
  <si>
    <t>Gang Prevention/Education</t>
  </si>
  <si>
    <t>Tribal Youth Program</t>
  </si>
  <si>
    <t>VOCA-Improving Investigation and Prosecution of Child Abuse Program</t>
  </si>
  <si>
    <t>JABG Research, Evaluation, and Demonstration Program</t>
  </si>
  <si>
    <t>Part E: Dev., Testing and Demonstrating Promising New Initiatives and Programs</t>
  </si>
  <si>
    <t>Part C: Institute</t>
  </si>
  <si>
    <t>Part D: Research Evaluation Technical Assistance and Training</t>
  </si>
  <si>
    <t>Transfers are the 2% RESS set-aside</t>
  </si>
  <si>
    <t>$5.381M is direct carryover as of September 30, 2012.</t>
  </si>
  <si>
    <t>$6.7M is for recoveries as of September 30, 2012.</t>
  </si>
  <si>
    <t>Enacted Rescissions: $9.7M unobligated balance rescission as required by P.L. 112-55.</t>
  </si>
  <si>
    <t>Offset</t>
  </si>
  <si>
    <t>2013 Availability*</t>
  </si>
  <si>
    <t>Public Safety Officers' Benefits</t>
  </si>
  <si>
    <t>Public Safety Officers' Death Benefits</t>
  </si>
  <si>
    <t>PSOB Death Benefits</t>
  </si>
  <si>
    <t>PSOB Disability and Education Benefits</t>
  </si>
  <si>
    <t>N/A</t>
  </si>
  <si>
    <t>PSOB Death</t>
  </si>
  <si>
    <t>PSOB Education &amp; Disability</t>
  </si>
  <si>
    <t>Public Safety Officers' Death Benefit Program</t>
  </si>
  <si>
    <t>42.0 Claims</t>
  </si>
  <si>
    <t>Crime Victims Fund</t>
  </si>
  <si>
    <t>Crime Victims Fund Increase in Obligation Limitation</t>
  </si>
  <si>
    <t>*The FY 2013 Continuing Resolution includes the 0.612% provided by the Continuing Appropriations Resolution, 2013 (P.L. 112-175, Section 101(c)).</t>
  </si>
  <si>
    <t>Increase
Crime Victims Fund
Obligation Limitation</t>
  </si>
  <si>
    <t>Restoration of Rescission</t>
  </si>
  <si>
    <t xml:space="preserve">  GS-12</t>
  </si>
  <si>
    <t xml:space="preserve">  GS-13</t>
  </si>
  <si>
    <t xml:space="preserve">  Lapse (-)</t>
  </si>
  <si>
    <t xml:space="preserve"> 11.5 Other Personnel Compensation</t>
  </si>
  <si>
    <r>
      <t xml:space="preserve">2014 Pay Raise:
</t>
    </r>
    <r>
      <rPr>
        <sz val="9"/>
        <color theme="1"/>
        <rFont val="Arial"/>
        <family val="2"/>
      </rPr>
      <t>This request provides for a proposed 1 percent pay raise to be effective in January of 2014.  The increase only includes the general pay raise.  The amount request, $623, represents the pay amounts for 3/4 of the fiscal year plus appropriate benefits ($449  for pay and $174  for benefits.)</t>
    </r>
  </si>
  <si>
    <r>
      <t>Annualization of 2013 pay raise</t>
    </r>
    <r>
      <rPr>
        <sz val="9"/>
        <color theme="1"/>
        <rFont val="Arial"/>
        <family val="2"/>
      </rPr>
      <t xml:space="preserve">: This pay annualization represents 2013 annualization of pay raise increase of 0.5 percent included in the 2013 President's Budget. The amount requested $84K, represents the pay amounts for 1/4 of the fiscal year plus appropriate benefits ($60K for pay and $24K for benefits).
</t>
    </r>
    <r>
      <rPr>
        <sz val="9"/>
        <color theme="1"/>
        <rFont val="Arial"/>
        <family val="2"/>
      </rPr>
      <t xml:space="preserve">
</t>
    </r>
  </si>
  <si>
    <t>Protect the federal fisc and defend the interests of the US.</t>
  </si>
  <si>
    <t xml:space="preserve">     Presidential Nominating Conventions</t>
  </si>
  <si>
    <t>Northern Border Prosecutor Initiative</t>
  </si>
  <si>
    <t>STOP/Law Enforcement &amp; Prosecution(Formula)-OVW</t>
  </si>
  <si>
    <t>Reprogramming/Transfers:</t>
  </si>
  <si>
    <t>$2.55M is direct carryover as of September 30, 2012.</t>
  </si>
  <si>
    <t>$350K for recoveries/refunds as of September 30, 2012.</t>
  </si>
  <si>
    <t>Enacted Rescission: $38.0M unobligated balance rescission as required by P.L. 112-55.</t>
  </si>
  <si>
    <t>Reprogramming/
Transfers</t>
  </si>
  <si>
    <t>*The 2013 Continuing Resolution includes the 0.612% funding provided by the Continuing Resolution, 2013 (P.L. 112-175, Section 101 c ).</t>
  </si>
  <si>
    <t>FY 2013 Continuing Resolution*</t>
  </si>
  <si>
    <t>$4.328M is direct carryover as of September 30, 2012.</t>
  </si>
  <si>
    <t>$0.413M is for recoveries as of September 30, 2012.</t>
  </si>
  <si>
    <t>$12.847M is direct carryover as of January 2013.</t>
  </si>
  <si>
    <t>$0.107M for direct recoveries/refunds as of January 2013.</t>
  </si>
  <si>
    <t>$2.592M is direct carryover as of January 2013.</t>
  </si>
  <si>
    <t>Enacted Rescission: $13K unobligated balance rescission as required by P.L. 112-55.</t>
  </si>
  <si>
    <t>Enacted Rescissions: $40K unobligated balance rescission as required by P.L. 112-55.</t>
  </si>
  <si>
    <t>$50.0M is direct carryover as of September 30, 2012.</t>
  </si>
  <si>
    <t>$2.751M is for recoveries as of September 30, 2012.</t>
  </si>
  <si>
    <t>$50.0M is direct carryover as of January 2013.</t>
  </si>
  <si>
    <t>Unobligated Balance, Start-of-Year</t>
  </si>
  <si>
    <t>Transfers/Reprogramming</t>
  </si>
  <si>
    <t>Unobligated balance, rescinded</t>
  </si>
  <si>
    <t>Unobligated End-of-Year, Available</t>
  </si>
  <si>
    <r>
      <t>Program Eliminations</t>
    </r>
    <r>
      <rPr>
        <vertAlign val="superscript"/>
        <sz val="11"/>
        <color theme="1"/>
        <rFont val="Arial"/>
        <family val="2"/>
      </rPr>
      <t>2/</t>
    </r>
  </si>
  <si>
    <t>Refund</t>
  </si>
  <si>
    <t>Technical Adjustment-2013 CR 0.612% Increase</t>
  </si>
  <si>
    <t>[2,751]</t>
  </si>
  <si>
    <t xml:space="preserve">2012 Balance Rescission </t>
  </si>
  <si>
    <t xml:space="preserve">2013 Balance Rescission </t>
  </si>
  <si>
    <t>2014 Balance Rescission</t>
  </si>
  <si>
    <t xml:space="preserve">Forensic Science </t>
  </si>
  <si>
    <t>Rescission</t>
  </si>
  <si>
    <t>Forensic Science Advisory Commission</t>
  </si>
  <si>
    <t>Recoveries: $4.0M for direct recoveries/refunds as of January 2013.</t>
  </si>
  <si>
    <t>$9.0M for direct recoveries/refunds as of January 2013.</t>
  </si>
  <si>
    <t>Restore Reserve Fund</t>
  </si>
  <si>
    <t>Technical Adjustment</t>
  </si>
  <si>
    <t>$50.126M  is direct carryover as of September 30, 2012.</t>
  </si>
  <si>
    <t>$24.442M for recoveries and $1.983 for refunds as of September 30, 2012.</t>
  </si>
  <si>
    <t>$22.111M in reprogrammings, transfer to ONDCP in FY 2012.</t>
  </si>
  <si>
    <t>$26.755M is direct carryover as of January 2013.</t>
  </si>
  <si>
    <t>$42.0M for direct recoveries/refunds.</t>
  </si>
  <si>
    <r>
      <t xml:space="preserve">Technical Adjustments:
</t>
    </r>
    <r>
      <rPr>
        <sz val="9"/>
        <color theme="1"/>
        <rFont val="Arial"/>
        <family val="2"/>
      </rPr>
      <t>The technical adjustment pertains to the 0.612% for the CR.</t>
    </r>
  </si>
  <si>
    <t>2/The program eliminations consist of the following: Border Initiatives ($10M); Bulletproof Vests ($24M); Court Appointed Special Advocate ($4.5M);</t>
  </si>
  <si>
    <t>Drug Courts ($35M); Indian Country Initiatives ($38M); John R. Justice ($4M); Mentally Ill Offender Act ($9M); Missing Alzheimer's Patient Alert ($1M); Paul Coverdell ($12M);</t>
  </si>
  <si>
    <t>State Criminal Alien Assistance Program ($240M); and Presidential Nominating Conventions ($100M).</t>
  </si>
  <si>
    <r>
      <t>/1</t>
    </r>
    <r>
      <rPr>
        <sz val="11"/>
        <color theme="1"/>
        <rFont val="Arial"/>
        <family val="2"/>
      </rPr>
      <t>The program eliminations line consists of the following: Border Initiatives ($10M); Bulletproof Vests ($24M); Court Appointed Special Advocate ($4.5M); Drug Courts ($35M); Indian Country Initiatives ($38M); John R. Justice ($4M); Mentally Ill Offender Act ($9M); Missing Alzheimer's Patient Alert ($1M); Paul Coverdell ($12M); State Criminal Alien Assistance Program ($240M) and Presidential Nominating Conventions ($100M).</t>
    </r>
  </si>
  <si>
    <r>
      <rPr>
        <vertAlign val="superscript"/>
        <sz val="11"/>
        <color theme="1"/>
        <rFont val="Arial"/>
        <family val="2"/>
      </rPr>
      <t>/1</t>
    </r>
    <r>
      <rPr>
        <sz val="11"/>
        <color theme="1"/>
        <rFont val="Arial"/>
        <family val="2"/>
      </rPr>
      <t>The program eliminations line consists of the following: Border Initiatives ($10M); Bulletproof Vests ($24M); Court Appointed Special Advocate ($4.5M); Drug Courts ($35M); Indian Country Initiatives ($38M); John R. Justice ($4M); Mentally Ill Offender Act ($9M); Missing Alzheimer's Patient Alert ($1M); Paul Coverdell ($12M); State Criminal Alien Assistance Program ($240M) and Presidential Nominating Conventions ($100M).</t>
    </r>
  </si>
  <si>
    <t>M.  Status of Congressionally Requested Studies, Reports, and Evaluations</t>
  </si>
  <si>
    <t>Status of Congressionally Requested Studies, Reports, and Evaluations</t>
  </si>
  <si>
    <r>
      <rPr>
        <b/>
        <sz val="12"/>
        <rFont val="Times New Roman"/>
        <family val="1"/>
      </rPr>
      <t xml:space="preserve">1.  Management and Administration Expenses. </t>
    </r>
    <r>
      <rPr>
        <sz val="12"/>
        <rFont val="Times New Roman"/>
        <family val="1"/>
      </rPr>
      <t xml:space="preserve"> During fiscal year 2012, the conferees direct the Department to support management and administration expenses with program funding subject to the submission of details related to planned management and administration expenses, by program, as part of the Department's fiscal year 2012 spending plan. In addition, the spending plan should include planned expenses for training and technical assistance, research and statistics activities, interagency agreements, cooperative agreements and peer review, along with any additional general category of expense other than grants.
</t>
    </r>
    <r>
      <rPr>
        <b/>
        <i/>
        <sz val="12"/>
        <rFont val="Times New Roman"/>
        <family val="1"/>
      </rPr>
      <t/>
    </r>
  </si>
  <si>
    <r>
      <rPr>
        <b/>
        <i/>
        <sz val="12"/>
        <rFont val="Times New Roman"/>
        <family val="1"/>
      </rPr>
      <t xml:space="preserve">Status of Report:  </t>
    </r>
    <r>
      <rPr>
        <i/>
        <sz val="12"/>
        <rFont val="Times New Roman"/>
        <family val="1"/>
      </rPr>
      <t>This report was transmitted to Congress on January 10, 2012.</t>
    </r>
  </si>
  <si>
    <r>
      <rPr>
        <b/>
        <sz val="12"/>
        <rFont val="Times New Roman"/>
        <family val="1"/>
      </rPr>
      <t xml:space="preserve">2.  Management and  Administration Costs.  </t>
    </r>
    <r>
      <rPr>
        <sz val="12"/>
        <rFont val="Times New Roman"/>
        <family val="1"/>
      </rPr>
      <t xml:space="preserve">The Office of Justice Programs (OJP), the Office on Violence Against Women (OVW), and the Office of Community Oriented Policing Services (COPS) are directed to report to the Committees on Appropriations on their formal definitions of management and administration costs or on the detailed guidance that governs decisions about the types of costs that should be considered management and administration costs. 
</t>
    </r>
    <r>
      <rPr>
        <b/>
        <i/>
        <sz val="12"/>
        <rFont val="Times New Roman"/>
        <family val="1"/>
      </rPr>
      <t/>
    </r>
  </si>
  <si>
    <r>
      <rPr>
        <b/>
        <i/>
        <sz val="12"/>
        <rFont val="Times New Roman"/>
        <family val="1"/>
      </rPr>
      <t xml:space="preserve">Status of Report: </t>
    </r>
    <r>
      <rPr>
        <i/>
        <sz val="12"/>
        <rFont val="Times New Roman"/>
        <family val="1"/>
      </rPr>
      <t xml:space="preserve"> This report is under development.</t>
    </r>
  </si>
  <si>
    <r>
      <rPr>
        <b/>
        <sz val="12"/>
        <rFont val="Times New Roman"/>
        <family val="1"/>
      </rPr>
      <t>3.  National Institute of Justice/Bureau of Justice Statistics/Missing and Exploited Children Programs Spend Plans.</t>
    </r>
    <r>
      <rPr>
        <sz val="12"/>
        <rFont val="Times New Roman"/>
        <family val="1"/>
      </rPr>
      <t xml:space="preserve">  The Committee directs the Department to include in the Department's fiscal year 2012 spending plan, a plan for the use of all funding administered by the National Institute of Justice and the Bureau of Justice Statistics, respectively, and a plan for the use of funds provided for missing and exploited children programs. </t>
    </r>
  </si>
  <si>
    <r>
      <rPr>
        <b/>
        <sz val="12"/>
        <rFont val="Times New Roman"/>
        <family val="1"/>
      </rPr>
      <t>4.</t>
    </r>
    <r>
      <rPr>
        <sz val="12"/>
        <rFont val="Times New Roman"/>
        <family val="1"/>
      </rPr>
      <t xml:space="preserve">  </t>
    </r>
    <r>
      <rPr>
        <b/>
        <sz val="12"/>
        <rFont val="Times New Roman"/>
        <family val="1"/>
      </rPr>
      <t xml:space="preserve">Victims of Trafficking.  </t>
    </r>
    <r>
      <rPr>
        <sz val="12"/>
        <rFont val="Times New Roman"/>
        <family val="1"/>
      </rPr>
      <t xml:space="preserve">OJP shall consult with stakeholder groups in determining the overall allocation of Victims of Trafficking funding, including with respect to amounts allocated to assist foreign national victims, and provide to the Committees on Appropriations a plan for the use of these funds as part of the Department's fiscal year 2012 spending plan. 
</t>
    </r>
    <r>
      <rPr>
        <b/>
        <i/>
        <sz val="12"/>
        <rFont val="Times New Roman"/>
        <family val="1"/>
      </rPr>
      <t/>
    </r>
  </si>
  <si>
    <r>
      <rPr>
        <b/>
        <sz val="12"/>
        <rFont val="Times New Roman"/>
        <family val="1"/>
      </rPr>
      <t>5.  Youth Mentoring Grants Report and Spend Plan.</t>
    </r>
    <r>
      <rPr>
        <sz val="12"/>
        <rFont val="Times New Roman"/>
        <family val="1"/>
      </rPr>
      <t xml:space="preserve">  The conferees direct OJP to submit, as part of the Department's spending plan for fiscal year 2012, a report detailing the criteria and methodology that will be used to award youth mentoring grants and a spending plan for  youth mentoring funds. The conferees expect that the Office of Juvenile Justice and Delinquency Prevention (OJJDP) will take all steps necessary to ensure fairness and objectivity in the award of these and future competitive grants. 
</t>
    </r>
    <r>
      <rPr>
        <b/>
        <i/>
        <sz val="12"/>
        <rFont val="Times New Roman"/>
        <family val="1"/>
      </rPr>
      <t/>
    </r>
  </si>
  <si>
    <r>
      <rPr>
        <b/>
        <sz val="12"/>
        <rFont val="Times New Roman"/>
        <family val="1"/>
      </rPr>
      <t xml:space="preserve">6.  Tribal Assistance Funds.  </t>
    </r>
    <r>
      <rPr>
        <sz val="12"/>
        <rFont val="Times New Roman"/>
        <family val="1"/>
      </rPr>
      <t xml:space="preserve">The conferees expect OJP to consult closely with tribal stakeholders in determining how tribal assistance funds will be allocated among grant programs that help improve public safety in tribal communities, such as grants for detention facilities under section 20109 of subtitle A of title II of the Violent Crime Control and Law Enforcement Act of 1994 (Public Law 103-322), civil and criminal legal assistance as authorized by title I of Public Law 106-559, tribal courts, and alcohol and substance abuse reduction assistance programs. The conferees direct OJP to submit, as part of the Department's spending plan for fiscal  year 2012, a plan for the use of these funds that has been informed by such consultation.
</t>
    </r>
    <r>
      <rPr>
        <b/>
        <i/>
        <sz val="12"/>
        <rFont val="Times New Roman"/>
        <family val="1"/>
      </rPr>
      <t/>
    </r>
  </si>
  <si>
    <r>
      <rPr>
        <b/>
        <sz val="12"/>
        <rFont val="Times New Roman"/>
        <family val="1"/>
      </rPr>
      <t>7.</t>
    </r>
    <r>
      <rPr>
        <sz val="12"/>
        <rFont val="Times New Roman"/>
        <family val="1"/>
      </rPr>
      <t xml:space="preserve"> </t>
    </r>
    <r>
      <rPr>
        <b/>
        <sz val="12"/>
        <rFont val="Times New Roman"/>
        <family val="1"/>
      </rPr>
      <t xml:space="preserve">Missing and Exploited Children Spend Plan.  </t>
    </r>
    <r>
      <rPr>
        <sz val="12"/>
        <rFont val="Times New Roman"/>
        <family val="1"/>
      </rPr>
      <t xml:space="preserve">The conference agreement includes $65,000,000 for missing and exploited children programs, including funds for the ICAC task force program, to continue to expand efforts to protect the Nation's children, focusing on the areas of locating missing children, and addressing the growing wave of child sexual exploitation facilitated by the Internet. The conferees direct OJP to provide a spending plan for the use of these funds as part of the Department's spending plan for fiscal year 2012. The conferees OJP addresses the proliferation of Internet crimes against children is through ICAC task forces. 
</t>
    </r>
    <r>
      <rPr>
        <b/>
        <i/>
        <sz val="12"/>
        <rFont val="Times New Roman"/>
        <family val="1"/>
      </rPr>
      <t/>
    </r>
  </si>
  <si>
    <r>
      <rPr>
        <b/>
        <sz val="12"/>
        <rFont val="Times New Roman"/>
        <family val="1"/>
      </rPr>
      <t>8. Sex Offender Location, Arrest and Prosecution.</t>
    </r>
    <r>
      <rPr>
        <sz val="12"/>
        <rFont val="Times New Roman"/>
        <family val="1"/>
      </rPr>
      <t xml:space="preserve">  The Committee recommendation includes $9,000,000 for grants to assist in the location, arrest, and prosecution of child sexual predators, and to enforce sex offender registration laws, including grants for sex offender management assistance and for the National Sex Offender Public Website. The Committee  directs the Department to include, in the Department's fiscal year 2012 spending plan, a plan for the use of all funding appropriated for these purposes.
</t>
    </r>
  </si>
  <si>
    <r>
      <rPr>
        <b/>
        <sz val="12"/>
        <rFont val="Times New Roman"/>
        <family val="1"/>
      </rPr>
      <t>9. Second Chance Act Spend Plan.</t>
    </r>
    <r>
      <rPr>
        <sz val="12"/>
        <rFont val="Times New Roman"/>
        <family val="1"/>
      </rPr>
      <t xml:space="preserve">  The conferees direct the Department to submit, as part of its spending plan for fiscal year 2012 a plan for the allocation of funds appropriated for Second Chance Act programs. 
</t>
    </r>
  </si>
  <si>
    <r>
      <rPr>
        <b/>
        <sz val="12"/>
        <rFont val="Times New Roman"/>
        <family val="1"/>
      </rPr>
      <t>10. DNA Backlog Elimination.</t>
    </r>
    <r>
      <rPr>
        <sz val="12"/>
        <rFont val="Times New Roman"/>
        <family val="1"/>
      </rPr>
      <t xml:space="preserve">  The conferees direct the Department to submit both a spending plan with respect to funds appropriated for DNA‐related programs, and a report on the alignment of appropriated funds with the authorized purposes of the Debbie Smith DNA backlog Grant Program, as part of the Department's spending plan for fiscal year 2012.
</t>
    </r>
  </si>
  <si>
    <r>
      <rPr>
        <b/>
        <sz val="12"/>
        <rFont val="Times New Roman"/>
        <family val="1"/>
      </rPr>
      <t>11. Byrne Competitive Grants Spend Plan.</t>
    </r>
    <r>
      <rPr>
        <sz val="12"/>
        <rFont val="Times New Roman"/>
        <family val="1"/>
      </rPr>
      <t xml:space="preserve">  The Committee's recommendation includes $21,000,000 for competitive, peer-reviewed grants to programs of national significance to prevent crimes, improve the administration of justice or assist victims of crime. Within 60 days of enactment of this act, OJP is directed to provide a report and spend plan to the Committee, which detail the criteria and methodology that will be used to award these grants.
</t>
    </r>
  </si>
  <si>
    <r>
      <rPr>
        <b/>
        <sz val="12"/>
        <rFont val="Times New Roman"/>
        <family val="1"/>
      </rPr>
      <t>12. National Parent Helpline.</t>
    </r>
    <r>
      <rPr>
        <sz val="12"/>
        <rFont val="Times New Roman"/>
        <family val="1"/>
      </rPr>
      <t xml:space="preserve">  The Committee requests that the Department submit a report on the feasibility of establishing a national parent helpline to expand access for families in need of counseling or parental support groups.
</t>
    </r>
  </si>
  <si>
    <r>
      <rPr>
        <b/>
        <i/>
        <sz val="12"/>
        <rFont val="Times New Roman"/>
        <family val="1"/>
      </rPr>
      <t xml:space="preserve">Status of Report:  </t>
    </r>
    <r>
      <rPr>
        <i/>
        <sz val="12"/>
        <rFont val="Times New Roman"/>
        <family val="1"/>
      </rPr>
      <t>This report was transmitted to Congress on December 14, 2012.</t>
    </r>
  </si>
  <si>
    <r>
      <rPr>
        <b/>
        <sz val="12"/>
        <rFont val="Times New Roman"/>
        <family val="1"/>
      </rPr>
      <t>13. Direct Legal Services Representation.</t>
    </r>
    <r>
      <rPr>
        <sz val="12"/>
        <rFont val="Times New Roman"/>
        <family val="1"/>
      </rPr>
      <t xml:space="preserve">  The conference agreement incorporates language in the Senate report that directing the Office for Victims of Crime to submit a report to the Committees on Appropriations within 60 days of notifying States of their Victims of Crime Act victim assistance formula allocation for fiscal year 2012. 
</t>
    </r>
  </si>
  <si>
    <r>
      <rPr>
        <b/>
        <i/>
        <sz val="12"/>
        <rFont val="Times New Roman"/>
        <family val="1"/>
      </rPr>
      <t xml:space="preserve">Status of Report:  </t>
    </r>
    <r>
      <rPr>
        <i/>
        <sz val="12"/>
        <rFont val="Times New Roman"/>
        <family val="1"/>
      </rPr>
      <t>This report is currently in the review/clearance process at the Department.</t>
    </r>
  </si>
  <si>
    <r>
      <rPr>
        <b/>
        <sz val="12"/>
        <rFont val="Times New Roman"/>
        <family val="1"/>
      </rPr>
      <t>14. OJP/COPS/OVW Workload Analysis Staffing Models.</t>
    </r>
    <r>
      <rPr>
        <sz val="12"/>
        <rFont val="Times New Roman"/>
        <family val="1"/>
      </rPr>
      <t xml:space="preserve">  The conferees direct each office to provide a report to the GAO and the Committees on Appropriation not later than 120 days after the enactment of this Act describing its updated staffing  model based on the results of its workload analysis. In addition, the conferees direct GAO to examine each office's staffing model and report to the Committees on Appropriations, not later than 6 months after the date the offices submit their reports, with evaluation of models, and recommendations (as warranted), on how each office's staffing model could be further improved.
</t>
    </r>
  </si>
  <si>
    <r>
      <t xml:space="preserve">Status of Report:  </t>
    </r>
    <r>
      <rPr>
        <i/>
        <sz val="12"/>
        <rFont val="Times New Roman"/>
        <family val="1"/>
      </rPr>
      <t>This report was transmitted to Congress on May 4, 2012.</t>
    </r>
  </si>
  <si>
    <r>
      <rPr>
        <b/>
        <sz val="12"/>
        <rFont val="Times New Roman"/>
        <family val="1"/>
      </rPr>
      <t>15. DNA and Forensic Analysis Grants.</t>
    </r>
    <r>
      <rPr>
        <sz val="12"/>
        <rFont val="Times New Roman"/>
        <family val="1"/>
      </rPr>
      <t xml:space="preserve">  The Committee directs the Department to submit quarterly progress reports on DNA funding distribution beginning 60 days after date of enactment of the accompanying act. Further, if the Department sees the need for the Forensic Science Technology Center of Excellence, it should incorporate these functions into its budget request. 
</t>
    </r>
  </si>
  <si>
    <r>
      <t xml:space="preserve">Status of Report:  </t>
    </r>
    <r>
      <rPr>
        <i/>
        <sz val="12"/>
        <rFont val="Times New Roman"/>
        <family val="1"/>
      </rPr>
      <t>This report is currently in the review/clearance process at the Department.</t>
    </r>
  </si>
  <si>
    <r>
      <rPr>
        <b/>
        <sz val="12"/>
        <rFont val="Times New Roman"/>
        <family val="1"/>
      </rPr>
      <t>16. Training, Technical Assistance, Research and Statistics and Peer Review.</t>
    </r>
    <r>
      <rPr>
        <sz val="12"/>
        <rFont val="Times New Roman"/>
        <family val="1"/>
      </rPr>
      <t xml:space="preserve">  As part of the budget submission for future fiscal years, the Department is directed to detail the actual costs for each grant office in each of these categories for the prior fiscal year, along with estimates of planned expenditures by each grant office in each of these categories for the current year and the budget year.
</t>
    </r>
  </si>
  <si>
    <t>Administered by</t>
  </si>
  <si>
    <t>FY 2012 Enacted 
(P.L. 112-55)</t>
  </si>
  <si>
    <t>FY 2013 C.R.
with .612%</t>
  </si>
  <si>
    <t>FY 2014 
President's Budget
Request</t>
  </si>
  <si>
    <t>FY 2014 Pres Bud vs. 
FY 2012 Enacted</t>
  </si>
  <si>
    <t>BJS</t>
  </si>
  <si>
    <t>Criminal Justice Statistics Programs</t>
  </si>
  <si>
    <t>National Crime Victimization Survey</t>
  </si>
  <si>
    <t>BJA</t>
  </si>
  <si>
    <t xml:space="preserve">Regional Information Sharing System (RISS) </t>
  </si>
  <si>
    <t>NIJ</t>
  </si>
  <si>
    <t>Transfer - NIST/OLES</t>
  </si>
  <si>
    <r>
      <t>Forensic Science</t>
    </r>
    <r>
      <rPr>
        <i/>
        <sz val="12"/>
        <rFont val="Times New Roman"/>
        <family val="1"/>
      </rPr>
      <t xml:space="preserve"> (new program)</t>
    </r>
  </si>
  <si>
    <r>
      <t xml:space="preserve">National Commission on Forensic Science  </t>
    </r>
    <r>
      <rPr>
        <i/>
        <sz val="12"/>
        <rFont val="Times New Roman"/>
        <family val="1"/>
      </rPr>
      <t>(new program)</t>
    </r>
  </si>
  <si>
    <t>Transfer - NIST</t>
  </si>
  <si>
    <t>Transfer - NSF</t>
  </si>
  <si>
    <r>
      <t xml:space="preserve">CrimeSolutions.gov (Evaluation Clearinghouse/What Works Repository) </t>
    </r>
    <r>
      <rPr>
        <vertAlign val="superscript"/>
        <sz val="12"/>
        <color theme="0"/>
        <rFont val="Times New Roman"/>
        <family val="1"/>
      </rPr>
      <t>14</t>
    </r>
  </si>
  <si>
    <r>
      <t xml:space="preserve">Subtotal, RES </t>
    </r>
    <r>
      <rPr>
        <b/>
        <vertAlign val="superscript"/>
        <sz val="12"/>
        <color theme="0"/>
        <rFont val="Times New Roman"/>
        <family val="1"/>
      </rPr>
      <t>7/</t>
    </r>
  </si>
  <si>
    <t>NIST Transfer</t>
  </si>
  <si>
    <r>
      <t xml:space="preserve">Byrne Justice Assistance Grants (JAG) </t>
    </r>
    <r>
      <rPr>
        <vertAlign val="superscript"/>
        <sz val="12"/>
        <rFont val="Times New Roman"/>
        <family val="1"/>
      </rPr>
      <t>2/</t>
    </r>
  </si>
  <si>
    <t>State and Local Antiterrorism Training (SLATT)</t>
  </si>
  <si>
    <t>Research on Domestic Radicalization</t>
  </si>
  <si>
    <t>State and Local Assistance Help Desk and Diagnostic Center (E2l)</t>
  </si>
  <si>
    <t>VALOR Initiative</t>
  </si>
  <si>
    <t>Smart Policing</t>
  </si>
  <si>
    <r>
      <t xml:space="preserve">Smart Prosecution </t>
    </r>
    <r>
      <rPr>
        <i/>
        <sz val="12"/>
        <rFont val="Times New Roman"/>
        <family val="1"/>
      </rPr>
      <t>(new program)</t>
    </r>
  </si>
  <si>
    <r>
      <t>Voter Education on Puerto Rico Plebiscite</t>
    </r>
    <r>
      <rPr>
        <i/>
        <sz val="12"/>
        <rFont val="Times New Roman"/>
        <family val="1"/>
      </rPr>
      <t xml:space="preserve"> (new program)</t>
    </r>
  </si>
  <si>
    <r>
      <t xml:space="preserve">Presidential Nominating Conventions </t>
    </r>
    <r>
      <rPr>
        <vertAlign val="superscript"/>
        <sz val="12"/>
        <rFont val="Times New Roman"/>
        <family val="1"/>
      </rPr>
      <t>2/</t>
    </r>
  </si>
  <si>
    <r>
      <t>Byrne Incentive Grants</t>
    </r>
    <r>
      <rPr>
        <i/>
        <sz val="12"/>
        <rFont val="Times New Roman"/>
        <family val="1"/>
      </rPr>
      <t xml:space="preserve"> (new program)</t>
    </r>
  </si>
  <si>
    <r>
      <t xml:space="preserve">Byrne Evidence-Based Incentive Grants </t>
    </r>
    <r>
      <rPr>
        <i/>
        <sz val="12"/>
        <rFont val="Times New Roman"/>
        <family val="1"/>
      </rPr>
      <t>(new program)</t>
    </r>
  </si>
  <si>
    <r>
      <t xml:space="preserve">Byrne System Realignment Incentive Grants </t>
    </r>
    <r>
      <rPr>
        <i/>
        <sz val="12"/>
        <rFont val="Times New Roman"/>
        <family val="1"/>
      </rPr>
      <t>(new program)</t>
    </r>
  </si>
  <si>
    <t>OJJDP</t>
  </si>
  <si>
    <r>
      <t xml:space="preserve">Court Appointed Special Advocate Program </t>
    </r>
    <r>
      <rPr>
        <vertAlign val="superscript"/>
        <sz val="12"/>
        <color theme="0"/>
        <rFont val="Times New Roman"/>
        <family val="1"/>
      </rPr>
      <t>2/</t>
    </r>
  </si>
  <si>
    <r>
      <t>Defending Childhood/Children Exposed to Violence</t>
    </r>
    <r>
      <rPr>
        <vertAlign val="superscript"/>
        <sz val="12"/>
        <color theme="0"/>
        <rFont val="Times New Roman"/>
        <family val="1"/>
      </rPr>
      <t>6/</t>
    </r>
  </si>
  <si>
    <r>
      <t xml:space="preserve">DNA Related and Forensic Programs and Activities </t>
    </r>
    <r>
      <rPr>
        <vertAlign val="superscript"/>
        <sz val="12"/>
        <color theme="0"/>
        <rFont val="Times New Roman"/>
        <family val="1"/>
      </rPr>
      <t>10/</t>
    </r>
  </si>
  <si>
    <t>DNA Backlog</t>
  </si>
  <si>
    <t>Post-Conviction DNA Testing</t>
  </si>
  <si>
    <t>Sexual Assault Nurse Examiners</t>
  </si>
  <si>
    <t>Sexual Assault Kit Backlog Reduction</t>
  </si>
  <si>
    <t xml:space="preserve">Drug Court Program </t>
  </si>
  <si>
    <t>BJA/NIJ</t>
  </si>
  <si>
    <t>Intellectual Property Enforcement Program</t>
  </si>
  <si>
    <t>SMART</t>
  </si>
  <si>
    <r>
      <t xml:space="preserve">Indian Country Initiatives </t>
    </r>
    <r>
      <rPr>
        <vertAlign val="superscript"/>
        <sz val="12"/>
        <color theme="0"/>
        <rFont val="Times New Roman"/>
        <family val="1"/>
      </rPr>
      <t>4/</t>
    </r>
  </si>
  <si>
    <t>Justice Reinvestment (Criminal Justice Reform and Recidivism Reduction)</t>
  </si>
  <si>
    <t xml:space="preserve">Mentally Ill Offender Act Program </t>
  </si>
  <si>
    <r>
      <t>National Criminal Records History Improvement Program (NCHIP)</t>
    </r>
    <r>
      <rPr>
        <vertAlign val="superscript"/>
        <sz val="12"/>
        <rFont val="Times New Roman"/>
        <family val="1"/>
      </rPr>
      <t xml:space="preserve"> </t>
    </r>
    <r>
      <rPr>
        <vertAlign val="superscript"/>
        <sz val="12"/>
        <color theme="0"/>
        <rFont val="Times New Roman"/>
        <family val="1"/>
      </rPr>
      <t xml:space="preserve">3/ </t>
    </r>
  </si>
  <si>
    <t>National Instant Criminal Background Check System (NICS) Grants</t>
  </si>
  <si>
    <t xml:space="preserve">National Sex Offender Public Website </t>
  </si>
  <si>
    <r>
      <t xml:space="preserve">Paul Coverdell Grants </t>
    </r>
    <r>
      <rPr>
        <vertAlign val="superscript"/>
        <sz val="12"/>
        <color theme="0"/>
        <rFont val="Times New Roman"/>
        <family val="1"/>
      </rPr>
      <t>10/</t>
    </r>
  </si>
  <si>
    <t>Problem Solving Courts (Drug, Mental Health, Other) / Problem Solving Justice</t>
  </si>
  <si>
    <r>
      <t xml:space="preserve">Project Hawaii Opportunity Probation with Enforcement (HOPE) </t>
    </r>
    <r>
      <rPr>
        <i/>
        <sz val="12"/>
        <rFont val="Times New Roman"/>
        <family val="1"/>
      </rPr>
      <t>(new program)</t>
    </r>
  </si>
  <si>
    <t>BJA/OJJDP</t>
  </si>
  <si>
    <r>
      <t xml:space="preserve">Second Chance Act/Offender Re-entry </t>
    </r>
    <r>
      <rPr>
        <vertAlign val="superscript"/>
        <sz val="12"/>
        <color theme="0"/>
        <rFont val="Times New Roman"/>
        <family val="1"/>
      </rPr>
      <t xml:space="preserve">3/ </t>
    </r>
  </si>
  <si>
    <r>
      <t xml:space="preserve">Children of Incarcerated Parents Demonstration Grants </t>
    </r>
    <r>
      <rPr>
        <i/>
        <sz val="12"/>
        <rFont val="Times New Roman"/>
        <family val="1"/>
      </rPr>
      <t>(new program)</t>
    </r>
  </si>
  <si>
    <r>
      <t>Pay for Success  (discretionary)</t>
    </r>
    <r>
      <rPr>
        <i/>
        <sz val="12"/>
        <rFont val="Times New Roman"/>
        <family val="1"/>
      </rPr>
      <t xml:space="preserve"> (new program)</t>
    </r>
  </si>
  <si>
    <r>
      <t xml:space="preserve">Pay for Success (Permanent Supportive Housing Model) </t>
    </r>
    <r>
      <rPr>
        <i/>
        <sz val="12"/>
        <rFont val="Times New Roman"/>
        <family val="1"/>
      </rPr>
      <t>(new program)</t>
    </r>
  </si>
  <si>
    <t>Smart Probation</t>
  </si>
  <si>
    <r>
      <t xml:space="preserve">S&amp;L Gun Crime Prosecution Assistance/Violent Gang and Gun Crime Reduction </t>
    </r>
    <r>
      <rPr>
        <vertAlign val="superscript"/>
        <sz val="12"/>
        <color theme="0"/>
        <rFont val="Times New Roman"/>
        <family val="1"/>
      </rPr>
      <t>3/</t>
    </r>
  </si>
  <si>
    <t>BJS/OVC/BJA</t>
  </si>
  <si>
    <r>
      <t>Total, State and Local Law Enforcement Asst</t>
    </r>
    <r>
      <rPr>
        <b/>
        <vertAlign val="superscript"/>
        <sz val="12"/>
        <rFont val="Times New Roman"/>
        <family val="1"/>
      </rPr>
      <t xml:space="preserve"> </t>
    </r>
    <r>
      <rPr>
        <b/>
        <vertAlign val="superscript"/>
        <sz val="12"/>
        <color theme="0"/>
        <rFont val="Times New Roman"/>
        <family val="1"/>
      </rPr>
      <t>7/</t>
    </r>
  </si>
  <si>
    <t>CCDO</t>
  </si>
  <si>
    <t xml:space="preserve">Weed and Seed Program </t>
  </si>
  <si>
    <t xml:space="preserve">Juvenile Justice Programs </t>
  </si>
  <si>
    <t xml:space="preserve">Child Abuse Training Programs for Judicial Personnel and Practitioners </t>
  </si>
  <si>
    <r>
      <t xml:space="preserve">Children Exposed to Violence </t>
    </r>
    <r>
      <rPr>
        <vertAlign val="superscript"/>
        <sz val="12"/>
        <rFont val="Times New Roman"/>
        <family val="1"/>
      </rPr>
      <t>12/</t>
    </r>
  </si>
  <si>
    <r>
      <t>Children of Incarcerated Parents Web Portal</t>
    </r>
    <r>
      <rPr>
        <i/>
        <sz val="12"/>
        <rFont val="Times New Roman"/>
        <family val="1"/>
      </rPr>
      <t xml:space="preserve"> (new program)</t>
    </r>
  </si>
  <si>
    <r>
      <t>Competitive Grant for Girls in the Juvenile Justice System</t>
    </r>
    <r>
      <rPr>
        <i/>
        <sz val="12"/>
        <rFont val="Times New Roman"/>
        <family val="1"/>
      </rPr>
      <t xml:space="preserve"> (new program)</t>
    </r>
  </si>
  <si>
    <t>Disproportionate Minority Contact Evaluation and Pilot Program</t>
  </si>
  <si>
    <t>Delinquency Prevention Program (formerly Title V: Local Delinquency Prevention Incentive Grants)</t>
  </si>
  <si>
    <t>OJJDP/BJA</t>
  </si>
  <si>
    <t>Gang Prevention/Gang and Youth Violence Prevention and Intervention Initiatives</t>
  </si>
  <si>
    <t>Incentive Grants</t>
  </si>
  <si>
    <r>
      <t xml:space="preserve">Juvenile Justice and Education Collaboration Assistance  (JJECA) </t>
    </r>
    <r>
      <rPr>
        <i/>
        <sz val="12"/>
        <rFont val="Times New Roman"/>
        <family val="1"/>
      </rPr>
      <t>(new program)</t>
    </r>
  </si>
  <si>
    <t>TBD</t>
  </si>
  <si>
    <r>
      <t xml:space="preserve">Juvenile Accountability Block Grant (JABG) Program </t>
    </r>
    <r>
      <rPr>
        <vertAlign val="superscript"/>
        <sz val="12"/>
        <color theme="0"/>
        <rFont val="Times New Roman"/>
        <family val="1"/>
      </rPr>
      <t>6/</t>
    </r>
  </si>
  <si>
    <r>
      <t>Juvenile Justice Realignment Incentive Grants</t>
    </r>
    <r>
      <rPr>
        <i/>
        <sz val="12"/>
        <rFont val="Times New Roman"/>
        <family val="1"/>
      </rPr>
      <t xml:space="preserve"> (new program)</t>
    </r>
  </si>
  <si>
    <r>
      <t xml:space="preserve">Missing and Exploited Children </t>
    </r>
    <r>
      <rPr>
        <vertAlign val="superscript"/>
        <sz val="12"/>
        <color theme="0"/>
        <rFont val="Times New Roman"/>
        <family val="1"/>
      </rPr>
      <t>14/</t>
    </r>
  </si>
  <si>
    <t>Internet Crimes Against Children (ICAC)</t>
  </si>
  <si>
    <r>
      <t xml:space="preserve">Part B: Formula Grants </t>
    </r>
    <r>
      <rPr>
        <vertAlign val="superscript"/>
        <sz val="12"/>
        <color theme="0"/>
        <rFont val="Times New Roman"/>
        <family val="1"/>
      </rPr>
      <t>6/</t>
    </r>
  </si>
  <si>
    <t>Part E Dev., Testing and Demonstrating Promising New Initiatives and Programs</t>
  </si>
  <si>
    <t xml:space="preserve">Safe Start Program </t>
  </si>
  <si>
    <t>Regional Children's Advocacy Centers</t>
  </si>
  <si>
    <t>Domestic Radicalization Grants</t>
  </si>
  <si>
    <r>
      <t xml:space="preserve">Subtotal, JJ </t>
    </r>
    <r>
      <rPr>
        <b/>
        <vertAlign val="superscript"/>
        <sz val="12"/>
        <color theme="0"/>
        <rFont val="Times New Roman"/>
        <family val="1"/>
      </rPr>
      <t>7/</t>
    </r>
  </si>
  <si>
    <t>Public Safety Officers Benefits</t>
  </si>
  <si>
    <t>Public Safety Officers Disability Benefit Program</t>
  </si>
  <si>
    <t>Public Safety Officers Education Assistance</t>
  </si>
  <si>
    <t>Subtotal, PSOB Discretionary</t>
  </si>
  <si>
    <r>
      <t>Total, OJP Discretionary</t>
    </r>
    <r>
      <rPr>
        <sz val="12"/>
        <rFont val="Times New Roman"/>
        <family val="1"/>
      </rPr>
      <t xml:space="preserve"> (including CVF Disc. in FY 2013)</t>
    </r>
  </si>
  <si>
    <t>OJP</t>
  </si>
  <si>
    <t xml:space="preserve">New Flexible Tribal Grant - Set Aside </t>
  </si>
  <si>
    <t>Research, Evaluation, and Statistics Set Aside</t>
  </si>
  <si>
    <t>Federal Inmate Research and Evaluation (transfer to BOP)</t>
  </si>
  <si>
    <t xml:space="preserve">Interagency Neighborhood Revitalization Grants (transfer to HUD) </t>
  </si>
  <si>
    <t>NAS Study on Current and Future Crime Data Needs</t>
  </si>
  <si>
    <t>Demonstration Field Experiment - Chicago CeaseFire/CureViolence</t>
  </si>
  <si>
    <t xml:space="preserve">RES - Vision 21 </t>
  </si>
  <si>
    <t>Gun Safety Research</t>
  </si>
  <si>
    <r>
      <t>Public Safety Officers Benefits (Death Mandatory)</t>
    </r>
    <r>
      <rPr>
        <b/>
        <vertAlign val="superscript"/>
        <sz val="12"/>
        <rFont val="Times New Roman"/>
        <family val="1"/>
      </rPr>
      <t>1/</t>
    </r>
    <r>
      <rPr>
        <b/>
        <vertAlign val="superscript"/>
        <sz val="12"/>
        <color theme="0"/>
        <rFont val="Times New Roman"/>
        <family val="1"/>
      </rPr>
      <t>15/</t>
    </r>
  </si>
  <si>
    <t>Supplemental PSOB Funding</t>
  </si>
  <si>
    <t>Subtotal, PSOB Mandatory</t>
  </si>
  <si>
    <t>OVC</t>
  </si>
  <si>
    <r>
      <t xml:space="preserve">Crime Victims Fund* (Mandatory) </t>
    </r>
    <r>
      <rPr>
        <b/>
        <vertAlign val="superscript"/>
        <sz val="12"/>
        <rFont val="Times New Roman"/>
        <family val="1"/>
      </rPr>
      <t>3/</t>
    </r>
    <r>
      <rPr>
        <b/>
        <vertAlign val="superscript"/>
        <sz val="12"/>
        <color theme="0"/>
        <rFont val="Times New Roman"/>
        <family val="1"/>
      </rPr>
      <t>9</t>
    </r>
    <r>
      <rPr>
        <vertAlign val="superscript"/>
        <sz val="12"/>
        <color theme="0"/>
        <rFont val="Times New Roman"/>
        <family val="1"/>
      </rPr>
      <t>/</t>
    </r>
  </si>
  <si>
    <t>CVF Obligations Cap</t>
  </si>
  <si>
    <t>Antiterrorism Emergency Reserve (non-mandatory, non-add)</t>
  </si>
  <si>
    <t>Total Crime Victims Fund (non add)</t>
  </si>
  <si>
    <t>Crime Victims Fund - Vision 21</t>
  </si>
  <si>
    <r>
      <t>Tribal Assistance for Victims of Violence - Vision 21</t>
    </r>
    <r>
      <rPr>
        <i/>
        <sz val="12"/>
        <rFont val="Times New Roman"/>
        <family val="1"/>
      </rPr>
      <t xml:space="preserve"> (new program)</t>
    </r>
  </si>
  <si>
    <t>[25,000]</t>
  </si>
  <si>
    <r>
      <t>Domestic Trafficking Victims Grants</t>
    </r>
    <r>
      <rPr>
        <i/>
        <sz val="12"/>
        <rFont val="Times New Roman"/>
        <family val="1"/>
      </rPr>
      <t xml:space="preserve"> (new program)</t>
    </r>
  </si>
  <si>
    <t>Medical Malpractice Grants to States/RES (Mandatory)</t>
  </si>
  <si>
    <t>Total, OJP Mandatory (PSOB, CVF and Med. Mal.)</t>
  </si>
  <si>
    <t>Total, OJP Discretionary/Mandatory</t>
  </si>
  <si>
    <t xml:space="preserve">Total OJP Programs Funded Under Violence Against Women </t>
  </si>
  <si>
    <t>Total OJP Programs Funded Under COPS</t>
  </si>
  <si>
    <t>Total, Transfers-in/Reimbursements</t>
  </si>
  <si>
    <r>
      <t>OJP, Grand Total</t>
    </r>
    <r>
      <rPr>
        <b/>
        <vertAlign val="superscript"/>
        <sz val="12"/>
        <rFont val="Times New Roman"/>
        <family val="1"/>
      </rPr>
      <t xml:space="preserve"> 8/</t>
    </r>
  </si>
  <si>
    <r>
      <t xml:space="preserve">Rescission (from Unobligated Balances) </t>
    </r>
    <r>
      <rPr>
        <sz val="12"/>
        <color indexed="9"/>
        <rFont val="Times New Roman"/>
        <family val="1"/>
      </rPr>
      <t>*</t>
    </r>
  </si>
  <si>
    <t xml:space="preserve">The following programs are listed for informative/comparative and display purposes.  </t>
  </si>
  <si>
    <t xml:space="preserve">OJP Programs Funded Under Violence Against Women: </t>
  </si>
  <si>
    <r>
      <t xml:space="preserve">Child Abuse Training Programs for Judicial Personnel and Practitioners </t>
    </r>
    <r>
      <rPr>
        <vertAlign val="superscript"/>
        <sz val="12"/>
        <color theme="0"/>
        <rFont val="Times New Roman"/>
        <family val="1"/>
      </rPr>
      <t>2/</t>
    </r>
  </si>
  <si>
    <r>
      <t>Grants for the Closed Circuit Televising of Testimony of Children</t>
    </r>
    <r>
      <rPr>
        <vertAlign val="superscript"/>
        <sz val="12"/>
        <rFont val="Times New Roman"/>
        <family val="1"/>
      </rPr>
      <t xml:space="preserve"> </t>
    </r>
    <r>
      <rPr>
        <vertAlign val="superscript"/>
        <sz val="12"/>
        <color theme="0"/>
        <rFont val="Times New Roman"/>
        <family val="1"/>
      </rPr>
      <t>2/</t>
    </r>
  </si>
  <si>
    <t xml:space="preserve">NIJ Research and Eval Violence Against Women </t>
  </si>
  <si>
    <t xml:space="preserve">Research on Violence Against Women in Indian Country </t>
  </si>
  <si>
    <t>Total, VAW</t>
  </si>
  <si>
    <t xml:space="preserve">OJP Programs Funded Under COPS: </t>
  </si>
  <si>
    <t>Transfer to NIST/OLES</t>
  </si>
  <si>
    <t>COPS</t>
  </si>
  <si>
    <t xml:space="preserve">Child Sexual Predator Elimination </t>
  </si>
  <si>
    <t>Sex Offender Management Assistance (Adam Walsh Act)</t>
  </si>
  <si>
    <r>
      <t>National Criminal Records History Improvement Program</t>
    </r>
    <r>
      <rPr>
        <vertAlign val="superscript"/>
        <sz val="12"/>
        <rFont val="Times New Roman"/>
        <family val="1"/>
      </rPr>
      <t xml:space="preserve"> 3/</t>
    </r>
  </si>
  <si>
    <r>
      <t xml:space="preserve">National Instant Criminal Background Check System (NICS) </t>
    </r>
    <r>
      <rPr>
        <vertAlign val="superscript"/>
        <sz val="12"/>
        <rFont val="Times New Roman"/>
        <family val="1"/>
      </rPr>
      <t>3/</t>
    </r>
  </si>
  <si>
    <r>
      <t xml:space="preserve">Paul Coverdell Grants </t>
    </r>
    <r>
      <rPr>
        <vertAlign val="superscript"/>
        <sz val="12"/>
        <rFont val="Times New Roman"/>
        <family val="1"/>
      </rPr>
      <t>3/</t>
    </r>
  </si>
  <si>
    <r>
      <t xml:space="preserve">S&amp;L Gun Crime Prosecution Assistance/Violent Gang and Gun Crime Reduction </t>
    </r>
    <r>
      <rPr>
        <vertAlign val="superscript"/>
        <sz val="12"/>
        <rFont val="Times New Roman"/>
        <family val="1"/>
      </rPr>
      <t>3/</t>
    </r>
  </si>
  <si>
    <r>
      <t xml:space="preserve">Second Chance Act/Offender Re-entry </t>
    </r>
    <r>
      <rPr>
        <vertAlign val="superscript"/>
        <sz val="12"/>
        <rFont val="Times New Roman"/>
        <family val="1"/>
      </rPr>
      <t xml:space="preserve">3/ </t>
    </r>
  </si>
  <si>
    <t>Adult and Juvenile Offender State and Local Reentry Demonstration</t>
  </si>
  <si>
    <t>Mentoring Grants</t>
  </si>
  <si>
    <r>
      <t xml:space="preserve">Total, COPS </t>
    </r>
    <r>
      <rPr>
        <b/>
        <vertAlign val="superscript"/>
        <sz val="12"/>
        <rFont val="Times New Roman"/>
        <family val="1"/>
      </rPr>
      <t>7/</t>
    </r>
  </si>
  <si>
    <t>Note: The FY 2012 Appropriations Act, as well as the FY 2014 request, reestablishes previous practices allowing OJP to support management and administration expenses with program funding.</t>
  </si>
  <si>
    <t>*In addition to the funding levels provided for the Crime Victims Fund, there is $50 million available for the Antiterrorism Reserve carried over from prior year balances.</t>
  </si>
  <si>
    <r>
      <t xml:space="preserve">1/ </t>
    </r>
    <r>
      <rPr>
        <sz val="11"/>
        <rFont val="Times New Roman"/>
        <family val="1"/>
      </rPr>
      <t xml:space="preserve"> In FYs 2009 and 2010, $21.0 million is provided for the Office of Audit, Assessment and Management (OAAM).</t>
    </r>
  </si>
  <si>
    <r>
      <t xml:space="preserve">2/ </t>
    </r>
    <r>
      <rPr>
        <sz val="11"/>
        <rFont val="Times New Roman"/>
        <family val="1"/>
      </rPr>
      <t xml:space="preserve"> In FYs 2010 and 2011, funding for most of these programs was appropriated to OJP, while the remaining $3.0 million are transferred to OJP.   In FYs 2012 and 2013, OJP is requesting direct funding for these programs. </t>
    </r>
  </si>
  <si>
    <r>
      <t xml:space="preserve">3/ </t>
    </r>
    <r>
      <rPr>
        <sz val="11"/>
        <rFont val="Times New Roman"/>
        <family val="1"/>
      </rPr>
      <t>In FY 2010, funding for most of these programs was appropriated to OJP, while the remaining $203.0 million was transferred to OJP.   In FYs 2012 and 2013, OJP is requesting direct funding for these programs.</t>
    </r>
  </si>
  <si>
    <r>
      <t>6/</t>
    </r>
    <r>
      <rPr>
        <sz val="11"/>
        <rFont val="Times New Roman"/>
        <family val="1"/>
      </rPr>
      <t xml:space="preserve"> Consolidated with Race to the Top-Style Juvenile Incentive System Improvement Grants Program</t>
    </r>
  </si>
  <si>
    <r>
      <t>7/</t>
    </r>
    <r>
      <rPr>
        <sz val="11"/>
        <rFont val="Times New Roman"/>
        <family val="1"/>
      </rPr>
      <t xml:space="preserve"> Due to rounding, some Account Totals for the FY 2011 columns for H.R 1473 may not match the official totals provided on the FY 2011 Full Cycle Table.</t>
    </r>
  </si>
  <si>
    <r>
      <t>8/</t>
    </r>
    <r>
      <rPr>
        <sz val="11"/>
        <rFont val="Times New Roman"/>
        <family val="1"/>
      </rPr>
      <t xml:space="preserve"> Due to rounding, the Grand Totals for the FY 2011 columns for H.R 1473 may not match the official totals provided on the FY 2011 Full Cycle Table.</t>
    </r>
  </si>
  <si>
    <r>
      <rPr>
        <vertAlign val="subscript"/>
        <sz val="11"/>
        <rFont val="Times New Roman"/>
        <family val="1"/>
      </rPr>
      <t>9/</t>
    </r>
    <r>
      <rPr>
        <sz val="11"/>
        <rFont val="Times New Roman"/>
        <family val="1"/>
      </rPr>
      <t xml:space="preserve"> In FY 2013, OJP is requesting a special, one-time allocation of $1.0 billion for the Crime Victims Fund (under special authorizing language) to support new and existing discretionary programs to institutionalize and expand services for crime victims throughout the Nation. </t>
    </r>
  </si>
  <si>
    <r>
      <t xml:space="preserve">10/ </t>
    </r>
    <r>
      <rPr>
        <sz val="11"/>
        <rFont val="Times New Roman"/>
        <family val="1"/>
      </rPr>
      <t>In FY 2013, funding for this program is proposed under the Research, Evaluation, and Statistics Appropriation Account.</t>
    </r>
  </si>
  <si>
    <r>
      <t>11/</t>
    </r>
    <r>
      <rPr>
        <sz val="11"/>
        <rFont val="Times New Roman"/>
        <family val="1"/>
      </rPr>
      <t xml:space="preserve"> In FY 2013, funding for this program is proposed under the State and Local Law Enforcement Assistance Appropriation account.</t>
    </r>
  </si>
  <si>
    <r>
      <t>12/</t>
    </r>
    <r>
      <rPr>
        <sz val="11"/>
        <rFont val="Times New Roman"/>
        <family val="1"/>
      </rPr>
      <t xml:space="preserve"> In FY 2013, funding for this program is proposed under the Juvenile Justice Appropriation account.</t>
    </r>
  </si>
  <si>
    <r>
      <t>13/</t>
    </r>
    <r>
      <rPr>
        <sz val="11"/>
        <rFont val="Times New Roman"/>
        <family val="1"/>
      </rPr>
      <t xml:space="preserve"> The FY 2012 Appropriations Act, as well as the FY 2013 and 2014 requests, reestablishes previous practices allowing OJP to support management and administration expenses with program funding.</t>
    </r>
  </si>
  <si>
    <r>
      <t>14/</t>
    </r>
    <r>
      <rPr>
        <sz val="11"/>
        <rFont val="Times New Roman"/>
        <family val="1"/>
      </rPr>
      <t xml:space="preserve"> The FY 2012 Appropriations Act establishes this program as a standalone program, not a carveout of the Research, Evaluation, and Demonstration Program.</t>
    </r>
  </si>
  <si>
    <r>
      <t>15/</t>
    </r>
    <r>
      <rPr>
        <sz val="11"/>
        <rFont val="Times New Roman"/>
        <family val="1"/>
      </rPr>
      <t xml:space="preserve"> In FY 2011, OJP received an additional $5 million for PSOB Death Benefits.</t>
    </r>
  </si>
  <si>
    <t>1/ In FY 2012, OJP requested and received an additional $22 million for the PSOB Death Benefits program, resulting in a new FY 2012 Grand Total of $2,343.3 million.</t>
  </si>
  <si>
    <t>2/ In FY 2012, a total of $470 million was appropriated for the Byrne JAG Program, of which $100 million was for Presidential Nominating Conventions.  On this table, funding for the Presidential Nominating Conventions ($100 million) and the rest of the Byrne JAG Program ($370 million) is displayed on separate lines.</t>
  </si>
  <si>
    <t>3/ The FY 2014 President's Budget request includes appropriations language that would allow OJP to apply the 2% Research, Evaluation, and Statistics set-aside to the funding provided under the Crime Victims Fund obligation cap for the purposes of supporting crime victim-related research, statistical, and data collection activities.  This would permit OJP to use up to $15.5 million from the Crime Victims Fund to support these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</si>
</sst>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_);\(#,##0.0\)"/>
  </numFmts>
  <fonts count="7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u/>
      <sz val="11"/>
      <color theme="1"/>
      <name val="Arial"/>
      <family val="2"/>
    </font>
    <font>
      <i/>
      <u/>
      <sz val="11"/>
      <color theme="1"/>
      <name val="Arial"/>
      <family val="2"/>
    </font>
    <font>
      <b/>
      <u/>
      <sz val="11"/>
      <color theme="1"/>
      <name val="Arial"/>
      <family val="2"/>
    </font>
    <font>
      <sz val="14"/>
      <color theme="0"/>
      <name val="Arial"/>
      <family val="2"/>
    </font>
    <font>
      <vertAlign val="superscript"/>
      <sz val="11"/>
      <color theme="1"/>
      <name val="Arial"/>
      <family val="2"/>
    </font>
    <font>
      <i/>
      <sz val="12"/>
      <color theme="1"/>
      <name val="Arial"/>
      <family val="2"/>
    </font>
    <font>
      <sz val="14"/>
      <color theme="1"/>
      <name val="Arial"/>
      <family val="2"/>
    </font>
    <font>
      <i/>
      <sz val="14"/>
      <color theme="1"/>
      <name val="Arial"/>
      <family val="2"/>
    </font>
    <font>
      <sz val="12"/>
      <name val="Arial"/>
      <family val="2"/>
    </font>
    <font>
      <b/>
      <sz val="12"/>
      <name val="Times New Roman"/>
      <family val="1"/>
    </font>
    <font>
      <sz val="12"/>
      <color theme="0"/>
      <name val="Arial"/>
      <family val="2"/>
    </font>
    <font>
      <sz val="12"/>
      <name val="Times New Roman"/>
      <family val="1"/>
    </font>
    <font>
      <sz val="12"/>
      <name val="Arial"/>
      <family val="2"/>
    </font>
    <font>
      <b/>
      <sz val="16"/>
      <name val="Times New Roman"/>
      <family val="1"/>
    </font>
    <font>
      <sz val="10"/>
      <name val="Arial"/>
      <family val="2"/>
    </font>
    <font>
      <b/>
      <sz val="12"/>
      <name val="Arial"/>
      <family val="2"/>
    </font>
    <font>
      <b/>
      <u/>
      <sz val="12"/>
      <name val="Times New Roman"/>
      <family val="1"/>
    </font>
    <font>
      <u/>
      <sz val="16"/>
      <name val="Arial"/>
      <family val="2"/>
    </font>
    <font>
      <b/>
      <i/>
      <sz val="12"/>
      <name val="Times New Roman"/>
      <family val="1"/>
    </font>
    <font>
      <i/>
      <sz val="12"/>
      <name val="Times New Roman"/>
      <family val="1"/>
    </font>
    <font>
      <b/>
      <u/>
      <sz val="12"/>
      <name val="Arial"/>
      <family val="2"/>
    </font>
    <font>
      <sz val="10"/>
      <color theme="0"/>
      <name val="Arial"/>
      <family val="2"/>
    </font>
    <font>
      <sz val="10"/>
      <name val="Times New Roman"/>
      <family val="1"/>
    </font>
    <font>
      <vertAlign val="superscript"/>
      <sz val="12"/>
      <color theme="0"/>
      <name val="Times New Roman"/>
      <family val="1"/>
    </font>
    <font>
      <b/>
      <vertAlign val="superscript"/>
      <sz val="12"/>
      <color theme="0"/>
      <name val="Times New Roman"/>
      <family val="1"/>
    </font>
    <font>
      <u/>
      <sz val="10"/>
      <name val="Times New Roman"/>
      <family val="1"/>
    </font>
    <font>
      <vertAlign val="superscript"/>
      <sz val="12"/>
      <name val="Times New Roman"/>
      <family val="1"/>
    </font>
    <font>
      <b/>
      <vertAlign val="superscript"/>
      <sz val="12"/>
      <name val="Times New Roman"/>
      <family val="1"/>
    </font>
    <font>
      <b/>
      <sz val="12"/>
      <color rgb="FFFF0000"/>
      <name val="Times New Roman"/>
      <family val="1"/>
    </font>
    <font>
      <b/>
      <sz val="10"/>
      <name val="Times New Roman"/>
      <family val="1"/>
    </font>
    <font>
      <b/>
      <sz val="12"/>
      <color theme="0"/>
      <name val="Times New Roman"/>
      <family val="1"/>
    </font>
    <font>
      <sz val="10"/>
      <color indexed="10"/>
      <name val="Times New Roman"/>
      <family val="1"/>
    </font>
    <font>
      <sz val="12"/>
      <color indexed="10"/>
      <name val="Times New Roman"/>
      <family val="1"/>
    </font>
    <font>
      <sz val="10"/>
      <color indexed="9"/>
      <name val="Times New Roman"/>
      <family val="1"/>
    </font>
    <font>
      <sz val="12"/>
      <color indexed="9"/>
      <name val="Times New Roman"/>
      <family val="1"/>
    </font>
    <font>
      <sz val="12"/>
      <color rgb="FFFF0000"/>
      <name val="Times New Roman"/>
      <family val="1"/>
    </font>
    <font>
      <b/>
      <sz val="12"/>
      <color indexed="9"/>
      <name val="Times New Roman"/>
      <family val="1"/>
    </font>
    <font>
      <b/>
      <sz val="12"/>
      <color indexed="10"/>
      <name val="Times New Roman"/>
      <family val="1"/>
    </font>
    <font>
      <i/>
      <sz val="10"/>
      <name val="Times New Roman"/>
      <family val="1"/>
    </font>
    <font>
      <b/>
      <sz val="10"/>
      <color indexed="10"/>
      <name val="Times New Roman"/>
      <family val="1"/>
    </font>
    <font>
      <sz val="11"/>
      <name val="Times New Roman"/>
      <family val="1"/>
    </font>
    <font>
      <vertAlign val="superscript"/>
      <sz val="11"/>
      <name val="Times New Roman"/>
      <family val="1"/>
    </font>
    <font>
      <vertAlign val="subscript"/>
      <sz val="11"/>
      <name val="Times New Roman"/>
      <family val="1"/>
    </font>
    <font>
      <sz val="14"/>
      <name val="Times New Roman"/>
      <family val="1"/>
    </font>
    <font>
      <u/>
      <sz val="12"/>
      <name val="Times New Roman"/>
      <family val="1"/>
    </font>
    <font>
      <b/>
      <sz val="8"/>
      <color indexed="81"/>
      <name val="Tahoma"/>
      <family val="2"/>
    </font>
    <font>
      <sz val="8"/>
      <color indexed="81"/>
      <name val="Tahoma"/>
      <family val="2"/>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top style="thin">
        <color auto="1"/>
      </top>
      <bottom/>
      <diagonal/>
    </border>
    <border>
      <left/>
      <right style="thin">
        <color auto="1"/>
      </right>
      <top style="dashed">
        <color theme="0" tint="-0.14996795556505021"/>
      </top>
      <bottom style="thin">
        <color auto="1"/>
      </bottom>
      <diagonal/>
    </border>
    <border>
      <left/>
      <right style="thin">
        <color auto="1"/>
      </right>
      <top style="thin">
        <color auto="1"/>
      </top>
      <bottom style="dashed">
        <color theme="0" tint="-0.1499679555650502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style="thin">
        <color auto="1"/>
      </left>
      <right style="medium">
        <color auto="1"/>
      </right>
      <top/>
      <bottom style="thin">
        <color indexed="64"/>
      </bottom>
      <diagonal/>
    </border>
    <border>
      <left style="thin">
        <color auto="1"/>
      </left>
      <right/>
      <top/>
      <bottom/>
      <diagonal/>
    </border>
    <border>
      <left/>
      <right style="thin">
        <color indexed="64"/>
      </right>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thin">
        <color auto="1"/>
      </top>
      <bottom style="dotted">
        <color theme="0" tint="-0.14996795556505021"/>
      </bottom>
      <diagonal/>
    </border>
    <border>
      <left style="thin">
        <color auto="1"/>
      </left>
      <right style="thin">
        <color auto="1"/>
      </right>
      <top/>
      <bottom style="dotted">
        <color theme="0" tint="-0.14996795556505021"/>
      </bottom>
      <diagonal/>
    </border>
    <border>
      <left style="thin">
        <color auto="1"/>
      </left>
      <right style="thin">
        <color auto="1"/>
      </right>
      <top style="dotted">
        <color theme="0" tint="-0.14996795556505021"/>
      </top>
      <bottom/>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style="medium">
        <color auto="1"/>
      </left>
      <right/>
      <top style="thin">
        <color auto="1"/>
      </top>
      <bottom/>
      <diagonal/>
    </border>
    <border>
      <left style="thin">
        <color auto="1"/>
      </left>
      <right style="thin">
        <color auto="1"/>
      </right>
      <top style="dashed">
        <color theme="0" tint="-0.14996795556505021"/>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medium">
        <color auto="1"/>
      </right>
      <top style="dashed">
        <color theme="0" tint="-0.14996795556505021"/>
      </top>
      <bottom style="dotted">
        <color auto="1"/>
      </bottom>
      <diagonal/>
    </border>
  </borders>
  <cellStyleXfs count="1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33" fillId="0" borderId="0"/>
    <xf numFmtId="0" fontId="37" fillId="0" borderId="0"/>
    <xf numFmtId="0" fontId="39" fillId="0" borderId="0"/>
    <xf numFmtId="0" fontId="39" fillId="0" borderId="0"/>
    <xf numFmtId="43" fontId="39" fillId="0" borderId="0" applyFont="0" applyFill="0" applyBorder="0" applyAlignment="0" applyProtection="0"/>
    <xf numFmtId="44" fontId="39" fillId="0" borderId="0" applyFont="0" applyFill="0" applyBorder="0" applyAlignment="0" applyProtection="0"/>
    <xf numFmtId="0" fontId="39" fillId="0" borderId="0"/>
    <xf numFmtId="0" fontId="37" fillId="0" borderId="0"/>
    <xf numFmtId="0" fontId="10" fillId="0" borderId="0"/>
    <xf numFmtId="0" fontId="39" fillId="0" borderId="0"/>
    <xf numFmtId="9" fontId="39" fillId="0" borderId="0" applyFont="0" applyFill="0" applyBorder="0" applyAlignment="0" applyProtection="0"/>
  </cellStyleXfs>
  <cellXfs count="775">
    <xf numFmtId="0" fontId="0" fillId="0" borderId="0" xfId="0"/>
    <xf numFmtId="0" fontId="11" fillId="0" borderId="0" xfId="0" applyFont="1"/>
    <xf numFmtId="3" fontId="11" fillId="0" borderId="0" xfId="0" applyNumberFormat="1" applyFont="1"/>
    <xf numFmtId="164" fontId="11" fillId="0" borderId="0" xfId="1" applyNumberFormat="1" applyFont="1"/>
    <xf numFmtId="3" fontId="15" fillId="0" borderId="6" xfId="0" applyNumberFormat="1" applyFont="1" applyBorder="1" applyAlignment="1">
      <alignment horizontal="center" vertical="top" wrapText="1"/>
    </xf>
    <xf numFmtId="3" fontId="15" fillId="0" borderId="7" xfId="0" applyNumberFormat="1" applyFont="1" applyBorder="1" applyAlignment="1">
      <alignment horizontal="center" vertical="top" wrapText="1"/>
    </xf>
    <xf numFmtId="164" fontId="15" fillId="0" borderId="8" xfId="1" applyNumberFormat="1" applyFont="1" applyBorder="1" applyAlignment="1">
      <alignment horizontal="center" vertical="top" wrapText="1"/>
    </xf>
    <xf numFmtId="0" fontId="16" fillId="0" borderId="0" xfId="0" applyFont="1"/>
    <xf numFmtId="0" fontId="15" fillId="0" borderId="0" xfId="0" applyFont="1"/>
    <xf numFmtId="0" fontId="13" fillId="0" borderId="0" xfId="0" applyFont="1" applyAlignment="1"/>
    <xf numFmtId="0" fontId="14" fillId="0" borderId="0" xfId="0" applyFont="1" applyAlignment="1"/>
    <xf numFmtId="0" fontId="12" fillId="0" borderId="0" xfId="0" applyFont="1" applyAlignment="1"/>
    <xf numFmtId="0" fontId="9" fillId="0" borderId="0" xfId="0" applyFont="1"/>
    <xf numFmtId="0" fontId="9" fillId="0" borderId="0" xfId="0" applyFont="1" applyAlignment="1"/>
    <xf numFmtId="0" fontId="9" fillId="0" borderId="1" xfId="0" applyFont="1" applyBorder="1" applyAlignment="1">
      <alignment horizontal="center" vertical="top" wrapText="1"/>
    </xf>
    <xf numFmtId="0" fontId="9" fillId="0" borderId="13" xfId="0" applyFont="1" applyBorder="1" applyAlignment="1">
      <alignment horizontal="center" vertical="top" wrapText="1"/>
    </xf>
    <xf numFmtId="0" fontId="15" fillId="0" borderId="15" xfId="0" applyFont="1" applyBorder="1" applyAlignment="1">
      <alignment horizontal="right"/>
    </xf>
    <xf numFmtId="0" fontId="9" fillId="0" borderId="16" xfId="0" applyFont="1" applyBorder="1" applyAlignment="1">
      <alignment horizontal="left" indent="3"/>
    </xf>
    <xf numFmtId="0" fontId="9" fillId="0" borderId="19" xfId="0" applyFont="1" applyBorder="1" applyAlignment="1">
      <alignment horizontal="left" indent="3"/>
    </xf>
    <xf numFmtId="0" fontId="9" fillId="0" borderId="19" xfId="0" applyFont="1" applyBorder="1" applyAlignment="1">
      <alignment horizontal="left" indent="5"/>
    </xf>
    <xf numFmtId="0" fontId="9" fillId="0" borderId="22" xfId="0" applyFont="1" applyBorder="1" applyAlignment="1">
      <alignment horizontal="left" indent="5"/>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0" xfId="0" applyFont="1"/>
    <xf numFmtId="3" fontId="9" fillId="0" borderId="20" xfId="0" applyNumberFormat="1" applyFont="1" applyBorder="1"/>
    <xf numFmtId="3" fontId="15" fillId="0" borderId="36" xfId="0" applyNumberFormat="1" applyFont="1" applyBorder="1"/>
    <xf numFmtId="3" fontId="15" fillId="0" borderId="37" xfId="0" applyNumberFormat="1" applyFont="1" applyBorder="1"/>
    <xf numFmtId="0" fontId="18" fillId="0" borderId="33" xfId="0" applyFont="1" applyBorder="1" applyAlignment="1">
      <alignment vertical="center" wrapText="1"/>
    </xf>
    <xf numFmtId="0" fontId="21" fillId="0" borderId="0" xfId="0" applyFont="1" applyAlignment="1"/>
    <xf numFmtId="0" fontId="19" fillId="0" borderId="0" xfId="0" applyFont="1"/>
    <xf numFmtId="0" fontId="19" fillId="0" borderId="42" xfId="0" applyFont="1" applyBorder="1" applyAlignment="1">
      <alignment vertical="top"/>
    </xf>
    <xf numFmtId="0" fontId="19" fillId="0" borderId="43" xfId="0" applyFont="1" applyBorder="1"/>
    <xf numFmtId="0" fontId="21" fillId="0" borderId="0" xfId="0" applyFont="1"/>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3" fontId="19" fillId="0" borderId="20" xfId="0" applyNumberFormat="1" applyFont="1" applyBorder="1"/>
    <xf numFmtId="3" fontId="18" fillId="0" borderId="36" xfId="0" applyNumberFormat="1" applyFont="1" applyBorder="1"/>
    <xf numFmtId="3" fontId="19" fillId="0" borderId="17" xfId="0" applyNumberFormat="1" applyFont="1" applyBorder="1"/>
    <xf numFmtId="0" fontId="19" fillId="0" borderId="41" xfId="0" applyFont="1" applyBorder="1" applyAlignment="1">
      <alignment vertical="top"/>
    </xf>
    <xf numFmtId="3" fontId="18" fillId="0" borderId="20" xfId="0" applyNumberFormat="1" applyFont="1" applyBorder="1"/>
    <xf numFmtId="0" fontId="19" fillId="0" borderId="31" xfId="0" applyFont="1" applyBorder="1"/>
    <xf numFmtId="0" fontId="19" fillId="0" borderId="48" xfId="0" applyFont="1" applyBorder="1" applyAlignment="1">
      <alignment vertical="top"/>
    </xf>
    <xf numFmtId="3" fontId="18" fillId="0" borderId="47" xfId="0" applyNumberFormat="1" applyFont="1" applyBorder="1"/>
    <xf numFmtId="0" fontId="19" fillId="0" borderId="45" xfId="0" applyFont="1" applyBorder="1" applyAlignment="1">
      <alignment vertical="top"/>
    </xf>
    <xf numFmtId="0" fontId="19" fillId="0" borderId="44" xfId="0" applyFont="1" applyBorder="1" applyAlignment="1">
      <alignment vertical="top"/>
    </xf>
    <xf numFmtId="3" fontId="18" fillId="0" borderId="51" xfId="0" applyNumberFormat="1" applyFont="1" applyBorder="1"/>
    <xf numFmtId="0" fontId="18" fillId="0" borderId="3" xfId="0" applyFont="1" applyBorder="1" applyAlignment="1">
      <alignment horizontal="center" vertical="center" wrapText="1"/>
    </xf>
    <xf numFmtId="3" fontId="19" fillId="0" borderId="21" xfId="0" applyNumberFormat="1" applyFont="1" applyBorder="1"/>
    <xf numFmtId="3" fontId="18" fillId="0" borderId="37" xfId="0" applyNumberFormat="1" applyFont="1" applyBorder="1"/>
    <xf numFmtId="3" fontId="19" fillId="0" borderId="18" xfId="0" applyNumberFormat="1" applyFont="1" applyBorder="1"/>
    <xf numFmtId="3" fontId="18" fillId="0" borderId="52" xfId="0" applyNumberFormat="1" applyFont="1" applyBorder="1"/>
    <xf numFmtId="3" fontId="18" fillId="0" borderId="53" xfId="0" applyNumberFormat="1" applyFont="1" applyBorder="1"/>
    <xf numFmtId="0" fontId="12" fillId="0" borderId="33" xfId="0" applyFont="1" applyBorder="1" applyAlignment="1"/>
    <xf numFmtId="0" fontId="16" fillId="0" borderId="0" xfId="0" applyFont="1" applyAlignment="1"/>
    <xf numFmtId="0" fontId="7" fillId="0" borderId="1" xfId="0" applyFont="1" applyBorder="1" applyAlignment="1">
      <alignment horizontal="center" vertical="top" wrapText="1"/>
    </xf>
    <xf numFmtId="0" fontId="7" fillId="0" borderId="13" xfId="0" applyFont="1" applyBorder="1" applyAlignment="1">
      <alignment horizontal="center" vertical="top" wrapText="1"/>
    </xf>
    <xf numFmtId="0" fontId="9" fillId="0" borderId="42" xfId="0" applyFont="1" applyBorder="1"/>
    <xf numFmtId="0" fontId="15" fillId="0" borderId="9" xfId="0" applyFont="1" applyBorder="1" applyAlignment="1">
      <alignment horizontal="center"/>
    </xf>
    <xf numFmtId="0" fontId="7" fillId="0" borderId="16" xfId="0" applyFont="1" applyBorder="1" applyAlignment="1">
      <alignment horizontal="left" indent="2"/>
    </xf>
    <xf numFmtId="0" fontId="7" fillId="0" borderId="19" xfId="0" applyFont="1" applyBorder="1" applyAlignment="1">
      <alignment horizontal="left" indent="2"/>
    </xf>
    <xf numFmtId="0" fontId="23" fillId="0" borderId="19" xfId="0" applyFont="1" applyBorder="1" applyAlignment="1">
      <alignment horizontal="left" indent="8"/>
    </xf>
    <xf numFmtId="0" fontId="15" fillId="0" borderId="19" xfId="0" applyFont="1" applyBorder="1"/>
    <xf numFmtId="0" fontId="15" fillId="0" borderId="19" xfId="0" applyFont="1" applyBorder="1" applyAlignment="1">
      <alignment horizontal="center"/>
    </xf>
    <xf numFmtId="0" fontId="15" fillId="0" borderId="60" xfId="0" applyFont="1" applyBorder="1" applyAlignment="1">
      <alignment horizontal="center"/>
    </xf>
    <xf numFmtId="0" fontId="15" fillId="0" borderId="0" xfId="0" applyFont="1" applyBorder="1"/>
    <xf numFmtId="0" fontId="15" fillId="0" borderId="0" xfId="0" applyFont="1" applyBorder="1" applyAlignment="1">
      <alignment horizontal="right" indent="1"/>
    </xf>
    <xf numFmtId="0" fontId="15" fillId="0" borderId="1" xfId="0" applyFont="1" applyBorder="1" applyAlignment="1">
      <alignment horizontal="right" indent="1"/>
    </xf>
    <xf numFmtId="0" fontId="15" fillId="0" borderId="70" xfId="0" applyFont="1" applyBorder="1"/>
    <xf numFmtId="0" fontId="11" fillId="0" borderId="71" xfId="0" applyFont="1" applyBorder="1" applyAlignment="1">
      <alignment horizontal="left" indent="1"/>
    </xf>
    <xf numFmtId="3" fontId="15" fillId="0" borderId="19" xfId="0" applyNumberFormat="1" applyFont="1" applyBorder="1"/>
    <xf numFmtId="3" fontId="15" fillId="0" borderId="20" xfId="0" applyNumberFormat="1" applyFont="1" applyBorder="1"/>
    <xf numFmtId="3" fontId="11" fillId="0" borderId="21" xfId="0" applyNumberFormat="1" applyFont="1" applyBorder="1"/>
    <xf numFmtId="0" fontId="15" fillId="0" borderId="71" xfId="0" applyFont="1" applyBorder="1" applyAlignment="1">
      <alignment horizontal="left" indent="1"/>
    </xf>
    <xf numFmtId="3" fontId="15" fillId="0" borderId="21" xfId="0" applyNumberFormat="1" applyFont="1" applyBorder="1"/>
    <xf numFmtId="0" fontId="15" fillId="0" borderId="71" xfId="0" applyFont="1" applyBorder="1"/>
    <xf numFmtId="3" fontId="11" fillId="0" borderId="19" xfId="0" applyNumberFormat="1" applyFont="1" applyBorder="1"/>
    <xf numFmtId="3" fontId="11" fillId="0" borderId="20" xfId="0" applyNumberFormat="1" applyFont="1" applyBorder="1"/>
    <xf numFmtId="0" fontId="15" fillId="0" borderId="71" xfId="0" applyFont="1" applyBorder="1" applyAlignment="1">
      <alignment horizontal="left" indent="3"/>
    </xf>
    <xf numFmtId="0" fontId="15" fillId="0" borderId="69" xfId="0" applyFont="1" applyBorder="1" applyAlignment="1">
      <alignment horizontal="left"/>
    </xf>
    <xf numFmtId="3" fontId="15" fillId="0" borderId="42" xfId="0" applyNumberFormat="1" applyFont="1" applyBorder="1"/>
    <xf numFmtId="3" fontId="15" fillId="0" borderId="73" xfId="0" applyNumberFormat="1" applyFont="1" applyBorder="1"/>
    <xf numFmtId="0" fontId="11" fillId="0" borderId="71" xfId="0" applyFont="1" applyBorder="1" applyAlignment="1">
      <alignment horizontal="left" indent="4"/>
    </xf>
    <xf numFmtId="3" fontId="11" fillId="0" borderId="42" xfId="0" applyNumberFormat="1" applyFont="1" applyBorder="1"/>
    <xf numFmtId="3" fontId="11" fillId="0" borderId="73" xfId="0" applyNumberFormat="1" applyFont="1" applyBorder="1"/>
    <xf numFmtId="0" fontId="11" fillId="0" borderId="26" xfId="0" applyFont="1" applyBorder="1" applyAlignment="1">
      <alignment horizontal="left"/>
    </xf>
    <xf numFmtId="0" fontId="15" fillId="0" borderId="71" xfId="0" applyFont="1" applyBorder="1" applyAlignment="1">
      <alignment horizontal="left"/>
    </xf>
    <xf numFmtId="3" fontId="11" fillId="0" borderId="74" xfId="0" applyNumberFormat="1" applyFont="1" applyBorder="1"/>
    <xf numFmtId="3" fontId="11" fillId="0" borderId="59" xfId="0" applyNumberFormat="1" applyFont="1" applyBorder="1"/>
    <xf numFmtId="3" fontId="11" fillId="0" borderId="75" xfId="0" applyNumberFormat="1" applyFont="1" applyBorder="1"/>
    <xf numFmtId="0" fontId="15" fillId="0" borderId="70" xfId="0" applyFont="1" applyBorder="1" applyAlignment="1">
      <alignment horizontal="left" indent="1"/>
    </xf>
    <xf numFmtId="0" fontId="15" fillId="0" borderId="76" xfId="0" applyFont="1" applyBorder="1"/>
    <xf numFmtId="3" fontId="15" fillId="0" borderId="77" xfId="0" applyNumberFormat="1" applyFont="1" applyBorder="1"/>
    <xf numFmtId="3" fontId="15" fillId="0" borderId="62" xfId="0" applyNumberFormat="1" applyFont="1" applyBorder="1"/>
    <xf numFmtId="3" fontId="15" fillId="0" borderId="78" xfId="0" applyNumberFormat="1" applyFont="1" applyBorder="1"/>
    <xf numFmtId="0" fontId="15" fillId="0" borderId="4" xfId="0" applyFont="1" applyBorder="1" applyAlignment="1">
      <alignment horizontal="center" vertical="center" wrapText="1"/>
    </xf>
    <xf numFmtId="0" fontId="9" fillId="0" borderId="64" xfId="0" applyFont="1" applyBorder="1" applyAlignment="1">
      <alignment horizontal="left" indent="3"/>
    </xf>
    <xf numFmtId="0" fontId="6" fillId="0" borderId="16" xfId="0" applyFont="1" applyBorder="1" applyAlignment="1">
      <alignment horizontal="left" indent="2"/>
    </xf>
    <xf numFmtId="0" fontId="6" fillId="0" borderId="81" xfId="0" applyFont="1" applyBorder="1" applyAlignment="1">
      <alignment horizontal="left"/>
    </xf>
    <xf numFmtId="165" fontId="6" fillId="0" borderId="82" xfId="2" applyNumberFormat="1" applyFont="1" applyBorder="1" applyAlignment="1">
      <alignment horizontal="left"/>
    </xf>
    <xf numFmtId="165" fontId="6" fillId="0" borderId="82" xfId="2" applyNumberFormat="1" applyFont="1" applyBorder="1" applyAlignment="1">
      <alignment horizontal="center"/>
    </xf>
    <xf numFmtId="164" fontId="6" fillId="0" borderId="83" xfId="1" applyNumberFormat="1" applyFont="1" applyBorder="1" applyAlignment="1">
      <alignment horizontal="left"/>
    </xf>
    <xf numFmtId="0" fontId="6" fillId="0" borderId="86" xfId="0" applyFont="1" applyBorder="1" applyAlignment="1">
      <alignment horizontal="left"/>
    </xf>
    <xf numFmtId="165" fontId="6" fillId="0" borderId="87" xfId="2" applyNumberFormat="1" applyFont="1" applyBorder="1" applyAlignment="1">
      <alignment horizontal="left"/>
    </xf>
    <xf numFmtId="165" fontId="6" fillId="0" borderId="87" xfId="2" applyNumberFormat="1" applyFont="1" applyBorder="1" applyAlignment="1">
      <alignment horizontal="center"/>
    </xf>
    <xf numFmtId="164" fontId="6" fillId="0" borderId="88" xfId="1" applyNumberFormat="1" applyFont="1" applyBorder="1" applyAlignment="1">
      <alignment horizontal="left"/>
    </xf>
    <xf numFmtId="165" fontId="8" fillId="0" borderId="87" xfId="2" applyNumberFormat="1" applyFont="1" applyBorder="1" applyAlignment="1">
      <alignment horizontal="left"/>
    </xf>
    <xf numFmtId="165" fontId="8" fillId="0" borderId="87" xfId="2" applyNumberFormat="1" applyFont="1" applyBorder="1" applyAlignment="1">
      <alignment horizontal="center"/>
    </xf>
    <xf numFmtId="164" fontId="8" fillId="0" borderId="88" xfId="1" applyNumberFormat="1" applyFont="1" applyBorder="1" applyAlignment="1">
      <alignment horizontal="left"/>
    </xf>
    <xf numFmtId="3" fontId="15" fillId="0" borderId="31" xfId="0" applyNumberFormat="1" applyFont="1" applyBorder="1"/>
    <xf numFmtId="3" fontId="15" fillId="0" borderId="14" xfId="0" applyNumberFormat="1" applyFont="1" applyBorder="1"/>
    <xf numFmtId="3" fontId="15" fillId="0" borderId="94" xfId="0" applyNumberFormat="1" applyFont="1" applyBorder="1"/>
    <xf numFmtId="0" fontId="15" fillId="0" borderId="25" xfId="0" applyFont="1" applyBorder="1" applyAlignment="1">
      <alignment horizontal="left"/>
    </xf>
    <xf numFmtId="0" fontId="6" fillId="0" borderId="1" xfId="0" applyFont="1" applyBorder="1" applyAlignment="1">
      <alignment horizontal="center" vertical="top" wrapText="1"/>
    </xf>
    <xf numFmtId="0" fontId="6" fillId="0" borderId="64" xfId="0" applyFont="1" applyBorder="1" applyAlignment="1">
      <alignment horizontal="left" indent="3"/>
    </xf>
    <xf numFmtId="0" fontId="6" fillId="0" borderId="19" xfId="0" applyFont="1" applyBorder="1" applyAlignment="1">
      <alignment horizontal="left" indent="3"/>
    </xf>
    <xf numFmtId="0" fontId="6" fillId="0" borderId="6" xfId="0" applyFont="1" applyBorder="1" applyAlignment="1">
      <alignment horizontal="left" indent="3"/>
    </xf>
    <xf numFmtId="0" fontId="5" fillId="0" borderId="71" xfId="0" applyFont="1" applyBorder="1" applyAlignment="1">
      <alignment horizontal="left" indent="1"/>
    </xf>
    <xf numFmtId="0" fontId="5" fillId="0" borderId="1" xfId="0" applyFont="1" applyBorder="1" applyAlignment="1">
      <alignment horizontal="center" vertical="top" wrapText="1"/>
    </xf>
    <xf numFmtId="0" fontId="5" fillId="0" borderId="19" xfId="0" applyFont="1" applyBorder="1" applyAlignment="1">
      <alignment horizontal="left" indent="3"/>
    </xf>
    <xf numFmtId="0" fontId="5" fillId="0" borderId="6" xfId="0" applyFont="1" applyBorder="1" applyAlignment="1">
      <alignment horizontal="left" indent="3"/>
    </xf>
    <xf numFmtId="0" fontId="5" fillId="0" borderId="86" xfId="0" applyFont="1" applyBorder="1" applyAlignment="1">
      <alignment horizontal="left"/>
    </xf>
    <xf numFmtId="0" fontId="5" fillId="0" borderId="19" xfId="0" applyFont="1" applyBorder="1" applyAlignment="1">
      <alignment horizontal="left" indent="2"/>
    </xf>
    <xf numFmtId="0" fontId="15" fillId="0" borderId="4" xfId="0" applyFont="1" applyBorder="1" applyAlignment="1">
      <alignment horizontal="center" vertical="center" wrapText="1"/>
    </xf>
    <xf numFmtId="0" fontId="4" fillId="0" borderId="35" xfId="0" applyFont="1" applyBorder="1" applyAlignment="1">
      <alignment horizontal="left" indent="2"/>
    </xf>
    <xf numFmtId="0" fontId="5" fillId="0" borderId="95" xfId="0" applyFont="1" applyBorder="1" applyAlignment="1">
      <alignment horizontal="left" indent="1"/>
    </xf>
    <xf numFmtId="0" fontId="5" fillId="0" borderId="10" xfId="0" applyFont="1" applyBorder="1" applyAlignment="1">
      <alignment horizontal="left" indent="1"/>
    </xf>
    <xf numFmtId="3" fontId="15" fillId="0" borderId="45" xfId="0" applyNumberFormat="1" applyFont="1" applyBorder="1"/>
    <xf numFmtId="3" fontId="15" fillId="0" borderId="47" xfId="0" applyNumberFormat="1" applyFont="1" applyBorder="1"/>
    <xf numFmtId="3" fontId="15" fillId="0" borderId="96" xfId="0" applyNumberFormat="1" applyFont="1" applyBorder="1"/>
    <xf numFmtId="3" fontId="11" fillId="0" borderId="96" xfId="0" applyNumberFormat="1" applyFont="1" applyBorder="1"/>
    <xf numFmtId="3" fontId="15" fillId="0" borderId="43" xfId="0" applyNumberFormat="1" applyFont="1" applyBorder="1"/>
    <xf numFmtId="3" fontId="11" fillId="0" borderId="97" xfId="0" applyNumberFormat="1" applyFont="1" applyBorder="1"/>
    <xf numFmtId="3" fontId="15" fillId="0" borderId="64" xfId="0" applyNumberFormat="1" applyFont="1" applyBorder="1"/>
    <xf numFmtId="3" fontId="15" fillId="0" borderId="52" xfId="0" applyNumberFormat="1" applyFont="1" applyBorder="1"/>
    <xf numFmtId="3" fontId="15" fillId="0" borderId="35" xfId="0" applyNumberFormat="1" applyFont="1" applyBorder="1"/>
    <xf numFmtId="3" fontId="15" fillId="0" borderId="97" xfId="0" applyNumberFormat="1" applyFont="1" applyBorder="1"/>
    <xf numFmtId="3" fontId="25" fillId="0" borderId="19" xfId="0" applyNumberFormat="1" applyFont="1" applyBorder="1"/>
    <xf numFmtId="3" fontId="25" fillId="0" borderId="20" xfId="0" applyNumberFormat="1" applyFont="1" applyBorder="1"/>
    <xf numFmtId="3" fontId="25" fillId="0" borderId="21" xfId="0" applyNumberFormat="1" applyFont="1" applyBorder="1"/>
    <xf numFmtId="0" fontId="3" fillId="0" borderId="1" xfId="0" applyFont="1" applyBorder="1" applyAlignment="1">
      <alignment horizontal="center" vertical="top" wrapText="1"/>
    </xf>
    <xf numFmtId="3" fontId="9" fillId="0" borderId="17" xfId="0" applyNumberFormat="1" applyFont="1" applyBorder="1"/>
    <xf numFmtId="3" fontId="9" fillId="0" borderId="18" xfId="0" applyNumberFormat="1" applyFont="1" applyBorder="1"/>
    <xf numFmtId="3" fontId="9" fillId="0" borderId="21" xfId="0" applyNumberFormat="1" applyFont="1" applyBorder="1"/>
    <xf numFmtId="3" fontId="15" fillId="0" borderId="1" xfId="0" applyNumberFormat="1" applyFont="1" applyBorder="1"/>
    <xf numFmtId="3" fontId="15" fillId="0" borderId="13" xfId="0" applyNumberFormat="1" applyFont="1" applyBorder="1"/>
    <xf numFmtId="3" fontId="15" fillId="0" borderId="17" xfId="0" applyNumberFormat="1" applyFont="1" applyBorder="1"/>
    <xf numFmtId="3" fontId="6" fillId="0" borderId="17" xfId="0" applyNumberFormat="1" applyFont="1" applyBorder="1"/>
    <xf numFmtId="3" fontId="6" fillId="0" borderId="18" xfId="0" applyNumberFormat="1" applyFont="1" applyBorder="1"/>
    <xf numFmtId="3" fontId="6" fillId="0" borderId="36" xfId="0" applyNumberFormat="1" applyFont="1" applyBorder="1"/>
    <xf numFmtId="3" fontId="6" fillId="0" borderId="37" xfId="0" applyNumberFormat="1" applyFont="1" applyBorder="1"/>
    <xf numFmtId="3" fontId="9" fillId="0" borderId="47" xfId="0" applyNumberFormat="1" applyFont="1" applyBorder="1"/>
    <xf numFmtId="3" fontId="9" fillId="0" borderId="52" xfId="0" applyNumberFormat="1" applyFont="1" applyBorder="1"/>
    <xf numFmtId="3" fontId="9" fillId="0" borderId="23" xfId="0" applyNumberFormat="1" applyFont="1" applyBorder="1"/>
    <xf numFmtId="3" fontId="9" fillId="0" borderId="24" xfId="0" applyNumberFormat="1" applyFont="1" applyBorder="1"/>
    <xf numFmtId="3" fontId="9" fillId="0" borderId="7" xfId="0" applyNumberFormat="1" applyFont="1" applyBorder="1"/>
    <xf numFmtId="3" fontId="9" fillId="0" borderId="8" xfId="0" applyNumberFormat="1" applyFont="1" applyBorder="1"/>
    <xf numFmtId="3" fontId="9" fillId="0" borderId="36" xfId="0" applyNumberFormat="1" applyFont="1" applyBorder="1"/>
    <xf numFmtId="3" fontId="9" fillId="0" borderId="37" xfId="0" applyNumberFormat="1" applyFont="1" applyBorder="1"/>
    <xf numFmtId="3" fontId="9" fillId="0" borderId="84" xfId="0" applyNumberFormat="1" applyFont="1" applyBorder="1"/>
    <xf numFmtId="3" fontId="9" fillId="0" borderId="85" xfId="0" applyNumberFormat="1" applyFont="1" applyBorder="1"/>
    <xf numFmtId="3" fontId="9" fillId="0" borderId="89" xfId="0" applyNumberFormat="1" applyFont="1" applyBorder="1"/>
    <xf numFmtId="3" fontId="9" fillId="0" borderId="90" xfId="0" applyNumberFormat="1" applyFont="1" applyBorder="1"/>
    <xf numFmtId="3" fontId="15" fillId="0" borderId="84" xfId="2" applyNumberFormat="1" applyFont="1" applyBorder="1"/>
    <xf numFmtId="3" fontId="9" fillId="0" borderId="92" xfId="0" applyNumberFormat="1" applyFont="1" applyBorder="1"/>
    <xf numFmtId="3" fontId="15" fillId="0" borderId="89" xfId="2" applyNumberFormat="1" applyFont="1" applyBorder="1"/>
    <xf numFmtId="3" fontId="9" fillId="0" borderId="93" xfId="0" applyNumberFormat="1" applyFont="1" applyBorder="1"/>
    <xf numFmtId="3" fontId="9" fillId="0" borderId="59" xfId="0" applyNumberFormat="1" applyFont="1" applyBorder="1"/>
    <xf numFmtId="3" fontId="15" fillId="0" borderId="59" xfId="0" applyNumberFormat="1" applyFont="1" applyBorder="1"/>
    <xf numFmtId="3" fontId="9" fillId="0" borderId="91" xfId="0" applyNumberFormat="1" applyFont="1" applyBorder="1"/>
    <xf numFmtId="3" fontId="23" fillId="0" borderId="20" xfId="0" applyNumberFormat="1" applyFont="1" applyBorder="1"/>
    <xf numFmtId="3" fontId="23" fillId="0" borderId="21" xfId="0" applyNumberFormat="1" applyFont="1" applyBorder="1"/>
    <xf numFmtId="3" fontId="15" fillId="0" borderId="51" xfId="0" applyNumberFormat="1" applyFont="1" applyBorder="1"/>
    <xf numFmtId="3" fontId="15" fillId="0" borderId="53" xfId="0" applyNumberFormat="1" applyFont="1" applyBorder="1"/>
    <xf numFmtId="3" fontId="15" fillId="0" borderId="48" xfId="0" applyNumberFormat="1" applyFont="1" applyBorder="1"/>
    <xf numFmtId="3" fontId="15" fillId="0" borderId="23" xfId="0" applyNumberFormat="1" applyFont="1" applyBorder="1"/>
    <xf numFmtId="3" fontId="11" fillId="0" borderId="98" xfId="0" applyNumberFormat="1" applyFont="1" applyBorder="1"/>
    <xf numFmtId="0" fontId="2" fillId="0" borderId="71" xfId="0" applyFont="1" applyBorder="1" applyAlignment="1">
      <alignment horizontal="left" indent="1"/>
    </xf>
    <xf numFmtId="0" fontId="1" fillId="0" borderId="19" xfId="0" applyFont="1" applyBorder="1" applyAlignment="1">
      <alignment horizontal="left" indent="2"/>
    </xf>
    <xf numFmtId="0" fontId="1" fillId="0" borderId="0" xfId="0" applyFont="1"/>
    <xf numFmtId="0" fontId="19" fillId="0" borderId="31" xfId="0" applyFont="1" applyBorder="1" applyAlignment="1">
      <alignment vertical="top"/>
    </xf>
    <xf numFmtId="3" fontId="19" fillId="0" borderId="47" xfId="0" applyNumberFormat="1" applyFont="1" applyBorder="1"/>
    <xf numFmtId="3" fontId="19" fillId="0" borderId="52" xfId="0" applyNumberFormat="1" applyFont="1" applyBorder="1"/>
    <xf numFmtId="0" fontId="1" fillId="0" borderId="71" xfId="0" applyFont="1" applyBorder="1" applyAlignment="1">
      <alignment horizontal="left" indent="3"/>
    </xf>
    <xf numFmtId="37" fontId="11" fillId="0" borderId="21" xfId="0" applyNumberFormat="1" applyFont="1" applyBorder="1"/>
    <xf numFmtId="0" fontId="1" fillId="0" borderId="16" xfId="0" applyFont="1" applyBorder="1" applyAlignment="1">
      <alignment horizontal="left" indent="3"/>
    </xf>
    <xf numFmtId="37" fontId="19" fillId="0" borderId="21" xfId="0" applyNumberFormat="1" applyFont="1" applyBorder="1"/>
    <xf numFmtId="0" fontId="1" fillId="0" borderId="41" xfId="0" applyFont="1" applyBorder="1"/>
    <xf numFmtId="0" fontId="1" fillId="0" borderId="45" xfId="0" applyFont="1" applyBorder="1"/>
    <xf numFmtId="0" fontId="1" fillId="0" borderId="42" xfId="0" applyFont="1" applyBorder="1"/>
    <xf numFmtId="0" fontId="1" fillId="0" borderId="71" xfId="0" applyFont="1" applyBorder="1" applyAlignment="1">
      <alignment horizontal="left" indent="4"/>
    </xf>
    <xf numFmtId="0" fontId="1" fillId="0" borderId="0" xfId="0" applyFont="1" applyAlignment="1">
      <alignment horizontal="center"/>
    </xf>
    <xf numFmtId="0" fontId="12" fillId="0" borderId="0" xfId="0" applyFont="1" applyAlignment="1">
      <alignment horizontal="center"/>
    </xf>
    <xf numFmtId="0" fontId="15" fillId="0" borderId="4" xfId="0" applyFont="1" applyBorder="1" applyAlignment="1">
      <alignment horizontal="center" vertical="center" wrapText="1"/>
    </xf>
    <xf numFmtId="37" fontId="9" fillId="0" borderId="17" xfId="0" applyNumberFormat="1" applyFont="1" applyBorder="1"/>
    <xf numFmtId="37" fontId="15" fillId="0" borderId="1" xfId="0" applyNumberFormat="1" applyFont="1" applyBorder="1"/>
    <xf numFmtId="0" fontId="1" fillId="0" borderId="19" xfId="0" applyFont="1" applyBorder="1" applyAlignment="1">
      <alignment horizontal="left" indent="3"/>
    </xf>
    <xf numFmtId="37" fontId="9" fillId="0" borderId="36" xfId="0" applyNumberFormat="1" applyFont="1" applyBorder="1"/>
    <xf numFmtId="37" fontId="9" fillId="0" borderId="20" xfId="0" applyNumberFormat="1" applyFont="1" applyBorder="1"/>
    <xf numFmtId="0" fontId="1" fillId="0" borderId="64" xfId="0" applyFont="1" applyBorder="1" applyAlignment="1">
      <alignment horizontal="left" indent="3"/>
    </xf>
    <xf numFmtId="3" fontId="1" fillId="0" borderId="0" xfId="0" applyNumberFormat="1" applyFont="1"/>
    <xf numFmtId="164" fontId="1" fillId="0" borderId="0" xfId="1" applyNumberFormat="1" applyFont="1"/>
    <xf numFmtId="0" fontId="1" fillId="0" borderId="71" xfId="0" applyFont="1" applyBorder="1" applyAlignment="1">
      <alignment horizontal="left" indent="1"/>
    </xf>
    <xf numFmtId="3" fontId="1" fillId="0" borderId="98" xfId="0" applyNumberFormat="1" applyFont="1" applyBorder="1"/>
    <xf numFmtId="3" fontId="1" fillId="0" borderId="97" xfId="0" applyNumberFormat="1" applyFont="1" applyBorder="1"/>
    <xf numFmtId="3" fontId="1" fillId="0" borderId="96" xfId="0" applyNumberFormat="1" applyFont="1" applyBorder="1"/>
    <xf numFmtId="3" fontId="1" fillId="0" borderId="21" xfId="0" applyNumberFormat="1" applyFont="1" applyBorder="1"/>
    <xf numFmtId="0" fontId="1" fillId="0" borderId="71" xfId="0" applyFont="1" applyBorder="1" applyAlignment="1">
      <alignment horizontal="left" indent="6"/>
    </xf>
    <xf numFmtId="3" fontId="1" fillId="0" borderId="19" xfId="0" applyNumberFormat="1" applyFont="1" applyBorder="1"/>
    <xf numFmtId="3" fontId="1" fillId="0" borderId="20" xfId="0" applyNumberFormat="1" applyFont="1" applyBorder="1"/>
    <xf numFmtId="3" fontId="1" fillId="0" borderId="42" xfId="0" applyNumberFormat="1" applyFont="1" applyBorder="1"/>
    <xf numFmtId="3" fontId="1" fillId="0" borderId="73" xfId="0" applyNumberFormat="1" applyFont="1" applyBorder="1"/>
    <xf numFmtId="3" fontId="25" fillId="0" borderId="42" xfId="0" applyNumberFormat="1" applyFont="1" applyBorder="1"/>
    <xf numFmtId="3" fontId="25" fillId="0" borderId="73" xfId="0" applyNumberFormat="1" applyFont="1" applyBorder="1"/>
    <xf numFmtId="0" fontId="23" fillId="0" borderId="71" xfId="0" applyFont="1" applyBorder="1" applyAlignment="1">
      <alignment horizontal="left" indent="4"/>
    </xf>
    <xf numFmtId="3" fontId="23" fillId="0" borderId="73" xfId="0" applyNumberFormat="1" applyFont="1" applyBorder="1"/>
    <xf numFmtId="0" fontId="23" fillId="0" borderId="71" xfId="0" applyFont="1" applyBorder="1" applyAlignment="1">
      <alignment horizontal="left" indent="5"/>
    </xf>
    <xf numFmtId="3" fontId="26" fillId="0" borderId="73" xfId="0" applyNumberFormat="1" applyFont="1" applyBorder="1"/>
    <xf numFmtId="0" fontId="1" fillId="0" borderId="26" xfId="0" applyFont="1" applyBorder="1" applyAlignment="1">
      <alignment horizontal="left"/>
    </xf>
    <xf numFmtId="3" fontId="1" fillId="0" borderId="74" xfId="0" applyNumberFormat="1" applyFont="1" applyBorder="1"/>
    <xf numFmtId="3" fontId="1" fillId="0" borderId="59" xfId="0" applyNumberFormat="1" applyFont="1" applyBorder="1"/>
    <xf numFmtId="3" fontId="1" fillId="0" borderId="75" xfId="0" applyNumberFormat="1" applyFont="1" applyBorder="1"/>
    <xf numFmtId="0" fontId="1" fillId="0" borderId="0" xfId="0" applyFont="1" applyAlignment="1"/>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1" fillId="0" borderId="16" xfId="0" applyFont="1" applyBorder="1" applyAlignment="1">
      <alignment horizontal="left" wrapText="1" indent="3"/>
    </xf>
    <xf numFmtId="3" fontId="1" fillId="0" borderId="17" xfId="0" applyNumberFormat="1" applyFont="1" applyBorder="1"/>
    <xf numFmtId="3" fontId="1" fillId="0" borderId="18" xfId="0" applyNumberFormat="1" applyFont="1" applyBorder="1"/>
    <xf numFmtId="0" fontId="1" fillId="0" borderId="19" xfId="0" applyFont="1" applyBorder="1" applyAlignment="1">
      <alignment horizontal="left" wrapText="1" indent="4"/>
    </xf>
    <xf numFmtId="0" fontId="1" fillId="0" borderId="19" xfId="0" applyFont="1" applyBorder="1" applyAlignment="1">
      <alignment horizontal="left" wrapText="1" indent="3"/>
    </xf>
    <xf numFmtId="0" fontId="1" fillId="0" borderId="35" xfId="0" applyFont="1" applyBorder="1" applyAlignment="1">
      <alignment horizontal="left" wrapText="1" indent="3"/>
    </xf>
    <xf numFmtId="3" fontId="1" fillId="0" borderId="36" xfId="0" applyNumberFormat="1" applyFont="1" applyBorder="1"/>
    <xf numFmtId="3" fontId="1" fillId="0" borderId="37" xfId="0" applyNumberFormat="1" applyFont="1" applyBorder="1"/>
    <xf numFmtId="0" fontId="1" fillId="0" borderId="16" xfId="0" applyFont="1" applyBorder="1" applyAlignment="1">
      <alignment horizontal="left" indent="2"/>
    </xf>
    <xf numFmtId="0" fontId="1" fillId="0" borderId="35" xfId="0" applyFont="1" applyBorder="1" applyAlignment="1">
      <alignment horizontal="left" indent="2"/>
    </xf>
    <xf numFmtId="3" fontId="1" fillId="0" borderId="47" xfId="0" applyNumberFormat="1" applyFont="1" applyBorder="1"/>
    <xf numFmtId="3" fontId="1" fillId="0" borderId="52" xfId="0" applyNumberFormat="1" applyFont="1" applyBorder="1"/>
    <xf numFmtId="0" fontId="1" fillId="0" borderId="19" xfId="0" applyFont="1" applyBorder="1" applyAlignment="1">
      <alignment horizontal="left" indent="5"/>
    </xf>
    <xf numFmtId="0" fontId="1" fillId="0" borderId="22" xfId="0" applyFont="1" applyBorder="1" applyAlignment="1">
      <alignment horizontal="left" indent="5"/>
    </xf>
    <xf numFmtId="3" fontId="1" fillId="0" borderId="23" xfId="0" applyNumberFormat="1" applyFont="1" applyBorder="1"/>
    <xf numFmtId="3" fontId="1" fillId="0" borderId="24" xfId="0" applyNumberFormat="1" applyFont="1" applyBorder="1"/>
    <xf numFmtId="0" fontId="1" fillId="0" borderId="6" xfId="0" applyFont="1" applyBorder="1" applyAlignment="1">
      <alignment horizontal="left" indent="3"/>
    </xf>
    <xf numFmtId="3" fontId="1" fillId="0" borderId="7" xfId="0" applyNumberFormat="1" applyFont="1" applyBorder="1"/>
    <xf numFmtId="3" fontId="1" fillId="0" borderId="8" xfId="0" applyNumberFormat="1" applyFont="1" applyBorder="1"/>
    <xf numFmtId="0" fontId="1" fillId="0" borderId="0" xfId="0" applyFont="1" applyAlignment="1">
      <alignment vertical="top" wrapText="1"/>
    </xf>
    <xf numFmtId="3" fontId="15" fillId="0" borderId="7" xfId="0" applyNumberFormat="1" applyFont="1" applyBorder="1"/>
    <xf numFmtId="0" fontId="15" fillId="0" borderId="30" xfId="0" applyFont="1" applyBorder="1" applyAlignment="1">
      <alignment horizontal="right"/>
    </xf>
    <xf numFmtId="0" fontId="15" fillId="0" borderId="6" xfId="0" applyFont="1" applyBorder="1" applyAlignment="1">
      <alignment horizontal="right"/>
    </xf>
    <xf numFmtId="3" fontId="1" fillId="0" borderId="1" xfId="0" applyNumberFormat="1" applyFont="1" applyBorder="1"/>
    <xf numFmtId="0" fontId="1" fillId="0" borderId="58" xfId="0" applyFont="1" applyBorder="1" applyAlignment="1">
      <alignment horizontal="center" wrapText="1"/>
    </xf>
    <xf numFmtId="0" fontId="1" fillId="0" borderId="15" xfId="0" applyFont="1" applyBorder="1" applyAlignment="1">
      <alignment horizontal="left" wrapText="1" indent="3"/>
    </xf>
    <xf numFmtId="0" fontId="1" fillId="0" borderId="103" xfId="0" applyFont="1" applyBorder="1" applyAlignment="1">
      <alignment horizontal="center" wrapText="1"/>
    </xf>
    <xf numFmtId="0" fontId="1" fillId="0" borderId="29" xfId="0" applyFont="1" applyBorder="1" applyAlignment="1">
      <alignment horizontal="center" wrapText="1"/>
    </xf>
    <xf numFmtId="0" fontId="1" fillId="0" borderId="104" xfId="0" applyFont="1" applyBorder="1" applyAlignment="1">
      <alignment horizontal="center" wrapText="1"/>
    </xf>
    <xf numFmtId="0" fontId="15" fillId="0" borderId="41" xfId="0" applyFont="1" applyBorder="1" applyAlignment="1">
      <alignment vertical="top"/>
    </xf>
    <xf numFmtId="0" fontId="15" fillId="0" borderId="104" xfId="0" applyFont="1" applyBorder="1" applyAlignment="1">
      <alignment vertical="top" wrapText="1"/>
    </xf>
    <xf numFmtId="0" fontId="1" fillId="0" borderId="17" xfId="0" applyFont="1" applyBorder="1"/>
    <xf numFmtId="0" fontId="1" fillId="0" borderId="18" xfId="0" applyFont="1" applyBorder="1"/>
    <xf numFmtId="0" fontId="1" fillId="0" borderId="42" xfId="0" applyFont="1" applyBorder="1" applyAlignment="1">
      <alignment vertical="top"/>
    </xf>
    <xf numFmtId="0" fontId="1" fillId="0" borderId="29" xfId="0" applyFont="1" applyBorder="1" applyAlignment="1">
      <alignment vertical="top" wrapText="1"/>
    </xf>
    <xf numFmtId="3" fontId="1" fillId="0" borderId="20" xfId="1" applyNumberFormat="1" applyFont="1" applyBorder="1"/>
    <xf numFmtId="0" fontId="1" fillId="0" borderId="29" xfId="0" applyFont="1" applyBorder="1" applyAlignment="1">
      <alignment vertical="top"/>
    </xf>
    <xf numFmtId="0" fontId="1" fillId="0" borderId="43" xfId="0" applyFont="1" applyBorder="1"/>
    <xf numFmtId="0" fontId="15" fillId="0" borderId="103" xfId="0" applyFont="1" applyBorder="1" applyAlignment="1">
      <alignment horizontal="right" vertical="top"/>
    </xf>
    <xf numFmtId="0" fontId="15" fillId="0" borderId="103" xfId="0" applyFont="1" applyBorder="1" applyAlignment="1">
      <alignment horizontal="right"/>
    </xf>
    <xf numFmtId="0" fontId="1" fillId="0" borderId="106" xfId="0" applyFont="1" applyBorder="1"/>
    <xf numFmtId="0" fontId="15" fillId="0" borderId="30" xfId="0" applyFont="1" applyBorder="1" applyAlignment="1">
      <alignment horizontal="center"/>
    </xf>
    <xf numFmtId="3" fontId="15" fillId="0" borderId="8" xfId="0" applyNumberFormat="1" applyFont="1" applyBorder="1"/>
    <xf numFmtId="0" fontId="27" fillId="0" borderId="0" xfId="0" applyFont="1" applyAlignment="1">
      <alignment horizontal="left" vertical="top"/>
    </xf>
    <xf numFmtId="0" fontId="1" fillId="0" borderId="19" xfId="0" applyFont="1" applyBorder="1" applyAlignment="1">
      <alignment horizontal="left" wrapText="1" indent="5"/>
    </xf>
    <xf numFmtId="0" fontId="1" fillId="0" borderId="10" xfId="0" applyFont="1" applyBorder="1" applyAlignment="1">
      <alignment horizontal="left" indent="3"/>
    </xf>
    <xf numFmtId="3" fontId="1" fillId="0" borderId="2" xfId="0" applyNumberFormat="1" applyFont="1" applyBorder="1"/>
    <xf numFmtId="3" fontId="1" fillId="0" borderId="107" xfId="0" applyNumberFormat="1" applyFont="1" applyBorder="1"/>
    <xf numFmtId="0" fontId="1" fillId="0" borderId="95" xfId="0" applyFont="1" applyBorder="1" applyAlignment="1">
      <alignment horizontal="left" indent="1"/>
    </xf>
    <xf numFmtId="0" fontId="1" fillId="0" borderId="10" xfId="0" applyFont="1" applyBorder="1" applyAlignment="1">
      <alignment horizontal="left" indent="1"/>
    </xf>
    <xf numFmtId="0" fontId="1" fillId="0" borderId="35" xfId="0" applyFont="1" applyBorder="1" applyAlignment="1">
      <alignment horizontal="left" indent="3"/>
    </xf>
    <xf numFmtId="0" fontId="1" fillId="0" borderId="47" xfId="0" applyFont="1" applyBorder="1" applyAlignment="1">
      <alignment horizontal="left" indent="1"/>
    </xf>
    <xf numFmtId="3" fontId="1" fillId="0" borderId="14" xfId="0" applyNumberFormat="1" applyFont="1" applyBorder="1"/>
    <xf numFmtId="0" fontId="1" fillId="0" borderId="14" xfId="0" applyFont="1" applyBorder="1" applyAlignment="1">
      <alignment horizontal="left" indent="1"/>
    </xf>
    <xf numFmtId="0" fontId="1" fillId="0" borderId="0" xfId="0" applyFont="1" applyBorder="1"/>
    <xf numFmtId="0" fontId="1" fillId="0" borderId="63" xfId="0" applyFont="1" applyBorder="1"/>
    <xf numFmtId="3" fontId="1" fillId="0" borderId="62" xfId="0" applyNumberFormat="1" applyFont="1" applyBorder="1"/>
    <xf numFmtId="3" fontId="1" fillId="0" borderId="61" xfId="0" applyNumberFormat="1" applyFont="1" applyBorder="1"/>
    <xf numFmtId="0" fontId="1" fillId="0" borderId="60" xfId="0" applyFont="1" applyBorder="1" applyAlignment="1">
      <alignment horizontal="left" wrapText="1" indent="2"/>
    </xf>
    <xf numFmtId="3" fontId="1" fillId="0" borderId="51" xfId="0" applyNumberFormat="1" applyFont="1" applyBorder="1"/>
    <xf numFmtId="3" fontId="1" fillId="0" borderId="53" xfId="0" applyNumberFormat="1" applyFont="1" applyBorder="1"/>
    <xf numFmtId="0" fontId="1" fillId="0" borderId="0" xfId="0" applyFont="1" applyBorder="1" applyAlignment="1">
      <alignment horizontal="left" wrapText="1" indent="2"/>
    </xf>
    <xf numFmtId="3" fontId="1" fillId="0" borderId="0" xfId="0" applyNumberFormat="1" applyFont="1" applyBorder="1"/>
    <xf numFmtId="3" fontId="1" fillId="0" borderId="43" xfId="0" applyNumberFormat="1" applyFont="1" applyBorder="1"/>
    <xf numFmtId="3" fontId="1" fillId="0" borderId="45" xfId="0" applyNumberFormat="1" applyFont="1" applyBorder="1"/>
    <xf numFmtId="37" fontId="1" fillId="0" borderId="17" xfId="0" applyNumberFormat="1" applyFont="1" applyBorder="1"/>
    <xf numFmtId="37" fontId="1" fillId="0" borderId="20" xfId="0" applyNumberFormat="1" applyFont="1" applyBorder="1"/>
    <xf numFmtId="0" fontId="1" fillId="0" borderId="110" xfId="0" applyFont="1" applyBorder="1" applyAlignment="1">
      <alignment horizontal="left" indent="3"/>
    </xf>
    <xf numFmtId="37" fontId="1" fillId="0" borderId="14" xfId="0" applyNumberFormat="1" applyFont="1" applyBorder="1"/>
    <xf numFmtId="37" fontId="1" fillId="0" borderId="18" xfId="0" applyNumberFormat="1" applyFont="1" applyBorder="1"/>
    <xf numFmtId="0" fontId="1" fillId="0" borderId="22" xfId="0" applyFont="1" applyBorder="1" applyAlignment="1">
      <alignment horizontal="left" indent="3"/>
    </xf>
    <xf numFmtId="0" fontId="28" fillId="0" borderId="0" xfId="0" applyFont="1" applyAlignment="1"/>
    <xf numFmtId="0" fontId="1" fillId="0" borderId="15" xfId="0" applyFont="1" applyBorder="1" applyAlignment="1">
      <alignment horizontal="left" indent="3"/>
    </xf>
    <xf numFmtId="0" fontId="1" fillId="0" borderId="58" xfId="0" applyFont="1" applyBorder="1" applyAlignment="1">
      <alignment horizontal="center"/>
    </xf>
    <xf numFmtId="0" fontId="1" fillId="0" borderId="49" xfId="0" applyFont="1" applyBorder="1" applyAlignment="1">
      <alignment horizontal="center"/>
    </xf>
    <xf numFmtId="3" fontId="1" fillId="0" borderId="1" xfId="0" applyNumberFormat="1" applyFont="1" applyBorder="1" applyAlignment="1">
      <alignment horizontal="right" vertical="top"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104" xfId="0" applyFont="1" applyBorder="1" applyAlignment="1">
      <alignment horizontal="center"/>
    </xf>
    <xf numFmtId="0" fontId="1" fillId="0" borderId="1" xfId="0" applyFont="1" applyBorder="1" applyAlignment="1">
      <alignment horizontal="left" indent="3"/>
    </xf>
    <xf numFmtId="37" fontId="15" fillId="0" borderId="7" xfId="0" applyNumberFormat="1" applyFont="1" applyBorder="1"/>
    <xf numFmtId="0" fontId="1" fillId="0" borderId="0" xfId="0" applyFont="1" applyAlignment="1">
      <alignment wrapText="1"/>
    </xf>
    <xf numFmtId="37" fontId="15" fillId="0" borderId="36" xfId="0" applyNumberFormat="1" applyFont="1" applyBorder="1"/>
    <xf numFmtId="3" fontId="1" fillId="0" borderId="7" xfId="0" applyNumberFormat="1" applyFont="1" applyBorder="1" applyAlignment="1">
      <alignment horizontal="right"/>
    </xf>
    <xf numFmtId="3" fontId="1" fillId="0" borderId="23" xfId="0" applyNumberFormat="1" applyFont="1" applyBorder="1" applyAlignment="1">
      <alignment horizontal="right"/>
    </xf>
    <xf numFmtId="3" fontId="1" fillId="0" borderId="20" xfId="0" applyNumberFormat="1" applyFont="1" applyBorder="1" applyAlignment="1">
      <alignment horizontal="right"/>
    </xf>
    <xf numFmtId="3" fontId="1" fillId="0" borderId="47" xfId="0" applyNumberFormat="1" applyFont="1" applyBorder="1" applyAlignment="1">
      <alignment horizontal="right"/>
    </xf>
    <xf numFmtId="3" fontId="1" fillId="0" borderId="36" xfId="0" applyNumberFormat="1" applyFont="1" applyBorder="1" applyAlignment="1">
      <alignment horizontal="right"/>
    </xf>
    <xf numFmtId="3" fontId="1" fillId="0" borderId="17" xfId="0" applyNumberFormat="1" applyFont="1" applyBorder="1" applyAlignment="1">
      <alignment horizontal="right"/>
    </xf>
    <xf numFmtId="37" fontId="1" fillId="0" borderId="17" xfId="0" applyNumberFormat="1" applyFont="1" applyBorder="1" applyAlignment="1">
      <alignment horizontal="right"/>
    </xf>
    <xf numFmtId="3" fontId="15" fillId="0" borderId="1" xfId="0" applyNumberFormat="1" applyFont="1" applyBorder="1" applyAlignment="1">
      <alignment horizontal="right"/>
    </xf>
    <xf numFmtId="0" fontId="15" fillId="0" borderId="107" xfId="0" applyFont="1" applyBorder="1" applyAlignment="1">
      <alignment horizontal="center" vertical="center" wrapText="1"/>
    </xf>
    <xf numFmtId="0" fontId="15" fillId="0" borderId="2" xfId="0" applyFont="1" applyBorder="1" applyAlignment="1">
      <alignment horizontal="center" vertical="center" wrapText="1"/>
    </xf>
    <xf numFmtId="37" fontId="1" fillId="0" borderId="47" xfId="0" applyNumberFormat="1" applyFont="1" applyBorder="1"/>
    <xf numFmtId="3" fontId="15" fillId="0" borderId="72" xfId="0" applyNumberFormat="1" applyFont="1" applyBorder="1"/>
    <xf numFmtId="3" fontId="15" fillId="0" borderId="2" xfId="0" applyNumberFormat="1" applyFont="1" applyBorder="1"/>
    <xf numFmtId="3" fontId="1" fillId="0" borderId="68" xfId="0" applyNumberFormat="1" applyFont="1" applyBorder="1"/>
    <xf numFmtId="3" fontId="1" fillId="0" borderId="20" xfId="0" applyNumberFormat="1" applyFont="1" applyFill="1" applyBorder="1"/>
    <xf numFmtId="4" fontId="1" fillId="0" borderId="47" xfId="0" applyNumberFormat="1" applyFont="1" applyBorder="1"/>
    <xf numFmtId="4" fontId="1" fillId="0" borderId="20" xfId="0" applyNumberFormat="1" applyFont="1" applyBorder="1"/>
    <xf numFmtId="3" fontId="1" fillId="0" borderId="17" xfId="0" applyNumberFormat="1" applyFont="1" applyFill="1" applyBorder="1"/>
    <xf numFmtId="0" fontId="1" fillId="0" borderId="10" xfId="0" applyFont="1" applyBorder="1" applyAlignment="1">
      <alignment horizontal="left" wrapText="1" indent="3"/>
    </xf>
    <xf numFmtId="4" fontId="1" fillId="0" borderId="0" xfId="0" applyNumberFormat="1" applyFont="1"/>
    <xf numFmtId="3" fontId="1" fillId="0" borderId="13" xfId="0" applyNumberFormat="1" applyFont="1" applyBorder="1"/>
    <xf numFmtId="0" fontId="1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xf>
    <xf numFmtId="0" fontId="19" fillId="0" borderId="0" xfId="0" applyFont="1" applyAlignment="1">
      <alignment horizontal="left" vertical="top"/>
    </xf>
    <xf numFmtId="3" fontId="9" fillId="0" borderId="112" xfId="0" applyNumberFormat="1" applyFont="1" applyBorder="1"/>
    <xf numFmtId="3" fontId="9" fillId="0" borderId="83" xfId="0" applyNumberFormat="1" applyFont="1" applyBorder="1"/>
    <xf numFmtId="3" fontId="15" fillId="0" borderId="11" xfId="0" applyNumberFormat="1" applyFont="1" applyBorder="1"/>
    <xf numFmtId="3" fontId="15" fillId="0" borderId="113" xfId="2" applyNumberFormat="1" applyFont="1" applyBorder="1"/>
    <xf numFmtId="3" fontId="9" fillId="0" borderId="114" xfId="0" applyNumberFormat="1" applyFont="1" applyBorder="1"/>
    <xf numFmtId="3" fontId="15" fillId="0" borderId="1" xfId="2" applyNumberFormat="1" applyFont="1" applyBorder="1"/>
    <xf numFmtId="0" fontId="12" fillId="0" borderId="0" xfId="0" applyFont="1" applyBorder="1" applyAlignment="1">
      <alignment horizontal="center"/>
    </xf>
    <xf numFmtId="0" fontId="14" fillId="0" borderId="1" xfId="0" applyFont="1" applyBorder="1" applyAlignment="1">
      <alignment horizontal="center" vertical="top" wrapText="1"/>
    </xf>
    <xf numFmtId="0" fontId="14" fillId="0" borderId="13" xfId="0" applyFont="1" applyBorder="1" applyAlignment="1">
      <alignment horizontal="center" vertical="top" wrapText="1"/>
    </xf>
    <xf numFmtId="0" fontId="14" fillId="0" borderId="16" xfId="0" applyFont="1" applyBorder="1" applyAlignment="1">
      <alignment horizontal="left" indent="3"/>
    </xf>
    <xf numFmtId="3" fontId="14" fillId="0" borderId="17" xfId="0" applyNumberFormat="1" applyFont="1" applyBorder="1"/>
    <xf numFmtId="3" fontId="14" fillId="0" borderId="18" xfId="0" applyNumberFormat="1" applyFont="1" applyBorder="1"/>
    <xf numFmtId="0" fontId="14" fillId="0" borderId="19" xfId="0" applyFont="1" applyBorder="1" applyAlignment="1">
      <alignment horizontal="left" indent="3"/>
    </xf>
    <xf numFmtId="3" fontId="14" fillId="0" borderId="20" xfId="0" applyNumberFormat="1" applyFont="1" applyBorder="1"/>
    <xf numFmtId="3" fontId="14" fillId="0" borderId="21" xfId="0" applyNumberFormat="1" applyFont="1" applyBorder="1"/>
    <xf numFmtId="3" fontId="30" fillId="0" borderId="20" xfId="0" applyNumberFormat="1" applyFont="1" applyBorder="1"/>
    <xf numFmtId="0" fontId="14" fillId="0" borderId="110" xfId="0" applyFont="1" applyBorder="1" applyAlignment="1">
      <alignment horizontal="left" indent="3"/>
    </xf>
    <xf numFmtId="3" fontId="14" fillId="0" borderId="14" xfId="0" applyNumberFormat="1" applyFont="1" applyBorder="1"/>
    <xf numFmtId="3" fontId="30" fillId="0" borderId="14" xfId="0" applyNumberFormat="1" applyFont="1" applyBorder="1"/>
    <xf numFmtId="0" fontId="17" fillId="0" borderId="15" xfId="0" applyFont="1" applyBorder="1" applyAlignment="1">
      <alignment horizontal="right"/>
    </xf>
    <xf numFmtId="3" fontId="17" fillId="0" borderId="1" xfId="0" applyNumberFormat="1" applyFont="1" applyBorder="1"/>
    <xf numFmtId="3" fontId="17" fillId="0" borderId="13" xfId="0" applyNumberFormat="1" applyFont="1" applyBorder="1"/>
    <xf numFmtId="0" fontId="14" fillId="0" borderId="16" xfId="0" applyFont="1" applyBorder="1" applyAlignment="1">
      <alignment horizontal="left" indent="2"/>
    </xf>
    <xf numFmtId="0" fontId="14" fillId="0" borderId="35" xfId="0" applyFont="1" applyBorder="1" applyAlignment="1">
      <alignment horizontal="left" indent="2"/>
    </xf>
    <xf numFmtId="3" fontId="17" fillId="0" borderId="36" xfId="0" applyNumberFormat="1" applyFont="1" applyBorder="1"/>
    <xf numFmtId="3" fontId="14" fillId="0" borderId="36" xfId="0" applyNumberFormat="1" applyFont="1" applyBorder="1"/>
    <xf numFmtId="3" fontId="14" fillId="0" borderId="37" xfId="0" applyNumberFormat="1" applyFont="1" applyBorder="1"/>
    <xf numFmtId="0" fontId="14" fillId="0" borderId="64" xfId="0" applyFont="1" applyBorder="1" applyAlignment="1">
      <alignment horizontal="left" indent="3"/>
    </xf>
    <xf numFmtId="3" fontId="14" fillId="0" borderId="47" xfId="0" applyNumberFormat="1" applyFont="1" applyBorder="1"/>
    <xf numFmtId="3" fontId="14" fillId="0" borderId="52" xfId="0" applyNumberFormat="1" applyFont="1" applyBorder="1"/>
    <xf numFmtId="0" fontId="14" fillId="0" borderId="19" xfId="0" applyFont="1" applyBorder="1" applyAlignment="1">
      <alignment horizontal="left" indent="5"/>
    </xf>
    <xf numFmtId="0" fontId="14" fillId="0" borderId="22" xfId="0" applyFont="1" applyBorder="1" applyAlignment="1">
      <alignment horizontal="left" indent="5"/>
    </xf>
    <xf numFmtId="3" fontId="14" fillId="0" borderId="23" xfId="0" applyNumberFormat="1" applyFont="1" applyBorder="1"/>
    <xf numFmtId="3" fontId="14" fillId="0" borderId="24" xfId="0" applyNumberFormat="1" applyFont="1" applyBorder="1"/>
    <xf numFmtId="0" fontId="14" fillId="0" borderId="6" xfId="0" applyFont="1" applyBorder="1" applyAlignment="1">
      <alignment horizontal="left" indent="3"/>
    </xf>
    <xf numFmtId="3" fontId="14" fillId="0" borderId="7" xfId="0" applyNumberFormat="1" applyFont="1" applyBorder="1"/>
    <xf numFmtId="3" fontId="14" fillId="0" borderId="8" xfId="0" applyNumberFormat="1" applyFont="1" applyBorder="1"/>
    <xf numFmtId="0" fontId="14" fillId="0" borderId="0" xfId="0" applyFont="1"/>
    <xf numFmtId="0" fontId="14" fillId="0" borderId="22" xfId="0" applyFont="1" applyBorder="1" applyAlignment="1">
      <alignment horizontal="left" indent="3"/>
    </xf>
    <xf numFmtId="0" fontId="14" fillId="0" borderId="35" xfId="0" applyFont="1" applyBorder="1" applyAlignment="1">
      <alignment horizontal="left" indent="3"/>
    </xf>
    <xf numFmtId="3" fontId="17" fillId="0" borderId="17" xfId="0" applyNumberFormat="1" applyFont="1" applyBorder="1"/>
    <xf numFmtId="3" fontId="15" fillId="0" borderId="58" xfId="0" applyNumberFormat="1" applyFont="1" applyBorder="1"/>
    <xf numFmtId="3" fontId="1" fillId="0" borderId="104" xfId="0" applyNumberFormat="1" applyFont="1" applyBorder="1"/>
    <xf numFmtId="3" fontId="1" fillId="0" borderId="103" xfId="0" applyNumberFormat="1" applyFont="1" applyBorder="1"/>
    <xf numFmtId="3" fontId="1" fillId="0" borderId="49" xfId="0" applyNumberFormat="1" applyFont="1" applyBorder="1"/>
    <xf numFmtId="3" fontId="1" fillId="0" borderId="29" xfId="0" applyNumberFormat="1" applyFont="1" applyBorder="1"/>
    <xf numFmtId="3" fontId="1" fillId="0" borderId="101" xfId="0" applyNumberFormat="1" applyFont="1" applyBorder="1"/>
    <xf numFmtId="3" fontId="1" fillId="0" borderId="30" xfId="0" applyNumberFormat="1" applyFont="1" applyBorder="1"/>
    <xf numFmtId="3" fontId="1" fillId="0" borderId="49" xfId="0" applyNumberFormat="1" applyFont="1" applyBorder="1" applyAlignment="1">
      <alignment horizontal="right"/>
    </xf>
    <xf numFmtId="3" fontId="1" fillId="0" borderId="29" xfId="0" applyNumberFormat="1" applyFont="1" applyBorder="1" applyAlignment="1">
      <alignment horizontal="right"/>
    </xf>
    <xf numFmtId="3" fontId="1" fillId="0" borderId="101" xfId="0" applyNumberFormat="1" applyFont="1" applyBorder="1" applyAlignment="1">
      <alignment horizontal="right"/>
    </xf>
    <xf numFmtId="3" fontId="1" fillId="0" borderId="30" xfId="0" applyNumberFormat="1" applyFont="1" applyBorder="1" applyAlignment="1">
      <alignment horizontal="right"/>
    </xf>
    <xf numFmtId="37" fontId="15" fillId="0" borderId="58" xfId="0" applyNumberFormat="1" applyFont="1" applyBorder="1"/>
    <xf numFmtId="37" fontId="1" fillId="0" borderId="1" xfId="0" applyNumberFormat="1" applyFont="1" applyBorder="1"/>
    <xf numFmtId="0" fontId="1" fillId="0" borderId="1" xfId="0" applyFont="1" applyBorder="1" applyAlignment="1">
      <alignment horizontal="right"/>
    </xf>
    <xf numFmtId="0" fontId="12" fillId="0" borderId="94" xfId="0" applyFont="1" applyBorder="1" applyAlignment="1">
      <alignment horizontal="center"/>
    </xf>
    <xf numFmtId="0" fontId="8" fillId="0" borderId="13" xfId="0" applyFont="1" applyBorder="1" applyAlignment="1">
      <alignment horizontal="center" vertical="top" wrapText="1"/>
    </xf>
    <xf numFmtId="0" fontId="1" fillId="0" borderId="15" xfId="0" applyFont="1" applyBorder="1" applyAlignment="1">
      <alignment horizontal="left"/>
    </xf>
    <xf numFmtId="0" fontId="1" fillId="0" borderId="13" xfId="0" applyFont="1" applyBorder="1" applyAlignment="1">
      <alignment horizontal="right"/>
    </xf>
    <xf numFmtId="0" fontId="15" fillId="0" borderId="15" xfId="0" applyFont="1" applyBorder="1" applyAlignment="1">
      <alignment horizontal="right" indent="1"/>
    </xf>
    <xf numFmtId="0" fontId="15" fillId="0" borderId="31" xfId="0" applyFont="1" applyBorder="1" applyAlignment="1">
      <alignment horizontal="right" indent="1"/>
    </xf>
    <xf numFmtId="0" fontId="15" fillId="0" borderId="94" xfId="0" applyFont="1" applyBorder="1"/>
    <xf numFmtId="0" fontId="9" fillId="0" borderId="74" xfId="0" applyFont="1" applyBorder="1"/>
    <xf numFmtId="0" fontId="9" fillId="0" borderId="33" xfId="0" applyFont="1" applyBorder="1"/>
    <xf numFmtId="0" fontId="9" fillId="0" borderId="75" xfId="0" applyFont="1" applyBorder="1"/>
    <xf numFmtId="0" fontId="31" fillId="0" borderId="33" xfId="0" applyFont="1" applyBorder="1" applyAlignment="1"/>
    <xf numFmtId="0" fontId="13" fillId="0" borderId="4" xfId="0" applyFont="1" applyBorder="1" applyAlignment="1">
      <alignment horizontal="center" vertical="center" wrapText="1"/>
    </xf>
    <xf numFmtId="0" fontId="31" fillId="0" borderId="1" xfId="0" applyFont="1" applyBorder="1" applyAlignment="1">
      <alignment horizontal="center" vertical="top" wrapText="1"/>
    </xf>
    <xf numFmtId="0" fontId="31" fillId="0" borderId="13" xfId="0" applyFont="1" applyBorder="1" applyAlignment="1">
      <alignment horizontal="center" vertical="top" wrapText="1"/>
    </xf>
    <xf numFmtId="3" fontId="31" fillId="0" borderId="17" xfId="0" applyNumberFormat="1" applyFont="1" applyBorder="1"/>
    <xf numFmtId="37" fontId="31" fillId="0" borderId="17" xfId="0" applyNumberFormat="1" applyFont="1" applyBorder="1"/>
    <xf numFmtId="3" fontId="31" fillId="0" borderId="18" xfId="0" applyNumberFormat="1" applyFont="1" applyBorder="1"/>
    <xf numFmtId="0" fontId="31" fillId="0" borderId="19" xfId="0" applyFont="1" applyBorder="1" applyAlignment="1">
      <alignment horizontal="left" indent="3"/>
    </xf>
    <xf numFmtId="3" fontId="31" fillId="0" borderId="20" xfId="0" applyNumberFormat="1" applyFont="1" applyBorder="1"/>
    <xf numFmtId="37" fontId="31" fillId="0" borderId="20" xfId="0" applyNumberFormat="1" applyFont="1" applyBorder="1"/>
    <xf numFmtId="3" fontId="31" fillId="0" borderId="21" xfId="0" applyNumberFormat="1" applyFont="1" applyBorder="1"/>
    <xf numFmtId="3" fontId="32" fillId="0" borderId="20" xfId="0" applyNumberFormat="1" applyFont="1" applyBorder="1"/>
    <xf numFmtId="0" fontId="31" fillId="0" borderId="110" xfId="0" applyFont="1" applyBorder="1" applyAlignment="1">
      <alignment horizontal="left" indent="3"/>
    </xf>
    <xf numFmtId="3" fontId="31" fillId="0" borderId="14" xfId="0" applyNumberFormat="1" applyFont="1" applyBorder="1"/>
    <xf numFmtId="37" fontId="31" fillId="0" borderId="14" xfId="0" applyNumberFormat="1" applyFont="1" applyBorder="1"/>
    <xf numFmtId="37" fontId="31" fillId="0" borderId="21" xfId="0" applyNumberFormat="1" applyFont="1" applyBorder="1"/>
    <xf numFmtId="0" fontId="13" fillId="0" borderId="15" xfId="0" applyFont="1" applyBorder="1" applyAlignment="1">
      <alignment horizontal="right"/>
    </xf>
    <xf numFmtId="3" fontId="13" fillId="0" borderId="1" xfId="0" applyNumberFormat="1" applyFont="1" applyBorder="1"/>
    <xf numFmtId="37" fontId="13" fillId="0" borderId="1" xfId="0" applyNumberFormat="1" applyFont="1" applyBorder="1"/>
    <xf numFmtId="3" fontId="13" fillId="0" borderId="13" xfId="0" applyNumberFormat="1" applyFont="1" applyBorder="1"/>
    <xf numFmtId="0" fontId="31" fillId="0" borderId="64" xfId="0" applyFont="1" applyBorder="1" applyAlignment="1">
      <alignment horizontal="left" indent="3"/>
    </xf>
    <xf numFmtId="3" fontId="31" fillId="0" borderId="47" xfId="0" applyNumberFormat="1" applyFont="1" applyBorder="1"/>
    <xf numFmtId="3" fontId="31" fillId="0" borderId="52" xfId="0" applyNumberFormat="1" applyFont="1" applyBorder="1"/>
    <xf numFmtId="0" fontId="31" fillId="0" borderId="19" xfId="0" applyFont="1" applyBorder="1" applyAlignment="1">
      <alignment horizontal="left" indent="5"/>
    </xf>
    <xf numFmtId="0" fontId="31" fillId="0" borderId="22" xfId="0" applyFont="1" applyBorder="1" applyAlignment="1">
      <alignment horizontal="left" indent="5"/>
    </xf>
    <xf numFmtId="3" fontId="31" fillId="0" borderId="23" xfId="0" applyNumberFormat="1" applyFont="1" applyBorder="1"/>
    <xf numFmtId="3" fontId="31" fillId="0" borderId="24" xfId="0" applyNumberFormat="1" applyFont="1" applyBorder="1"/>
    <xf numFmtId="0" fontId="31" fillId="0" borderId="6" xfId="0" applyFont="1" applyBorder="1" applyAlignment="1">
      <alignment horizontal="left" indent="3"/>
    </xf>
    <xf numFmtId="3" fontId="31" fillId="0" borderId="7" xfId="0" applyNumberFormat="1" applyFont="1" applyBorder="1"/>
    <xf numFmtId="3" fontId="31" fillId="0" borderId="8" xfId="0" applyNumberFormat="1" applyFont="1" applyBorder="1"/>
    <xf numFmtId="0" fontId="31" fillId="0" borderId="0" xfId="0" applyFont="1"/>
    <xf numFmtId="0" fontId="31" fillId="0" borderId="31" xfId="0" applyFont="1" applyBorder="1" applyAlignment="1"/>
    <xf numFmtId="0" fontId="31" fillId="0" borderId="0" xfId="0" applyFont="1" applyBorder="1" applyAlignment="1"/>
    <xf numFmtId="0" fontId="31" fillId="0" borderId="94" xfId="0" applyFont="1" applyBorder="1" applyAlignment="1"/>
    <xf numFmtId="0" fontId="31" fillId="0" borderId="74" xfId="0" applyFont="1" applyBorder="1" applyAlignment="1"/>
    <xf numFmtId="0" fontId="31" fillId="0" borderId="75" xfId="0" applyFont="1" applyBorder="1" applyAlignment="1"/>
    <xf numFmtId="3" fontId="31" fillId="0" borderId="19" xfId="0" applyNumberFormat="1" applyFont="1" applyBorder="1"/>
    <xf numFmtId="0" fontId="16" fillId="0" borderId="0" xfId="0" applyFont="1" applyBorder="1" applyAlignment="1"/>
    <xf numFmtId="0" fontId="1" fillId="0" borderId="0" xfId="0" applyFont="1" applyAlignment="1">
      <alignment horizontal="center"/>
    </xf>
    <xf numFmtId="3" fontId="25" fillId="0" borderId="97" xfId="0" applyNumberFormat="1" applyFont="1" applyBorder="1"/>
    <xf numFmtId="3" fontId="14" fillId="0" borderId="2" xfId="0" applyNumberFormat="1" applyFont="1" applyBorder="1"/>
    <xf numFmtId="3" fontId="14" fillId="0" borderId="107" xfId="0" applyNumberFormat="1" applyFont="1" applyBorder="1"/>
    <xf numFmtId="3" fontId="14" fillId="0" borderId="111" xfId="0" applyNumberFormat="1" applyFont="1" applyBorder="1"/>
    <xf numFmtId="0" fontId="31" fillId="0" borderId="16" xfId="0" applyFont="1" applyBorder="1" applyAlignment="1">
      <alignment horizontal="left"/>
    </xf>
    <xf numFmtId="0" fontId="31" fillId="0" borderId="19" xfId="0" applyFont="1" applyBorder="1" applyAlignment="1">
      <alignment horizontal="left"/>
    </xf>
    <xf numFmtId="0" fontId="1" fillId="0" borderId="118" xfId="0" applyFont="1" applyBorder="1" applyAlignment="1">
      <alignment horizontal="left" indent="3"/>
    </xf>
    <xf numFmtId="0" fontId="1" fillId="0" borderId="42" xfId="0" applyFont="1" applyBorder="1" applyAlignment="1">
      <alignment horizontal="left" indent="3"/>
    </xf>
    <xf numFmtId="0" fontId="1" fillId="0" borderId="31" xfId="0" applyFont="1" applyBorder="1" applyAlignment="1">
      <alignment horizontal="left" indent="3"/>
    </xf>
    <xf numFmtId="37" fontId="1" fillId="0" borderId="17" xfId="0" applyNumberFormat="1" applyFont="1" applyBorder="1" applyAlignment="1"/>
    <xf numFmtId="37" fontId="1" fillId="0" borderId="47" xfId="0" applyNumberFormat="1" applyFont="1" applyBorder="1" applyAlignment="1"/>
    <xf numFmtId="37" fontId="1" fillId="0" borderId="20" xfId="0" applyNumberFormat="1" applyFont="1" applyBorder="1" applyAlignment="1"/>
    <xf numFmtId="0" fontId="1" fillId="0" borderId="34" xfId="0" applyFont="1" applyBorder="1" applyAlignment="1">
      <alignment horizontal="center" vertical="top" wrapText="1"/>
    </xf>
    <xf numFmtId="3" fontId="15" fillId="0" borderId="0" xfId="0" applyNumberFormat="1" applyFont="1" applyBorder="1"/>
    <xf numFmtId="37" fontId="15" fillId="0" borderId="0" xfId="0" applyNumberFormat="1" applyFont="1" applyBorder="1"/>
    <xf numFmtId="3" fontId="12" fillId="0" borderId="0" xfId="0" applyNumberFormat="1" applyFont="1" applyAlignment="1"/>
    <xf numFmtId="3" fontId="12" fillId="0" borderId="33" xfId="0" applyNumberFormat="1" applyFont="1" applyBorder="1" applyAlignment="1"/>
    <xf numFmtId="3" fontId="15" fillId="0" borderId="2" xfId="0" applyNumberFormat="1" applyFont="1" applyBorder="1" applyAlignment="1">
      <alignment horizontal="center" vertical="center" wrapText="1"/>
    </xf>
    <xf numFmtId="3" fontId="1" fillId="0" borderId="1" xfId="0" applyNumberFormat="1" applyFont="1" applyBorder="1" applyAlignment="1">
      <alignment horizontal="center" vertical="top" wrapText="1"/>
    </xf>
    <xf numFmtId="0" fontId="1" fillId="0" borderId="0" xfId="0" applyFont="1" applyAlignment="1">
      <alignment horizontal="left" wrapText="1"/>
    </xf>
    <xf numFmtId="3" fontId="18" fillId="0" borderId="23" xfId="0" applyNumberFormat="1" applyFont="1" applyBorder="1"/>
    <xf numFmtId="37" fontId="19" fillId="0" borderId="24" xfId="0" applyNumberFormat="1" applyFont="1" applyBorder="1"/>
    <xf numFmtId="37" fontId="1" fillId="0" borderId="36" xfId="0" applyNumberFormat="1" applyFont="1" applyBorder="1"/>
    <xf numFmtId="9" fontId="1" fillId="0" borderId="0" xfId="3" applyFont="1"/>
    <xf numFmtId="37" fontId="18" fillId="0" borderId="37" xfId="0" applyNumberFormat="1" applyFont="1" applyBorder="1"/>
    <xf numFmtId="37" fontId="14" fillId="0" borderId="14" xfId="0" applyNumberFormat="1" applyFont="1" applyBorder="1"/>
    <xf numFmtId="37" fontId="14" fillId="0" borderId="2" xfId="0" applyNumberFormat="1" applyFont="1" applyBorder="1"/>
    <xf numFmtId="37" fontId="17" fillId="0" borderId="1" xfId="0" applyNumberFormat="1" applyFont="1" applyBorder="1"/>
    <xf numFmtId="37" fontId="14" fillId="0" borderId="17" xfId="0" applyNumberFormat="1" applyFont="1" applyBorder="1"/>
    <xf numFmtId="37" fontId="14" fillId="0" borderId="36" xfId="0" applyNumberFormat="1" applyFont="1" applyBorder="1"/>
    <xf numFmtId="37" fontId="14" fillId="0" borderId="18" xfId="0" applyNumberFormat="1" applyFont="1" applyBorder="1"/>
    <xf numFmtId="37" fontId="14" fillId="0" borderId="1" xfId="0" applyNumberFormat="1" applyFont="1" applyBorder="1"/>
    <xf numFmtId="37" fontId="14" fillId="0" borderId="20" xfId="0" applyNumberFormat="1" applyFont="1" applyBorder="1"/>
    <xf numFmtId="37" fontId="1" fillId="0" borderId="97" xfId="0" applyNumberFormat="1" applyFont="1" applyBorder="1"/>
    <xf numFmtId="37" fontId="1" fillId="0" borderId="21" xfId="0" applyNumberFormat="1" applyFont="1" applyBorder="1"/>
    <xf numFmtId="37" fontId="15" fillId="0" borderId="21" xfId="0" applyNumberFormat="1" applyFont="1" applyBorder="1"/>
    <xf numFmtId="37" fontId="1" fillId="0" borderId="73" xfId="0" applyNumberFormat="1" applyFont="1" applyBorder="1"/>
    <xf numFmtId="37" fontId="25" fillId="0" borderId="73" xfId="0" applyNumberFormat="1" applyFont="1" applyBorder="1"/>
    <xf numFmtId="37" fontId="15" fillId="0" borderId="97" xfId="0" applyNumberFormat="1" applyFont="1" applyBorder="1"/>
    <xf numFmtId="37" fontId="1" fillId="0" borderId="75" xfId="0" applyNumberFormat="1" applyFont="1" applyBorder="1"/>
    <xf numFmtId="37" fontId="15" fillId="0" borderId="53" xfId="0" applyNumberFormat="1" applyFont="1" applyBorder="1"/>
    <xf numFmtId="3" fontId="23" fillId="0" borderId="42" xfId="0" applyNumberFormat="1" applyFont="1" applyBorder="1"/>
    <xf numFmtId="1" fontId="1" fillId="0" borderId="0" xfId="0" applyNumberFormat="1" applyFont="1"/>
    <xf numFmtId="3" fontId="15" fillId="0" borderId="0" xfId="0" applyNumberFormat="1" applyFont="1"/>
    <xf numFmtId="9" fontId="1" fillId="0" borderId="0" xfId="0" applyNumberFormat="1" applyFont="1"/>
    <xf numFmtId="9" fontId="15" fillId="0" borderId="0" xfId="0" applyNumberFormat="1" applyFont="1"/>
    <xf numFmtId="3" fontId="0" fillId="0" borderId="20" xfId="0" applyNumberFormat="1" applyBorder="1"/>
    <xf numFmtId="2" fontId="1" fillId="0" borderId="0" xfId="0" applyNumberFormat="1" applyFont="1"/>
    <xf numFmtId="1" fontId="1" fillId="0" borderId="0" xfId="3" applyNumberFormat="1" applyFont="1"/>
    <xf numFmtId="37" fontId="0" fillId="0" borderId="0" xfId="0" applyNumberFormat="1" applyFont="1" applyBorder="1"/>
    <xf numFmtId="164" fontId="0" fillId="0" borderId="0" xfId="0" applyNumberFormat="1" applyFont="1" applyBorder="1"/>
    <xf numFmtId="43" fontId="1" fillId="0" borderId="0" xfId="0" applyNumberFormat="1" applyFont="1"/>
    <xf numFmtId="3" fontId="9" fillId="0" borderId="1" xfId="0" applyNumberFormat="1" applyFont="1" applyBorder="1"/>
    <xf numFmtId="3" fontId="9" fillId="0" borderId="13" xfId="0" applyNumberFormat="1" applyFont="1" applyBorder="1"/>
    <xf numFmtId="3" fontId="1" fillId="0" borderId="119" xfId="0" applyNumberFormat="1" applyFont="1" applyBorder="1" applyAlignment="1">
      <alignment horizontal="right"/>
    </xf>
    <xf numFmtId="37" fontId="1" fillId="0" borderId="120" xfId="0" applyNumberFormat="1" applyFont="1" applyBorder="1" applyAlignment="1">
      <alignment horizontal="right"/>
    </xf>
    <xf numFmtId="37" fontId="1" fillId="0" borderId="121" xfId="0" applyNumberFormat="1" applyFont="1" applyBorder="1" applyAlignment="1">
      <alignment horizontal="right" vertical="top" wrapText="1"/>
    </xf>
    <xf numFmtId="37" fontId="1" fillId="0" borderId="119" xfId="0" applyNumberFormat="1" applyFont="1" applyBorder="1" applyAlignment="1">
      <alignment horizontal="right"/>
    </xf>
    <xf numFmtId="37" fontId="1" fillId="0" borderId="122" xfId="0" applyNumberFormat="1" applyFont="1" applyBorder="1" applyAlignment="1">
      <alignment horizontal="right" vertical="top" wrapText="1"/>
    </xf>
    <xf numFmtId="37" fontId="1" fillId="0" borderId="52" xfId="0" applyNumberFormat="1" applyFont="1" applyBorder="1"/>
    <xf numFmtId="0" fontId="14" fillId="0" borderId="15" xfId="0" applyFont="1" applyBorder="1" applyAlignment="1">
      <alignment horizontal="left" indent="2"/>
    </xf>
    <xf numFmtId="37" fontId="14" fillId="0" borderId="13" xfId="0" applyNumberFormat="1" applyFont="1" applyBorder="1"/>
    <xf numFmtId="0" fontId="34" fillId="0" borderId="0" xfId="4" applyFont="1"/>
    <xf numFmtId="0" fontId="33" fillId="0" borderId="0" xfId="4"/>
    <xf numFmtId="0" fontId="35" fillId="0" borderId="0" xfId="4" applyFont="1"/>
    <xf numFmtId="0" fontId="36" fillId="0" borderId="0" xfId="4" applyFont="1"/>
    <xf numFmtId="3" fontId="38" fillId="0" borderId="0" xfId="5" applyNumberFormat="1" applyFont="1" applyAlignment="1"/>
    <xf numFmtId="0" fontId="39" fillId="0" borderId="0" xfId="6"/>
    <xf numFmtId="0" fontId="37" fillId="2" borderId="0" xfId="7" applyFont="1" applyFill="1" applyAlignment="1">
      <alignment horizontal="center"/>
    </xf>
    <xf numFmtId="0" fontId="39" fillId="2" borderId="0" xfId="7" applyFont="1" applyFill="1"/>
    <xf numFmtId="0" fontId="40" fillId="2" borderId="0" xfId="7" applyFont="1" applyFill="1"/>
    <xf numFmtId="0" fontId="42" fillId="2" borderId="0" xfId="7" applyFont="1" applyFill="1"/>
    <xf numFmtId="0" fontId="44" fillId="2" borderId="0" xfId="7" applyFont="1" applyFill="1" applyAlignment="1">
      <alignment horizontal="left" vertical="top" wrapText="1"/>
    </xf>
    <xf numFmtId="0" fontId="36" fillId="2" borderId="0" xfId="7" applyFont="1" applyFill="1" applyAlignment="1">
      <alignment horizontal="left" vertical="top" wrapText="1"/>
    </xf>
    <xf numFmtId="0" fontId="44" fillId="3" borderId="0" xfId="6" applyFont="1" applyFill="1" applyAlignment="1">
      <alignment horizontal="left" vertical="top"/>
    </xf>
    <xf numFmtId="0" fontId="45" fillId="3" borderId="0" xfId="6" applyFont="1" applyFill="1" applyAlignment="1">
      <alignment horizontal="centerContinuous" vertical="top"/>
    </xf>
    <xf numFmtId="0" fontId="36" fillId="3" borderId="0" xfId="6" applyFont="1" applyFill="1" applyAlignment="1">
      <alignment horizontal="left" vertical="top" wrapText="1"/>
    </xf>
    <xf numFmtId="0" fontId="44" fillId="3" borderId="0" xfId="6" applyFont="1" applyFill="1" applyAlignment="1">
      <alignment horizontal="left" vertical="top" wrapText="1"/>
    </xf>
    <xf numFmtId="0" fontId="37" fillId="0" borderId="0" xfId="4" applyFont="1"/>
    <xf numFmtId="0" fontId="46" fillId="0" borderId="0" xfId="0" applyFont="1"/>
    <xf numFmtId="3" fontId="12" fillId="0" borderId="0" xfId="0" applyNumberFormat="1" applyFont="1"/>
    <xf numFmtId="164" fontId="12" fillId="0" borderId="0" xfId="1" applyNumberFormat="1" applyFont="1"/>
    <xf numFmtId="0" fontId="12" fillId="0" borderId="0" xfId="0" applyFont="1"/>
    <xf numFmtId="37" fontId="34" fillId="4" borderId="1" xfId="0" applyNumberFormat="1" applyFont="1" applyFill="1" applyBorder="1" applyAlignment="1">
      <alignment horizontal="center" wrapText="1"/>
    </xf>
    <xf numFmtId="37" fontId="34" fillId="4" borderId="1" xfId="0" applyNumberFormat="1" applyFont="1" applyFill="1" applyBorder="1" applyAlignment="1">
      <alignment horizontal="center" vertical="center" wrapText="1"/>
    </xf>
    <xf numFmtId="37" fontId="34" fillId="4" borderId="4" xfId="0" applyNumberFormat="1" applyFont="1" applyFill="1" applyBorder="1" applyAlignment="1">
      <alignment horizontal="center" wrapText="1"/>
    </xf>
    <xf numFmtId="37" fontId="47" fillId="0" borderId="0" xfId="0" applyNumberFormat="1" applyFont="1" applyFill="1"/>
    <xf numFmtId="37" fontId="36" fillId="5" borderId="1" xfId="0" applyNumberFormat="1" applyFont="1" applyFill="1" applyBorder="1"/>
    <xf numFmtId="37" fontId="34" fillId="5" borderId="1" xfId="0" applyNumberFormat="1" applyFont="1" applyFill="1" applyBorder="1" applyAlignment="1">
      <alignment horizontal="center" vertical="center" wrapText="1"/>
    </xf>
    <xf numFmtId="37" fontId="36" fillId="0" borderId="1" xfId="0" applyNumberFormat="1" applyFont="1" applyFill="1" applyBorder="1"/>
    <xf numFmtId="37" fontId="34" fillId="5" borderId="1" xfId="0" applyNumberFormat="1" applyFont="1" applyFill="1" applyBorder="1" applyAlignment="1">
      <alignment wrapText="1"/>
    </xf>
    <xf numFmtId="37" fontId="36" fillId="5" borderId="1" xfId="0" applyNumberFormat="1" applyFont="1" applyFill="1" applyBorder="1" applyAlignment="1">
      <alignment horizontal="right"/>
    </xf>
    <xf numFmtId="37" fontId="36" fillId="5" borderId="1" xfId="0" applyNumberFormat="1" applyFont="1" applyFill="1" applyBorder="1" applyAlignment="1">
      <alignment horizontal="center"/>
    </xf>
    <xf numFmtId="37" fontId="36" fillId="5" borderId="1" xfId="0" applyNumberFormat="1" applyFont="1" applyFill="1" applyBorder="1" applyAlignment="1">
      <alignment horizontal="left" wrapText="1"/>
    </xf>
    <xf numFmtId="37" fontId="36" fillId="5" borderId="1" xfId="0" applyNumberFormat="1" applyFont="1" applyFill="1" applyBorder="1" applyAlignment="1">
      <alignment horizontal="left" wrapText="1" indent="1"/>
    </xf>
    <xf numFmtId="37" fontId="44" fillId="5" borderId="1" xfId="0" applyNumberFormat="1" applyFont="1" applyFill="1" applyBorder="1" applyAlignment="1">
      <alignment horizontal="right"/>
    </xf>
    <xf numFmtId="37" fontId="44" fillId="0" borderId="1" xfId="0" applyNumberFormat="1" applyFont="1" applyFill="1" applyBorder="1"/>
    <xf numFmtId="37" fontId="44" fillId="5" borderId="1" xfId="0" quotePrefix="1" applyNumberFormat="1" applyFont="1" applyFill="1" applyBorder="1" applyAlignment="1">
      <alignment horizontal="right"/>
    </xf>
    <xf numFmtId="37" fontId="36" fillId="0" borderId="1" xfId="0" applyNumberFormat="1" applyFont="1" applyFill="1" applyBorder="1" applyAlignment="1">
      <alignment horizontal="center"/>
    </xf>
    <xf numFmtId="37" fontId="36" fillId="0" borderId="1" xfId="0" applyNumberFormat="1" applyFont="1" applyFill="1" applyBorder="1" applyAlignment="1">
      <alignment horizontal="left" wrapText="1" indent="1"/>
    </xf>
    <xf numFmtId="37" fontId="44" fillId="0" borderId="1" xfId="0" quotePrefix="1" applyNumberFormat="1" applyFont="1" applyFill="1" applyBorder="1" applyAlignment="1">
      <alignment horizontal="right"/>
    </xf>
    <xf numFmtId="37" fontId="36" fillId="0" borderId="1" xfId="0" applyNumberFormat="1" applyFont="1" applyFill="1" applyBorder="1" applyAlignment="1">
      <alignment wrapText="1"/>
    </xf>
    <xf numFmtId="37" fontId="36" fillId="0" borderId="1" xfId="0" applyNumberFormat="1" applyFont="1" applyFill="1" applyBorder="1" applyAlignment="1">
      <alignment horizontal="right"/>
    </xf>
    <xf numFmtId="37" fontId="44" fillId="0" borderId="1" xfId="0" applyNumberFormat="1" applyFont="1" applyFill="1" applyBorder="1" applyAlignment="1">
      <alignment horizontal="right"/>
    </xf>
    <xf numFmtId="37" fontId="36" fillId="0" borderId="1" xfId="0" applyNumberFormat="1" applyFont="1" applyFill="1" applyBorder="1" applyAlignment="1">
      <alignment horizontal="left" wrapText="1"/>
    </xf>
    <xf numFmtId="37" fontId="36" fillId="0" borderId="1" xfId="0" quotePrefix="1" applyNumberFormat="1" applyFont="1" applyFill="1" applyBorder="1" applyAlignment="1">
      <alignment horizontal="right"/>
    </xf>
    <xf numFmtId="37" fontId="34" fillId="0" borderId="1" xfId="0" applyNumberFormat="1" applyFont="1" applyFill="1" applyBorder="1" applyAlignment="1">
      <alignment horizontal="right" wrapText="1"/>
    </xf>
    <xf numFmtId="37" fontId="34" fillId="0" borderId="1" xfId="0" applyNumberFormat="1" applyFont="1" applyFill="1" applyBorder="1" applyAlignment="1">
      <alignment horizontal="right"/>
    </xf>
    <xf numFmtId="37" fontId="34" fillId="0" borderId="1" xfId="0" applyNumberFormat="1" applyFont="1" applyFill="1" applyBorder="1" applyAlignment="1">
      <alignment wrapText="1"/>
    </xf>
    <xf numFmtId="37" fontId="36" fillId="0" borderId="1" xfId="0" applyNumberFormat="1" applyFont="1" applyFill="1" applyBorder="1" applyAlignment="1">
      <alignment horizontal="left" wrapText="1" indent="2"/>
    </xf>
    <xf numFmtId="37" fontId="36" fillId="0" borderId="1" xfId="0" applyNumberFormat="1" applyFont="1" applyFill="1" applyBorder="1" applyAlignment="1" applyProtection="1">
      <alignment horizontal="center"/>
    </xf>
    <xf numFmtId="37" fontId="50" fillId="0" borderId="0" xfId="0" applyNumberFormat="1" applyFont="1" applyFill="1"/>
    <xf numFmtId="37" fontId="36" fillId="0" borderId="1" xfId="0" applyNumberFormat="1" applyFont="1" applyFill="1" applyBorder="1" applyAlignment="1" applyProtection="1">
      <alignment horizontal="left" wrapText="1"/>
      <protection locked="0"/>
    </xf>
    <xf numFmtId="37" fontId="36" fillId="0" borderId="1" xfId="0" applyNumberFormat="1" applyFont="1" applyFill="1" applyBorder="1" applyAlignment="1">
      <alignment horizontal="right" vertical="top"/>
    </xf>
    <xf numFmtId="166" fontId="36" fillId="0" borderId="1" xfId="0" applyNumberFormat="1" applyFont="1" applyFill="1" applyBorder="1" applyAlignment="1">
      <alignment horizontal="left" wrapText="1" indent="1"/>
    </xf>
    <xf numFmtId="37" fontId="34" fillId="0" borderId="1" xfId="0" applyNumberFormat="1" applyFont="1" applyFill="1" applyBorder="1" applyAlignment="1" applyProtection="1">
      <alignment horizontal="right" wrapText="1"/>
      <protection locked="0"/>
    </xf>
    <xf numFmtId="37" fontId="53" fillId="0" borderId="1" xfId="0" applyNumberFormat="1" applyFont="1" applyFill="1" applyBorder="1"/>
    <xf numFmtId="37" fontId="34" fillId="0" borderId="1" xfId="0" applyNumberFormat="1" applyFont="1" applyFill="1" applyBorder="1"/>
    <xf numFmtId="37" fontId="54" fillId="0" borderId="0" xfId="0" applyNumberFormat="1" applyFont="1" applyFill="1"/>
    <xf numFmtId="37" fontId="55" fillId="0" borderId="1" xfId="0" applyNumberFormat="1" applyFont="1" applyFill="1" applyBorder="1"/>
    <xf numFmtId="37" fontId="34" fillId="0" borderId="1" xfId="0" applyNumberFormat="1" applyFont="1" applyFill="1" applyBorder="1" applyAlignment="1">
      <alignment horizontal="center"/>
    </xf>
    <xf numFmtId="37" fontId="34" fillId="0" borderId="1" xfId="0" applyNumberFormat="1" applyFont="1" applyFill="1" applyBorder="1" applyAlignment="1">
      <alignment horizontal="left" wrapText="1"/>
    </xf>
    <xf numFmtId="37" fontId="56" fillId="0" borderId="0" xfId="0" applyNumberFormat="1" applyFont="1" applyFill="1"/>
    <xf numFmtId="37" fontId="57" fillId="0" borderId="1" xfId="0" applyNumberFormat="1" applyFont="1" applyFill="1" applyBorder="1" applyAlignment="1">
      <alignment horizontal="center"/>
    </xf>
    <xf numFmtId="37" fontId="57" fillId="0" borderId="1" xfId="0" applyNumberFormat="1" applyFont="1" applyFill="1" applyBorder="1" applyAlignment="1">
      <alignment wrapText="1"/>
    </xf>
    <xf numFmtId="37" fontId="55" fillId="0" borderId="1" xfId="0" applyNumberFormat="1" applyFont="1" applyFill="1" applyBorder="1" applyAlignment="1">
      <alignment horizontal="right"/>
    </xf>
    <xf numFmtId="37" fontId="58" fillId="0" borderId="0" xfId="0" applyNumberFormat="1" applyFont="1" applyFill="1"/>
    <xf numFmtId="37" fontId="59" fillId="0" borderId="1" xfId="0" applyNumberFormat="1" applyFont="1" applyFill="1" applyBorder="1" applyAlignment="1">
      <alignment horizontal="center"/>
    </xf>
    <xf numFmtId="37" fontId="59" fillId="0" borderId="1" xfId="0" applyNumberFormat="1" applyFont="1" applyFill="1" applyBorder="1" applyAlignment="1">
      <alignment wrapText="1"/>
    </xf>
    <xf numFmtId="37" fontId="59" fillId="0" borderId="1" xfId="0" applyNumberFormat="1" applyFont="1" applyFill="1" applyBorder="1"/>
    <xf numFmtId="37" fontId="60" fillId="0" borderId="1" xfId="0" applyNumberFormat="1" applyFont="1" applyFill="1" applyBorder="1"/>
    <xf numFmtId="37" fontId="44" fillId="0" borderId="1" xfId="0" applyNumberFormat="1" applyFont="1" applyFill="1" applyBorder="1" applyAlignment="1">
      <alignment wrapText="1"/>
    </xf>
    <xf numFmtId="37" fontId="44" fillId="0" borderId="1" xfId="0" quotePrefix="1" applyNumberFormat="1" applyFont="1" applyFill="1" applyBorder="1" applyAlignment="1"/>
    <xf numFmtId="37" fontId="44" fillId="0" borderId="1" xfId="0" applyNumberFormat="1" applyFont="1" applyFill="1" applyBorder="1" applyAlignment="1">
      <alignment horizontal="left" wrapText="1" indent="2"/>
    </xf>
    <xf numFmtId="37" fontId="61" fillId="0" borderId="1" xfId="0" applyNumberFormat="1" applyFont="1" applyFill="1" applyBorder="1" applyAlignment="1">
      <alignment wrapText="1"/>
    </xf>
    <xf numFmtId="37" fontId="62" fillId="0" borderId="1" xfId="0" applyNumberFormat="1" applyFont="1" applyFill="1" applyBorder="1" applyAlignment="1">
      <alignment horizontal="right"/>
    </xf>
    <xf numFmtId="37" fontId="63" fillId="0" borderId="0" xfId="0" applyNumberFormat="1" applyFont="1" applyFill="1"/>
    <xf numFmtId="37" fontId="36" fillId="0" borderId="1" xfId="0" applyNumberFormat="1" applyFont="1" applyFill="1" applyBorder="1" applyAlignment="1">
      <alignment horizontal="left" wrapText="1" indent="3"/>
    </xf>
    <xf numFmtId="37" fontId="44" fillId="0" borderId="1" xfId="0" applyNumberFormat="1" applyFont="1" applyFill="1" applyBorder="1" applyAlignment="1">
      <alignment horizontal="center"/>
    </xf>
    <xf numFmtId="37" fontId="36" fillId="0" borderId="1" xfId="0" applyNumberFormat="1" applyFont="1" applyFill="1" applyBorder="1" applyAlignment="1">
      <alignment horizontal="right" wrapText="1"/>
    </xf>
    <xf numFmtId="37" fontId="63" fillId="6" borderId="0" xfId="0" applyNumberFormat="1" applyFont="1" applyFill="1"/>
    <xf numFmtId="37" fontId="36" fillId="0" borderId="1" xfId="0" applyNumberFormat="1" applyFont="1" applyFill="1" applyBorder="1" applyAlignment="1">
      <alignment horizontal="left" wrapText="1" indent="5"/>
    </xf>
    <xf numFmtId="37" fontId="44" fillId="0" borderId="1" xfId="0" applyNumberFormat="1" applyFont="1" applyFill="1" applyBorder="1" applyAlignment="1">
      <alignment horizontal="right" wrapText="1"/>
    </xf>
    <xf numFmtId="37" fontId="34" fillId="0" borderId="1" xfId="0" quotePrefix="1" applyNumberFormat="1" applyFont="1" applyFill="1" applyBorder="1" applyAlignment="1">
      <alignment horizontal="right"/>
    </xf>
    <xf numFmtId="37" fontId="34" fillId="0" borderId="0" xfId="0" applyNumberFormat="1" applyFont="1" applyFill="1"/>
    <xf numFmtId="37" fontId="61" fillId="0" borderId="1" xfId="0" applyNumberFormat="1" applyFont="1" applyFill="1" applyBorder="1" applyAlignment="1">
      <alignment horizontal="right" wrapText="1"/>
    </xf>
    <xf numFmtId="37" fontId="62" fillId="0" borderId="1" xfId="0" applyNumberFormat="1" applyFont="1" applyFill="1" applyBorder="1"/>
    <xf numFmtId="37" fontId="64" fillId="0" borderId="0" xfId="0" applyNumberFormat="1" applyFont="1" applyFill="1"/>
    <xf numFmtId="37" fontId="47" fillId="0" borderId="1" xfId="0" applyNumberFormat="1" applyFont="1" applyFill="1" applyBorder="1" applyAlignment="1">
      <alignment horizontal="center"/>
    </xf>
    <xf numFmtId="37" fontId="36" fillId="0" borderId="0" xfId="0" applyNumberFormat="1" applyFont="1" applyFill="1"/>
    <xf numFmtId="37" fontId="47" fillId="5" borderId="1" xfId="0" applyNumberFormat="1" applyFont="1" applyFill="1" applyBorder="1" applyAlignment="1">
      <alignment horizontal="center"/>
    </xf>
    <xf numFmtId="37" fontId="34" fillId="5" borderId="1" xfId="0" applyNumberFormat="1" applyFont="1" applyFill="1" applyBorder="1" applyAlignment="1">
      <alignment horizontal="right"/>
    </xf>
    <xf numFmtId="37" fontId="36" fillId="5" borderId="1" xfId="0" applyNumberFormat="1" applyFont="1" applyFill="1" applyBorder="1" applyAlignment="1">
      <alignment wrapText="1"/>
    </xf>
    <xf numFmtId="3" fontId="36" fillId="5" borderId="1" xfId="0" applyNumberFormat="1" applyFont="1" applyFill="1" applyBorder="1"/>
    <xf numFmtId="37" fontId="34" fillId="5" borderId="1" xfId="0" applyNumberFormat="1" applyFont="1" applyFill="1" applyBorder="1" applyAlignment="1">
      <alignment horizontal="right" wrapText="1"/>
    </xf>
    <xf numFmtId="37" fontId="34" fillId="5" borderId="1" xfId="0" applyNumberFormat="1" applyFont="1" applyFill="1" applyBorder="1"/>
    <xf numFmtId="37" fontId="59" fillId="0" borderId="0" xfId="0" applyNumberFormat="1" applyFont="1" applyFill="1"/>
    <xf numFmtId="37" fontId="58" fillId="5" borderId="1" xfId="0" applyNumberFormat="1" applyFont="1" applyFill="1" applyBorder="1" applyAlignment="1">
      <alignment horizontal="center"/>
    </xf>
    <xf numFmtId="37" fontId="59" fillId="5" borderId="1" xfId="0" applyNumberFormat="1" applyFont="1" applyFill="1" applyBorder="1" applyAlignment="1">
      <alignment wrapText="1"/>
    </xf>
    <xf numFmtId="37" fontId="58" fillId="5" borderId="1" xfId="0" applyNumberFormat="1" applyFont="1" applyFill="1" applyBorder="1"/>
    <xf numFmtId="37" fontId="47" fillId="5" borderId="1" xfId="0" applyNumberFormat="1" applyFont="1" applyFill="1" applyBorder="1"/>
    <xf numFmtId="37" fontId="36" fillId="5" borderId="1" xfId="0" applyNumberFormat="1" applyFont="1" applyFill="1" applyBorder="1" applyAlignment="1">
      <alignment horizontal="left" wrapText="1" indent="2"/>
    </xf>
    <xf numFmtId="3" fontId="44" fillId="5" borderId="1" xfId="0" applyNumberFormat="1" applyFont="1" applyFill="1" applyBorder="1"/>
    <xf numFmtId="37" fontId="44" fillId="5" borderId="1" xfId="0" applyNumberFormat="1" applyFont="1" applyFill="1" applyBorder="1" applyAlignment="1">
      <alignment wrapText="1"/>
    </xf>
    <xf numFmtId="37" fontId="44" fillId="0" borderId="0" xfId="0" applyNumberFormat="1" applyFont="1" applyFill="1"/>
    <xf numFmtId="37" fontId="36" fillId="5" borderId="1" xfId="0" applyNumberFormat="1" applyFont="1" applyFill="1" applyBorder="1" applyAlignment="1" applyProtection="1">
      <alignment horizontal="left" wrapText="1"/>
      <protection locked="0"/>
    </xf>
    <xf numFmtId="37" fontId="36" fillId="0" borderId="80" xfId="0" applyNumberFormat="1" applyFont="1" applyFill="1" applyBorder="1"/>
    <xf numFmtId="37" fontId="47" fillId="0" borderId="80" xfId="0" applyNumberFormat="1" applyFont="1" applyFill="1" applyBorder="1"/>
    <xf numFmtId="37" fontId="59" fillId="0" borderId="0" xfId="0" applyNumberFormat="1" applyFont="1" applyFill="1" applyBorder="1"/>
    <xf numFmtId="37" fontId="58" fillId="0" borderId="0" xfId="0" applyNumberFormat="1" applyFont="1" applyFill="1" applyBorder="1"/>
    <xf numFmtId="37" fontId="57" fillId="5" borderId="1" xfId="0" applyNumberFormat="1" applyFont="1" applyFill="1" applyBorder="1"/>
    <xf numFmtId="37" fontId="65" fillId="0" borderId="0" xfId="0" applyNumberFormat="1" applyFont="1" applyFill="1" applyAlignment="1">
      <alignment wrapText="1"/>
    </xf>
    <xf numFmtId="37" fontId="36" fillId="0" borderId="0" xfId="0" applyNumberFormat="1" applyFont="1" applyFill="1" applyAlignment="1">
      <alignment wrapText="1"/>
    </xf>
    <xf numFmtId="37" fontId="65" fillId="0" borderId="0" xfId="0" applyNumberFormat="1" applyFont="1" applyFill="1" applyAlignment="1">
      <alignment horizontal="left" wrapText="1" indent="5"/>
    </xf>
    <xf numFmtId="37" fontId="36" fillId="0" borderId="0" xfId="0" applyNumberFormat="1" applyFont="1" applyFill="1" applyAlignment="1">
      <alignment horizontal="left" wrapText="1" indent="5"/>
    </xf>
    <xf numFmtId="37" fontId="68" fillId="0" borderId="0" xfId="0" applyNumberFormat="1" applyFont="1" applyFill="1" applyAlignment="1">
      <alignment horizontal="left" wrapText="1" indent="5"/>
    </xf>
    <xf numFmtId="37" fontId="47" fillId="0" borderId="0" xfId="0" applyNumberFormat="1" applyFont="1" applyFill="1" applyBorder="1"/>
    <xf numFmtId="37" fontId="47" fillId="0" borderId="0" xfId="0" applyNumberFormat="1" applyFont="1" applyFill="1" applyAlignment="1">
      <alignment wrapText="1"/>
    </xf>
    <xf numFmtId="37" fontId="47" fillId="6" borderId="0" xfId="0" applyNumberFormat="1" applyFont="1" applyFill="1"/>
    <xf numFmtId="37" fontId="34" fillId="0" borderId="0" xfId="0" applyNumberFormat="1" applyFont="1" applyFill="1" applyBorder="1" applyAlignment="1">
      <alignment wrapText="1"/>
    </xf>
    <xf numFmtId="37" fontId="36" fillId="6" borderId="0" xfId="0" applyNumberFormat="1" applyFont="1" applyFill="1" applyBorder="1"/>
    <xf numFmtId="37" fontId="36" fillId="0" borderId="0" xfId="0" applyNumberFormat="1" applyFont="1" applyFill="1" applyBorder="1" applyAlignment="1">
      <alignment wrapText="1"/>
    </xf>
    <xf numFmtId="37" fontId="36" fillId="0" borderId="0" xfId="0" applyNumberFormat="1" applyFont="1" applyFill="1" applyBorder="1" applyAlignment="1">
      <alignment horizontal="left" wrapText="1"/>
    </xf>
    <xf numFmtId="37" fontId="44" fillId="6" borderId="0" xfId="0" applyNumberFormat="1" applyFont="1" applyFill="1" applyBorder="1"/>
    <xf numFmtId="37" fontId="36" fillId="0" borderId="0" xfId="0" applyNumberFormat="1" applyFont="1" applyFill="1" applyBorder="1"/>
    <xf numFmtId="37" fontId="44" fillId="0" borderId="0" xfId="0" applyNumberFormat="1" applyFont="1" applyFill="1" applyBorder="1" applyAlignment="1">
      <alignment wrapText="1"/>
    </xf>
    <xf numFmtId="37" fontId="36" fillId="0" borderId="0" xfId="0" applyNumberFormat="1" applyFont="1" applyFill="1" applyBorder="1" applyAlignment="1" applyProtection="1">
      <alignment horizontal="left" wrapText="1"/>
      <protection locked="0"/>
    </xf>
    <xf numFmtId="37" fontId="69" fillId="6" borderId="0" xfId="0" applyNumberFormat="1" applyFont="1" applyFill="1" applyBorder="1"/>
    <xf numFmtId="37" fontId="34" fillId="6" borderId="0" xfId="0" applyNumberFormat="1" applyFont="1" applyFill="1" applyBorder="1"/>
    <xf numFmtId="37" fontId="34" fillId="0" borderId="0" xfId="0" applyNumberFormat="1" applyFont="1" applyFill="1" applyBorder="1" applyAlignment="1">
      <alignment horizontal="right" wrapText="1"/>
    </xf>
    <xf numFmtId="37" fontId="57" fillId="0" borderId="0" xfId="0" applyNumberFormat="1" applyFont="1" applyFill="1" applyBorder="1" applyAlignment="1">
      <alignment wrapText="1"/>
    </xf>
    <xf numFmtId="37" fontId="57" fillId="6" borderId="0" xfId="0" applyNumberFormat="1" applyFont="1" applyFill="1" applyBorder="1"/>
    <xf numFmtId="37" fontId="47" fillId="0" borderId="1" xfId="0" applyNumberFormat="1" applyFont="1" applyFill="1" applyBorder="1"/>
    <xf numFmtId="0" fontId="12" fillId="0" borderId="0" xfId="0" applyFont="1" applyAlignment="1"/>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9" fillId="0" borderId="0" xfId="0" applyFon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8" fillId="0" borderId="40" xfId="0" applyFont="1" applyBorder="1" applyAlignment="1">
      <alignment horizontal="right" vertical="top"/>
    </xf>
    <xf numFmtId="0" fontId="18" fillId="0" borderId="46" xfId="0" applyFont="1" applyBorder="1" applyAlignment="1">
      <alignment horizontal="left" vertical="top"/>
    </xf>
    <xf numFmtId="0" fontId="18" fillId="0" borderId="49" xfId="0" applyFont="1" applyBorder="1" applyAlignment="1">
      <alignment horizontal="left" vertical="top"/>
    </xf>
    <xf numFmtId="0" fontId="22" fillId="0" borderId="39" xfId="0" applyFont="1" applyBorder="1" applyAlignment="1">
      <alignment horizontal="left" vertical="top" wrapText="1"/>
    </xf>
    <xf numFmtId="0" fontId="22" fillId="0" borderId="39" xfId="0" applyFont="1" applyBorder="1" applyAlignment="1">
      <alignment horizontal="left" vertical="top"/>
    </xf>
    <xf numFmtId="0" fontId="22" fillId="0" borderId="29" xfId="0" applyFont="1" applyBorder="1" applyAlignment="1">
      <alignment horizontal="left" vertical="top"/>
    </xf>
    <xf numFmtId="0" fontId="18" fillId="0" borderId="50" xfId="0" applyFont="1" applyBorder="1" applyAlignment="1">
      <alignment horizontal="center" vertical="top"/>
    </xf>
    <xf numFmtId="0" fontId="18" fillId="0" borderId="30" xfId="0" applyFont="1" applyBorder="1" applyAlignment="1">
      <alignment horizontal="center" vertical="top"/>
    </xf>
    <xf numFmtId="0" fontId="18" fillId="0" borderId="39" xfId="0" applyFont="1" applyBorder="1" applyAlignment="1">
      <alignment horizontal="left" vertical="top"/>
    </xf>
    <xf numFmtId="0" fontId="18" fillId="0" borderId="29" xfId="0" applyFont="1" applyBorder="1" applyAlignment="1">
      <alignment horizontal="left" vertical="top"/>
    </xf>
    <xf numFmtId="0" fontId="19" fillId="0" borderId="39" xfId="0" applyFont="1" applyBorder="1" applyAlignment="1">
      <alignment horizontal="left" vertical="top" wrapText="1"/>
    </xf>
    <xf numFmtId="0" fontId="19" fillId="0" borderId="39" xfId="0" applyFont="1" applyBorder="1" applyAlignment="1">
      <alignment horizontal="left" vertical="top"/>
    </xf>
    <xf numFmtId="0" fontId="19" fillId="0" borderId="29" xfId="0" applyFont="1" applyBorder="1" applyAlignment="1">
      <alignment horizontal="left" vertical="top"/>
    </xf>
    <xf numFmtId="0" fontId="22" fillId="0" borderId="100" xfId="0" applyFont="1" applyBorder="1" applyAlignment="1">
      <alignment horizontal="left" vertical="top" wrapText="1"/>
    </xf>
    <xf numFmtId="0" fontId="0" fillId="0" borderId="100" xfId="0" applyBorder="1" applyAlignment="1">
      <alignment horizontal="left" vertical="top" wrapText="1"/>
    </xf>
    <xf numFmtId="0" fontId="0" fillId="0" borderId="101" xfId="0" applyBorder="1" applyAlignment="1">
      <alignment horizontal="left" vertical="top" wrapText="1"/>
    </xf>
    <xf numFmtId="0" fontId="0" fillId="0" borderId="46" xfId="0" applyBorder="1" applyAlignment="1">
      <alignment horizontal="left" vertical="top" wrapText="1"/>
    </xf>
    <xf numFmtId="0" fontId="0" fillId="0" borderId="49" xfId="0" applyBorder="1" applyAlignment="1">
      <alignment horizontal="left" vertical="top" wrapText="1"/>
    </xf>
    <xf numFmtId="0" fontId="17"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18" fillId="0" borderId="46" xfId="0" applyFont="1" applyBorder="1" applyAlignment="1">
      <alignment horizontal="left" vertical="top" wrapText="1"/>
    </xf>
    <xf numFmtId="0" fontId="9" fillId="0" borderId="0" xfId="0" applyFont="1" applyBorder="1" applyAlignment="1">
      <alignment horizontal="center"/>
    </xf>
    <xf numFmtId="0" fontId="9" fillId="0" borderId="33" xfId="0" applyFont="1" applyBorder="1" applyAlignment="1">
      <alignment horizontal="center"/>
    </xf>
    <xf numFmtId="0" fontId="9" fillId="0" borderId="0" xfId="0" applyFont="1" applyAlignment="1">
      <alignment horizontal="center" wrapText="1"/>
    </xf>
    <xf numFmtId="0" fontId="1" fillId="0" borderId="0" xfId="0" applyFont="1" applyAlignment="1">
      <alignment horizontal="left" wrapText="1"/>
    </xf>
    <xf numFmtId="0" fontId="9" fillId="0" borderId="0" xfId="0" applyFont="1" applyAlignment="1">
      <alignment horizontal="left" wrapText="1"/>
    </xf>
    <xf numFmtId="0" fontId="15" fillId="0" borderId="57"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5" xfId="0" applyFont="1" applyBorder="1" applyAlignment="1">
      <alignment horizontal="center" vertical="center" wrapText="1"/>
    </xf>
    <xf numFmtId="0" fontId="8" fillId="0" borderId="0" xfId="0" applyFont="1" applyAlignment="1">
      <alignment horizontal="center"/>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58" xfId="0" applyFont="1" applyBorder="1" applyAlignment="1">
      <alignment horizontal="center" vertical="center" wrapText="1"/>
    </xf>
    <xf numFmtId="0" fontId="13" fillId="0" borderId="79" xfId="0" applyFont="1" applyBorder="1" applyAlignment="1">
      <alignment horizontal="center"/>
    </xf>
    <xf numFmtId="0" fontId="13" fillId="0" borderId="38" xfId="0" applyFont="1" applyBorder="1" applyAlignment="1">
      <alignment horizontal="center"/>
    </xf>
    <xf numFmtId="0" fontId="13" fillId="0" borderId="116" xfId="0" applyFont="1" applyBorder="1" applyAlignment="1">
      <alignment horizontal="center"/>
    </xf>
    <xf numFmtId="0" fontId="14" fillId="0" borderId="31" xfId="0" applyFont="1" applyBorder="1" applyAlignment="1">
      <alignment horizontal="center"/>
    </xf>
    <xf numFmtId="0" fontId="14" fillId="0" borderId="0" xfId="0" applyFont="1" applyBorder="1" applyAlignment="1">
      <alignment horizontal="center"/>
    </xf>
    <xf numFmtId="0" fontId="14" fillId="0" borderId="94" xfId="0" applyFont="1" applyBorder="1" applyAlignment="1">
      <alignment horizontal="center"/>
    </xf>
    <xf numFmtId="0" fontId="1" fillId="0" borderId="31" xfId="0" applyFont="1" applyBorder="1" applyAlignment="1">
      <alignment horizontal="center"/>
    </xf>
    <xf numFmtId="0" fontId="8" fillId="0" borderId="0" xfId="0" applyFont="1" applyBorder="1" applyAlignment="1">
      <alignment horizontal="center"/>
    </xf>
    <xf numFmtId="0" fontId="8" fillId="0" borderId="94" xfId="0" applyFont="1" applyBorder="1" applyAlignment="1">
      <alignment horizontal="center"/>
    </xf>
    <xf numFmtId="0" fontId="12" fillId="0" borderId="31" xfId="0" applyFont="1" applyBorder="1" applyAlignment="1">
      <alignment horizontal="center"/>
    </xf>
    <xf numFmtId="0" fontId="12" fillId="0" borderId="0" xfId="0" applyFont="1" applyBorder="1" applyAlignment="1">
      <alignment horizontal="center"/>
    </xf>
    <xf numFmtId="0" fontId="12" fillId="0" borderId="94" xfId="0" applyFont="1" applyBorder="1" applyAlignment="1">
      <alignment horizontal="center"/>
    </xf>
    <xf numFmtId="0" fontId="15" fillId="0" borderId="95" xfId="0" applyFont="1" applyBorder="1" applyAlignment="1">
      <alignment horizontal="center" vertical="center"/>
    </xf>
    <xf numFmtId="0" fontId="15" fillId="0" borderId="110" xfId="0" applyFont="1" applyBorder="1" applyAlignment="1">
      <alignment horizontal="center" vertical="center"/>
    </xf>
    <xf numFmtId="0" fontId="15" fillId="0" borderId="66" xfId="0" applyFont="1" applyBorder="1" applyAlignment="1">
      <alignment horizontal="center" vertical="center" wrapText="1"/>
    </xf>
    <xf numFmtId="0" fontId="15" fillId="0" borderId="102"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34" xfId="0" applyFont="1" applyBorder="1" applyAlignment="1">
      <alignment horizontal="center" wrapText="1"/>
    </xf>
    <xf numFmtId="0" fontId="15" fillId="0" borderId="117" xfId="0" applyFont="1" applyBorder="1" applyAlignment="1">
      <alignment horizontal="center" wrapText="1"/>
    </xf>
    <xf numFmtId="0" fontId="15" fillId="0" borderId="74" xfId="0" applyFont="1" applyBorder="1" applyAlignment="1">
      <alignment horizontal="left" indent="2"/>
    </xf>
    <xf numFmtId="0" fontId="15" fillId="0" borderId="33" xfId="0" applyFont="1" applyBorder="1" applyAlignment="1">
      <alignment horizontal="left" indent="2"/>
    </xf>
    <xf numFmtId="0" fontId="15" fillId="0" borderId="79" xfId="0" applyFont="1" applyBorder="1" applyAlignment="1">
      <alignment horizontal="center" vertical="center"/>
    </xf>
    <xf numFmtId="0" fontId="15" fillId="0" borderId="38" xfId="0" applyFont="1" applyBorder="1" applyAlignment="1">
      <alignment horizontal="center" vertical="center"/>
    </xf>
    <xf numFmtId="0" fontId="15" fillId="0" borderId="27" xfId="0" applyFont="1" applyBorder="1" applyAlignment="1">
      <alignment horizontal="center" vertical="center"/>
    </xf>
    <xf numFmtId="0" fontId="15" fillId="0" borderId="72" xfId="0" applyFont="1" applyBorder="1" applyAlignment="1">
      <alignment horizontal="center" vertical="center"/>
    </xf>
    <xf numFmtId="0" fontId="15" fillId="0" borderId="80"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xf>
    <xf numFmtId="0" fontId="15" fillId="0" borderId="65" xfId="0" applyFont="1" applyBorder="1" applyAlignment="1">
      <alignment horizontal="center"/>
    </xf>
    <xf numFmtId="0" fontId="15" fillId="0" borderId="58" xfId="0" applyFont="1" applyBorder="1" applyAlignment="1">
      <alignment horizontal="center"/>
    </xf>
    <xf numFmtId="0" fontId="15" fillId="0" borderId="81" xfId="0" applyFont="1" applyBorder="1" applyAlignment="1">
      <alignment horizontal="left" indent="2"/>
    </xf>
    <xf numFmtId="0" fontId="15" fillId="0" borderId="82" xfId="0" applyFont="1" applyBorder="1" applyAlignment="1">
      <alignment horizontal="left" indent="2"/>
    </xf>
    <xf numFmtId="0" fontId="15" fillId="0" borderId="86" xfId="0" applyFont="1" applyBorder="1" applyAlignment="1">
      <alignment horizontal="left" indent="2"/>
    </xf>
    <xf numFmtId="0" fontId="15" fillId="0" borderId="87" xfId="0" applyFont="1" applyBorder="1" applyAlignment="1">
      <alignment horizontal="left" indent="2"/>
    </xf>
    <xf numFmtId="0" fontId="1" fillId="0" borderId="0" xfId="0" applyFont="1" applyAlignment="1"/>
    <xf numFmtId="0" fontId="15" fillId="0" borderId="28" xfId="0" applyFont="1" applyBorder="1" applyAlignment="1">
      <alignment horizontal="center" vertical="center" wrapText="1"/>
    </xf>
    <xf numFmtId="0" fontId="1" fillId="0" borderId="33" xfId="0" applyFont="1" applyBorder="1" applyAlignment="1">
      <alignment horizontal="center"/>
    </xf>
    <xf numFmtId="0" fontId="27" fillId="0" borderId="0" xfId="0" applyFont="1" applyAlignment="1">
      <alignment horizontal="left" vertical="top"/>
    </xf>
    <xf numFmtId="0" fontId="15" fillId="0" borderId="105" xfId="0" applyFont="1" applyBorder="1" applyAlignment="1">
      <alignment horizontal="center" vertical="center" wrapText="1"/>
    </xf>
    <xf numFmtId="0" fontId="15" fillId="0" borderId="2" xfId="0" applyFont="1" applyBorder="1" applyAlignment="1">
      <alignment horizontal="center" vertical="center" wrapText="1"/>
    </xf>
    <xf numFmtId="0" fontId="1" fillId="0" borderId="0" xfId="0" applyFont="1" applyAlignment="1">
      <alignment horizontal="center" wrapText="1"/>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65"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09" xfId="0" applyFont="1" applyBorder="1" applyAlignment="1">
      <alignment horizontal="center" vertical="center" wrapText="1"/>
    </xf>
    <xf numFmtId="0" fontId="15" fillId="0" borderId="54" xfId="0" applyFont="1" applyBorder="1" applyAlignment="1">
      <alignment horizontal="center" vertical="center" wrapText="1"/>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2" fillId="0" borderId="33" xfId="0" applyFont="1" applyBorder="1" applyAlignment="1">
      <alignment horizontal="center"/>
    </xf>
    <xf numFmtId="0" fontId="29" fillId="0" borderId="0" xfId="0" applyFont="1" applyAlignment="1">
      <alignment horizontal="left" wrapText="1"/>
    </xf>
    <xf numFmtId="0" fontId="31" fillId="0" borderId="31" xfId="0" applyFont="1" applyBorder="1" applyAlignment="1">
      <alignment horizontal="center"/>
    </xf>
    <xf numFmtId="0" fontId="31" fillId="0" borderId="0" xfId="0" applyFont="1" applyBorder="1" applyAlignment="1">
      <alignment horizontal="center"/>
    </xf>
    <xf numFmtId="0" fontId="31" fillId="0" borderId="94" xfId="0" applyFont="1" applyBorder="1" applyAlignment="1">
      <alignment horizont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99"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0" xfId="0" applyAlignment="1">
      <alignment wrapText="1"/>
    </xf>
    <xf numFmtId="0" fontId="0" fillId="0" borderId="65" xfId="0" applyBorder="1" applyAlignment="1">
      <alignment horizontal="center" vertical="center" wrapText="1"/>
    </xf>
    <xf numFmtId="0" fontId="0" fillId="0" borderId="58" xfId="0" applyBorder="1" applyAlignment="1">
      <alignment horizontal="center" vertical="center" wrapText="1"/>
    </xf>
    <xf numFmtId="0" fontId="0" fillId="0" borderId="67" xfId="0" applyBorder="1" applyAlignment="1">
      <alignment horizontal="center"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0" fillId="0" borderId="54" xfId="0" applyBorder="1" applyAlignment="1">
      <alignment horizontal="center" vertical="center" wrapText="1"/>
    </xf>
    <xf numFmtId="0" fontId="0" fillId="0" borderId="28" xfId="0"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left" vertical="top"/>
    </xf>
    <xf numFmtId="0" fontId="15" fillId="0" borderId="34" xfId="0" applyFont="1" applyBorder="1" applyAlignment="1">
      <alignment horizontal="center" vertical="center"/>
    </xf>
    <xf numFmtId="0" fontId="15" fillId="0" borderId="58" xfId="0" applyFont="1" applyBorder="1" applyAlignment="1">
      <alignment horizontal="center" vertical="center"/>
    </xf>
    <xf numFmtId="0" fontId="44" fillId="2" borderId="0" xfId="7" applyFont="1" applyFill="1" applyAlignment="1">
      <alignment horizontal="left" vertical="top" wrapText="1"/>
    </xf>
    <xf numFmtId="0" fontId="36" fillId="3" borderId="0" xfId="6" applyFont="1" applyFill="1" applyAlignment="1">
      <alignment horizontal="left" vertical="top" wrapText="1"/>
    </xf>
    <xf numFmtId="0" fontId="43" fillId="0" borderId="0" xfId="7" applyFont="1" applyFill="1" applyAlignment="1">
      <alignment horizontal="left" vertical="top" wrapText="1"/>
    </xf>
    <xf numFmtId="0" fontId="44" fillId="0" borderId="0" xfId="7" applyFont="1" applyFill="1" applyAlignment="1">
      <alignment horizontal="left" vertical="top" wrapText="1"/>
    </xf>
    <xf numFmtId="0" fontId="36" fillId="2" borderId="0" xfId="7" applyFont="1" applyFill="1" applyAlignment="1">
      <alignment vertical="top" wrapText="1"/>
    </xf>
    <xf numFmtId="0" fontId="36" fillId="3" borderId="0" xfId="6" applyFont="1" applyFill="1" applyAlignment="1">
      <alignment vertical="top" wrapText="1"/>
    </xf>
    <xf numFmtId="0" fontId="37" fillId="3" borderId="0" xfId="5" applyFont="1" applyFill="1" applyAlignment="1">
      <alignment vertical="top" wrapText="1"/>
    </xf>
    <xf numFmtId="3" fontId="38" fillId="0" borderId="0" xfId="5" applyNumberFormat="1" applyFont="1" applyAlignment="1">
      <alignment horizontal="center"/>
    </xf>
    <xf numFmtId="0" fontId="37" fillId="0" borderId="0" xfId="5" applyBorder="1" applyAlignment="1">
      <alignment horizontal="center"/>
    </xf>
    <xf numFmtId="3" fontId="36" fillId="2" borderId="0" xfId="7" applyNumberFormat="1" applyFont="1" applyFill="1" applyAlignment="1">
      <alignment horizontal="center"/>
    </xf>
    <xf numFmtId="0" fontId="36" fillId="2" borderId="0" xfId="7" applyFont="1" applyFill="1" applyAlignment="1">
      <alignment horizontal="center"/>
    </xf>
    <xf numFmtId="0" fontId="41" fillId="2" borderId="0" xfId="7" applyFont="1" applyFill="1" applyAlignment="1">
      <alignment horizontal="center"/>
    </xf>
    <xf numFmtId="37" fontId="66" fillId="0" borderId="0" xfId="0" applyNumberFormat="1" applyFont="1" applyFill="1" applyBorder="1" applyAlignment="1">
      <alignment horizontal="left" wrapText="1"/>
    </xf>
    <xf numFmtId="37" fontId="34" fillId="0" borderId="34" xfId="0" applyNumberFormat="1" applyFont="1" applyFill="1" applyBorder="1" applyAlignment="1">
      <alignment horizontal="center"/>
    </xf>
    <xf numFmtId="37" fontId="34" fillId="0" borderId="65" xfId="0" applyNumberFormat="1" applyFont="1" applyFill="1" applyBorder="1" applyAlignment="1">
      <alignment horizontal="center"/>
    </xf>
    <xf numFmtId="37" fontId="65" fillId="0" borderId="0" xfId="0" applyNumberFormat="1" applyFont="1" applyFill="1" applyBorder="1" applyAlignment="1">
      <alignment horizontal="left" wrapText="1"/>
    </xf>
    <xf numFmtId="0" fontId="0" fillId="0" borderId="0" xfId="0" applyFont="1" applyAlignment="1">
      <alignment wrapText="1"/>
    </xf>
    <xf numFmtId="37" fontId="65" fillId="0" borderId="0" xfId="0" applyNumberFormat="1" applyFont="1" applyFill="1" applyBorder="1" applyAlignment="1">
      <alignment wrapText="1"/>
    </xf>
  </cellXfs>
  <cellStyles count="15">
    <cellStyle name="Comma" xfId="1" builtinId="3"/>
    <cellStyle name="Comma 2" xfId="8"/>
    <cellStyle name="Currency" xfId="2" builtinId="4"/>
    <cellStyle name="Currency 2" xfId="9"/>
    <cellStyle name="Normal" xfId="0" builtinId="0"/>
    <cellStyle name="Normal 2" xfId="4"/>
    <cellStyle name="Normal 2 2" xfId="5"/>
    <cellStyle name="Normal 3" xfId="10"/>
    <cellStyle name="Normal 3 2" xfId="11"/>
    <cellStyle name="Normal 4" xfId="12"/>
    <cellStyle name="Normal 5" xfId="13"/>
    <cellStyle name="Normal_Appendix Exhibits.FINAL 2" xfId="6"/>
    <cellStyle name="Normal_Sheet1 2" xfId="7"/>
    <cellStyle name="Percent" xfId="3" builtinId="5"/>
    <cellStyle name="Percent 2" xfId="1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4/Pres%20Bud/Draft%20Docs/2013%2003%2027%20Final%20Draft%20for%20JMD/FY%202014%20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Pres%20Bud/Draft%20Docs/2013%2003%2027%20Final%20Draft%20for%20JMD/FY%202014%20JJ.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Pres%20Bud/Draft%20Docs/2013%2003%2027%20Final%20Draft%20for%20JMD/FY%202014%20CVF.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Pres%20Bud/Draft%20Docs/Exhibits/Exhibit%20M_Cong%20Rp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 - RES"/>
      <sheetName val="B. Summ of Req. by DU - RES"/>
      <sheetName val="C. Program Changes by DU - RES "/>
      <sheetName val="D. Strategic Goals &amp; Objectives"/>
      <sheetName val="F. 2012 Crosswalk - RES"/>
      <sheetName val="G. 2013 Crosswalk - RES"/>
      <sheetName val="H. Reimbursable Resources - RES"/>
      <sheetName val="J. Financial Analysis - RES"/>
      <sheetName val="L. Summary by OC - RES"/>
    </sheetNames>
    <sheetDataSet>
      <sheetData sheetId="0">
        <row r="2">
          <cell r="A2" t="str">
            <v>Office of Justice Programs</v>
          </cell>
        </row>
        <row r="3">
          <cell r="A3" t="str">
            <v>Research, Evaluation, and Statistics</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 - JJ"/>
      <sheetName val="B. Summ of Req. by DU - JJ"/>
      <sheetName val="C. Program Changes by DU - JJ"/>
      <sheetName val="D. Strategic Goals &amp; Objectives"/>
      <sheetName val="F. 2012 Crosswalk - JJ"/>
      <sheetName val="G. 2013 Crosswalk - JJ"/>
      <sheetName val="H. Reimbursable Resources - JJ"/>
      <sheetName val="J. Financial Analysis - JJ"/>
      <sheetName val="L. Summary by OC - JJ"/>
    </sheetNames>
    <sheetDataSet>
      <sheetData sheetId="0">
        <row r="2">
          <cell r="A2" t="str">
            <v>Office of Justice Programs</v>
          </cell>
        </row>
        <row r="3">
          <cell r="A3" t="str">
            <v>Juvenile Justice Programs</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
      <sheetName val="B. Summ of Req. by DU"/>
      <sheetName val="C. Program Changes by DU"/>
      <sheetName val="D. Strategic Goals &amp; Objectives"/>
      <sheetName val="F. 2012 Crosswalk"/>
      <sheetName val="G. 2013 Crosswalk"/>
      <sheetName val="H. Reimbursable Resources"/>
      <sheetName val="J. Financial Analysis"/>
      <sheetName val="L. Summary by OC"/>
    </sheetNames>
    <sheetDataSet>
      <sheetData sheetId="0">
        <row r="2">
          <cell r="A2" t="str">
            <v>Office of Justice Programs</v>
          </cell>
        </row>
        <row r="3">
          <cell r="A3" t="str">
            <v>Crime Victims Fund</v>
          </cell>
        </row>
      </sheetData>
      <sheetData sheetId="1">
        <row r="3">
          <cell r="A3" t="str">
            <v>Crime Victims Fund</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umm of Reqs - S&amp;E-M&amp;A "/>
      <sheetName val="D. Strat Goals &amp; Objs - S&amp;E-M&amp;A"/>
      <sheetName val="E. ATB Justification - S&amp;E-M&amp;A"/>
      <sheetName val="F. 2011 Crosswalk - S&amp;E-M&amp;A"/>
      <sheetName val="G. 2012 Crosswalk - S&amp;E-M&amp;A"/>
      <sheetName val="H. Reimb Resources - S&amp;E-M&amp;A"/>
      <sheetName val="I. Perm Positions - S&amp;E-M&amp;A"/>
      <sheetName val="K. Summ by Grade - S&amp;E-M&amp;A"/>
      <sheetName val="L. Summ by Ob Class  - S&amp;E-M&amp;A "/>
      <sheetName val="B. Summ of Reqs - RES "/>
      <sheetName val="C. Increases Offsets  - RES "/>
      <sheetName val="D. Strat Goals &amp; Obs  - RES "/>
      <sheetName val="F. 2011 Crosswalk  - RES "/>
      <sheetName val="G. 2012 Crosswalk  - RES "/>
      <sheetName val="H. Reimb Resources  - RES "/>
      <sheetName val="J. Finan Analysis  - RES "/>
      <sheetName val="L. Summ by Ob Class  - RES "/>
      <sheetName val="B. Summ of Reqs -SLLEA "/>
      <sheetName val="C. Increases Offsets - SLLEA"/>
      <sheetName val="D. Strat Goals &amp; Obs - SLLEA"/>
      <sheetName val="F. 2011 Crosswalk - SLLEA"/>
      <sheetName val="G. 2012 Crosswalk - SLLEA"/>
      <sheetName val="H. Reimb Resources - SLLEA"/>
      <sheetName val="J. Finan Analysis - SLLEA"/>
      <sheetName val="L. Summ by Object Class - SLLEA"/>
      <sheetName val="F. 2011 Crosswalk - W&amp;S"/>
      <sheetName val="G. 2012 Crosswalk - W&amp;S"/>
      <sheetName val="L. Summ by Object Class - W&amp;S"/>
      <sheetName val="B. Summ of Reqs - JJ "/>
      <sheetName val="C. Increases Offsets - JJ"/>
      <sheetName val="D. Strat Goals &amp; Objs - JJ"/>
      <sheetName val="F. 2011 Crosswalk - JJ"/>
      <sheetName val="G. 2012 Crosswalk - JJ"/>
      <sheetName val="H. Reimb Resources - JJ"/>
      <sheetName val="J. Finan Analysis - JJ"/>
      <sheetName val="L. Summ by Ob Class - JJ"/>
      <sheetName val="B. Summ of Reqs - PSOB "/>
      <sheetName val="C. Increases Offsets - PSOB "/>
      <sheetName val="D. Strat Goals &amp; Obs - PSOB "/>
      <sheetName val="F. 2011 Crosswalk - PSOB "/>
      <sheetName val="G. 2012 Crosswalk - PSOB "/>
      <sheetName val="J. Finan Analysis - PSOB "/>
      <sheetName val="L. Summ by Ob Class - PSOB "/>
      <sheetName val="B. Summ of Reqs - CVF "/>
      <sheetName val="C. Increases Offsets - CVF"/>
      <sheetName val="D. Strat Goals &amp; Obs - CVF"/>
      <sheetName val="F. 2011 Crosswalk - CVF"/>
      <sheetName val="G. 2012 Crosswalk - CVF"/>
      <sheetName val="J. Finan Analysis - CVF"/>
      <sheetName val="L. Summ by Object Class - CVF"/>
      <sheetName val="M. Studies"/>
      <sheetName val="(N-2) Domestic Agent"/>
      <sheetName val="(N-3) Domestic Attorney"/>
      <sheetName val="(N-4) Domestic Prof Sup"/>
      <sheetName val="(N-5) Domestic Clerical"/>
      <sheetName val="(P) IT"/>
      <sheetName val="N. Summary of Program Changes"/>
    </sheetNames>
    <sheetDataSet>
      <sheetData sheetId="0">
        <row r="5">
          <cell r="A5" t="str">
            <v>Office of Justice Programs</v>
          </cell>
          <cell r="B5"/>
          <cell r="C5"/>
          <cell r="D5"/>
          <cell r="E5"/>
          <cell r="F5"/>
          <cell r="G5"/>
          <cell r="H5"/>
          <cell r="I5"/>
          <cell r="J5"/>
          <cell r="K5"/>
          <cell r="L5"/>
          <cell r="M5"/>
          <cell r="N5"/>
          <cell r="O5"/>
          <cell r="P5"/>
          <cell r="Q5"/>
          <cell r="R5"/>
          <cell r="S5"/>
          <cell r="T5"/>
          <cell r="U5"/>
          <cell r="V5"/>
          <cell r="W5"/>
          <cell r="X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43.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5" Type="http://schemas.openxmlformats.org/officeDocument/2006/relationships/printerSettings" Target="../printerSettings/printerSettings145.bin"/><Relationship Id="rId4" Type="http://schemas.openxmlformats.org/officeDocument/2006/relationships/printerSettings" Target="../printerSettings/printerSettings1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48.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 Id="rId5" Type="http://schemas.openxmlformats.org/officeDocument/2006/relationships/printerSettings" Target="../printerSettings/printerSettings150.bin"/><Relationship Id="rId4" Type="http://schemas.openxmlformats.org/officeDocument/2006/relationships/printerSettings" Target="../printerSettings/printerSettings14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58.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63.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 Id="rId5" Type="http://schemas.openxmlformats.org/officeDocument/2006/relationships/printerSettings" Target="../printerSettings/printerSettings165.bin"/><Relationship Id="rId4" Type="http://schemas.openxmlformats.org/officeDocument/2006/relationships/printerSettings" Target="../printerSettings/printerSettings164.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5" Type="http://schemas.openxmlformats.org/officeDocument/2006/relationships/printerSettings" Target="../printerSettings/printerSettings170.bin"/><Relationship Id="rId4" Type="http://schemas.openxmlformats.org/officeDocument/2006/relationships/printerSettings" Target="../printerSettings/printerSettings169.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73.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 Id="rId5" Type="http://schemas.openxmlformats.org/officeDocument/2006/relationships/printerSettings" Target="../printerSettings/printerSettings175.bin"/><Relationship Id="rId4" Type="http://schemas.openxmlformats.org/officeDocument/2006/relationships/printerSettings" Target="../printerSettings/printerSettings174.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78.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5" Type="http://schemas.openxmlformats.org/officeDocument/2006/relationships/printerSettings" Target="../printerSettings/printerSettings180.bin"/><Relationship Id="rId4" Type="http://schemas.openxmlformats.org/officeDocument/2006/relationships/printerSettings" Target="../printerSettings/printerSettings179.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88.bin"/><Relationship Id="rId2" Type="http://schemas.openxmlformats.org/officeDocument/2006/relationships/printerSettings" Target="../printerSettings/printerSettings187.bin"/><Relationship Id="rId1" Type="http://schemas.openxmlformats.org/officeDocument/2006/relationships/printerSettings" Target="../printerSettings/printerSettings186.bin"/><Relationship Id="rId5" Type="http://schemas.openxmlformats.org/officeDocument/2006/relationships/printerSettings" Target="../printerSettings/printerSettings190.bin"/><Relationship Id="rId4" Type="http://schemas.openxmlformats.org/officeDocument/2006/relationships/printerSettings" Target="../printerSettings/printerSettings189.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93.bin"/><Relationship Id="rId2" Type="http://schemas.openxmlformats.org/officeDocument/2006/relationships/printerSettings" Target="../printerSettings/printerSettings192.bin"/><Relationship Id="rId1" Type="http://schemas.openxmlformats.org/officeDocument/2006/relationships/printerSettings" Target="../printerSettings/printerSettings191.bin"/><Relationship Id="rId5" Type="http://schemas.openxmlformats.org/officeDocument/2006/relationships/printerSettings" Target="../printerSettings/printerSettings195.bin"/><Relationship Id="rId4" Type="http://schemas.openxmlformats.org/officeDocument/2006/relationships/printerSettings" Target="../printerSettings/printerSettings19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5" Type="http://schemas.openxmlformats.org/officeDocument/2006/relationships/printerSettings" Target="../printerSettings/printerSettings200.bin"/><Relationship Id="rId4" Type="http://schemas.openxmlformats.org/officeDocument/2006/relationships/printerSettings" Target="../printerSettings/printerSettings19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203.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 Id="rId5" Type="http://schemas.openxmlformats.org/officeDocument/2006/relationships/printerSettings" Target="../printerSettings/printerSettings205.bin"/><Relationship Id="rId4" Type="http://schemas.openxmlformats.org/officeDocument/2006/relationships/printerSettings" Target="../printerSettings/printerSettings20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208.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5" Type="http://schemas.openxmlformats.org/officeDocument/2006/relationships/printerSettings" Target="../printerSettings/printerSettings210.bin"/><Relationship Id="rId4" Type="http://schemas.openxmlformats.org/officeDocument/2006/relationships/printerSettings" Target="../printerSettings/printerSettings209.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18.bin"/><Relationship Id="rId2" Type="http://schemas.openxmlformats.org/officeDocument/2006/relationships/printerSettings" Target="../printerSettings/printerSettings217.bin"/><Relationship Id="rId1" Type="http://schemas.openxmlformats.org/officeDocument/2006/relationships/printerSettings" Target="../printerSettings/printerSettings216.bin"/><Relationship Id="rId5" Type="http://schemas.openxmlformats.org/officeDocument/2006/relationships/printerSettings" Target="../printerSettings/printerSettings220.bin"/><Relationship Id="rId4" Type="http://schemas.openxmlformats.org/officeDocument/2006/relationships/printerSettings" Target="../printerSettings/printerSettings219.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printerSettings" Target="../printerSettings/printerSettings222.bin"/><Relationship Id="rId1" Type="http://schemas.openxmlformats.org/officeDocument/2006/relationships/printerSettings" Target="../printerSettings/printerSettings221.bin"/><Relationship Id="rId5" Type="http://schemas.openxmlformats.org/officeDocument/2006/relationships/printerSettings" Target="../printerSettings/printerSettings225.bin"/><Relationship Id="rId4" Type="http://schemas.openxmlformats.org/officeDocument/2006/relationships/printerSettings" Target="../printerSettings/printerSettings224.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233.bin"/><Relationship Id="rId2" Type="http://schemas.openxmlformats.org/officeDocument/2006/relationships/printerSettings" Target="../printerSettings/printerSettings232.bin"/><Relationship Id="rId1" Type="http://schemas.openxmlformats.org/officeDocument/2006/relationships/printerSettings" Target="../printerSettings/printerSettings231.bin"/><Relationship Id="rId5" Type="http://schemas.openxmlformats.org/officeDocument/2006/relationships/printerSettings" Target="../printerSettings/printerSettings235.bin"/><Relationship Id="rId4" Type="http://schemas.openxmlformats.org/officeDocument/2006/relationships/printerSettings" Target="../printerSettings/printerSettings234.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238.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 Id="rId5" Type="http://schemas.openxmlformats.org/officeDocument/2006/relationships/printerSettings" Target="../printerSettings/printerSettings240.bin"/><Relationship Id="rId4" Type="http://schemas.openxmlformats.org/officeDocument/2006/relationships/printerSettings" Target="../printerSettings/printerSettings239.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5" Type="http://schemas.openxmlformats.org/officeDocument/2006/relationships/printerSettings" Target="../printerSettings/printerSettings245.bin"/><Relationship Id="rId4" Type="http://schemas.openxmlformats.org/officeDocument/2006/relationships/printerSettings" Target="../printerSettings/printerSettings24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248.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 Id="rId5" Type="http://schemas.openxmlformats.org/officeDocument/2006/relationships/printerSettings" Target="../printerSettings/printerSettings250.bin"/><Relationship Id="rId4" Type="http://schemas.openxmlformats.org/officeDocument/2006/relationships/printerSettings" Target="../printerSettings/printerSettings249.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53.bin"/><Relationship Id="rId2" Type="http://schemas.openxmlformats.org/officeDocument/2006/relationships/printerSettings" Target="../printerSettings/printerSettings252.bin"/><Relationship Id="rId1" Type="http://schemas.openxmlformats.org/officeDocument/2006/relationships/printerSettings" Target="../printerSettings/printerSettings251.bin"/><Relationship Id="rId5" Type="http://schemas.openxmlformats.org/officeDocument/2006/relationships/printerSettings" Target="../printerSettings/printerSettings255.bin"/><Relationship Id="rId4" Type="http://schemas.openxmlformats.org/officeDocument/2006/relationships/printerSettings" Target="../printerSettings/printerSettings254.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 Id="rId5" Type="http://schemas.openxmlformats.org/officeDocument/2006/relationships/printerSettings" Target="../printerSettings/printerSettings260.bin"/><Relationship Id="rId4" Type="http://schemas.openxmlformats.org/officeDocument/2006/relationships/printerSettings" Target="../printerSettings/printerSettings259.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263.bin"/><Relationship Id="rId2" Type="http://schemas.openxmlformats.org/officeDocument/2006/relationships/printerSettings" Target="../printerSettings/printerSettings262.bin"/><Relationship Id="rId1" Type="http://schemas.openxmlformats.org/officeDocument/2006/relationships/printerSettings" Target="../printerSettings/printerSettings261.bin"/><Relationship Id="rId5" Type="http://schemas.openxmlformats.org/officeDocument/2006/relationships/printerSettings" Target="../printerSettings/printerSettings265.bin"/><Relationship Id="rId4" Type="http://schemas.openxmlformats.org/officeDocument/2006/relationships/printerSettings" Target="../printerSettings/printerSettings264.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267.bin"/><Relationship Id="rId1" Type="http://schemas.openxmlformats.org/officeDocument/2006/relationships/printerSettings" Target="../printerSettings/printerSettings266.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view="pageBreakPreview" zoomScale="90" zoomScaleNormal="100" zoomScaleSheetLayoutView="90" workbookViewId="0">
      <selection activeCell="A41" sqref="A41"/>
    </sheetView>
  </sheetViews>
  <sheetFormatPr defaultColWidth="9.109375" defaultRowHeight="13.8" x14ac:dyDescent="0.25"/>
  <cols>
    <col min="1" max="1" width="113.5546875" style="1" customWidth="1"/>
    <col min="2" max="3" width="14.5546875" style="2" customWidth="1"/>
    <col min="4" max="4" width="14.5546875" style="3" customWidth="1"/>
    <col min="5" max="5" width="11.5546875" style="7" bestFit="1" customWidth="1"/>
    <col min="6" max="6" width="4.88671875" style="1" customWidth="1"/>
    <col min="7" max="16384" width="9.109375" style="1"/>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169</v>
      </c>
      <c r="B3" s="636"/>
      <c r="C3" s="636"/>
      <c r="D3" s="636"/>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6.2" x14ac:dyDescent="0.25">
      <c r="A8" s="90" t="s">
        <v>396</v>
      </c>
      <c r="B8" s="91">
        <v>702</v>
      </c>
      <c r="C8" s="92">
        <v>628</v>
      </c>
      <c r="D8" s="93">
        <v>175057</v>
      </c>
      <c r="E8" s="7" t="s">
        <v>20</v>
      </c>
    </row>
    <row r="9" spans="1:5" ht="15" x14ac:dyDescent="0.25">
      <c r="A9" s="68" t="s">
        <v>5</v>
      </c>
      <c r="B9" s="130"/>
      <c r="C9" s="25"/>
      <c r="D9" s="131">
        <v>0</v>
      </c>
      <c r="E9" s="7" t="s">
        <v>20</v>
      </c>
    </row>
    <row r="10" spans="1:5" ht="16.2" x14ac:dyDescent="0.25">
      <c r="A10" s="89" t="s">
        <v>190</v>
      </c>
      <c r="B10" s="126">
        <f t="shared" ref="B10" si="0">SUM(B8:B9)</f>
        <v>702</v>
      </c>
      <c r="C10" s="127">
        <v>601</v>
      </c>
      <c r="D10" s="129">
        <f>SUM(D8:D9)</f>
        <v>175057</v>
      </c>
      <c r="E10" s="7" t="s">
        <v>20</v>
      </c>
    </row>
    <row r="11" spans="1:5" x14ac:dyDescent="0.25">
      <c r="A11" s="67" t="s">
        <v>8</v>
      </c>
      <c r="B11" s="126">
        <v>0</v>
      </c>
      <c r="C11" s="127">
        <v>0</v>
      </c>
      <c r="D11" s="128">
        <v>175057</v>
      </c>
      <c r="E11" s="7" t="s">
        <v>20</v>
      </c>
    </row>
    <row r="12" spans="1:5" x14ac:dyDescent="0.25">
      <c r="A12" s="68" t="s">
        <v>6</v>
      </c>
      <c r="B12" s="69"/>
      <c r="C12" s="70"/>
      <c r="D12" s="71">
        <v>0</v>
      </c>
      <c r="E12" s="7" t="s">
        <v>20</v>
      </c>
    </row>
    <row r="13" spans="1:5" x14ac:dyDescent="0.25">
      <c r="A13" s="176" t="s">
        <v>156</v>
      </c>
      <c r="B13" s="173"/>
      <c r="C13" s="174"/>
      <c r="D13" s="175">
        <v>1071</v>
      </c>
      <c r="E13" s="7" t="s">
        <v>20</v>
      </c>
    </row>
    <row r="14" spans="1:5" x14ac:dyDescent="0.25">
      <c r="A14" s="116" t="s">
        <v>137</v>
      </c>
      <c r="B14" s="130"/>
      <c r="C14" s="25"/>
      <c r="D14" s="131">
        <v>0</v>
      </c>
      <c r="E14" s="7" t="s">
        <v>20</v>
      </c>
    </row>
    <row r="15" spans="1:5" x14ac:dyDescent="0.25">
      <c r="A15" s="72" t="s">
        <v>122</v>
      </c>
      <c r="B15" s="69">
        <v>702</v>
      </c>
      <c r="C15" s="70">
        <v>601</v>
      </c>
      <c r="D15" s="73">
        <f>SUM(D11:D14)</f>
        <v>176128</v>
      </c>
      <c r="E15" s="7" t="s">
        <v>20</v>
      </c>
    </row>
    <row r="16" spans="1:5" x14ac:dyDescent="0.25">
      <c r="A16" s="74" t="s">
        <v>121</v>
      </c>
      <c r="B16" s="69"/>
      <c r="C16" s="70"/>
      <c r="D16" s="73"/>
      <c r="E16" s="7" t="s">
        <v>20</v>
      </c>
    </row>
    <row r="17" spans="1:5" x14ac:dyDescent="0.25">
      <c r="A17" s="182" t="s">
        <v>479</v>
      </c>
      <c r="B17" s="69"/>
      <c r="C17" s="70"/>
      <c r="D17" s="470">
        <v>-1071</v>
      </c>
      <c r="E17" s="7" t="s">
        <v>20</v>
      </c>
    </row>
    <row r="18" spans="1:5" x14ac:dyDescent="0.25">
      <c r="A18" s="182" t="s">
        <v>161</v>
      </c>
      <c r="B18" s="75"/>
      <c r="C18" s="76">
        <v>0</v>
      </c>
      <c r="D18" s="71">
        <v>623</v>
      </c>
      <c r="E18" s="7" t="s">
        <v>20</v>
      </c>
    </row>
    <row r="19" spans="1:5" x14ac:dyDescent="0.25">
      <c r="A19" s="182" t="s">
        <v>162</v>
      </c>
      <c r="B19" s="75">
        <v>0</v>
      </c>
      <c r="C19" s="76">
        <v>0</v>
      </c>
      <c r="D19" s="71">
        <v>84</v>
      </c>
      <c r="E19" s="7" t="s">
        <v>20</v>
      </c>
    </row>
    <row r="20" spans="1:5" x14ac:dyDescent="0.25">
      <c r="A20" s="182" t="s">
        <v>163</v>
      </c>
      <c r="B20" s="75">
        <v>0</v>
      </c>
      <c r="C20" s="76">
        <v>0</v>
      </c>
      <c r="D20" s="71">
        <v>72</v>
      </c>
      <c r="E20" s="7" t="s">
        <v>20</v>
      </c>
    </row>
    <row r="21" spans="1:5" x14ac:dyDescent="0.25">
      <c r="A21" s="182" t="s">
        <v>164</v>
      </c>
      <c r="B21" s="75">
        <v>0</v>
      </c>
      <c r="C21" s="76">
        <v>0</v>
      </c>
      <c r="D21" s="183">
        <v>-92</v>
      </c>
      <c r="E21" s="7" t="s">
        <v>20</v>
      </c>
    </row>
    <row r="22" spans="1:5" x14ac:dyDescent="0.25">
      <c r="A22" s="182" t="s">
        <v>165</v>
      </c>
      <c r="B22" s="75">
        <v>0</v>
      </c>
      <c r="C22" s="76">
        <v>0</v>
      </c>
      <c r="D22" s="183">
        <v>-42</v>
      </c>
      <c r="E22" s="7" t="s">
        <v>20</v>
      </c>
    </row>
    <row r="23" spans="1:5" x14ac:dyDescent="0.25">
      <c r="A23" s="182" t="s">
        <v>166</v>
      </c>
      <c r="B23" s="75">
        <v>0</v>
      </c>
      <c r="C23" s="76">
        <v>0</v>
      </c>
      <c r="D23" s="71">
        <v>996</v>
      </c>
      <c r="E23" s="7" t="s">
        <v>20</v>
      </c>
    </row>
    <row r="24" spans="1:5" x14ac:dyDescent="0.25">
      <c r="A24" s="182" t="s">
        <v>167</v>
      </c>
      <c r="B24" s="75">
        <v>0</v>
      </c>
      <c r="C24" s="76">
        <v>0</v>
      </c>
      <c r="D24" s="183">
        <v>-35</v>
      </c>
      <c r="E24" s="7" t="s">
        <v>20</v>
      </c>
    </row>
    <row r="25" spans="1:5" x14ac:dyDescent="0.25">
      <c r="A25" s="182" t="s">
        <v>168</v>
      </c>
      <c r="B25" s="136">
        <v>0</v>
      </c>
      <c r="C25" s="137">
        <v>0</v>
      </c>
      <c r="D25" s="138">
        <v>2</v>
      </c>
      <c r="E25" s="7" t="s">
        <v>20</v>
      </c>
    </row>
    <row r="26" spans="1:5" x14ac:dyDescent="0.25">
      <c r="A26" s="77" t="s">
        <v>123</v>
      </c>
      <c r="B26" s="69">
        <f>SUM(B18:B25)</f>
        <v>0</v>
      </c>
      <c r="C26" s="70">
        <f>SUM(C18:C25)</f>
        <v>0</v>
      </c>
      <c r="D26" s="73">
        <f>SUM(D17:D25)</f>
        <v>537</v>
      </c>
      <c r="E26" s="7" t="s">
        <v>20</v>
      </c>
    </row>
    <row r="27" spans="1:5" x14ac:dyDescent="0.25">
      <c r="A27" s="72" t="s">
        <v>124</v>
      </c>
      <c r="B27" s="134">
        <f>B26</f>
        <v>0</v>
      </c>
      <c r="C27" s="25">
        <f>C26</f>
        <v>0</v>
      </c>
      <c r="D27" s="26">
        <f>D26</f>
        <v>537</v>
      </c>
      <c r="E27" s="7" t="s">
        <v>20</v>
      </c>
    </row>
    <row r="28" spans="1:5" x14ac:dyDescent="0.25">
      <c r="A28" s="78" t="s">
        <v>13</v>
      </c>
      <c r="B28" s="132">
        <f>B15+B27</f>
        <v>702</v>
      </c>
      <c r="C28" s="127">
        <f>C15+C27</f>
        <v>601</v>
      </c>
      <c r="D28" s="133">
        <f>D15+D27</f>
        <v>176665</v>
      </c>
      <c r="E28" s="7" t="s">
        <v>20</v>
      </c>
    </row>
    <row r="29" spans="1:5" x14ac:dyDescent="0.25">
      <c r="A29" s="78" t="s">
        <v>14</v>
      </c>
      <c r="B29" s="132"/>
      <c r="C29" s="127"/>
      <c r="D29" s="133"/>
      <c r="E29" s="7" t="s">
        <v>20</v>
      </c>
    </row>
    <row r="30" spans="1:5" x14ac:dyDescent="0.25">
      <c r="A30" s="189" t="s">
        <v>180</v>
      </c>
      <c r="B30" s="82">
        <v>10</v>
      </c>
      <c r="C30" s="76">
        <v>10</v>
      </c>
      <c r="D30" s="212">
        <v>0</v>
      </c>
      <c r="E30" s="7" t="s">
        <v>20</v>
      </c>
    </row>
    <row r="31" spans="1:5" x14ac:dyDescent="0.25">
      <c r="A31" s="81" t="s">
        <v>16</v>
      </c>
      <c r="B31" s="82">
        <f>SUM(B30:B30)</f>
        <v>10</v>
      </c>
      <c r="C31" s="76">
        <f>SUM(C30:C30)</f>
        <v>10</v>
      </c>
      <c r="D31" s="83">
        <f>SUM(D30:D30)</f>
        <v>0</v>
      </c>
      <c r="E31" s="7" t="s">
        <v>20</v>
      </c>
    </row>
    <row r="32" spans="1:5" x14ac:dyDescent="0.25">
      <c r="A32" s="72" t="s">
        <v>17</v>
      </c>
      <c r="B32" s="130">
        <f>B31</f>
        <v>10</v>
      </c>
      <c r="C32" s="25">
        <f>C31</f>
        <v>10</v>
      </c>
      <c r="D32" s="135">
        <f>D31</f>
        <v>0</v>
      </c>
      <c r="E32" s="7" t="s">
        <v>20</v>
      </c>
    </row>
    <row r="33" spans="1:5" x14ac:dyDescent="0.25">
      <c r="A33" s="85" t="s">
        <v>18</v>
      </c>
      <c r="B33" s="126">
        <f>B28+B32</f>
        <v>712</v>
      </c>
      <c r="C33" s="127">
        <f>C28+C32</f>
        <v>611</v>
      </c>
      <c r="D33" s="128">
        <f>D28+D32</f>
        <v>176665</v>
      </c>
      <c r="E33" s="7" t="s">
        <v>20</v>
      </c>
    </row>
    <row r="34" spans="1:5" x14ac:dyDescent="0.25">
      <c r="A34" s="116" t="s">
        <v>143</v>
      </c>
      <c r="B34" s="130"/>
      <c r="C34" s="25"/>
      <c r="D34" s="131">
        <v>0</v>
      </c>
      <c r="E34" s="7" t="s">
        <v>20</v>
      </c>
    </row>
    <row r="35" spans="1:5" s="8" customFormat="1" x14ac:dyDescent="0.25">
      <c r="A35" s="111" t="s">
        <v>125</v>
      </c>
      <c r="B35" s="108">
        <f t="shared" ref="B35:C35" si="1">SUM(B33:B34)</f>
        <v>712</v>
      </c>
      <c r="C35" s="109">
        <f t="shared" si="1"/>
        <v>611</v>
      </c>
      <c r="D35" s="110">
        <f>SUM(D33:D34)</f>
        <v>176665</v>
      </c>
      <c r="E35" s="7" t="s">
        <v>20</v>
      </c>
    </row>
    <row r="36" spans="1:5" ht="14.4" thickBot="1" x14ac:dyDescent="0.3">
      <c r="A36" s="84" t="s">
        <v>19</v>
      </c>
      <c r="B36" s="86">
        <f>B33-B15</f>
        <v>10</v>
      </c>
      <c r="C36" s="87">
        <f>C33-C15</f>
        <v>10</v>
      </c>
      <c r="D36" s="88">
        <f>D33-D11</f>
        <v>1608</v>
      </c>
      <c r="E36" s="7" t="s">
        <v>20</v>
      </c>
    </row>
    <row r="37" spans="1:5" s="518" customFormat="1" ht="13.2" x14ac:dyDescent="0.25">
      <c r="A37" s="515"/>
      <c r="B37" s="516"/>
      <c r="C37" s="516"/>
      <c r="D37" s="517"/>
      <c r="E37" s="515" t="s">
        <v>20</v>
      </c>
    </row>
    <row r="38" spans="1:5" s="518" customFormat="1" ht="13.2" x14ac:dyDescent="0.25">
      <c r="A38" s="629" t="s">
        <v>206</v>
      </c>
      <c r="B38" s="629"/>
      <c r="C38" s="629"/>
      <c r="D38" s="629"/>
      <c r="E38" s="515" t="s">
        <v>20</v>
      </c>
    </row>
    <row r="39" spans="1:5" x14ac:dyDescent="0.25">
      <c r="E39" s="7" t="s">
        <v>21</v>
      </c>
    </row>
  </sheetData>
  <customSheetViews>
    <customSheetView guid="{5B2D5037-506A-47D5-AF28-C337BC9133BD}" scale="90" showPageBreaks="1" printArea="1" view="pageBreakPreview">
      <selection activeCell="A41" sqref="A41"/>
      <pageMargins left="0.7" right="0.7" top="0.63" bottom="0.63" header="0.3" footer="0.3"/>
      <printOptions horizontalCentered="1"/>
      <pageSetup scale="65" orientation="landscape" r:id="rId1"/>
      <headerFooter>
        <oddHeader>&amp;L&amp;"Arial,Bold"&amp;12B. Summary of Requirements</oddHeader>
        <oddFooter>&amp;C&amp;"Arial,Regular"Exhibit B - Summary of Requirements&amp;R&amp;"Arial,Regular"Salaries and Expenses/Management and Administration</oddFooter>
      </headerFooter>
    </customSheetView>
    <customSheetView guid="{08380F1E-0CB7-4B3B-924E-2A270EA8DD30}" scale="90" showPageBreaks="1" printArea="1" view="pageBreakPreview" topLeftCell="B13">
      <selection activeCell="D30" sqref="D30"/>
      <pageMargins left="0.7" right="0.7" top="0.63" bottom="0.63" header="0.3" footer="0.3"/>
      <printOptions horizontalCentered="1"/>
      <pageSetup scale="67" orientation="landscape" r:id="rId2"/>
      <headerFooter>
        <oddHeader>&amp;L&amp;"Arial,Bold"&amp;12B. Summary of Requirements</oddHeader>
        <oddFooter>&amp;C&amp;"Arial,Regular"Exhibit B - Summary of Requirements&amp;R&amp;"Arial,Regular"Salaries and Expenses/Management and Administration</oddFooter>
      </headerFooter>
    </customSheetView>
    <customSheetView guid="{D19943A8-2C2A-430A-A724-8C7C332697C8}" scale="90" showPageBreaks="1" printArea="1" view="pageBreakPreview">
      <selection activeCell="D26" sqref="D26"/>
      <pageMargins left="0.7" right="0.7" top="0.63" bottom="0.63" header="0.3" footer="0.3"/>
      <printOptions horizontalCentered="1"/>
      <pageSetup scale="67" orientation="landscape" r:id="rId3"/>
      <headerFooter>
        <oddHeader>&amp;L&amp;"Arial,Bold"&amp;12B. Summary of Requirements</oddHeader>
        <oddFooter>&amp;C&amp;"Arial,Regular"Exhibit B - Summary of Requirements&amp;R&amp;"Arial,Regular"Salaries and Expenses/Management and Administration</oddFooter>
      </headerFooter>
    </customSheetView>
    <customSheetView guid="{C6D68C6D-939C-4DFA-9385-A3F05DFB5EDA}" scale="90" showPageBreaks="1" printArea="1" view="pageBreakPreview" topLeftCell="B13">
      <selection activeCell="D30" sqref="D30"/>
      <pageMargins left="0.7" right="0.7" top="0.63" bottom="0.63" header="0.3" footer="0.3"/>
      <printOptions horizontalCentered="1"/>
      <pageSetup scale="67" orientation="landscape" r:id="rId4"/>
      <headerFooter>
        <oddHeader>&amp;L&amp;"Arial,Bold"&amp;12B. Summary of Requirements</oddHeader>
        <oddFooter>&amp;C&amp;"Arial,Regular"Exhibit B - Summary of Requirements&amp;R&amp;"Arial,Regular"Salaries and Expenses/Management and Administration</oddFooter>
      </headerFooter>
    </customSheetView>
  </customSheetViews>
  <mergeCells count="6">
    <mergeCell ref="A38:D38"/>
    <mergeCell ref="B6:D6"/>
    <mergeCell ref="A1:D1"/>
    <mergeCell ref="A2:D2"/>
    <mergeCell ref="A3:D3"/>
    <mergeCell ref="A4:D4"/>
  </mergeCells>
  <printOptions horizontalCentered="1"/>
  <pageMargins left="0.7" right="0.7" top="0.63" bottom="0.63" header="0.3" footer="0.3"/>
  <pageSetup scale="65" orientation="landscape" r:id="rId5"/>
  <headerFooter>
    <oddHeader>&amp;L&amp;"Arial,Bold"&amp;12B. Summary of Requirements</oddHeader>
    <oddFooter>&amp;C&amp;"Arial,Regular"Exhibit B - Summary of Requirements&amp;R&amp;"Arial,Regular"Salaries and Expenses/Management and Administration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90" zoomScaleNormal="100" zoomScaleSheetLayoutView="90" workbookViewId="0">
      <pane xSplit="1" ySplit="7" topLeftCell="B26" activePane="bottomRight" state="frozen"/>
      <selection pane="topRight" activeCell="B1" sqref="B1"/>
      <selection pane="bottomLeft" activeCell="A8" sqref="A8"/>
      <selection pane="bottomRight" activeCell="E42" sqref="E42"/>
    </sheetView>
  </sheetViews>
  <sheetFormatPr defaultColWidth="9.109375" defaultRowHeight="13.8" x14ac:dyDescent="0.25"/>
  <cols>
    <col min="1" max="1" width="86.5546875" style="12" customWidth="1"/>
    <col min="2" max="2" width="8.33203125" style="12" customWidth="1"/>
    <col min="3" max="3" width="12.6640625" style="12" customWidth="1"/>
    <col min="4" max="4" width="8.33203125" style="12" customWidth="1"/>
    <col min="5" max="5" width="12.6640625" style="12" customWidth="1"/>
    <col min="6" max="6" width="8.33203125" style="12" customWidth="1"/>
    <col min="7" max="7" width="12.6640625" style="12" customWidth="1"/>
    <col min="8" max="8" width="8.33203125" style="12" customWidth="1"/>
    <col min="9" max="9" width="12.6640625" style="12" customWidth="1"/>
    <col min="10" max="10" width="14" style="7" bestFit="1" customWidth="1"/>
    <col min="11" max="11" width="4.5546875" style="12" customWidth="1"/>
    <col min="12" max="13" width="8.33203125" style="12" customWidth="1"/>
    <col min="14" max="14" width="12.6640625" style="12" customWidth="1"/>
    <col min="15" max="16" width="8.33203125" style="12" customWidth="1"/>
    <col min="17" max="17" width="12.6640625" style="12" customWidth="1"/>
    <col min="18" max="16384" width="9.109375" style="12"/>
  </cols>
  <sheetData>
    <row r="1" spans="1:17" ht="18" x14ac:dyDescent="0.25">
      <c r="A1" s="633" t="s">
        <v>67</v>
      </c>
      <c r="B1" s="633"/>
      <c r="C1" s="633"/>
      <c r="D1" s="633"/>
      <c r="E1" s="633"/>
      <c r="F1" s="633"/>
      <c r="G1" s="633"/>
      <c r="H1" s="633"/>
      <c r="I1" s="633"/>
      <c r="J1" s="53" t="s">
        <v>20</v>
      </c>
      <c r="K1" s="9"/>
      <c r="L1" s="9"/>
      <c r="M1" s="9"/>
      <c r="N1" s="9"/>
      <c r="O1" s="9"/>
      <c r="P1" s="9"/>
      <c r="Q1" s="9"/>
    </row>
    <row r="2" spans="1:17" ht="15" x14ac:dyDescent="0.2">
      <c r="A2" s="634" t="s">
        <v>160</v>
      </c>
      <c r="B2" s="634"/>
      <c r="C2" s="634"/>
      <c r="D2" s="634"/>
      <c r="E2" s="634"/>
      <c r="F2" s="634"/>
      <c r="G2" s="634"/>
      <c r="H2" s="634"/>
      <c r="I2" s="634"/>
      <c r="J2" s="53" t="s">
        <v>20</v>
      </c>
      <c r="K2" s="10"/>
      <c r="L2" s="10"/>
      <c r="M2" s="10"/>
      <c r="N2" s="10"/>
      <c r="O2" s="10"/>
      <c r="P2" s="10"/>
      <c r="Q2" s="10"/>
    </row>
    <row r="3" spans="1:17" ht="14.25" x14ac:dyDescent="0.2">
      <c r="A3" s="635" t="s">
        <v>169</v>
      </c>
      <c r="B3" s="640"/>
      <c r="C3" s="640"/>
      <c r="D3" s="640"/>
      <c r="E3" s="640"/>
      <c r="F3" s="640"/>
      <c r="G3" s="640"/>
      <c r="H3" s="640"/>
      <c r="I3" s="640"/>
      <c r="J3" s="53" t="s">
        <v>20</v>
      </c>
      <c r="K3" s="13"/>
      <c r="L3" s="13"/>
      <c r="M3" s="13"/>
      <c r="N3" s="13"/>
      <c r="O3" s="13"/>
      <c r="P3" s="13"/>
      <c r="Q3" s="13"/>
    </row>
    <row r="4" spans="1:17" ht="14.25" x14ac:dyDescent="0.2">
      <c r="A4" s="637" t="s">
        <v>1</v>
      </c>
      <c r="B4" s="637"/>
      <c r="C4" s="637"/>
      <c r="D4" s="637"/>
      <c r="E4" s="637"/>
      <c r="F4" s="637"/>
      <c r="G4" s="637"/>
      <c r="H4" s="637"/>
      <c r="I4" s="637"/>
      <c r="J4" s="53" t="s">
        <v>20</v>
      </c>
      <c r="K4" s="11"/>
      <c r="L4" s="11"/>
      <c r="M4" s="11"/>
      <c r="N4" s="11"/>
      <c r="O4" s="11"/>
      <c r="P4" s="11"/>
      <c r="Q4" s="11"/>
    </row>
    <row r="5" spans="1:17" ht="15" thickBot="1" x14ac:dyDescent="0.25">
      <c r="A5" s="637"/>
      <c r="B5" s="637"/>
      <c r="C5" s="637"/>
      <c r="D5" s="637"/>
      <c r="E5" s="637"/>
      <c r="F5" s="637"/>
      <c r="G5" s="637"/>
      <c r="H5" s="637"/>
      <c r="I5" s="637"/>
      <c r="J5" s="53" t="s">
        <v>20</v>
      </c>
      <c r="K5" s="11"/>
      <c r="L5" s="11"/>
      <c r="M5" s="11"/>
      <c r="N5" s="11"/>
      <c r="O5" s="11"/>
      <c r="P5" s="11"/>
      <c r="Q5" s="11"/>
    </row>
    <row r="6" spans="1:17" x14ac:dyDescent="0.25">
      <c r="A6" s="638" t="s">
        <v>68</v>
      </c>
      <c r="B6" s="641" t="s">
        <v>45</v>
      </c>
      <c r="C6" s="641"/>
      <c r="D6" s="641" t="s">
        <v>420</v>
      </c>
      <c r="E6" s="641"/>
      <c r="F6" s="641" t="s">
        <v>24</v>
      </c>
      <c r="G6" s="641"/>
      <c r="H6" s="641" t="s">
        <v>46</v>
      </c>
      <c r="I6" s="642"/>
      <c r="J6" s="53" t="s">
        <v>20</v>
      </c>
    </row>
    <row r="7" spans="1:17" ht="27.6" x14ac:dyDescent="0.25">
      <c r="A7" s="639"/>
      <c r="B7" s="54" t="s">
        <v>30</v>
      </c>
      <c r="C7" s="14" t="s">
        <v>4</v>
      </c>
      <c r="D7" s="14" t="s">
        <v>30</v>
      </c>
      <c r="E7" s="14" t="s">
        <v>4</v>
      </c>
      <c r="F7" s="14" t="s">
        <v>30</v>
      </c>
      <c r="G7" s="14" t="s">
        <v>4</v>
      </c>
      <c r="H7" s="14" t="s">
        <v>30</v>
      </c>
      <c r="I7" s="15" t="s">
        <v>4</v>
      </c>
      <c r="J7" s="53" t="s">
        <v>20</v>
      </c>
    </row>
    <row r="8" spans="1:17" ht="14.25" x14ac:dyDescent="0.2">
      <c r="A8" s="58" t="s">
        <v>69</v>
      </c>
      <c r="B8" s="140">
        <v>644</v>
      </c>
      <c r="C8" s="140">
        <v>63668</v>
      </c>
      <c r="D8" s="140">
        <v>559</v>
      </c>
      <c r="E8" s="140">
        <v>63668</v>
      </c>
      <c r="F8" s="140">
        <v>559</v>
      </c>
      <c r="G8" s="140">
        <v>63922</v>
      </c>
      <c r="H8" s="140">
        <f>F8-D8</f>
        <v>0</v>
      </c>
      <c r="I8" s="141">
        <f>G8-E8</f>
        <v>254</v>
      </c>
      <c r="J8" s="53" t="s">
        <v>20</v>
      </c>
    </row>
    <row r="9" spans="1:17" ht="14.25" x14ac:dyDescent="0.2">
      <c r="A9" s="59" t="s">
        <v>70</v>
      </c>
      <c r="B9" s="24">
        <v>34</v>
      </c>
      <c r="C9" s="24">
        <v>2036</v>
      </c>
      <c r="D9" s="24">
        <v>34</v>
      </c>
      <c r="E9" s="24">
        <v>2036</v>
      </c>
      <c r="F9" s="24">
        <v>34</v>
      </c>
      <c r="G9" s="24">
        <v>2053</v>
      </c>
      <c r="H9" s="24">
        <f t="shared" ref="H9:H13" si="0">F9-D9</f>
        <v>0</v>
      </c>
      <c r="I9" s="142">
        <f t="shared" ref="I9:I13" si="1">G9-E9</f>
        <v>17</v>
      </c>
      <c r="J9" s="53" t="s">
        <v>20</v>
      </c>
    </row>
    <row r="10" spans="1:17" ht="14.25" x14ac:dyDescent="0.2">
      <c r="A10" s="121" t="s">
        <v>146</v>
      </c>
      <c r="B10" s="24">
        <v>8</v>
      </c>
      <c r="C10" s="24">
        <v>855</v>
      </c>
      <c r="D10" s="24">
        <v>8</v>
      </c>
      <c r="E10" s="24">
        <v>855</v>
      </c>
      <c r="F10" s="24">
        <v>8</v>
      </c>
      <c r="G10" s="24">
        <v>1774</v>
      </c>
      <c r="H10" s="24">
        <f t="shared" si="0"/>
        <v>0</v>
      </c>
      <c r="I10" s="142">
        <f t="shared" si="1"/>
        <v>919</v>
      </c>
      <c r="J10" s="53" t="s">
        <v>20</v>
      </c>
    </row>
    <row r="11" spans="1:17" ht="14.25" x14ac:dyDescent="0.2">
      <c r="A11" s="60" t="s">
        <v>29</v>
      </c>
      <c r="B11" s="169">
        <v>0</v>
      </c>
      <c r="C11" s="169">
        <v>0</v>
      </c>
      <c r="D11" s="169">
        <v>0</v>
      </c>
      <c r="E11" s="169">
        <v>0</v>
      </c>
      <c r="F11" s="169">
        <v>0</v>
      </c>
      <c r="G11" s="169">
        <v>0</v>
      </c>
      <c r="H11" s="169">
        <f t="shared" si="0"/>
        <v>0</v>
      </c>
      <c r="I11" s="170">
        <f t="shared" si="1"/>
        <v>0</v>
      </c>
      <c r="J11" s="53" t="s">
        <v>20</v>
      </c>
    </row>
    <row r="12" spans="1:17" ht="14.25" x14ac:dyDescent="0.2">
      <c r="A12" s="60" t="s">
        <v>71</v>
      </c>
      <c r="B12" s="169">
        <v>0</v>
      </c>
      <c r="C12" s="169">
        <v>0</v>
      </c>
      <c r="D12" s="169">
        <v>0</v>
      </c>
      <c r="E12" s="169">
        <v>0</v>
      </c>
      <c r="F12" s="169">
        <v>0</v>
      </c>
      <c r="G12" s="169">
        <v>0</v>
      </c>
      <c r="H12" s="169">
        <f t="shared" si="0"/>
        <v>0</v>
      </c>
      <c r="I12" s="170">
        <f t="shared" si="1"/>
        <v>0</v>
      </c>
      <c r="J12" s="53" t="s">
        <v>20</v>
      </c>
    </row>
    <row r="13" spans="1:17" ht="14.25" x14ac:dyDescent="0.2">
      <c r="A13" s="59" t="s">
        <v>72</v>
      </c>
      <c r="B13" s="156">
        <v>0</v>
      </c>
      <c r="C13" s="196">
        <v>-1</v>
      </c>
      <c r="D13" s="156">
        <v>0</v>
      </c>
      <c r="E13" s="196">
        <v>-1</v>
      </c>
      <c r="F13" s="156">
        <v>0</v>
      </c>
      <c r="G13" s="156">
        <v>0</v>
      </c>
      <c r="H13" s="156">
        <f t="shared" si="0"/>
        <v>0</v>
      </c>
      <c r="I13" s="157">
        <f t="shared" si="1"/>
        <v>1</v>
      </c>
      <c r="J13" s="53" t="s">
        <v>20</v>
      </c>
    </row>
    <row r="14" spans="1:17" ht="15" x14ac:dyDescent="0.25">
      <c r="A14" s="62" t="s">
        <v>25</v>
      </c>
      <c r="B14" s="127">
        <f>SUM(B8:B10,B13)</f>
        <v>686</v>
      </c>
      <c r="C14" s="127">
        <f t="shared" ref="C14:I14" si="2">SUM(C8:C10,C13)</f>
        <v>66558</v>
      </c>
      <c r="D14" s="127">
        <f t="shared" si="2"/>
        <v>601</v>
      </c>
      <c r="E14" s="127">
        <f t="shared" si="2"/>
        <v>66558</v>
      </c>
      <c r="F14" s="127">
        <f t="shared" si="2"/>
        <v>601</v>
      </c>
      <c r="G14" s="127">
        <f t="shared" si="2"/>
        <v>67749</v>
      </c>
      <c r="H14" s="127">
        <f t="shared" si="2"/>
        <v>0</v>
      </c>
      <c r="I14" s="133">
        <f t="shared" si="2"/>
        <v>1191</v>
      </c>
      <c r="J14" s="53" t="s">
        <v>20</v>
      </c>
    </row>
    <row r="15" spans="1:17" ht="15" x14ac:dyDescent="0.25">
      <c r="A15" s="61" t="s">
        <v>73</v>
      </c>
      <c r="B15" s="24"/>
      <c r="C15" s="24"/>
      <c r="D15" s="24"/>
      <c r="E15" s="24"/>
      <c r="F15" s="24"/>
      <c r="G15" s="24"/>
      <c r="H15" s="24"/>
      <c r="I15" s="142"/>
      <c r="J15" s="53" t="s">
        <v>20</v>
      </c>
    </row>
    <row r="16" spans="1:17" ht="14.25" x14ac:dyDescent="0.2">
      <c r="A16" s="59" t="s">
        <v>74</v>
      </c>
      <c r="B16" s="24"/>
      <c r="C16" s="24">
        <v>19903</v>
      </c>
      <c r="D16" s="24"/>
      <c r="E16" s="24">
        <v>20228</v>
      </c>
      <c r="F16" s="24"/>
      <c r="G16" s="24">
        <v>19903</v>
      </c>
      <c r="H16" s="24"/>
      <c r="I16" s="142">
        <f t="shared" ref="I16:I36" si="3">G16-E16</f>
        <v>-325</v>
      </c>
      <c r="J16" s="53" t="s">
        <v>20</v>
      </c>
    </row>
    <row r="17" spans="1:10" ht="14.25" x14ac:dyDescent="0.2">
      <c r="A17" s="59" t="s">
        <v>75</v>
      </c>
      <c r="B17" s="24"/>
      <c r="C17" s="24">
        <v>831</v>
      </c>
      <c r="D17" s="24"/>
      <c r="E17" s="24">
        <v>836</v>
      </c>
      <c r="F17" s="24"/>
      <c r="G17" s="24">
        <v>831</v>
      </c>
      <c r="H17" s="24"/>
      <c r="I17" s="142">
        <f t="shared" si="3"/>
        <v>-5</v>
      </c>
      <c r="J17" s="53" t="s">
        <v>20</v>
      </c>
    </row>
    <row r="18" spans="1:10" ht="13.95" x14ac:dyDescent="0.25">
      <c r="A18" s="59" t="s">
        <v>76</v>
      </c>
      <c r="B18" s="24"/>
      <c r="C18" s="24">
        <v>928</v>
      </c>
      <c r="D18" s="24"/>
      <c r="E18" s="24">
        <v>934</v>
      </c>
      <c r="F18" s="24"/>
      <c r="G18" s="24">
        <v>928</v>
      </c>
      <c r="H18" s="24"/>
      <c r="I18" s="142">
        <f t="shared" si="3"/>
        <v>-6</v>
      </c>
      <c r="J18" s="53" t="s">
        <v>20</v>
      </c>
    </row>
    <row r="19" spans="1:10" ht="13.95" x14ac:dyDescent="0.25">
      <c r="A19" s="121" t="s">
        <v>147</v>
      </c>
      <c r="B19" s="24"/>
      <c r="C19" s="24">
        <v>673</v>
      </c>
      <c r="D19" s="24"/>
      <c r="E19" s="24">
        <v>677</v>
      </c>
      <c r="F19" s="24"/>
      <c r="G19" s="24">
        <v>673</v>
      </c>
      <c r="H19" s="24"/>
      <c r="I19" s="142">
        <f t="shared" si="3"/>
        <v>-4</v>
      </c>
      <c r="J19" s="53" t="s">
        <v>20</v>
      </c>
    </row>
    <row r="20" spans="1:10" ht="13.95" x14ac:dyDescent="0.25">
      <c r="A20" s="59" t="s">
        <v>77</v>
      </c>
      <c r="B20" s="24"/>
      <c r="C20" s="24">
        <v>14747</v>
      </c>
      <c r="D20" s="24"/>
      <c r="E20" s="24">
        <v>14837</v>
      </c>
      <c r="F20" s="24"/>
      <c r="G20" s="24">
        <f>14747+230</f>
        <v>14977</v>
      </c>
      <c r="H20" s="24"/>
      <c r="I20" s="142">
        <f t="shared" si="3"/>
        <v>140</v>
      </c>
      <c r="J20" s="53" t="s">
        <v>20</v>
      </c>
    </row>
    <row r="21" spans="1:10" ht="13.95" x14ac:dyDescent="0.25">
      <c r="A21" s="59" t="s">
        <v>78</v>
      </c>
      <c r="B21" s="24"/>
      <c r="C21" s="24">
        <v>33</v>
      </c>
      <c r="D21" s="24"/>
      <c r="E21" s="24">
        <v>33</v>
      </c>
      <c r="F21" s="24"/>
      <c r="G21" s="24">
        <v>33</v>
      </c>
      <c r="H21" s="24"/>
      <c r="I21" s="142">
        <f t="shared" si="3"/>
        <v>0</v>
      </c>
      <c r="J21" s="53" t="s">
        <v>20</v>
      </c>
    </row>
    <row r="22" spans="1:10" ht="13.95" x14ac:dyDescent="0.25">
      <c r="A22" s="59" t="s">
        <v>79</v>
      </c>
      <c r="B22" s="24"/>
      <c r="C22" s="24">
        <v>1907</v>
      </c>
      <c r="D22" s="24"/>
      <c r="E22" s="24">
        <v>1919</v>
      </c>
      <c r="F22" s="24"/>
      <c r="G22" s="24">
        <v>1907</v>
      </c>
      <c r="H22" s="24"/>
      <c r="I22" s="142">
        <f t="shared" si="3"/>
        <v>-12</v>
      </c>
      <c r="J22" s="53" t="s">
        <v>20</v>
      </c>
    </row>
    <row r="23" spans="1:10" ht="13.95" x14ac:dyDescent="0.25">
      <c r="A23" s="59" t="s">
        <v>80</v>
      </c>
      <c r="B23" s="24"/>
      <c r="C23" s="24">
        <v>83</v>
      </c>
      <c r="D23" s="24"/>
      <c r="E23" s="24">
        <v>84</v>
      </c>
      <c r="F23" s="24"/>
      <c r="G23" s="24">
        <v>83</v>
      </c>
      <c r="H23" s="24"/>
      <c r="I23" s="142">
        <f t="shared" si="3"/>
        <v>-1</v>
      </c>
      <c r="J23" s="53" t="s">
        <v>20</v>
      </c>
    </row>
    <row r="24" spans="1:10" ht="13.95" x14ac:dyDescent="0.25">
      <c r="A24" s="59" t="s">
        <v>81</v>
      </c>
      <c r="B24" s="24"/>
      <c r="C24" s="24">
        <v>12717</v>
      </c>
      <c r="D24" s="24"/>
      <c r="E24" s="24">
        <v>12795</v>
      </c>
      <c r="F24" s="24"/>
      <c r="G24" s="24">
        <f>12717+229-42</f>
        <v>12904</v>
      </c>
      <c r="H24" s="24"/>
      <c r="I24" s="142">
        <f t="shared" si="3"/>
        <v>109</v>
      </c>
      <c r="J24" s="53" t="s">
        <v>20</v>
      </c>
    </row>
    <row r="25" spans="1:10" ht="13.95" x14ac:dyDescent="0.25">
      <c r="A25" s="59" t="s">
        <v>82</v>
      </c>
      <c r="B25" s="24"/>
      <c r="C25" s="24">
        <v>47445</v>
      </c>
      <c r="D25" s="24"/>
      <c r="E25" s="24">
        <v>46340</v>
      </c>
      <c r="F25" s="24"/>
      <c r="G25" s="24">
        <v>45857</v>
      </c>
      <c r="H25" s="24"/>
      <c r="I25" s="142">
        <f t="shared" si="3"/>
        <v>-483</v>
      </c>
      <c r="J25" s="53" t="s">
        <v>20</v>
      </c>
    </row>
    <row r="26" spans="1:10" ht="13.95" x14ac:dyDescent="0.25">
      <c r="A26" s="59" t="s">
        <v>83</v>
      </c>
      <c r="B26" s="24"/>
      <c r="C26" s="24">
        <v>8442</v>
      </c>
      <c r="D26" s="24"/>
      <c r="E26" s="24">
        <v>8494</v>
      </c>
      <c r="F26" s="24"/>
      <c r="G26" s="24">
        <v>8442</v>
      </c>
      <c r="H26" s="24"/>
      <c r="I26" s="142">
        <f t="shared" si="3"/>
        <v>-52</v>
      </c>
      <c r="J26" s="53" t="s">
        <v>20</v>
      </c>
    </row>
    <row r="27" spans="1:10" ht="13.95" x14ac:dyDescent="0.25">
      <c r="A27" s="59" t="s">
        <v>84</v>
      </c>
      <c r="B27" s="24"/>
      <c r="C27" s="24">
        <v>222</v>
      </c>
      <c r="D27" s="24"/>
      <c r="E27" s="24">
        <v>223</v>
      </c>
      <c r="F27" s="24"/>
      <c r="G27" s="24">
        <v>222</v>
      </c>
      <c r="H27" s="24"/>
      <c r="I27" s="142">
        <f t="shared" si="3"/>
        <v>-1</v>
      </c>
      <c r="J27" s="53" t="s">
        <v>20</v>
      </c>
    </row>
    <row r="28" spans="1:10" ht="13.95" x14ac:dyDescent="0.25">
      <c r="A28" s="59" t="s">
        <v>85</v>
      </c>
      <c r="B28" s="24"/>
      <c r="C28" s="24">
        <v>0</v>
      </c>
      <c r="D28" s="24"/>
      <c r="E28" s="24">
        <v>0</v>
      </c>
      <c r="F28" s="24"/>
      <c r="G28" s="24">
        <v>0</v>
      </c>
      <c r="H28" s="24"/>
      <c r="I28" s="142">
        <f t="shared" si="3"/>
        <v>0</v>
      </c>
      <c r="J28" s="53" t="s">
        <v>20</v>
      </c>
    </row>
    <row r="29" spans="1:10" ht="13.95" x14ac:dyDescent="0.25">
      <c r="A29" s="59" t="s">
        <v>34</v>
      </c>
      <c r="B29" s="24"/>
      <c r="C29" s="24">
        <v>144</v>
      </c>
      <c r="D29" s="24"/>
      <c r="E29" s="24">
        <v>145</v>
      </c>
      <c r="F29" s="24"/>
      <c r="G29" s="24">
        <v>144</v>
      </c>
      <c r="H29" s="24"/>
      <c r="I29" s="142">
        <f t="shared" si="3"/>
        <v>-1</v>
      </c>
      <c r="J29" s="53" t="s">
        <v>20</v>
      </c>
    </row>
    <row r="30" spans="1:10" ht="13.95" x14ac:dyDescent="0.25">
      <c r="A30" s="59" t="s">
        <v>86</v>
      </c>
      <c r="B30" s="24"/>
      <c r="C30" s="24">
        <v>303</v>
      </c>
      <c r="D30" s="24"/>
      <c r="E30" s="24">
        <v>305</v>
      </c>
      <c r="F30" s="24"/>
      <c r="G30" s="24">
        <v>303</v>
      </c>
      <c r="H30" s="24"/>
      <c r="I30" s="142">
        <f t="shared" si="3"/>
        <v>-2</v>
      </c>
      <c r="J30" s="53" t="s">
        <v>20</v>
      </c>
    </row>
    <row r="31" spans="1:10" ht="13.95" x14ac:dyDescent="0.25">
      <c r="A31" s="59" t="s">
        <v>87</v>
      </c>
      <c r="B31" s="24"/>
      <c r="C31" s="24">
        <v>0</v>
      </c>
      <c r="D31" s="24"/>
      <c r="E31" s="24">
        <v>0</v>
      </c>
      <c r="F31" s="24"/>
      <c r="G31" s="24">
        <v>0</v>
      </c>
      <c r="H31" s="24"/>
      <c r="I31" s="142">
        <f t="shared" si="3"/>
        <v>0</v>
      </c>
      <c r="J31" s="53" t="s">
        <v>20</v>
      </c>
    </row>
    <row r="32" spans="1:10" ht="13.95" x14ac:dyDescent="0.25">
      <c r="A32" s="59" t="s">
        <v>88</v>
      </c>
      <c r="B32" s="24"/>
      <c r="C32" s="24">
        <v>417</v>
      </c>
      <c r="D32" s="24"/>
      <c r="E32" s="24">
        <v>420</v>
      </c>
      <c r="F32" s="24"/>
      <c r="G32" s="24">
        <v>417</v>
      </c>
      <c r="H32" s="24"/>
      <c r="I32" s="142">
        <f t="shared" si="3"/>
        <v>-3</v>
      </c>
      <c r="J32" s="53" t="s">
        <v>20</v>
      </c>
    </row>
    <row r="33" spans="1:10" ht="13.95" x14ac:dyDescent="0.25">
      <c r="A33" s="59" t="s">
        <v>89</v>
      </c>
      <c r="B33" s="24"/>
      <c r="C33" s="24">
        <v>1250</v>
      </c>
      <c r="D33" s="24"/>
      <c r="E33" s="24">
        <v>1258</v>
      </c>
      <c r="F33" s="24"/>
      <c r="G33" s="24">
        <v>1250</v>
      </c>
      <c r="H33" s="24"/>
      <c r="I33" s="142">
        <f t="shared" si="3"/>
        <v>-8</v>
      </c>
      <c r="J33" s="53" t="s">
        <v>20</v>
      </c>
    </row>
    <row r="34" spans="1:10" ht="13.95" x14ac:dyDescent="0.25">
      <c r="A34" s="59" t="s">
        <v>90</v>
      </c>
      <c r="B34" s="24"/>
      <c r="C34" s="24">
        <v>0</v>
      </c>
      <c r="D34" s="24"/>
      <c r="E34" s="24">
        <v>0</v>
      </c>
      <c r="F34" s="24"/>
      <c r="G34" s="24">
        <v>0</v>
      </c>
      <c r="H34" s="24"/>
      <c r="I34" s="142">
        <f t="shared" si="3"/>
        <v>0</v>
      </c>
      <c r="J34" s="53" t="s">
        <v>20</v>
      </c>
    </row>
    <row r="35" spans="1:10" ht="13.95" x14ac:dyDescent="0.25">
      <c r="A35" s="59" t="s">
        <v>91</v>
      </c>
      <c r="B35" s="24"/>
      <c r="C35" s="24">
        <v>0</v>
      </c>
      <c r="D35" s="24"/>
      <c r="E35" s="24">
        <v>0</v>
      </c>
      <c r="F35" s="24"/>
      <c r="G35" s="24">
        <v>0</v>
      </c>
      <c r="H35" s="24"/>
      <c r="I35" s="142">
        <f t="shared" si="3"/>
        <v>0</v>
      </c>
      <c r="J35" s="53" t="s">
        <v>20</v>
      </c>
    </row>
    <row r="36" spans="1:10" ht="13.95" x14ac:dyDescent="0.25">
      <c r="A36" s="59" t="s">
        <v>92</v>
      </c>
      <c r="B36" s="24"/>
      <c r="C36" s="24">
        <v>42</v>
      </c>
      <c r="D36" s="24"/>
      <c r="E36" s="24">
        <v>42</v>
      </c>
      <c r="F36" s="24"/>
      <c r="G36" s="24">
        <v>42</v>
      </c>
      <c r="H36" s="24"/>
      <c r="I36" s="142">
        <f t="shared" si="3"/>
        <v>0</v>
      </c>
      <c r="J36" s="53" t="s">
        <v>20</v>
      </c>
    </row>
    <row r="37" spans="1:10" x14ac:dyDescent="0.25">
      <c r="A37" s="62" t="s">
        <v>93</v>
      </c>
      <c r="B37" s="70"/>
      <c r="C37" s="70">
        <f>SUM(C14:C36)</f>
        <v>176645</v>
      </c>
      <c r="D37" s="70"/>
      <c r="E37" s="70">
        <f t="shared" ref="E37:I37" si="4">SUM(E14:E36)</f>
        <v>176128</v>
      </c>
      <c r="F37" s="70"/>
      <c r="G37" s="70">
        <f t="shared" si="4"/>
        <v>176665</v>
      </c>
      <c r="H37" s="70"/>
      <c r="I37" s="73">
        <f t="shared" si="4"/>
        <v>537</v>
      </c>
      <c r="J37" s="53" t="s">
        <v>20</v>
      </c>
    </row>
    <row r="38" spans="1:10" x14ac:dyDescent="0.25">
      <c r="A38" s="177" t="s">
        <v>462</v>
      </c>
      <c r="B38" s="24"/>
      <c r="C38" s="197">
        <v>-2550</v>
      </c>
      <c r="D38" s="24"/>
      <c r="E38" s="197">
        <v>-1299</v>
      </c>
      <c r="F38" s="24"/>
      <c r="G38" s="197">
        <v>-1299</v>
      </c>
      <c r="H38" s="24"/>
      <c r="I38" s="142">
        <f>G38-E38</f>
        <v>0</v>
      </c>
      <c r="J38" s="53" t="s">
        <v>20</v>
      </c>
    </row>
    <row r="39" spans="1:10" x14ac:dyDescent="0.25">
      <c r="A39" s="177" t="s">
        <v>463</v>
      </c>
      <c r="B39" s="24"/>
      <c r="C39" s="24">
        <v>0</v>
      </c>
      <c r="D39" s="24"/>
      <c r="E39" s="24">
        <v>0</v>
      </c>
      <c r="F39" s="24"/>
      <c r="G39" s="24">
        <v>0</v>
      </c>
      <c r="H39" s="24"/>
      <c r="I39" s="142">
        <f t="shared" ref="I39:I42" si="5">G39-E39</f>
        <v>0</v>
      </c>
      <c r="J39" s="53" t="s">
        <v>20</v>
      </c>
    </row>
    <row r="40" spans="1:10" x14ac:dyDescent="0.25">
      <c r="A40" s="177" t="s">
        <v>139</v>
      </c>
      <c r="B40" s="24"/>
      <c r="C40" s="197">
        <v>-350</v>
      </c>
      <c r="D40" s="24"/>
      <c r="E40" s="24">
        <v>0</v>
      </c>
      <c r="F40" s="24"/>
      <c r="G40" s="24">
        <v>0</v>
      </c>
      <c r="H40" s="24"/>
      <c r="I40" s="142">
        <f t="shared" si="5"/>
        <v>0</v>
      </c>
      <c r="J40" s="53" t="s">
        <v>20</v>
      </c>
    </row>
    <row r="41" spans="1:10" x14ac:dyDescent="0.25">
      <c r="A41" s="177" t="s">
        <v>474</v>
      </c>
      <c r="B41" s="24"/>
      <c r="C41" s="197">
        <v>13</v>
      </c>
      <c r="D41" s="24"/>
      <c r="E41" s="24"/>
      <c r="F41" s="24"/>
      <c r="G41" s="24"/>
      <c r="H41" s="24"/>
      <c r="I41" s="142"/>
      <c r="J41" s="53" t="s">
        <v>20</v>
      </c>
    </row>
    <row r="42" spans="1:10" x14ac:dyDescent="0.25">
      <c r="A42" s="177" t="s">
        <v>465</v>
      </c>
      <c r="B42" s="24"/>
      <c r="C42" s="24">
        <v>1299</v>
      </c>
      <c r="D42" s="24"/>
      <c r="E42" s="24">
        <v>1299</v>
      </c>
      <c r="F42" s="24"/>
      <c r="G42" s="24">
        <v>1299</v>
      </c>
      <c r="H42" s="24"/>
      <c r="I42" s="142">
        <f t="shared" si="5"/>
        <v>0</v>
      </c>
      <c r="J42" s="53" t="s">
        <v>20</v>
      </c>
    </row>
    <row r="43" spans="1:10" ht="14.4" thickBot="1" x14ac:dyDescent="0.3">
      <c r="A43" s="63" t="s">
        <v>94</v>
      </c>
      <c r="B43" s="171">
        <f t="shared" ref="B43:I43" si="6">SUM(B37:B42)</f>
        <v>0</v>
      </c>
      <c r="C43" s="171">
        <f t="shared" si="6"/>
        <v>175057</v>
      </c>
      <c r="D43" s="171">
        <f t="shared" si="6"/>
        <v>0</v>
      </c>
      <c r="E43" s="171">
        <f t="shared" si="6"/>
        <v>176128</v>
      </c>
      <c r="F43" s="171">
        <f t="shared" si="6"/>
        <v>0</v>
      </c>
      <c r="G43" s="171">
        <f t="shared" si="6"/>
        <v>176665</v>
      </c>
      <c r="H43" s="171">
        <f t="shared" si="6"/>
        <v>0</v>
      </c>
      <c r="I43" s="172">
        <f t="shared" si="6"/>
        <v>537</v>
      </c>
      <c r="J43" s="53" t="s">
        <v>20</v>
      </c>
    </row>
    <row r="44" spans="1:10" x14ac:dyDescent="0.25">
      <c r="J44" s="7" t="s">
        <v>21</v>
      </c>
    </row>
    <row r="45" spans="1:10" x14ac:dyDescent="0.25">
      <c r="A45" s="178" t="s">
        <v>271</v>
      </c>
    </row>
  </sheetData>
  <customSheetViews>
    <customSheetView guid="{5B2D5037-506A-47D5-AF28-C337BC9133BD}" scale="90" showPageBreaks="1" printArea="1" view="pageBreakPreview">
      <pane xSplit="1" ySplit="7" topLeftCell="B26" activePane="bottomRight" state="frozen"/>
      <selection pane="bottomRight" activeCell="E42" sqref="E42"/>
      <pageMargins left="0.6" right="0.6" top="0.56999999999999995" bottom="0.55000000000000004" header="0.3" footer="0.3"/>
      <printOptions horizontalCentered="1"/>
      <pageSetup scale="72" orientation="landscape" r:id="rId1"/>
      <headerFooter>
        <oddHeader>&amp;L&amp;"Arial,Bold"&amp;12L. Summary of Requirements by Object Class</oddHeader>
        <oddFooter>&amp;C&amp;"Arial,Regular"Exhibit L - Summary of Requirements by Object Class&amp;R&amp;"Arial,Regular"Salaries and Expenses/Management and Administration</oddFooter>
      </headerFooter>
    </customSheetView>
    <customSheetView guid="{08380F1E-0CB7-4B3B-924E-2A270EA8DD30}" scale="90" showPageBreaks="1" printArea="1" view="pageBreakPreview">
      <pane xSplit="1" ySplit="7" topLeftCell="B8" activePane="bottomRight" state="frozen"/>
      <selection pane="bottomRight" activeCell="C41" sqref="C41"/>
      <pageMargins left="0.6" right="0.6" top="0.56999999999999995" bottom="0.55000000000000004" header="0.3" footer="0.3"/>
      <printOptions horizontalCentered="1"/>
      <pageSetup scale="72" orientation="landscape" r:id="rId2"/>
      <headerFooter>
        <oddHeader>&amp;L&amp;"Arial,Bold"&amp;12L. Summary of Requirements by Object Class</oddHeader>
        <oddFooter>&amp;C&amp;"Arial,Regular"Exhibit L - Summary of Requirements by Object Class&amp;R&amp;"Arial,Regular"Salaries and Expenses/Management and Administration</oddFooter>
      </headerFooter>
    </customSheetView>
    <customSheetView guid="{D19943A8-2C2A-430A-A724-8C7C332697C8}" scale="90" showPageBreaks="1" printArea="1" view="pageBreakPreview">
      <pane xSplit="1" ySplit="7" topLeftCell="B8" activePane="bottomRight" state="frozen"/>
      <selection pane="bottomRight" activeCell="G43" sqref="G43"/>
      <pageMargins left="0.6" right="0.6" top="0.56999999999999995" bottom="0.55000000000000004" header="0.3" footer="0.3"/>
      <printOptions horizontalCentered="1"/>
      <pageSetup scale="72" orientation="landscape" r:id="rId3"/>
      <headerFooter>
        <oddHeader>&amp;L&amp;"Arial,Bold"&amp;12L. Summary of Requirements by Object Class</oddHeader>
        <oddFooter>&amp;C&amp;"Arial,Regular"Exhibit L - Summary of Requirements by Object Class&amp;R&amp;"Arial,Regular"Salaries and Expenses/Management and Administration</oddFooter>
      </headerFooter>
    </customSheetView>
    <customSheetView guid="{C6D68C6D-939C-4DFA-9385-A3F05DFB5EDA}" scale="90" showPageBreaks="1" printArea="1" view="pageBreakPreview">
      <pane xSplit="1" ySplit="7" topLeftCell="B8" activePane="bottomRight" state="frozen"/>
      <selection pane="bottomRight" activeCell="C41" sqref="C41"/>
      <pageMargins left="0.6" right="0.6" top="0.56999999999999995" bottom="0.55000000000000004" header="0.3" footer="0.3"/>
      <printOptions horizontalCentered="1"/>
      <pageSetup scale="72" orientation="landscape" r:id="rId4"/>
      <headerFooter>
        <oddHeader>&amp;L&amp;"Arial,Bold"&amp;12L. Summary of Requirements by Object Class</oddHeader>
        <oddFooter>&amp;C&amp;"Arial,Regular"Exhibit L - Summary of Requirements by Object Class&amp;R&amp;"Arial,Regular"Salaries and Expenses/Management and Administration</oddFooter>
      </headerFooter>
    </customSheetView>
  </customSheetViews>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5"/>
  <headerFooter>
    <oddHeader>&amp;L&amp;"Arial,Bold"&amp;12L. Summary of Requirements by Object Class</oddHeader>
    <oddFooter>&amp;C&amp;"Arial,Regular"Exhibit L - Summary of Requirements by Object Class&amp;R&amp;"Arial,Regular"Salaries and Expenses/Management and Administration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view="pageBreakPreview" topLeftCell="A10" zoomScale="80" zoomScaleNormal="100" zoomScaleSheetLayoutView="80" workbookViewId="0">
      <selection activeCell="D17" sqref="D17"/>
    </sheetView>
  </sheetViews>
  <sheetFormatPr defaultColWidth="9.109375" defaultRowHeight="13.8" x14ac:dyDescent="0.25"/>
  <cols>
    <col min="1" max="1" width="113.5546875" style="178" customWidth="1"/>
    <col min="2" max="3" width="14.5546875" style="199" customWidth="1"/>
    <col min="4" max="4" width="14.5546875" style="200" customWidth="1"/>
    <col min="5" max="5" width="11.5546875" style="7" bestFit="1" customWidth="1"/>
    <col min="6" max="6" width="4.88671875" style="178" customWidth="1"/>
    <col min="7" max="16384" width="9.109375" style="178"/>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185</v>
      </c>
      <c r="B3" s="635"/>
      <c r="C3" s="635"/>
      <c r="D3" s="635"/>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5" x14ac:dyDescent="0.25">
      <c r="A8" s="90" t="s">
        <v>7</v>
      </c>
      <c r="B8" s="91">
        <v>0</v>
      </c>
      <c r="C8" s="92">
        <v>0</v>
      </c>
      <c r="D8" s="93">
        <v>113000</v>
      </c>
      <c r="E8" s="7" t="s">
        <v>20</v>
      </c>
    </row>
    <row r="9" spans="1:5" ht="15" x14ac:dyDescent="0.25">
      <c r="A9" s="201" t="s">
        <v>470</v>
      </c>
      <c r="B9" s="173"/>
      <c r="C9" s="174"/>
      <c r="D9" s="202">
        <v>-4413.5385299999998</v>
      </c>
      <c r="E9" s="7" t="s">
        <v>20</v>
      </c>
    </row>
    <row r="10" spans="1:5" ht="15" x14ac:dyDescent="0.25">
      <c r="A10" s="201" t="s">
        <v>186</v>
      </c>
      <c r="B10" s="173"/>
      <c r="C10" s="174"/>
      <c r="D10" s="202">
        <v>21250</v>
      </c>
      <c r="E10" s="7" t="s">
        <v>20</v>
      </c>
    </row>
    <row r="11" spans="1:5" ht="13.95" x14ac:dyDescent="0.25">
      <c r="A11" s="201" t="s">
        <v>187</v>
      </c>
      <c r="B11" s="173"/>
      <c r="C11" s="174"/>
      <c r="D11" s="202">
        <v>5250</v>
      </c>
      <c r="E11" s="7" t="s">
        <v>20</v>
      </c>
    </row>
    <row r="12" spans="1:5" ht="13.95" x14ac:dyDescent="0.25">
      <c r="A12" s="201" t="s">
        <v>188</v>
      </c>
      <c r="B12" s="173"/>
      <c r="C12" s="174"/>
      <c r="D12" s="202">
        <v>-5000</v>
      </c>
      <c r="E12" s="7" t="s">
        <v>20</v>
      </c>
    </row>
    <row r="13" spans="1:5" ht="13.95" x14ac:dyDescent="0.25">
      <c r="A13" s="201" t="s">
        <v>189</v>
      </c>
      <c r="B13" s="130"/>
      <c r="C13" s="25"/>
      <c r="D13" s="203">
        <v>-1300</v>
      </c>
      <c r="E13" s="7" t="s">
        <v>20</v>
      </c>
    </row>
    <row r="14" spans="1:5" ht="16.2" x14ac:dyDescent="0.25">
      <c r="A14" s="89" t="s">
        <v>190</v>
      </c>
      <c r="B14" s="126">
        <f>SUM(B8:B13)</f>
        <v>0</v>
      </c>
      <c r="C14" s="127">
        <f>SUM(C8:C13)</f>
        <v>0</v>
      </c>
      <c r="D14" s="204">
        <f>SUM(D8:D13)</f>
        <v>128786.46146999998</v>
      </c>
      <c r="E14" s="7" t="s">
        <v>20</v>
      </c>
    </row>
    <row r="15" spans="1:5" ht="13.95" x14ac:dyDescent="0.25">
      <c r="A15" s="67" t="s">
        <v>8</v>
      </c>
      <c r="B15" s="126">
        <v>0</v>
      </c>
      <c r="C15" s="127">
        <v>0</v>
      </c>
      <c r="D15" s="128">
        <v>113000</v>
      </c>
      <c r="E15" s="7" t="s">
        <v>20</v>
      </c>
    </row>
    <row r="16" spans="1:5" ht="13.95" x14ac:dyDescent="0.25">
      <c r="A16" s="201" t="s">
        <v>471</v>
      </c>
      <c r="B16" s="69"/>
      <c r="C16" s="70"/>
      <c r="D16" s="205">
        <v>-4000</v>
      </c>
      <c r="E16" s="7" t="s">
        <v>20</v>
      </c>
    </row>
    <row r="17" spans="1:5" ht="13.95" x14ac:dyDescent="0.25">
      <c r="A17" s="201" t="s">
        <v>156</v>
      </c>
      <c r="B17" s="173"/>
      <c r="C17" s="174"/>
      <c r="D17" s="202">
        <v>692</v>
      </c>
      <c r="E17" s="7" t="s">
        <v>20</v>
      </c>
    </row>
    <row r="18" spans="1:5" ht="13.95" x14ac:dyDescent="0.25">
      <c r="A18" s="201" t="s">
        <v>137</v>
      </c>
      <c r="B18" s="130"/>
      <c r="C18" s="25"/>
      <c r="D18" s="203">
        <v>0</v>
      </c>
      <c r="E18" s="7" t="s">
        <v>20</v>
      </c>
    </row>
    <row r="19" spans="1:5" ht="13.95" x14ac:dyDescent="0.25">
      <c r="A19" s="72" t="s">
        <v>122</v>
      </c>
      <c r="B19" s="69">
        <f t="shared" ref="B19:C19" si="0">SUM(B15:B18)</f>
        <v>0</v>
      </c>
      <c r="C19" s="70">
        <f t="shared" si="0"/>
        <v>0</v>
      </c>
      <c r="D19" s="73">
        <f>SUM(D15:D18)</f>
        <v>109692</v>
      </c>
      <c r="E19" s="7" t="s">
        <v>20</v>
      </c>
    </row>
    <row r="20" spans="1:5" ht="13.95" x14ac:dyDescent="0.25">
      <c r="A20" s="72"/>
      <c r="B20" s="69"/>
      <c r="C20" s="70"/>
      <c r="D20" s="73"/>
      <c r="E20" s="7" t="s">
        <v>20</v>
      </c>
    </row>
    <row r="21" spans="1:5" x14ac:dyDescent="0.25">
      <c r="A21" s="74" t="s">
        <v>191</v>
      </c>
      <c r="B21" s="69"/>
      <c r="C21" s="70"/>
      <c r="D21" s="73"/>
      <c r="E21" s="7" t="s">
        <v>20</v>
      </c>
    </row>
    <row r="22" spans="1:5" x14ac:dyDescent="0.25">
      <c r="A22" s="206" t="s">
        <v>192</v>
      </c>
      <c r="B22" s="207">
        <v>0</v>
      </c>
      <c r="C22" s="208">
        <v>0</v>
      </c>
      <c r="D22" s="205">
        <v>0</v>
      </c>
      <c r="E22" s="7" t="s">
        <v>20</v>
      </c>
    </row>
    <row r="23" spans="1:5" x14ac:dyDescent="0.25">
      <c r="A23" s="206" t="s">
        <v>193</v>
      </c>
      <c r="B23" s="207"/>
      <c r="C23" s="208"/>
      <c r="D23" s="205">
        <v>-692</v>
      </c>
      <c r="E23" s="7" t="s">
        <v>20</v>
      </c>
    </row>
    <row r="24" spans="1:5" x14ac:dyDescent="0.25">
      <c r="A24" s="206" t="s">
        <v>194</v>
      </c>
      <c r="B24" s="136">
        <v>0</v>
      </c>
      <c r="C24" s="137">
        <v>0</v>
      </c>
      <c r="D24" s="138">
        <v>4000</v>
      </c>
      <c r="E24" s="7" t="s">
        <v>20</v>
      </c>
    </row>
    <row r="25" spans="1:5" x14ac:dyDescent="0.25">
      <c r="A25" s="77" t="s">
        <v>195</v>
      </c>
      <c r="B25" s="69">
        <f>SUM(B22:B24)</f>
        <v>0</v>
      </c>
      <c r="C25" s="70">
        <f>SUM(C22:C24)</f>
        <v>0</v>
      </c>
      <c r="D25" s="73">
        <f>SUM(D22:D24)</f>
        <v>3308</v>
      </c>
      <c r="E25" s="7" t="s">
        <v>20</v>
      </c>
    </row>
    <row r="26" spans="1:5" x14ac:dyDescent="0.25">
      <c r="A26" s="74" t="s">
        <v>121</v>
      </c>
      <c r="B26" s="69"/>
      <c r="C26" s="70"/>
      <c r="D26" s="73"/>
      <c r="E26" s="7" t="s">
        <v>20</v>
      </c>
    </row>
    <row r="27" spans="1:5" x14ac:dyDescent="0.25">
      <c r="A27" s="182" t="s">
        <v>9</v>
      </c>
      <c r="B27" s="136">
        <v>0</v>
      </c>
      <c r="C27" s="137">
        <v>0</v>
      </c>
      <c r="D27" s="138">
        <v>0</v>
      </c>
      <c r="E27" s="7" t="s">
        <v>20</v>
      </c>
    </row>
    <row r="28" spans="1:5" x14ac:dyDescent="0.25">
      <c r="A28" s="77" t="s">
        <v>123</v>
      </c>
      <c r="B28" s="69">
        <f>SUM(B27:B27)</f>
        <v>0</v>
      </c>
      <c r="C28" s="70">
        <f>SUM(C27:C27)</f>
        <v>0</v>
      </c>
      <c r="D28" s="73">
        <f>SUM(D27:D27)</f>
        <v>0</v>
      </c>
      <c r="E28" s="7" t="s">
        <v>20</v>
      </c>
    </row>
    <row r="29" spans="1:5" x14ac:dyDescent="0.25">
      <c r="A29" s="72" t="s">
        <v>124</v>
      </c>
      <c r="B29" s="134">
        <f>B28+B25</f>
        <v>0</v>
      </c>
      <c r="C29" s="25">
        <f>C28+C25</f>
        <v>0</v>
      </c>
      <c r="D29" s="26">
        <f>D28+D25</f>
        <v>3308</v>
      </c>
      <c r="E29" s="7" t="s">
        <v>20</v>
      </c>
    </row>
    <row r="30" spans="1:5" x14ac:dyDescent="0.25">
      <c r="A30" s="78" t="s">
        <v>13</v>
      </c>
      <c r="B30" s="132">
        <f>B19+B29</f>
        <v>0</v>
      </c>
      <c r="C30" s="127">
        <f>C19+C29</f>
        <v>0</v>
      </c>
      <c r="D30" s="133">
        <f>D19+D29</f>
        <v>113000</v>
      </c>
      <c r="E30" s="7" t="s">
        <v>20</v>
      </c>
    </row>
    <row r="31" spans="1:5" x14ac:dyDescent="0.25">
      <c r="A31" s="78" t="s">
        <v>14</v>
      </c>
      <c r="B31" s="132"/>
      <c r="C31" s="127"/>
      <c r="D31" s="133"/>
      <c r="E31" s="7" t="s">
        <v>20</v>
      </c>
    </row>
    <row r="32" spans="1:5" x14ac:dyDescent="0.25">
      <c r="A32" s="182" t="s">
        <v>196</v>
      </c>
      <c r="B32" s="79"/>
      <c r="C32" s="70"/>
      <c r="D32" s="80"/>
      <c r="E32" s="7" t="s">
        <v>20</v>
      </c>
    </row>
    <row r="33" spans="1:5" x14ac:dyDescent="0.25">
      <c r="A33" s="189" t="s">
        <v>197</v>
      </c>
      <c r="B33" s="209">
        <v>0</v>
      </c>
      <c r="C33" s="208">
        <v>0</v>
      </c>
      <c r="D33" s="210">
        <v>7900</v>
      </c>
      <c r="E33" s="7" t="s">
        <v>20</v>
      </c>
    </row>
    <row r="34" spans="1:5" x14ac:dyDescent="0.25">
      <c r="A34" s="189" t="s">
        <v>198</v>
      </c>
      <c r="B34" s="209">
        <v>0</v>
      </c>
      <c r="C34" s="208">
        <v>0</v>
      </c>
      <c r="D34" s="210">
        <v>4500</v>
      </c>
      <c r="E34" s="7" t="s">
        <v>20</v>
      </c>
    </row>
    <row r="35" spans="1:5" x14ac:dyDescent="0.25">
      <c r="A35" s="189" t="s">
        <v>199</v>
      </c>
      <c r="B35" s="211">
        <v>0</v>
      </c>
      <c r="C35" s="137">
        <v>0</v>
      </c>
      <c r="D35" s="210">
        <v>2000</v>
      </c>
      <c r="E35" s="7" t="s">
        <v>20</v>
      </c>
    </row>
    <row r="36" spans="1:5" ht="14.4" x14ac:dyDescent="0.3">
      <c r="A36" s="213" t="s">
        <v>200</v>
      </c>
      <c r="B36" s="209">
        <v>0</v>
      </c>
      <c r="C36" s="208">
        <v>0</v>
      </c>
      <c r="D36" s="210">
        <v>9000</v>
      </c>
      <c r="E36" s="7" t="s">
        <v>20</v>
      </c>
    </row>
    <row r="37" spans="1:5" ht="14.4" x14ac:dyDescent="0.3">
      <c r="A37" s="215" t="s">
        <v>475</v>
      </c>
      <c r="B37" s="477">
        <v>0</v>
      </c>
      <c r="C37" s="169">
        <v>0</v>
      </c>
      <c r="D37" s="214">
        <v>1000</v>
      </c>
      <c r="E37" s="7" t="s">
        <v>20</v>
      </c>
    </row>
    <row r="38" spans="1:5" ht="14.4" x14ac:dyDescent="0.3">
      <c r="A38" s="215" t="s">
        <v>201</v>
      </c>
      <c r="B38" s="209">
        <v>0</v>
      </c>
      <c r="C38" s="208">
        <v>0</v>
      </c>
      <c r="D38" s="214">
        <v>-3000</v>
      </c>
      <c r="E38" s="7" t="s">
        <v>20</v>
      </c>
    </row>
    <row r="39" spans="1:5" ht="14.4" x14ac:dyDescent="0.3">
      <c r="A39" s="215" t="s">
        <v>202</v>
      </c>
      <c r="B39" s="211">
        <v>0</v>
      </c>
      <c r="C39" s="137">
        <v>0</v>
      </c>
      <c r="D39" s="216">
        <v>-5000</v>
      </c>
      <c r="E39" s="7" t="s">
        <v>20</v>
      </c>
    </row>
    <row r="40" spans="1:5" x14ac:dyDescent="0.25">
      <c r="A40" s="189" t="s">
        <v>16</v>
      </c>
      <c r="B40" s="209">
        <f>SUM(B33:B39)</f>
        <v>0</v>
      </c>
      <c r="C40" s="208">
        <f t="shared" ref="C40" si="1">SUM(C33:C39)</f>
        <v>0</v>
      </c>
      <c r="D40" s="210">
        <f>D33+D34+D35+D36</f>
        <v>23400</v>
      </c>
      <c r="E40" s="7" t="s">
        <v>20</v>
      </c>
    </row>
    <row r="41" spans="1:5" x14ac:dyDescent="0.25">
      <c r="A41" s="182" t="s">
        <v>203</v>
      </c>
      <c r="B41" s="79"/>
      <c r="C41" s="70"/>
      <c r="D41" s="80"/>
      <c r="E41" s="7" t="s">
        <v>20</v>
      </c>
    </row>
    <row r="42" spans="1:5" x14ac:dyDescent="0.25">
      <c r="A42" s="189" t="s">
        <v>204</v>
      </c>
      <c r="B42" s="209">
        <v>0</v>
      </c>
      <c r="C42" s="208">
        <v>0</v>
      </c>
      <c r="D42" s="212">
        <v>-2000</v>
      </c>
      <c r="E42" s="7" t="s">
        <v>20</v>
      </c>
    </row>
    <row r="43" spans="1:5" x14ac:dyDescent="0.25">
      <c r="A43" s="189" t="s">
        <v>205</v>
      </c>
      <c r="B43" s="209">
        <f>SUM(B42:B42)</f>
        <v>0</v>
      </c>
      <c r="C43" s="208">
        <f>SUM(C42:C42)</f>
        <v>0</v>
      </c>
      <c r="D43" s="210">
        <f>SUM(D42:D42)</f>
        <v>-2000</v>
      </c>
      <c r="E43" s="7" t="s">
        <v>20</v>
      </c>
    </row>
    <row r="44" spans="1:5" x14ac:dyDescent="0.25">
      <c r="A44" s="72" t="s">
        <v>17</v>
      </c>
      <c r="B44" s="130">
        <f>B40+B43</f>
        <v>0</v>
      </c>
      <c r="C44" s="25">
        <f>C40+C43</f>
        <v>0</v>
      </c>
      <c r="D44" s="135">
        <f>D40+D43</f>
        <v>21400</v>
      </c>
      <c r="E44" s="7" t="s">
        <v>20</v>
      </c>
    </row>
    <row r="45" spans="1:5" x14ac:dyDescent="0.25">
      <c r="A45" s="85" t="s">
        <v>18</v>
      </c>
      <c r="B45" s="126">
        <f>B30+B44</f>
        <v>0</v>
      </c>
      <c r="C45" s="127">
        <f>C30+C44</f>
        <v>0</v>
      </c>
      <c r="D45" s="128">
        <f>D30+D44</f>
        <v>134400</v>
      </c>
      <c r="E45" s="7" t="s">
        <v>20</v>
      </c>
    </row>
    <row r="46" spans="1:5" x14ac:dyDescent="0.25">
      <c r="A46" s="201" t="s">
        <v>472</v>
      </c>
      <c r="B46" s="130"/>
      <c r="C46" s="25"/>
      <c r="D46" s="203">
        <v>-3000</v>
      </c>
      <c r="E46" s="7" t="s">
        <v>20</v>
      </c>
    </row>
    <row r="47" spans="1:5" s="8" customFormat="1" x14ac:dyDescent="0.25">
      <c r="A47" s="111" t="s">
        <v>125</v>
      </c>
      <c r="B47" s="108">
        <f t="shared" ref="B47:C47" si="2">SUM(B45:B46)</f>
        <v>0</v>
      </c>
      <c r="C47" s="109">
        <f t="shared" si="2"/>
        <v>0</v>
      </c>
      <c r="D47" s="110">
        <f>SUM(D45:D46)</f>
        <v>131400</v>
      </c>
      <c r="E47" s="7" t="s">
        <v>20</v>
      </c>
    </row>
    <row r="48" spans="1:5" ht="14.4" thickBot="1" x14ac:dyDescent="0.3">
      <c r="A48" s="217" t="s">
        <v>19</v>
      </c>
      <c r="B48" s="218">
        <f>B45-B19</f>
        <v>0</v>
      </c>
      <c r="C48" s="219">
        <f>C45-C19</f>
        <v>0</v>
      </c>
      <c r="D48" s="220">
        <f>D45-D15</f>
        <v>21400</v>
      </c>
      <c r="E48" s="7" t="s">
        <v>20</v>
      </c>
    </row>
    <row r="49" spans="1:5" x14ac:dyDescent="0.25">
      <c r="A49" s="7"/>
      <c r="E49" s="7" t="s">
        <v>20</v>
      </c>
    </row>
    <row r="50" spans="1:5" x14ac:dyDescent="0.25">
      <c r="A50" s="715" t="s">
        <v>206</v>
      </c>
      <c r="B50" s="715"/>
      <c r="C50" s="715"/>
      <c r="D50" s="715"/>
      <c r="E50" s="7" t="s">
        <v>20</v>
      </c>
    </row>
    <row r="51" spans="1:5" x14ac:dyDescent="0.25">
      <c r="E51" s="7" t="s">
        <v>21</v>
      </c>
    </row>
  </sheetData>
  <customSheetViews>
    <customSheetView guid="{5B2D5037-506A-47D5-AF28-C337BC9133BD}" scale="80" showPageBreaks="1" printArea="1" view="pageBreakPreview" topLeftCell="A10">
      <selection activeCell="D17" sqref="D17"/>
      <pageMargins left="0.7" right="0.7" top="0.63" bottom="0.63" header="0.3" footer="0.3"/>
      <printOptions horizontalCentered="1"/>
      <pageSetup scale="61" orientation="landscape" r:id="rId1"/>
      <headerFooter>
        <oddHeader>&amp;L&amp;"Arial,Bold"&amp;12B. Summary of Requirements</oddHeader>
        <oddFooter>&amp;C&amp;"Arial,Regular"Exhibit B - Summary of Requirements&amp;R&amp;"Arial,Regular"Research, Evaluation, and Statistics</oddFooter>
      </headerFooter>
    </customSheetView>
    <customSheetView guid="{08380F1E-0CB7-4B3B-924E-2A270EA8DD30}" scale="80" showPageBreaks="1" printArea="1" view="pageBreakPreview">
      <selection activeCell="D17" sqref="D17"/>
      <pageMargins left="0.7" right="0.7" top="0.63" bottom="0.63" header="0.3" footer="0.3"/>
      <printOptions horizontalCentered="1"/>
      <pageSetup scale="61" orientation="landscape" r:id="rId2"/>
      <headerFooter>
        <oddHeader>&amp;L&amp;"Arial,Bold"&amp;12B. Summary of Requirements</oddHeader>
        <oddFooter>&amp;C&amp;"Arial,Regular"Exhibit B - Summary of Requirements&amp;R&amp;"Arial,Regular"Research, Evaluation, and Statistics</oddFooter>
      </headerFooter>
    </customSheetView>
    <customSheetView guid="{D19943A8-2C2A-430A-A724-8C7C332697C8}" scale="80" showPageBreaks="1" printArea="1" view="pageBreakPreview">
      <selection activeCell="D17" sqref="D17"/>
      <pageMargins left="0.7" right="0.7" top="0.63" bottom="0.63" header="0.3" footer="0.3"/>
      <printOptions horizontalCentered="1"/>
      <pageSetup scale="61" orientation="landscape" r:id="rId3"/>
      <headerFooter>
        <oddHeader>&amp;L&amp;"Arial,Bold"&amp;12B. Summary of Requirements</oddHeader>
        <oddFooter>&amp;C&amp;"Arial,Regular"Exhibit B - Summary of Requirements&amp;R&amp;"Arial,Regular"Research, Evaluation, and Statistics</oddFooter>
      </headerFooter>
    </customSheetView>
    <customSheetView guid="{C6D68C6D-939C-4DFA-9385-A3F05DFB5EDA}" scale="80" showPageBreaks="1" printArea="1" view="pageBreakPreview">
      <selection activeCell="D17" sqref="D17"/>
      <pageMargins left="0.7" right="0.7" top="0.63" bottom="0.63" header="0.3" footer="0.3"/>
      <printOptions horizontalCentered="1"/>
      <pageSetup scale="61" orientation="landscape" r:id="rId4"/>
      <headerFooter>
        <oddHeader>&amp;L&amp;"Arial,Bold"&amp;12B. Summary of Requirements</oddHeader>
        <oddFooter>&amp;C&amp;"Arial,Regular"Exhibit B - Summary of Requirements&amp;R&amp;"Arial,Regular"Research, Evaluation, and Statistics</oddFooter>
      </headerFooter>
    </customSheetView>
  </customSheetViews>
  <mergeCells count="6">
    <mergeCell ref="A50:D50"/>
    <mergeCell ref="A1:D1"/>
    <mergeCell ref="A2:D2"/>
    <mergeCell ref="A3:D3"/>
    <mergeCell ref="A4:D4"/>
    <mergeCell ref="B6:D6"/>
  </mergeCells>
  <printOptions horizontalCentered="1"/>
  <pageMargins left="0.7" right="0.7" top="0.63" bottom="0.63" header="0.3" footer="0.3"/>
  <pageSetup scale="61" orientation="landscape" r:id="rId5"/>
  <headerFooter>
    <oddHeader>&amp;L&amp;"Arial,Bold"&amp;12B. Summary of Requirements</oddHeader>
    <oddFooter>&amp;C&amp;"Arial,Regular"Exhibit B - Summary of Requirements&amp;R&amp;"Arial,Regular"Research, Evaluation, and Statistics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view="pageBreakPreview" topLeftCell="A4" zoomScale="80" zoomScaleNormal="100" zoomScaleSheetLayoutView="80" workbookViewId="0">
      <selection activeCell="D48" sqref="D48"/>
    </sheetView>
  </sheetViews>
  <sheetFormatPr defaultColWidth="9.109375" defaultRowHeight="13.8" x14ac:dyDescent="0.25"/>
  <cols>
    <col min="1" max="1" width="46.3320312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0</v>
      </c>
      <c r="B1" s="633"/>
      <c r="C1" s="633"/>
      <c r="D1" s="633"/>
      <c r="E1" s="633"/>
      <c r="F1" s="633"/>
      <c r="G1" s="633"/>
      <c r="H1" s="633"/>
      <c r="I1" s="633"/>
      <c r="J1" s="633"/>
      <c r="K1" s="633"/>
      <c r="L1" s="633"/>
      <c r="M1" s="633"/>
      <c r="N1" s="53" t="s">
        <v>20</v>
      </c>
      <c r="O1" s="9"/>
      <c r="P1" s="9"/>
      <c r="Q1" s="9"/>
      <c r="R1" s="9"/>
      <c r="S1" s="9"/>
      <c r="T1" s="9"/>
      <c r="U1" s="9"/>
    </row>
    <row r="2" spans="1:21" ht="15" x14ac:dyDescent="0.2">
      <c r="A2" s="634" t="str">
        <f>'[1]B. Summ of Req. - RES'!A2:D2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'[1]B. Summ of Req. - RES'!A3:D3</f>
        <v>Research, Evaluation, and Statistics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ht="45.75" customHeight="1" x14ac:dyDescent="0.25">
      <c r="A7" s="638" t="s">
        <v>134</v>
      </c>
      <c r="B7" s="641" t="s">
        <v>126</v>
      </c>
      <c r="C7" s="641"/>
      <c r="D7" s="641"/>
      <c r="E7" s="641" t="s">
        <v>207</v>
      </c>
      <c r="F7" s="641"/>
      <c r="G7" s="641"/>
      <c r="H7" s="641" t="s">
        <v>155</v>
      </c>
      <c r="I7" s="641"/>
      <c r="J7" s="641"/>
      <c r="K7" s="641" t="s">
        <v>13</v>
      </c>
      <c r="L7" s="641"/>
      <c r="M7" s="642"/>
      <c r="N7" s="53" t="s">
        <v>20</v>
      </c>
    </row>
    <row r="8" spans="1:21" ht="27.6" x14ac:dyDescent="0.25">
      <c r="A8" s="639"/>
      <c r="B8" s="222" t="s">
        <v>3</v>
      </c>
      <c r="C8" s="222" t="s">
        <v>128</v>
      </c>
      <c r="D8" s="222" t="s">
        <v>4</v>
      </c>
      <c r="E8" s="222" t="s">
        <v>3</v>
      </c>
      <c r="F8" s="222" t="s">
        <v>149</v>
      </c>
      <c r="G8" s="222" t="s">
        <v>4</v>
      </c>
      <c r="H8" s="222" t="s">
        <v>3</v>
      </c>
      <c r="I8" s="222" t="s">
        <v>149</v>
      </c>
      <c r="J8" s="222" t="s">
        <v>4</v>
      </c>
      <c r="K8" s="222" t="s">
        <v>3</v>
      </c>
      <c r="L8" s="222" t="s">
        <v>149</v>
      </c>
      <c r="M8" s="223" t="s">
        <v>4</v>
      </c>
      <c r="N8" s="53" t="s">
        <v>20</v>
      </c>
    </row>
    <row r="9" spans="1:21" ht="13.95" x14ac:dyDescent="0.25">
      <c r="A9" s="224" t="s">
        <v>197</v>
      </c>
      <c r="B9" s="225">
        <v>0</v>
      </c>
      <c r="C9" s="225">
        <v>0</v>
      </c>
      <c r="D9" s="225">
        <v>45000</v>
      </c>
      <c r="E9" s="225">
        <v>0</v>
      </c>
      <c r="F9" s="225">
        <v>0</v>
      </c>
      <c r="G9" s="225">
        <v>45275.4</v>
      </c>
      <c r="H9" s="225">
        <v>0</v>
      </c>
      <c r="I9" s="225">
        <v>0</v>
      </c>
      <c r="J9" s="225">
        <v>-275.39999999999998</v>
      </c>
      <c r="K9" s="225">
        <f>E9+H9</f>
        <v>0</v>
      </c>
      <c r="L9" s="225">
        <f t="shared" ref="L9:M17" si="0">F9+I9</f>
        <v>0</v>
      </c>
      <c r="M9" s="226">
        <f t="shared" si="0"/>
        <v>45000</v>
      </c>
      <c r="N9" s="53" t="s">
        <v>20</v>
      </c>
    </row>
    <row r="10" spans="1:21" ht="28.2" x14ac:dyDescent="0.3">
      <c r="A10" s="227" t="s">
        <v>208</v>
      </c>
      <c r="B10" s="208">
        <v>0</v>
      </c>
      <c r="C10" s="208">
        <v>0</v>
      </c>
      <c r="D10" s="169">
        <v>26000</v>
      </c>
      <c r="E10" s="208">
        <v>0</v>
      </c>
      <c r="F10" s="208">
        <v>0</v>
      </c>
      <c r="G10" s="208">
        <v>0</v>
      </c>
      <c r="H10" s="208">
        <v>0</v>
      </c>
      <c r="I10" s="208">
        <v>0</v>
      </c>
      <c r="J10" s="208">
        <v>0</v>
      </c>
      <c r="K10" s="208">
        <f t="shared" ref="K10:K17" si="1">E10+H10</f>
        <v>0</v>
      </c>
      <c r="L10" s="208">
        <f t="shared" si="0"/>
        <v>0</v>
      </c>
      <c r="M10" s="205">
        <f t="shared" si="0"/>
        <v>0</v>
      </c>
      <c r="N10" s="53" t="s">
        <v>20</v>
      </c>
    </row>
    <row r="11" spans="1:21" ht="14.4" x14ac:dyDescent="0.3">
      <c r="A11" s="227" t="s">
        <v>209</v>
      </c>
      <c r="B11" s="208">
        <v>0</v>
      </c>
      <c r="C11" s="208">
        <v>0</v>
      </c>
      <c r="D11" s="169">
        <v>10000</v>
      </c>
      <c r="E11" s="208">
        <v>0</v>
      </c>
      <c r="F11" s="208">
        <v>0</v>
      </c>
      <c r="G11" s="208">
        <v>0</v>
      </c>
      <c r="H11" s="208">
        <v>0</v>
      </c>
      <c r="I11" s="208">
        <v>0</v>
      </c>
      <c r="J11" s="208">
        <v>0</v>
      </c>
      <c r="K11" s="208">
        <f t="shared" si="1"/>
        <v>0</v>
      </c>
      <c r="L11" s="208">
        <f t="shared" si="0"/>
        <v>0</v>
      </c>
      <c r="M11" s="205">
        <f t="shared" si="0"/>
        <v>0</v>
      </c>
      <c r="N11" s="53" t="s">
        <v>20</v>
      </c>
    </row>
    <row r="12" spans="1:21" ht="28.2" x14ac:dyDescent="0.3">
      <c r="A12" s="227" t="s">
        <v>210</v>
      </c>
      <c r="B12" s="208">
        <v>0</v>
      </c>
      <c r="C12" s="208">
        <v>0</v>
      </c>
      <c r="D12" s="169">
        <v>500</v>
      </c>
      <c r="E12" s="208">
        <v>0</v>
      </c>
      <c r="F12" s="208">
        <v>0</v>
      </c>
      <c r="G12" s="208">
        <v>0</v>
      </c>
      <c r="H12" s="208">
        <v>0</v>
      </c>
      <c r="I12" s="208">
        <v>0</v>
      </c>
      <c r="J12" s="208">
        <v>0</v>
      </c>
      <c r="K12" s="208">
        <f t="shared" si="1"/>
        <v>0</v>
      </c>
      <c r="L12" s="208">
        <f t="shared" si="0"/>
        <v>0</v>
      </c>
      <c r="M12" s="205">
        <f t="shared" si="0"/>
        <v>0</v>
      </c>
      <c r="N12" s="53" t="s">
        <v>20</v>
      </c>
    </row>
    <row r="13" spans="1:21" ht="28.2" customHeight="1" x14ac:dyDescent="0.25">
      <c r="A13" s="228" t="s">
        <v>211</v>
      </c>
      <c r="B13" s="208">
        <v>0</v>
      </c>
      <c r="C13" s="208">
        <v>0</v>
      </c>
      <c r="D13" s="208">
        <v>27000</v>
      </c>
      <c r="E13" s="208">
        <v>0</v>
      </c>
      <c r="F13" s="208">
        <v>0</v>
      </c>
      <c r="G13" s="208">
        <v>27165.24</v>
      </c>
      <c r="H13" s="208">
        <v>0</v>
      </c>
      <c r="I13" s="208">
        <v>0</v>
      </c>
      <c r="J13" s="208">
        <v>-165.24</v>
      </c>
      <c r="K13" s="208">
        <f t="shared" si="1"/>
        <v>0</v>
      </c>
      <c r="L13" s="208">
        <f t="shared" si="0"/>
        <v>0</v>
      </c>
      <c r="M13" s="205">
        <f t="shared" si="0"/>
        <v>27000</v>
      </c>
      <c r="N13" s="53" t="s">
        <v>20</v>
      </c>
    </row>
    <row r="14" spans="1:21" ht="27.6" x14ac:dyDescent="0.25">
      <c r="A14" s="228" t="s">
        <v>198</v>
      </c>
      <c r="B14" s="208">
        <v>0</v>
      </c>
      <c r="C14" s="208">
        <v>0</v>
      </c>
      <c r="D14" s="208">
        <v>40000</v>
      </c>
      <c r="E14" s="208">
        <v>0</v>
      </c>
      <c r="F14" s="208">
        <v>0</v>
      </c>
      <c r="G14" s="208">
        <v>40244.800000000003</v>
      </c>
      <c r="H14" s="208">
        <v>0</v>
      </c>
      <c r="I14" s="208">
        <v>0</v>
      </c>
      <c r="J14" s="208">
        <v>-244.8</v>
      </c>
      <c r="K14" s="208">
        <f t="shared" si="1"/>
        <v>0</v>
      </c>
      <c r="L14" s="208">
        <f t="shared" si="0"/>
        <v>0</v>
      </c>
      <c r="M14" s="205">
        <f t="shared" si="0"/>
        <v>40000</v>
      </c>
      <c r="N14" s="53" t="s">
        <v>20</v>
      </c>
    </row>
    <row r="15" spans="1:21" ht="14.4" x14ac:dyDescent="0.3">
      <c r="A15" s="227" t="s">
        <v>212</v>
      </c>
      <c r="B15" s="208">
        <v>0</v>
      </c>
      <c r="C15" s="208">
        <v>0</v>
      </c>
      <c r="D15" s="169">
        <v>5000</v>
      </c>
      <c r="E15" s="208">
        <v>0</v>
      </c>
      <c r="F15" s="208">
        <v>0</v>
      </c>
      <c r="G15" s="169">
        <v>5000</v>
      </c>
      <c r="H15" s="208">
        <v>0</v>
      </c>
      <c r="I15" s="208">
        <v>0</v>
      </c>
      <c r="J15" s="169">
        <v>-5000</v>
      </c>
      <c r="K15" s="208">
        <f t="shared" si="1"/>
        <v>0</v>
      </c>
      <c r="L15" s="208">
        <f t="shared" si="0"/>
        <v>0</v>
      </c>
      <c r="M15" s="170">
        <f t="shared" si="0"/>
        <v>0</v>
      </c>
      <c r="N15" s="53" t="s">
        <v>20</v>
      </c>
    </row>
    <row r="16" spans="1:21" ht="27.6" x14ac:dyDescent="0.25">
      <c r="A16" s="228" t="s">
        <v>199</v>
      </c>
      <c r="B16" s="208">
        <v>0</v>
      </c>
      <c r="C16" s="208">
        <v>0</v>
      </c>
      <c r="D16" s="208">
        <v>1000</v>
      </c>
      <c r="E16" s="208">
        <v>0</v>
      </c>
      <c r="F16" s="208">
        <v>0</v>
      </c>
      <c r="G16" s="208">
        <v>1006.12</v>
      </c>
      <c r="H16" s="208">
        <v>0</v>
      </c>
      <c r="I16" s="208">
        <v>0</v>
      </c>
      <c r="J16" s="208">
        <v>-6.12</v>
      </c>
      <c r="K16" s="208">
        <f t="shared" si="1"/>
        <v>0</v>
      </c>
      <c r="L16" s="208">
        <f t="shared" si="0"/>
        <v>0</v>
      </c>
      <c r="M16" s="205">
        <f t="shared" si="0"/>
        <v>1000</v>
      </c>
      <c r="N16" s="53" t="s">
        <v>20</v>
      </c>
    </row>
    <row r="17" spans="1:14" x14ac:dyDescent="0.25">
      <c r="A17" s="229" t="s">
        <v>200</v>
      </c>
      <c r="B17" s="230">
        <v>0</v>
      </c>
      <c r="C17" s="230">
        <v>0</v>
      </c>
      <c r="D17" s="230">
        <v>0</v>
      </c>
      <c r="E17" s="230">
        <v>0</v>
      </c>
      <c r="F17" s="230">
        <v>0</v>
      </c>
      <c r="G17" s="230">
        <v>0</v>
      </c>
      <c r="H17" s="230">
        <v>0</v>
      </c>
      <c r="I17" s="230">
        <v>0</v>
      </c>
      <c r="J17" s="230">
        <v>0</v>
      </c>
      <c r="K17" s="230">
        <f t="shared" si="1"/>
        <v>0</v>
      </c>
      <c r="L17" s="230">
        <f t="shared" si="0"/>
        <v>0</v>
      </c>
      <c r="M17" s="231">
        <f t="shared" si="0"/>
        <v>0</v>
      </c>
      <c r="N17" s="53" t="s">
        <v>20</v>
      </c>
    </row>
    <row r="18" spans="1:14" x14ac:dyDescent="0.25">
      <c r="A18" s="16" t="s">
        <v>131</v>
      </c>
      <c r="B18" s="143">
        <f>SUM(B9:B17)</f>
        <v>0</v>
      </c>
      <c r="C18" s="143">
        <f>SUM(C9:C17)</f>
        <v>0</v>
      </c>
      <c r="D18" s="143">
        <f>D9+D13+D14+D16+D17</f>
        <v>113000</v>
      </c>
      <c r="E18" s="143">
        <f>SUM(E9:E17)</f>
        <v>0</v>
      </c>
      <c r="F18" s="143">
        <f>SUM(F9:F17)</f>
        <v>0</v>
      </c>
      <c r="G18" s="143">
        <f>G9+G13+G14+G16+G17</f>
        <v>113691.56</v>
      </c>
      <c r="H18" s="143">
        <f>SUM(H9:H17)</f>
        <v>0</v>
      </c>
      <c r="I18" s="143">
        <f>SUM(I9:I17)</f>
        <v>0</v>
      </c>
      <c r="J18" s="143">
        <f>J9+J13+J14+J16+J17</f>
        <v>-691.56000000000006</v>
      </c>
      <c r="K18" s="143">
        <f>SUM(K9:K17)</f>
        <v>0</v>
      </c>
      <c r="L18" s="143">
        <f>SUM(L9:L17)</f>
        <v>0</v>
      </c>
      <c r="M18" s="144">
        <f>M9+M13+M14+M16+M17</f>
        <v>113000</v>
      </c>
      <c r="N18" s="53" t="s">
        <v>20</v>
      </c>
    </row>
    <row r="19" spans="1:14" x14ac:dyDescent="0.25">
      <c r="A19" s="232" t="s">
        <v>130</v>
      </c>
      <c r="B19" s="145"/>
      <c r="C19" s="145"/>
      <c r="D19" s="225">
        <v>-4413.5385299999998</v>
      </c>
      <c r="E19" s="145"/>
      <c r="F19" s="145"/>
      <c r="G19" s="225">
        <v>-4000</v>
      </c>
      <c r="H19" s="145"/>
      <c r="I19" s="145"/>
      <c r="J19" s="225">
        <v>4000</v>
      </c>
      <c r="K19" s="145"/>
      <c r="L19" s="145"/>
      <c r="M19" s="226">
        <f>G19+J19</f>
        <v>0</v>
      </c>
      <c r="N19" s="53" t="s">
        <v>20</v>
      </c>
    </row>
    <row r="20" spans="1:14" x14ac:dyDescent="0.25">
      <c r="A20" s="233" t="s">
        <v>150</v>
      </c>
      <c r="B20" s="25"/>
      <c r="C20" s="25"/>
      <c r="D20" s="230">
        <f>SUM(D18:D19)</f>
        <v>108586.46146999999</v>
      </c>
      <c r="E20" s="25"/>
      <c r="F20" s="25"/>
      <c r="G20" s="230">
        <f>SUM(G18:G19)</f>
        <v>109691.56</v>
      </c>
      <c r="H20" s="25"/>
      <c r="I20" s="25"/>
      <c r="J20" s="230">
        <f>SUM(J18:J19)</f>
        <v>3308.44</v>
      </c>
      <c r="K20" s="25"/>
      <c r="L20" s="25"/>
      <c r="M20" s="231">
        <f>G20+J20</f>
        <v>113000</v>
      </c>
      <c r="N20" s="53" t="s">
        <v>20</v>
      </c>
    </row>
    <row r="21" spans="1:14" x14ac:dyDescent="0.25">
      <c r="A21" s="198" t="s">
        <v>26</v>
      </c>
      <c r="B21" s="234"/>
      <c r="C21" s="234">
        <v>0</v>
      </c>
      <c r="D21" s="234"/>
      <c r="E21" s="234"/>
      <c r="F21" s="234">
        <v>0</v>
      </c>
      <c r="G21" s="234"/>
      <c r="H21" s="234"/>
      <c r="I21" s="234">
        <v>0</v>
      </c>
      <c r="J21" s="234"/>
      <c r="K21" s="234"/>
      <c r="L21" s="234">
        <f t="shared" ref="L21:L22" si="2">F21+I21</f>
        <v>0</v>
      </c>
      <c r="M21" s="235"/>
      <c r="N21" s="53" t="s">
        <v>20</v>
      </c>
    </row>
    <row r="22" spans="1:14" x14ac:dyDescent="0.25">
      <c r="A22" s="195" t="s">
        <v>132</v>
      </c>
      <c r="B22" s="208"/>
      <c r="C22" s="208">
        <f>C18+C21</f>
        <v>0</v>
      </c>
      <c r="D22" s="208"/>
      <c r="E22" s="208"/>
      <c r="F22" s="208">
        <f>F18+F21</f>
        <v>0</v>
      </c>
      <c r="G22" s="208"/>
      <c r="H22" s="208"/>
      <c r="I22" s="208">
        <f>I18+I21</f>
        <v>0</v>
      </c>
      <c r="J22" s="208"/>
      <c r="K22" s="208"/>
      <c r="L22" s="208">
        <f t="shared" si="2"/>
        <v>0</v>
      </c>
      <c r="M22" s="205"/>
      <c r="N22" s="53" t="s">
        <v>20</v>
      </c>
    </row>
    <row r="23" spans="1:14" x14ac:dyDescent="0.25">
      <c r="A23" s="195"/>
      <c r="B23" s="208"/>
      <c r="C23" s="208"/>
      <c r="D23" s="208"/>
      <c r="E23" s="208"/>
      <c r="F23" s="208"/>
      <c r="G23" s="208"/>
      <c r="H23" s="208"/>
      <c r="I23" s="208"/>
      <c r="J23" s="208"/>
      <c r="K23" s="208"/>
      <c r="L23" s="208"/>
      <c r="M23" s="205"/>
      <c r="N23" s="53" t="s">
        <v>20</v>
      </c>
    </row>
    <row r="24" spans="1:14" x14ac:dyDescent="0.25">
      <c r="A24" s="195" t="s">
        <v>27</v>
      </c>
      <c r="B24" s="208"/>
      <c r="C24" s="208"/>
      <c r="D24" s="208"/>
      <c r="E24" s="208"/>
      <c r="F24" s="208"/>
      <c r="G24" s="208"/>
      <c r="H24" s="208"/>
      <c r="I24" s="208"/>
      <c r="J24" s="208"/>
      <c r="K24" s="208"/>
      <c r="L24" s="208"/>
      <c r="M24" s="205"/>
      <c r="N24" s="53" t="s">
        <v>20</v>
      </c>
    </row>
    <row r="25" spans="1:14" x14ac:dyDescent="0.25">
      <c r="A25" s="236" t="s">
        <v>28</v>
      </c>
      <c r="B25" s="208"/>
      <c r="C25" s="208">
        <v>0</v>
      </c>
      <c r="D25" s="208"/>
      <c r="E25" s="208"/>
      <c r="F25" s="208">
        <v>0</v>
      </c>
      <c r="G25" s="208"/>
      <c r="H25" s="208"/>
      <c r="I25" s="208">
        <v>0</v>
      </c>
      <c r="J25" s="208"/>
      <c r="K25" s="208"/>
      <c r="L25" s="208">
        <f t="shared" ref="L25:L27" si="3">F25+I25</f>
        <v>0</v>
      </c>
      <c r="M25" s="205"/>
      <c r="N25" s="53" t="s">
        <v>20</v>
      </c>
    </row>
    <row r="26" spans="1:14" x14ac:dyDescent="0.25">
      <c r="A26" s="237" t="s">
        <v>29</v>
      </c>
      <c r="B26" s="238"/>
      <c r="C26" s="238">
        <v>0</v>
      </c>
      <c r="D26" s="238"/>
      <c r="E26" s="238"/>
      <c r="F26" s="238">
        <v>0</v>
      </c>
      <c r="G26" s="238"/>
      <c r="H26" s="238"/>
      <c r="I26" s="238">
        <v>0</v>
      </c>
      <c r="J26" s="238"/>
      <c r="K26" s="238"/>
      <c r="L26" s="238">
        <f t="shared" si="3"/>
        <v>0</v>
      </c>
      <c r="M26" s="239"/>
      <c r="N26" s="53" t="s">
        <v>20</v>
      </c>
    </row>
    <row r="27" spans="1:14" ht="14.4" thickBot="1" x14ac:dyDescent="0.3">
      <c r="A27" s="240" t="s">
        <v>133</v>
      </c>
      <c r="B27" s="241"/>
      <c r="C27" s="241">
        <f>C22+C25+C26</f>
        <v>0</v>
      </c>
      <c r="D27" s="241"/>
      <c r="E27" s="241"/>
      <c r="F27" s="241">
        <f>F22+F25+F26</f>
        <v>0</v>
      </c>
      <c r="G27" s="241"/>
      <c r="H27" s="241"/>
      <c r="I27" s="241">
        <f>I22+I25+I26</f>
        <v>0</v>
      </c>
      <c r="J27" s="241"/>
      <c r="K27" s="241"/>
      <c r="L27" s="241">
        <f t="shared" si="3"/>
        <v>0</v>
      </c>
      <c r="M27" s="242"/>
      <c r="N27" s="53" t="s">
        <v>20</v>
      </c>
    </row>
    <row r="28" spans="1:14" ht="14.4" thickBot="1" x14ac:dyDescent="0.3">
      <c r="N28" s="53" t="s">
        <v>20</v>
      </c>
    </row>
    <row r="29" spans="1:14" x14ac:dyDescent="0.25">
      <c r="A29" s="638" t="s">
        <v>134</v>
      </c>
      <c r="B29" s="641" t="s">
        <v>22</v>
      </c>
      <c r="C29" s="641"/>
      <c r="D29" s="641"/>
      <c r="E29" s="641" t="s">
        <v>23</v>
      </c>
      <c r="F29" s="641"/>
      <c r="G29" s="641"/>
      <c r="H29" s="641" t="s">
        <v>24</v>
      </c>
      <c r="I29" s="641"/>
      <c r="J29" s="642"/>
      <c r="N29" s="53" t="s">
        <v>20</v>
      </c>
    </row>
    <row r="30" spans="1:14" ht="27.6" x14ac:dyDescent="0.25">
      <c r="A30" s="639"/>
      <c r="B30" s="222" t="s">
        <v>3</v>
      </c>
      <c r="C30" s="222" t="s">
        <v>149</v>
      </c>
      <c r="D30" s="222" t="s">
        <v>4</v>
      </c>
      <c r="E30" s="222" t="s">
        <v>3</v>
      </c>
      <c r="F30" s="222" t="s">
        <v>149</v>
      </c>
      <c r="G30" s="222" t="s">
        <v>4</v>
      </c>
      <c r="H30" s="222" t="s">
        <v>3</v>
      </c>
      <c r="I30" s="222" t="s">
        <v>149</v>
      </c>
      <c r="J30" s="223" t="s">
        <v>4</v>
      </c>
      <c r="N30" s="53" t="s">
        <v>20</v>
      </c>
    </row>
    <row r="31" spans="1:14" x14ac:dyDescent="0.25">
      <c r="A31" s="224" t="str">
        <f>A9</f>
        <v>Criminal Justice Statistics Program</v>
      </c>
      <c r="B31" s="225">
        <v>0</v>
      </c>
      <c r="C31" s="225">
        <v>0</v>
      </c>
      <c r="D31" s="225">
        <v>7900</v>
      </c>
      <c r="E31" s="225">
        <v>0</v>
      </c>
      <c r="F31" s="225">
        <v>0</v>
      </c>
      <c r="G31" s="225">
        <v>0</v>
      </c>
      <c r="H31" s="225">
        <f>K9+B31+E31</f>
        <v>0</v>
      </c>
      <c r="I31" s="225">
        <f>L9+C31+F31</f>
        <v>0</v>
      </c>
      <c r="J31" s="226">
        <f>M9+D31+G31</f>
        <v>52900</v>
      </c>
      <c r="N31" s="53" t="s">
        <v>20</v>
      </c>
    </row>
    <row r="32" spans="1:14" ht="14.4" x14ac:dyDescent="0.3">
      <c r="A32" s="227" t="str">
        <f t="shared" ref="A32:A39" si="4">A10</f>
        <v>National Crime Victimization Survey (NCVS)</v>
      </c>
      <c r="B32" s="169">
        <v>0</v>
      </c>
      <c r="C32" s="169">
        <v>0</v>
      </c>
      <c r="D32" s="169">
        <v>0</v>
      </c>
      <c r="E32" s="169">
        <v>0</v>
      </c>
      <c r="F32" s="169">
        <v>0</v>
      </c>
      <c r="G32" s="169">
        <v>0</v>
      </c>
      <c r="H32" s="169">
        <f>K17+B32+E32</f>
        <v>0</v>
      </c>
      <c r="I32" s="169">
        <f>L17+C32+F32</f>
        <v>0</v>
      </c>
      <c r="J32" s="170">
        <f t="shared" ref="J32:J39" si="5">M10+D32+G32</f>
        <v>0</v>
      </c>
      <c r="N32" s="53" t="s">
        <v>20</v>
      </c>
    </row>
    <row r="33" spans="1:14" ht="14.4" x14ac:dyDescent="0.3">
      <c r="A33" s="227" t="str">
        <f t="shared" si="4"/>
        <v>Redesign of the NCVS</v>
      </c>
      <c r="B33" s="169">
        <v>0</v>
      </c>
      <c r="C33" s="169">
        <v>0</v>
      </c>
      <c r="D33" s="169">
        <v>0</v>
      </c>
      <c r="E33" s="169">
        <v>0</v>
      </c>
      <c r="F33" s="169">
        <v>0</v>
      </c>
      <c r="G33" s="169">
        <v>0</v>
      </c>
      <c r="H33" s="169">
        <f>K14+B33+E33</f>
        <v>0</v>
      </c>
      <c r="I33" s="169">
        <f>L14+C33+F33</f>
        <v>0</v>
      </c>
      <c r="J33" s="170">
        <f t="shared" si="5"/>
        <v>0</v>
      </c>
      <c r="N33" s="53" t="s">
        <v>20</v>
      </c>
    </row>
    <row r="34" spans="1:14" ht="28.2" x14ac:dyDescent="0.3">
      <c r="A34" s="227" t="str">
        <f t="shared" si="4"/>
        <v>Redesign and Development of Data Collection Programs for Indian Country</v>
      </c>
      <c r="B34" s="169">
        <v>0</v>
      </c>
      <c r="C34" s="169">
        <v>0</v>
      </c>
      <c r="D34" s="169">
        <v>0</v>
      </c>
      <c r="E34" s="169">
        <v>0</v>
      </c>
      <c r="F34" s="169">
        <v>0</v>
      </c>
      <c r="G34" s="169">
        <v>0</v>
      </c>
      <c r="H34" s="169">
        <f>K15+B34+E34</f>
        <v>0</v>
      </c>
      <c r="I34" s="169">
        <f>L15+C34+F34</f>
        <v>0</v>
      </c>
      <c r="J34" s="170">
        <f t="shared" si="5"/>
        <v>0</v>
      </c>
      <c r="N34" s="53" t="s">
        <v>20</v>
      </c>
    </row>
    <row r="35" spans="1:14" ht="28.2" customHeight="1" x14ac:dyDescent="0.25">
      <c r="A35" s="228" t="str">
        <f t="shared" si="4"/>
        <v>Regional Information Sharing System (RISS)</v>
      </c>
      <c r="B35" s="208">
        <v>0</v>
      </c>
      <c r="C35" s="208">
        <v>0</v>
      </c>
      <c r="D35" s="208">
        <v>0</v>
      </c>
      <c r="E35" s="208">
        <v>0</v>
      </c>
      <c r="F35" s="208">
        <v>0</v>
      </c>
      <c r="G35" s="208">
        <v>-2000</v>
      </c>
      <c r="H35" s="208">
        <f t="shared" ref="H35:I35" si="6">K17+B35+E35</f>
        <v>0</v>
      </c>
      <c r="I35" s="208">
        <f t="shared" si="6"/>
        <v>0</v>
      </c>
      <c r="J35" s="205">
        <f t="shared" si="5"/>
        <v>25000</v>
      </c>
      <c r="N35" s="53" t="s">
        <v>20</v>
      </c>
    </row>
    <row r="36" spans="1:14" ht="27.6" x14ac:dyDescent="0.25">
      <c r="A36" s="228" t="str">
        <f t="shared" si="4"/>
        <v>Research, Development, and Evaluation Programs</v>
      </c>
      <c r="B36" s="208">
        <v>0</v>
      </c>
      <c r="C36" s="208">
        <v>0</v>
      </c>
      <c r="D36" s="208">
        <v>4500</v>
      </c>
      <c r="E36" s="208">
        <v>0</v>
      </c>
      <c r="F36" s="208">
        <v>0</v>
      </c>
      <c r="G36" s="208">
        <v>0</v>
      </c>
      <c r="H36" s="208">
        <f>K14+B36+E36</f>
        <v>0</v>
      </c>
      <c r="I36" s="208">
        <f>L14+C36+F36</f>
        <v>0</v>
      </c>
      <c r="J36" s="205">
        <f t="shared" si="5"/>
        <v>44500</v>
      </c>
      <c r="N36" s="53" t="s">
        <v>20</v>
      </c>
    </row>
    <row r="37" spans="1:14" ht="14.4" x14ac:dyDescent="0.3">
      <c r="A37" s="227" t="str">
        <f t="shared" si="4"/>
        <v>Transfer-NIST/OLES</v>
      </c>
      <c r="B37" s="208">
        <v>0</v>
      </c>
      <c r="C37" s="169">
        <v>0</v>
      </c>
      <c r="D37" s="169"/>
      <c r="E37" s="169">
        <v>0</v>
      </c>
      <c r="F37" s="169">
        <v>0</v>
      </c>
      <c r="G37" s="169">
        <v>0</v>
      </c>
      <c r="H37" s="169">
        <f>K15+B37+E37</f>
        <v>0</v>
      </c>
      <c r="I37" s="169">
        <f>L15+C37+F37</f>
        <v>0</v>
      </c>
      <c r="J37" s="170">
        <f t="shared" si="5"/>
        <v>0</v>
      </c>
      <c r="N37" s="53" t="s">
        <v>20</v>
      </c>
    </row>
    <row r="38" spans="1:14" ht="27.6" x14ac:dyDescent="0.25">
      <c r="A38" s="228" t="str">
        <f t="shared" si="4"/>
        <v>CrimeSolutions.gov (Evaluation Clearinghouse/What Works Repository)</v>
      </c>
      <c r="B38" s="208">
        <v>0</v>
      </c>
      <c r="C38" s="208">
        <v>0</v>
      </c>
      <c r="D38" s="208">
        <v>2000</v>
      </c>
      <c r="E38" s="208">
        <v>0</v>
      </c>
      <c r="F38" s="208">
        <v>0</v>
      </c>
      <c r="G38" s="208">
        <v>0</v>
      </c>
      <c r="H38" s="208">
        <f t="shared" ref="H38:I39" si="7">K16+B38+E38</f>
        <v>0</v>
      </c>
      <c r="I38" s="208">
        <f t="shared" si="7"/>
        <v>0</v>
      </c>
      <c r="J38" s="205">
        <f t="shared" si="5"/>
        <v>3000</v>
      </c>
      <c r="N38" s="53" t="s">
        <v>20</v>
      </c>
    </row>
    <row r="39" spans="1:14" x14ac:dyDescent="0.25">
      <c r="A39" s="228" t="str">
        <f t="shared" si="4"/>
        <v>Forensic Science</v>
      </c>
      <c r="B39" s="208">
        <v>0</v>
      </c>
      <c r="C39" s="208">
        <v>0</v>
      </c>
      <c r="D39" s="208">
        <v>9000</v>
      </c>
      <c r="E39" s="208">
        <v>0</v>
      </c>
      <c r="F39" s="208">
        <v>0</v>
      </c>
      <c r="G39" s="208">
        <v>0</v>
      </c>
      <c r="H39" s="208">
        <f t="shared" si="7"/>
        <v>0</v>
      </c>
      <c r="I39" s="208">
        <f t="shared" si="7"/>
        <v>0</v>
      </c>
      <c r="J39" s="205">
        <f t="shared" si="5"/>
        <v>9000</v>
      </c>
      <c r="N39" s="53" t="s">
        <v>20</v>
      </c>
    </row>
    <row r="40" spans="1:14" x14ac:dyDescent="0.25">
      <c r="A40" s="16" t="s">
        <v>131</v>
      </c>
      <c r="B40" s="143">
        <f t="shared" ref="B40:J40" si="8">SUM(B31:B39)</f>
        <v>0</v>
      </c>
      <c r="C40" s="143">
        <f t="shared" si="8"/>
        <v>0</v>
      </c>
      <c r="D40" s="143">
        <f>SUM(D31:D39)</f>
        <v>23400</v>
      </c>
      <c r="E40" s="143">
        <f t="shared" si="8"/>
        <v>0</v>
      </c>
      <c r="F40" s="143">
        <f t="shared" si="8"/>
        <v>0</v>
      </c>
      <c r="G40" s="143">
        <f t="shared" si="8"/>
        <v>-2000</v>
      </c>
      <c r="H40" s="143">
        <f t="shared" si="8"/>
        <v>0</v>
      </c>
      <c r="I40" s="143">
        <f t="shared" si="8"/>
        <v>0</v>
      </c>
      <c r="J40" s="144">
        <f t="shared" si="8"/>
        <v>134400</v>
      </c>
      <c r="N40" s="53" t="s">
        <v>20</v>
      </c>
    </row>
    <row r="41" spans="1:14" x14ac:dyDescent="0.25">
      <c r="A41" s="232" t="s">
        <v>130</v>
      </c>
      <c r="B41" s="145"/>
      <c r="C41" s="145"/>
      <c r="D41" s="225">
        <v>0</v>
      </c>
      <c r="E41" s="145"/>
      <c r="F41" s="145"/>
      <c r="G41" s="225">
        <v>-3000</v>
      </c>
      <c r="H41" s="145"/>
      <c r="I41" s="145"/>
      <c r="J41" s="226">
        <f>M19+D41+G41</f>
        <v>-3000</v>
      </c>
      <c r="N41" s="53" t="s">
        <v>20</v>
      </c>
    </row>
    <row r="42" spans="1:14" x14ac:dyDescent="0.25">
      <c r="A42" s="233" t="s">
        <v>150</v>
      </c>
      <c r="B42" s="25"/>
      <c r="C42" s="25"/>
      <c r="D42" s="230">
        <f>SUM(D40:D41)</f>
        <v>23400</v>
      </c>
      <c r="E42" s="25"/>
      <c r="F42" s="25"/>
      <c r="G42" s="230">
        <f>SUM(G40:G41)</f>
        <v>-5000</v>
      </c>
      <c r="H42" s="25"/>
      <c r="I42" s="25"/>
      <c r="J42" s="231">
        <f>M20+D42+G42</f>
        <v>131400</v>
      </c>
      <c r="N42" s="53" t="s">
        <v>20</v>
      </c>
    </row>
    <row r="43" spans="1:14" x14ac:dyDescent="0.25">
      <c r="A43" s="198" t="s">
        <v>26</v>
      </c>
      <c r="B43" s="234"/>
      <c r="C43" s="234">
        <v>0</v>
      </c>
      <c r="D43" s="234"/>
      <c r="E43" s="234"/>
      <c r="F43" s="234">
        <v>0</v>
      </c>
      <c r="G43" s="234"/>
      <c r="H43" s="234"/>
      <c r="I43" s="234">
        <f t="shared" ref="I43:I49" si="9">L21+C43+F43</f>
        <v>0</v>
      </c>
      <c r="J43" s="235"/>
      <c r="N43" s="53" t="s">
        <v>20</v>
      </c>
    </row>
    <row r="44" spans="1:14" x14ac:dyDescent="0.25">
      <c r="A44" s="195" t="s">
        <v>132</v>
      </c>
      <c r="B44" s="208"/>
      <c r="C44" s="208">
        <f>C40+C43</f>
        <v>0</v>
      </c>
      <c r="D44" s="208"/>
      <c r="E44" s="208"/>
      <c r="F44" s="208">
        <f>F40+F43</f>
        <v>0</v>
      </c>
      <c r="G44" s="208"/>
      <c r="H44" s="208"/>
      <c r="I44" s="208">
        <f t="shared" si="9"/>
        <v>0</v>
      </c>
      <c r="J44" s="205"/>
      <c r="N44" s="53" t="s">
        <v>20</v>
      </c>
    </row>
    <row r="45" spans="1:14" x14ac:dyDescent="0.25">
      <c r="A45" s="195"/>
      <c r="B45" s="208"/>
      <c r="C45" s="208"/>
      <c r="D45" s="208"/>
      <c r="E45" s="208"/>
      <c r="F45" s="208"/>
      <c r="G45" s="208"/>
      <c r="H45" s="208"/>
      <c r="I45" s="208">
        <f t="shared" si="9"/>
        <v>0</v>
      </c>
      <c r="J45" s="205"/>
      <c r="N45" s="53" t="s">
        <v>20</v>
      </c>
    </row>
    <row r="46" spans="1:14" x14ac:dyDescent="0.25">
      <c r="A46" s="195" t="s">
        <v>27</v>
      </c>
      <c r="B46" s="208"/>
      <c r="C46" s="208"/>
      <c r="D46" s="208"/>
      <c r="E46" s="208"/>
      <c r="F46" s="208"/>
      <c r="G46" s="208"/>
      <c r="H46" s="208"/>
      <c r="I46" s="208">
        <f t="shared" si="9"/>
        <v>0</v>
      </c>
      <c r="J46" s="205"/>
      <c r="N46" s="53" t="s">
        <v>20</v>
      </c>
    </row>
    <row r="47" spans="1:14" x14ac:dyDescent="0.25">
      <c r="A47" s="236" t="s">
        <v>28</v>
      </c>
      <c r="B47" s="208"/>
      <c r="C47" s="208">
        <v>0</v>
      </c>
      <c r="D47" s="208"/>
      <c r="E47" s="208"/>
      <c r="F47" s="208">
        <v>0</v>
      </c>
      <c r="G47" s="208"/>
      <c r="H47" s="208"/>
      <c r="I47" s="208">
        <f t="shared" si="9"/>
        <v>0</v>
      </c>
      <c r="J47" s="205"/>
      <c r="N47" s="53" t="s">
        <v>20</v>
      </c>
    </row>
    <row r="48" spans="1:14" x14ac:dyDescent="0.25">
      <c r="A48" s="237" t="s">
        <v>29</v>
      </c>
      <c r="B48" s="238"/>
      <c r="C48" s="238">
        <v>0</v>
      </c>
      <c r="D48" s="238"/>
      <c r="E48" s="238"/>
      <c r="F48" s="238">
        <v>0</v>
      </c>
      <c r="G48" s="238"/>
      <c r="H48" s="238"/>
      <c r="I48" s="238">
        <f t="shared" si="9"/>
        <v>0</v>
      </c>
      <c r="J48" s="239"/>
      <c r="N48" s="53" t="s">
        <v>20</v>
      </c>
    </row>
    <row r="49" spans="1:14" ht="14.4" thickBot="1" x14ac:dyDescent="0.3">
      <c r="A49" s="240" t="s">
        <v>133</v>
      </c>
      <c r="B49" s="241"/>
      <c r="C49" s="241">
        <f>C44+C47+C48</f>
        <v>0</v>
      </c>
      <c r="D49" s="241"/>
      <c r="E49" s="241"/>
      <c r="F49" s="241">
        <f>F44+F47+F48</f>
        <v>0</v>
      </c>
      <c r="G49" s="241"/>
      <c r="H49" s="241"/>
      <c r="I49" s="241">
        <f t="shared" si="9"/>
        <v>0</v>
      </c>
      <c r="J49" s="242"/>
      <c r="N49" s="53" t="s">
        <v>20</v>
      </c>
    </row>
    <row r="50" spans="1:14" x14ac:dyDescent="0.25">
      <c r="N50" s="53" t="s">
        <v>20</v>
      </c>
    </row>
    <row r="51" spans="1:14" x14ac:dyDescent="0.25">
      <c r="A51" s="178" t="s">
        <v>213</v>
      </c>
      <c r="N51" s="53" t="s">
        <v>20</v>
      </c>
    </row>
    <row r="52" spans="1:14" x14ac:dyDescent="0.25">
      <c r="N52" s="7" t="s">
        <v>21</v>
      </c>
    </row>
  </sheetData>
  <customSheetViews>
    <customSheetView guid="{5B2D5037-506A-47D5-AF28-C337BC9133BD}" scale="80" showPageBreaks="1" printArea="1" view="pageBreakPreview" topLeftCell="A4">
      <selection activeCell="D48" sqref="D48"/>
      <pageMargins left="0.7" right="0.7" top="0.75" bottom="0.75" header="0.3" footer="0.3"/>
      <printOptions horizontalCentered="1"/>
      <pageSetup scale="54" orientation="landscape" r:id="rId1"/>
      <headerFooter>
        <oddHeader>&amp;L&amp;"Arial,Bold"&amp;12B. Summary of Requirements</oddHeader>
        <oddFooter>&amp;C&amp;"Arial,Regular"Exhibit B - Summary of Requirements&amp;R&amp;"Arial,Regular"Research, Evaluation, and Statistics</oddFooter>
      </headerFooter>
    </customSheetView>
    <customSheetView guid="{08380F1E-0CB7-4B3B-924E-2A270EA8DD30}" scale="80" showPageBreaks="1" printArea="1" view="pageBreakPreview" topLeftCell="A4">
      <selection activeCell="D48" sqref="D48"/>
      <pageMargins left="0.7" right="0.7" top="0.75" bottom="0.75" header="0.3" footer="0.3"/>
      <printOptions horizontalCentered="1"/>
      <pageSetup scale="54" orientation="landscape" r:id="rId2"/>
      <headerFooter>
        <oddHeader>&amp;L&amp;"Arial,Bold"&amp;12B. Summary of Requirements</oddHeader>
        <oddFooter>&amp;C&amp;"Arial,Regular"Exhibit B - Summary of Requirements&amp;R&amp;"Arial,Regular"Research, Evaluation, and Statistics</oddFooter>
      </headerFooter>
    </customSheetView>
    <customSheetView guid="{D19943A8-2C2A-430A-A724-8C7C332697C8}" scale="80" showPageBreaks="1" printArea="1" view="pageBreakPreview" topLeftCell="A4">
      <selection activeCell="D48" sqref="D48"/>
      <pageMargins left="0.7" right="0.7" top="0.75" bottom="0.75" header="0.3" footer="0.3"/>
      <printOptions horizontalCentered="1"/>
      <pageSetup scale="54" orientation="landscape" r:id="rId3"/>
      <headerFooter>
        <oddHeader>&amp;L&amp;"Arial,Bold"&amp;12B. Summary of Requirements</oddHeader>
        <oddFooter>&amp;C&amp;"Arial,Regular"Exhibit B - Summary of Requirements&amp;R&amp;"Arial,Regular"Research, Evaluation, and Statistics</oddFooter>
      </headerFooter>
    </customSheetView>
    <customSheetView guid="{C6D68C6D-939C-4DFA-9385-A3F05DFB5EDA}" scale="80" showPageBreaks="1" printArea="1" view="pageBreakPreview" topLeftCell="A4">
      <selection activeCell="D48" sqref="D48"/>
      <pageMargins left="0.7" right="0.7" top="0.75" bottom="0.75" header="0.3" footer="0.3"/>
      <printOptions horizontalCentered="1"/>
      <pageSetup scale="54" orientation="landscape" r:id="rId4"/>
      <headerFooter>
        <oddHeader>&amp;L&amp;"Arial,Bold"&amp;12B. Summary of Requirements</oddHeader>
        <oddFooter>&amp;C&amp;"Arial,Regular"Exhibit B - Summary of Requirements&amp;R&amp;"Arial,Regular"Research, Evaluation, and Statistics</oddFooter>
      </headerFooter>
    </customSheetView>
  </customSheetViews>
  <mergeCells count="15">
    <mergeCell ref="A29:A30"/>
    <mergeCell ref="B29:D29"/>
    <mergeCell ref="E29:G29"/>
    <mergeCell ref="H29:J29"/>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54" orientation="landscape" r:id="rId5"/>
  <headerFooter>
    <oddHeader>&amp;L&amp;"Arial,Bold"&amp;12B. Summary of Requirements</oddHeader>
    <oddFooter>&amp;C&amp;"Arial,Regular"Exhibit B - Summary of Requirements&amp;R&amp;"Arial,Regular"Research, Evaluation, and Statistics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view="pageBreakPreview" topLeftCell="A13" zoomScale="80" zoomScaleNormal="100" zoomScaleSheetLayoutView="80" workbookViewId="0">
      <selection activeCell="F13" sqref="F13"/>
    </sheetView>
  </sheetViews>
  <sheetFormatPr defaultColWidth="9.109375" defaultRowHeight="13.8" x14ac:dyDescent="0.25"/>
  <cols>
    <col min="1" max="1" width="42.6640625" style="178" customWidth="1"/>
    <col min="2" max="2" width="29.33203125" style="178" customWidth="1"/>
    <col min="3" max="5" width="8.6640625" style="178" customWidth="1"/>
    <col min="6" max="6" width="12.6640625" style="178" customWidth="1"/>
    <col min="7" max="9" width="8.6640625" style="178" customWidth="1"/>
    <col min="10" max="10" width="12.6640625" style="178" customWidth="1"/>
    <col min="11" max="11" width="14" style="7" bestFit="1" customWidth="1"/>
    <col min="12" max="12" width="4.5546875" style="178" customWidth="1"/>
    <col min="13" max="14" width="8.33203125" style="178" customWidth="1"/>
    <col min="15" max="15" width="12.6640625" style="178" customWidth="1"/>
    <col min="16" max="17" width="8.33203125" style="178" customWidth="1"/>
    <col min="18" max="18" width="12.6640625" style="178" customWidth="1"/>
    <col min="19" max="16384" width="9.109375" style="178"/>
  </cols>
  <sheetData>
    <row r="1" spans="1:18" ht="18" x14ac:dyDescent="0.25">
      <c r="A1" s="633" t="s">
        <v>220</v>
      </c>
      <c r="B1" s="633"/>
      <c r="C1" s="633"/>
      <c r="D1" s="633"/>
      <c r="E1" s="633"/>
      <c r="F1" s="633"/>
      <c r="G1" s="633"/>
      <c r="H1" s="633"/>
      <c r="I1" s="633"/>
      <c r="J1" s="633"/>
      <c r="K1" s="53" t="s">
        <v>20</v>
      </c>
      <c r="L1" s="9"/>
      <c r="M1" s="9"/>
      <c r="N1" s="9"/>
      <c r="O1" s="9"/>
      <c r="P1" s="9"/>
      <c r="Q1" s="9"/>
      <c r="R1" s="9"/>
    </row>
    <row r="2" spans="1:18" ht="15" x14ac:dyDescent="0.2">
      <c r="A2" s="634" t="str">
        <f>'[1]B. Summ of Req. - RES'!A2:D2</f>
        <v>Office of Justice Programs</v>
      </c>
      <c r="B2" s="634"/>
      <c r="C2" s="634"/>
      <c r="D2" s="634"/>
      <c r="E2" s="634"/>
      <c r="F2" s="634"/>
      <c r="G2" s="634"/>
      <c r="H2" s="634"/>
      <c r="I2" s="634"/>
      <c r="J2" s="634"/>
      <c r="K2" s="53" t="s">
        <v>20</v>
      </c>
      <c r="L2" s="10"/>
      <c r="M2" s="10"/>
      <c r="N2" s="10"/>
      <c r="O2" s="10"/>
      <c r="P2" s="10"/>
      <c r="Q2" s="10"/>
      <c r="R2" s="10"/>
    </row>
    <row r="3" spans="1:18" ht="14.25" x14ac:dyDescent="0.2">
      <c r="A3" s="635" t="str">
        <f>'[1]B. Summ of Req. - RES'!A3:D3</f>
        <v>Research, Evaluation, and Statistics</v>
      </c>
      <c r="B3" s="635"/>
      <c r="C3" s="635"/>
      <c r="D3" s="635"/>
      <c r="E3" s="635"/>
      <c r="F3" s="635"/>
      <c r="G3" s="635"/>
      <c r="H3" s="635"/>
      <c r="I3" s="635"/>
      <c r="J3" s="635"/>
      <c r="K3" s="53" t="s">
        <v>20</v>
      </c>
      <c r="L3" s="221"/>
      <c r="M3" s="221"/>
      <c r="N3" s="221"/>
      <c r="O3" s="221"/>
      <c r="P3" s="221"/>
      <c r="Q3" s="221"/>
      <c r="R3" s="221"/>
    </row>
    <row r="4" spans="1:18" ht="14.25" x14ac:dyDescent="0.2">
      <c r="A4" s="637" t="s">
        <v>1</v>
      </c>
      <c r="B4" s="637"/>
      <c r="C4" s="637"/>
      <c r="D4" s="637"/>
      <c r="E4" s="637"/>
      <c r="F4" s="637"/>
      <c r="G4" s="637"/>
      <c r="H4" s="637"/>
      <c r="I4" s="637"/>
      <c r="J4" s="637"/>
      <c r="K4" s="53" t="s">
        <v>20</v>
      </c>
      <c r="L4" s="11"/>
      <c r="M4" s="11"/>
      <c r="N4" s="11"/>
      <c r="O4" s="11"/>
      <c r="P4" s="11"/>
      <c r="Q4" s="11"/>
      <c r="R4" s="11"/>
    </row>
    <row r="5" spans="1:18" ht="14.25" x14ac:dyDescent="0.2">
      <c r="A5" s="637"/>
      <c r="B5" s="637"/>
      <c r="C5" s="637"/>
      <c r="D5" s="637"/>
      <c r="E5" s="637"/>
      <c r="F5" s="637"/>
      <c r="G5" s="637"/>
      <c r="H5" s="637"/>
      <c r="I5" s="637"/>
      <c r="J5" s="637"/>
      <c r="K5" s="53" t="s">
        <v>20</v>
      </c>
      <c r="L5" s="11"/>
      <c r="M5" s="11"/>
      <c r="N5" s="11"/>
      <c r="O5" s="11"/>
      <c r="P5" s="11"/>
      <c r="Q5" s="11"/>
      <c r="R5" s="11"/>
    </row>
    <row r="6" spans="1:18" ht="15" thickBot="1" x14ac:dyDescent="0.25">
      <c r="K6" s="53" t="s">
        <v>20</v>
      </c>
    </row>
    <row r="7" spans="1:18" ht="33.75" customHeight="1" x14ac:dyDescent="0.25">
      <c r="A7" s="638" t="s">
        <v>31</v>
      </c>
      <c r="B7" s="673" t="s">
        <v>217</v>
      </c>
      <c r="C7" s="641" t="s">
        <v>185</v>
      </c>
      <c r="D7" s="641"/>
      <c r="E7" s="641"/>
      <c r="F7" s="641"/>
      <c r="G7" s="641" t="s">
        <v>219</v>
      </c>
      <c r="H7" s="641"/>
      <c r="I7" s="641"/>
      <c r="J7" s="641"/>
      <c r="K7" s="53" t="s">
        <v>20</v>
      </c>
    </row>
    <row r="8" spans="1:18" ht="27.6" x14ac:dyDescent="0.25">
      <c r="A8" s="639"/>
      <c r="B8" s="716"/>
      <c r="C8" s="222" t="s">
        <v>3</v>
      </c>
      <c r="D8" s="222" t="s">
        <v>215</v>
      </c>
      <c r="E8" s="222" t="s">
        <v>149</v>
      </c>
      <c r="F8" s="222" t="s">
        <v>4</v>
      </c>
      <c r="G8" s="222" t="s">
        <v>3</v>
      </c>
      <c r="H8" s="222" t="s">
        <v>215</v>
      </c>
      <c r="I8" s="222" t="s">
        <v>149</v>
      </c>
      <c r="J8" s="222" t="s">
        <v>4</v>
      </c>
      <c r="K8" s="53" t="s">
        <v>20</v>
      </c>
    </row>
    <row r="9" spans="1:18" ht="27.6" x14ac:dyDescent="0.25">
      <c r="A9" s="224" t="s">
        <v>197</v>
      </c>
      <c r="B9" s="252" t="s">
        <v>185</v>
      </c>
      <c r="C9" s="225">
        <v>0</v>
      </c>
      <c r="D9" s="225">
        <v>0</v>
      </c>
      <c r="E9" s="225">
        <v>0</v>
      </c>
      <c r="F9" s="225">
        <v>7900</v>
      </c>
      <c r="G9" s="225">
        <f>C9</f>
        <v>0</v>
      </c>
      <c r="H9" s="225">
        <f>D9</f>
        <v>0</v>
      </c>
      <c r="I9" s="225">
        <f>E9</f>
        <v>0</v>
      </c>
      <c r="J9" s="225">
        <f>F9</f>
        <v>7900</v>
      </c>
      <c r="K9" s="53" t="s">
        <v>20</v>
      </c>
    </row>
    <row r="10" spans="1:18" ht="27.6" x14ac:dyDescent="0.25">
      <c r="A10" s="228" t="s">
        <v>198</v>
      </c>
      <c r="B10" s="251" t="s">
        <v>185</v>
      </c>
      <c r="C10" s="208">
        <v>0</v>
      </c>
      <c r="D10" s="208">
        <v>0</v>
      </c>
      <c r="E10" s="208">
        <v>0</v>
      </c>
      <c r="F10" s="208">
        <v>4500</v>
      </c>
      <c r="G10" s="208">
        <f t="shared" ref="G10:J12" si="0">C10</f>
        <v>0</v>
      </c>
      <c r="H10" s="208">
        <f t="shared" si="0"/>
        <v>0</v>
      </c>
      <c r="I10" s="208">
        <f t="shared" si="0"/>
        <v>0</v>
      </c>
      <c r="J10" s="208">
        <f t="shared" si="0"/>
        <v>4500</v>
      </c>
      <c r="K10" s="53" t="s">
        <v>20</v>
      </c>
    </row>
    <row r="11" spans="1:18" ht="27.6" x14ac:dyDescent="0.25">
      <c r="A11" s="228" t="s">
        <v>199</v>
      </c>
      <c r="B11" s="251" t="s">
        <v>185</v>
      </c>
      <c r="C11" s="208">
        <v>0</v>
      </c>
      <c r="D11" s="208">
        <v>0</v>
      </c>
      <c r="E11" s="208">
        <v>0</v>
      </c>
      <c r="F11" s="208">
        <v>2000</v>
      </c>
      <c r="G11" s="208">
        <f t="shared" si="0"/>
        <v>0</v>
      </c>
      <c r="H11" s="208">
        <f t="shared" si="0"/>
        <v>0</v>
      </c>
      <c r="I11" s="208">
        <f t="shared" si="0"/>
        <v>0</v>
      </c>
      <c r="J11" s="208">
        <f t="shared" si="0"/>
        <v>2000</v>
      </c>
      <c r="K11" s="53" t="s">
        <v>20</v>
      </c>
    </row>
    <row r="12" spans="1:18" ht="28.5" x14ac:dyDescent="0.2">
      <c r="A12" s="229" t="s">
        <v>473</v>
      </c>
      <c r="B12" s="250" t="s">
        <v>185</v>
      </c>
      <c r="C12" s="230">
        <v>0</v>
      </c>
      <c r="D12" s="230">
        <v>0</v>
      </c>
      <c r="E12" s="230">
        <v>0</v>
      </c>
      <c r="F12" s="230">
        <v>9000</v>
      </c>
      <c r="G12" s="230">
        <f t="shared" si="0"/>
        <v>0</v>
      </c>
      <c r="H12" s="230">
        <f t="shared" si="0"/>
        <v>0</v>
      </c>
      <c r="I12" s="230">
        <f t="shared" si="0"/>
        <v>0</v>
      </c>
      <c r="J12" s="230">
        <f t="shared" si="0"/>
        <v>9000</v>
      </c>
      <c r="K12" s="53" t="s">
        <v>20</v>
      </c>
    </row>
    <row r="13" spans="1:18" ht="14.4" thickBot="1" x14ac:dyDescent="0.3">
      <c r="A13" s="246" t="s">
        <v>218</v>
      </c>
      <c r="B13" s="245"/>
      <c r="C13" s="244">
        <f>SUM(C9:C12)</f>
        <v>0</v>
      </c>
      <c r="D13" s="244">
        <f>SUM(D9:D12)</f>
        <v>0</v>
      </c>
      <c r="E13" s="244">
        <f t="shared" ref="E13:F13" si="1">SUM(E9:E12)</f>
        <v>0</v>
      </c>
      <c r="F13" s="244">
        <f t="shared" si="1"/>
        <v>23400</v>
      </c>
      <c r="G13" s="244">
        <f>SUM(G9:G12)</f>
        <v>0</v>
      </c>
      <c r="H13" s="244">
        <f t="shared" ref="H13:J13" si="2">SUM(H9:H12)</f>
        <v>0</v>
      </c>
      <c r="I13" s="244">
        <f t="shared" si="2"/>
        <v>0</v>
      </c>
      <c r="J13" s="244">
        <f t="shared" si="2"/>
        <v>23400</v>
      </c>
      <c r="K13" s="53" t="s">
        <v>20</v>
      </c>
    </row>
    <row r="14" spans="1:18" ht="14.4" thickBot="1" x14ac:dyDescent="0.3">
      <c r="K14" s="53" t="s">
        <v>20</v>
      </c>
    </row>
    <row r="15" spans="1:18" ht="33.75" customHeight="1" x14ac:dyDescent="0.25">
      <c r="A15" s="638" t="s">
        <v>32</v>
      </c>
      <c r="B15" s="673" t="s">
        <v>217</v>
      </c>
      <c r="C15" s="641" t="s">
        <v>185</v>
      </c>
      <c r="D15" s="641"/>
      <c r="E15" s="641"/>
      <c r="F15" s="641"/>
      <c r="G15" s="641" t="s">
        <v>216</v>
      </c>
      <c r="H15" s="641"/>
      <c r="I15" s="641"/>
      <c r="J15" s="641"/>
      <c r="K15" s="53" t="s">
        <v>20</v>
      </c>
    </row>
    <row r="16" spans="1:18" ht="27.6" x14ac:dyDescent="0.25">
      <c r="A16" s="639"/>
      <c r="B16" s="716"/>
      <c r="C16" s="222" t="s">
        <v>3</v>
      </c>
      <c r="D16" s="222" t="s">
        <v>215</v>
      </c>
      <c r="E16" s="222" t="s">
        <v>149</v>
      </c>
      <c r="F16" s="222" t="s">
        <v>4</v>
      </c>
      <c r="G16" s="222" t="s">
        <v>3</v>
      </c>
      <c r="H16" s="222" t="s">
        <v>215</v>
      </c>
      <c r="I16" s="222" t="s">
        <v>149</v>
      </c>
      <c r="J16" s="222" t="s">
        <v>4</v>
      </c>
      <c r="K16" s="53" t="s">
        <v>20</v>
      </c>
    </row>
    <row r="17" spans="1:11" ht="27.6" x14ac:dyDescent="0.25">
      <c r="A17" s="249" t="s">
        <v>211</v>
      </c>
      <c r="B17" s="248" t="s">
        <v>185</v>
      </c>
      <c r="C17" s="247">
        <v>0</v>
      </c>
      <c r="D17" s="247">
        <v>0</v>
      </c>
      <c r="E17" s="247">
        <v>0</v>
      </c>
      <c r="F17" s="247">
        <v>-2000</v>
      </c>
      <c r="G17" s="247">
        <f>C17</f>
        <v>0</v>
      </c>
      <c r="H17" s="247">
        <f>D17</f>
        <v>0</v>
      </c>
      <c r="I17" s="247">
        <f>E17</f>
        <v>0</v>
      </c>
      <c r="J17" s="247">
        <f>F17</f>
        <v>-2000</v>
      </c>
      <c r="K17" s="53" t="s">
        <v>20</v>
      </c>
    </row>
    <row r="18" spans="1:11" ht="14.4" thickBot="1" x14ac:dyDescent="0.3">
      <c r="A18" s="246" t="s">
        <v>214</v>
      </c>
      <c r="B18" s="245"/>
      <c r="C18" s="244">
        <f t="shared" ref="C18:J18" si="3">SUM(C17:C17)</f>
        <v>0</v>
      </c>
      <c r="D18" s="244">
        <f t="shared" si="3"/>
        <v>0</v>
      </c>
      <c r="E18" s="244">
        <f t="shared" si="3"/>
        <v>0</v>
      </c>
      <c r="F18" s="244">
        <f t="shared" si="3"/>
        <v>-2000</v>
      </c>
      <c r="G18" s="244">
        <f t="shared" si="3"/>
        <v>0</v>
      </c>
      <c r="H18" s="244">
        <f t="shared" si="3"/>
        <v>0</v>
      </c>
      <c r="I18" s="244">
        <f t="shared" si="3"/>
        <v>0</v>
      </c>
      <c r="J18" s="244">
        <f t="shared" si="3"/>
        <v>-2000</v>
      </c>
      <c r="K18" s="53" t="s">
        <v>20</v>
      </c>
    </row>
    <row r="19" spans="1:11" ht="13.95" x14ac:dyDescent="0.25">
      <c r="K19" s="7" t="s">
        <v>21</v>
      </c>
    </row>
    <row r="20" spans="1:11" ht="13.95" x14ac:dyDescent="0.25">
      <c r="B20" s="243"/>
    </row>
  </sheetData>
  <customSheetViews>
    <customSheetView guid="{5B2D5037-506A-47D5-AF28-C337BC9133BD}" scale="80" showPageBreaks="1" printArea="1" view="pageBreakPreview" topLeftCell="A13">
      <selection activeCell="F13" sqref="F13"/>
      <pageMargins left="0.7" right="0.7" top="0.75" bottom="0.75" header="0.3" footer="0.3"/>
      <printOptions horizontalCentered="1"/>
      <pageSetup scale="68" orientation="landscape" r:id="rId1"/>
      <headerFooter>
        <oddHeader xml:space="preserve">&amp;L&amp;"Arial,Bold"&amp;12C. Program Changes by Decision Unit
</oddHeader>
        <oddFooter>&amp;C&amp;"Arial,Regular"Exhibit C - Program Changes by Decision Unit&amp;R&amp;"Arial,Regular"Research, Evaluation, and Statistics</oddFooter>
      </headerFooter>
    </customSheetView>
    <customSheetView guid="{08380F1E-0CB7-4B3B-924E-2A270EA8DD30}" scale="80" showPageBreaks="1" printArea="1" view="pageBreakPreview" topLeftCell="A13">
      <selection activeCell="F13" sqref="F13"/>
      <pageMargins left="0.7" right="0.7" top="0.75" bottom="0.75" header="0.3" footer="0.3"/>
      <printOptions horizontalCentered="1"/>
      <pageSetup scale="68" orientation="landscape" r:id="rId2"/>
      <headerFooter>
        <oddHeader xml:space="preserve">&amp;L&amp;"Arial,Bold"&amp;12C. Program Changes by Decision Unit
</oddHeader>
        <oddFooter>&amp;C&amp;"Arial,Regular"Exhibit C - Program Changes by Decision Unit&amp;R&amp;"Arial,Regular"Research, Evaluation, and Statistics</oddFooter>
      </headerFooter>
    </customSheetView>
    <customSheetView guid="{D19943A8-2C2A-430A-A724-8C7C332697C8}" scale="80" showPageBreaks="1" printArea="1" view="pageBreakPreview" topLeftCell="A13">
      <selection activeCell="F13" sqref="F13"/>
      <pageMargins left="0.7" right="0.7" top="0.75" bottom="0.75" header="0.3" footer="0.3"/>
      <printOptions horizontalCentered="1"/>
      <pageSetup scale="68" orientation="landscape" r:id="rId3"/>
      <headerFooter>
        <oddHeader xml:space="preserve">&amp;L&amp;"Arial,Bold"&amp;12C. Program Changes by Decision Unit
</oddHeader>
        <oddFooter>&amp;C&amp;"Arial,Regular"Exhibit C - Program Changes by Decision Unit&amp;R&amp;"Arial,Regular"Research, Evaluation, and Statistics</oddFooter>
      </headerFooter>
    </customSheetView>
    <customSheetView guid="{C6D68C6D-939C-4DFA-9385-A3F05DFB5EDA}" scale="80" showPageBreaks="1" printArea="1" view="pageBreakPreview" topLeftCell="A13">
      <selection activeCell="F13" sqref="F13"/>
      <pageMargins left="0.7" right="0.7" top="0.75" bottom="0.75" header="0.3" footer="0.3"/>
      <printOptions horizontalCentered="1"/>
      <pageSetup scale="68" orientation="landscape" r:id="rId4"/>
      <headerFooter>
        <oddHeader xml:space="preserve">&amp;L&amp;"Arial,Bold"&amp;12C. Program Changes by Decision Unit
</oddHeader>
        <oddFooter>&amp;C&amp;"Arial,Regular"Exhibit C - Program Changes by Decision Unit&amp;R&amp;"Arial,Regular"Research, Evaluation, and Statistics</oddFooter>
      </headerFooter>
    </customSheetView>
  </customSheetViews>
  <mergeCells count="13">
    <mergeCell ref="A15:A16"/>
    <mergeCell ref="B15:B16"/>
    <mergeCell ref="C15:F15"/>
    <mergeCell ref="G15:J15"/>
    <mergeCell ref="A1:J1"/>
    <mergeCell ref="A2:J2"/>
    <mergeCell ref="A3:J3"/>
    <mergeCell ref="A4:J4"/>
    <mergeCell ref="A5:J5"/>
    <mergeCell ref="A7:A8"/>
    <mergeCell ref="B7:B8"/>
    <mergeCell ref="C7:F7"/>
    <mergeCell ref="G7:J7"/>
  </mergeCells>
  <printOptions horizontalCentered="1"/>
  <pageMargins left="0.7" right="0.7" top="0.75" bottom="0.75" header="0.3" footer="0.3"/>
  <pageSetup scale="68" orientation="landscape" r:id="rId5"/>
  <headerFooter>
    <oddHeader xml:space="preserve">&amp;L&amp;"Arial,Bold"&amp;12C. Program Changes by Decision Unit
</oddHeader>
    <oddFooter>&amp;C&amp;"Arial,Regular"Exhibit C - Program Changes by Decision Unit&amp;R&amp;"Arial,Regular"Research, Evaluation, and Statistics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topLeftCell="A4" zoomScale="80" zoomScaleNormal="100" zoomScaleSheetLayoutView="80" workbookViewId="0">
      <selection activeCell="J24" sqref="J24"/>
    </sheetView>
  </sheetViews>
  <sheetFormatPr defaultColWidth="9.109375" defaultRowHeight="13.8" x14ac:dyDescent="0.25"/>
  <cols>
    <col min="1" max="1" width="7.44140625" style="178" bestFit="1" customWidth="1"/>
    <col min="2" max="2" width="60" style="178" customWidth="1"/>
    <col min="3" max="3" width="8.6640625" style="178" customWidth="1"/>
    <col min="4" max="4" width="12.6640625" style="178" customWidth="1"/>
    <col min="5" max="5" width="8.6640625" style="178" customWidth="1"/>
    <col min="6" max="6" width="12.6640625" style="178" customWidth="1"/>
    <col min="7" max="7" width="8.6640625" style="178" customWidth="1"/>
    <col min="8" max="8" width="12.6640625" style="178" customWidth="1"/>
    <col min="9" max="9" width="8.6640625" style="178" customWidth="1"/>
    <col min="10" max="10" width="12.6640625" style="178" customWidth="1"/>
    <col min="11" max="11" width="8.6640625" style="178" customWidth="1"/>
    <col min="12" max="12" width="12.6640625" style="178" customWidth="1"/>
    <col min="13" max="13" width="8.6640625" style="178" customWidth="1"/>
    <col min="14" max="14" width="12.6640625" style="178" customWidth="1"/>
    <col min="15" max="15" width="14" style="7" bestFit="1" customWidth="1"/>
    <col min="16" max="16" width="4.5546875" style="178" customWidth="1"/>
    <col min="17" max="18" width="8.33203125" style="178" customWidth="1"/>
    <col min="19" max="19" width="12.6640625" style="178" customWidth="1"/>
    <col min="20" max="21" width="8.33203125" style="178" customWidth="1"/>
    <col min="22" max="22" width="12.6640625" style="178" customWidth="1"/>
    <col min="23" max="16384" width="9.109375" style="178"/>
  </cols>
  <sheetData>
    <row r="1" spans="1:22" ht="18" x14ac:dyDescent="0.25">
      <c r="A1" s="633" t="s">
        <v>221</v>
      </c>
      <c r="B1" s="633"/>
      <c r="C1" s="633"/>
      <c r="D1" s="633"/>
      <c r="E1" s="633"/>
      <c r="F1" s="633"/>
      <c r="G1" s="633"/>
      <c r="H1" s="633"/>
      <c r="I1" s="633"/>
      <c r="J1" s="633"/>
      <c r="K1" s="633"/>
      <c r="L1" s="633"/>
      <c r="M1" s="633"/>
      <c r="N1" s="633"/>
      <c r="O1" s="53" t="s">
        <v>20</v>
      </c>
      <c r="P1" s="9"/>
      <c r="Q1" s="9"/>
      <c r="R1" s="9"/>
      <c r="S1" s="9"/>
      <c r="T1" s="9"/>
      <c r="U1" s="9"/>
      <c r="V1" s="9"/>
    </row>
    <row r="2" spans="1:22" ht="15" x14ac:dyDescent="0.2">
      <c r="A2" s="634" t="str">
        <f>'[1]B. Summ of Req. - RES'!A2:D2</f>
        <v>Office of Justice Programs</v>
      </c>
      <c r="B2" s="634"/>
      <c r="C2" s="634"/>
      <c r="D2" s="634"/>
      <c r="E2" s="634"/>
      <c r="F2" s="634"/>
      <c r="G2" s="634"/>
      <c r="H2" s="634"/>
      <c r="I2" s="634"/>
      <c r="J2" s="634"/>
      <c r="K2" s="634"/>
      <c r="L2" s="634"/>
      <c r="M2" s="634"/>
      <c r="N2" s="634"/>
      <c r="O2" s="53" t="s">
        <v>20</v>
      </c>
      <c r="P2" s="10"/>
      <c r="Q2" s="10"/>
      <c r="R2" s="10"/>
      <c r="S2" s="10"/>
      <c r="T2" s="10"/>
      <c r="U2" s="10"/>
      <c r="V2" s="10"/>
    </row>
    <row r="3" spans="1:22" ht="14.25" x14ac:dyDescent="0.2">
      <c r="A3" s="635" t="str">
        <f>'[1]B. Summ of Req. - RES'!A3:D3</f>
        <v>Research, Evaluation, and Statistics</v>
      </c>
      <c r="B3" s="635"/>
      <c r="C3" s="635"/>
      <c r="D3" s="635"/>
      <c r="E3" s="635"/>
      <c r="F3" s="635"/>
      <c r="G3" s="635"/>
      <c r="H3" s="635"/>
      <c r="I3" s="635"/>
      <c r="J3" s="635"/>
      <c r="K3" s="635"/>
      <c r="L3" s="635"/>
      <c r="M3" s="635"/>
      <c r="N3" s="635"/>
      <c r="O3" s="53" t="s">
        <v>20</v>
      </c>
      <c r="P3" s="221"/>
      <c r="Q3" s="221"/>
      <c r="R3" s="221"/>
      <c r="S3" s="221"/>
      <c r="T3" s="221"/>
      <c r="U3" s="221"/>
      <c r="V3" s="221"/>
    </row>
    <row r="4" spans="1:22" ht="14.25" x14ac:dyDescent="0.2">
      <c r="A4" s="637" t="s">
        <v>1</v>
      </c>
      <c r="B4" s="637"/>
      <c r="C4" s="637"/>
      <c r="D4" s="637"/>
      <c r="E4" s="637"/>
      <c r="F4" s="637"/>
      <c r="G4" s="637"/>
      <c r="H4" s="637"/>
      <c r="I4" s="637"/>
      <c r="J4" s="637"/>
      <c r="K4" s="637"/>
      <c r="L4" s="637"/>
      <c r="M4" s="637"/>
      <c r="N4" s="637"/>
      <c r="O4" s="53" t="s">
        <v>20</v>
      </c>
      <c r="P4" s="11"/>
      <c r="Q4" s="11"/>
      <c r="R4" s="11"/>
      <c r="S4" s="11"/>
      <c r="T4" s="11"/>
      <c r="U4" s="11"/>
      <c r="V4" s="11"/>
    </row>
    <row r="5" spans="1:22" ht="14.25" x14ac:dyDescent="0.2">
      <c r="A5" s="635"/>
      <c r="B5" s="635"/>
      <c r="C5" s="635"/>
      <c r="D5" s="635"/>
      <c r="E5" s="635"/>
      <c r="F5" s="635"/>
      <c r="G5" s="635"/>
      <c r="H5" s="635"/>
      <c r="I5" s="635"/>
      <c r="J5" s="635"/>
      <c r="K5" s="635"/>
      <c r="L5" s="635"/>
      <c r="M5" s="635"/>
      <c r="N5" s="635"/>
      <c r="O5" s="53" t="s">
        <v>20</v>
      </c>
      <c r="P5" s="11"/>
      <c r="Q5" s="11"/>
      <c r="R5" s="11"/>
      <c r="S5" s="11"/>
      <c r="T5" s="11"/>
      <c r="U5" s="11"/>
      <c r="V5" s="11"/>
    </row>
    <row r="6" spans="1:22" ht="15" thickBot="1" x14ac:dyDescent="0.25">
      <c r="A6" s="717"/>
      <c r="B6" s="717"/>
      <c r="C6" s="717"/>
      <c r="D6" s="717"/>
      <c r="E6" s="717"/>
      <c r="F6" s="717"/>
      <c r="G6" s="717"/>
      <c r="H6" s="717"/>
      <c r="I6" s="717"/>
      <c r="J6" s="717"/>
      <c r="K6" s="717"/>
      <c r="L6" s="717"/>
      <c r="M6" s="717"/>
      <c r="N6" s="717"/>
      <c r="O6" s="53" t="s">
        <v>20</v>
      </c>
      <c r="P6" s="11"/>
      <c r="Q6" s="11"/>
      <c r="R6" s="11"/>
      <c r="S6" s="11"/>
      <c r="T6" s="11"/>
      <c r="U6" s="11"/>
      <c r="V6" s="11"/>
    </row>
    <row r="7" spans="1:22" ht="33.75" customHeight="1" x14ac:dyDescent="0.25">
      <c r="A7" s="677" t="s">
        <v>222</v>
      </c>
      <c r="B7" s="719"/>
      <c r="C7" s="641" t="s">
        <v>223</v>
      </c>
      <c r="D7" s="641"/>
      <c r="E7" s="641" t="s">
        <v>207</v>
      </c>
      <c r="F7" s="641"/>
      <c r="G7" s="641" t="s">
        <v>13</v>
      </c>
      <c r="H7" s="641"/>
      <c r="I7" s="641" t="s">
        <v>22</v>
      </c>
      <c r="J7" s="641"/>
      <c r="K7" s="641" t="s">
        <v>23</v>
      </c>
      <c r="L7" s="641"/>
      <c r="M7" s="641" t="s">
        <v>18</v>
      </c>
      <c r="N7" s="642"/>
      <c r="O7" s="53" t="s">
        <v>20</v>
      </c>
    </row>
    <row r="8" spans="1:22" ht="41.4" x14ac:dyDescent="0.25">
      <c r="A8" s="678"/>
      <c r="B8" s="720"/>
      <c r="C8" s="222" t="s">
        <v>224</v>
      </c>
      <c r="D8" s="222" t="s">
        <v>225</v>
      </c>
      <c r="E8" s="222" t="s">
        <v>224</v>
      </c>
      <c r="F8" s="222" t="s">
        <v>225</v>
      </c>
      <c r="G8" s="222" t="s">
        <v>224</v>
      </c>
      <c r="H8" s="222" t="s">
        <v>225</v>
      </c>
      <c r="I8" s="222" t="s">
        <v>224</v>
      </c>
      <c r="J8" s="222" t="s">
        <v>225</v>
      </c>
      <c r="K8" s="222" t="s">
        <v>224</v>
      </c>
      <c r="L8" s="222" t="s">
        <v>225</v>
      </c>
      <c r="M8" s="222" t="s">
        <v>224</v>
      </c>
      <c r="N8" s="223" t="s">
        <v>225</v>
      </c>
      <c r="O8" s="53" t="s">
        <v>20</v>
      </c>
    </row>
    <row r="9" spans="1:22" ht="41.4" x14ac:dyDescent="0.25">
      <c r="A9" s="253" t="s">
        <v>226</v>
      </c>
      <c r="B9" s="254" t="s">
        <v>227</v>
      </c>
      <c r="C9" s="255"/>
      <c r="D9" s="255"/>
      <c r="E9" s="255"/>
      <c r="F9" s="255"/>
      <c r="G9" s="255"/>
      <c r="H9" s="255"/>
      <c r="I9" s="255"/>
      <c r="J9" s="255"/>
      <c r="K9" s="255"/>
      <c r="L9" s="255"/>
      <c r="M9" s="255"/>
      <c r="N9" s="256"/>
      <c r="O9" s="53" t="s">
        <v>20</v>
      </c>
    </row>
    <row r="10" spans="1:22" ht="27.6" x14ac:dyDescent="0.25">
      <c r="A10" s="257">
        <v>1.1000000000000001</v>
      </c>
      <c r="B10" s="258" t="s">
        <v>228</v>
      </c>
      <c r="C10" s="208">
        <v>0</v>
      </c>
      <c r="D10" s="259">
        <v>0</v>
      </c>
      <c r="E10" s="208">
        <v>0</v>
      </c>
      <c r="F10" s="208">
        <v>0</v>
      </c>
      <c r="G10" s="208">
        <v>0</v>
      </c>
      <c r="H10" s="208">
        <v>0</v>
      </c>
      <c r="I10" s="208">
        <v>0</v>
      </c>
      <c r="J10" s="208">
        <v>0</v>
      </c>
      <c r="K10" s="208">
        <v>0</v>
      </c>
      <c r="L10" s="208">
        <v>0</v>
      </c>
      <c r="M10" s="208">
        <f>G10+I10+K10</f>
        <v>0</v>
      </c>
      <c r="N10" s="205">
        <f t="shared" ref="N10:N12" si="0">H10+J10+L10</f>
        <v>0</v>
      </c>
      <c r="O10" s="53" t="s">
        <v>20</v>
      </c>
    </row>
    <row r="11" spans="1:22" x14ac:dyDescent="0.25">
      <c r="A11" s="257">
        <v>1.2</v>
      </c>
      <c r="B11" s="260" t="s">
        <v>229</v>
      </c>
      <c r="C11" s="208">
        <v>0</v>
      </c>
      <c r="D11" s="208">
        <v>0</v>
      </c>
      <c r="E11" s="208">
        <v>0</v>
      </c>
      <c r="F11" s="208">
        <v>0</v>
      </c>
      <c r="G11" s="208">
        <v>0</v>
      </c>
      <c r="H11" s="208">
        <v>0</v>
      </c>
      <c r="I11" s="208">
        <v>0</v>
      </c>
      <c r="J11" s="208">
        <v>0</v>
      </c>
      <c r="K11" s="208">
        <v>0</v>
      </c>
      <c r="L11" s="208">
        <v>0</v>
      </c>
      <c r="M11" s="208">
        <f t="shared" ref="M11:M12" si="1">G11+I11+K11</f>
        <v>0</v>
      </c>
      <c r="N11" s="205">
        <f t="shared" si="0"/>
        <v>0</v>
      </c>
      <c r="O11" s="53" t="s">
        <v>20</v>
      </c>
    </row>
    <row r="12" spans="1:22" x14ac:dyDescent="0.25">
      <c r="A12" s="257">
        <v>1.3</v>
      </c>
      <c r="B12" s="260" t="s">
        <v>230</v>
      </c>
      <c r="C12" s="208">
        <v>0</v>
      </c>
      <c r="D12" s="208">
        <v>0</v>
      </c>
      <c r="E12" s="208">
        <v>0</v>
      </c>
      <c r="F12" s="208">
        <v>0</v>
      </c>
      <c r="G12" s="208">
        <v>0</v>
      </c>
      <c r="H12" s="208">
        <v>0</v>
      </c>
      <c r="I12" s="208">
        <v>0</v>
      </c>
      <c r="J12" s="208">
        <v>0</v>
      </c>
      <c r="K12" s="208">
        <v>0</v>
      </c>
      <c r="L12" s="208">
        <v>0</v>
      </c>
      <c r="M12" s="208">
        <f t="shared" si="1"/>
        <v>0</v>
      </c>
      <c r="N12" s="205">
        <f t="shared" si="0"/>
        <v>0</v>
      </c>
      <c r="O12" s="53" t="s">
        <v>20</v>
      </c>
    </row>
    <row r="13" spans="1:22" x14ac:dyDescent="0.25">
      <c r="A13" s="261"/>
      <c r="B13" s="262" t="s">
        <v>231</v>
      </c>
      <c r="C13" s="25">
        <f>SUM(C10:C12)</f>
        <v>0</v>
      </c>
      <c r="D13" s="25">
        <f t="shared" ref="D13:N13" si="2">SUM(D10:D12)</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6">
        <f t="shared" si="2"/>
        <v>0</v>
      </c>
      <c r="O13" s="53" t="s">
        <v>20</v>
      </c>
    </row>
    <row r="14" spans="1:22" ht="27.6" x14ac:dyDescent="0.25">
      <c r="A14" s="253" t="s">
        <v>232</v>
      </c>
      <c r="B14" s="254" t="s">
        <v>233</v>
      </c>
      <c r="C14" s="255"/>
      <c r="D14" s="255"/>
      <c r="E14" s="255"/>
      <c r="F14" s="255"/>
      <c r="G14" s="255"/>
      <c r="H14" s="255"/>
      <c r="I14" s="255"/>
      <c r="J14" s="255"/>
      <c r="K14" s="255"/>
      <c r="L14" s="255"/>
      <c r="M14" s="255"/>
      <c r="N14" s="256"/>
      <c r="O14" s="53" t="s">
        <v>20</v>
      </c>
    </row>
    <row r="15" spans="1:22" x14ac:dyDescent="0.25">
      <c r="A15" s="257">
        <v>2.1</v>
      </c>
      <c r="B15" s="258" t="s">
        <v>234</v>
      </c>
      <c r="C15" s="208">
        <v>0</v>
      </c>
      <c r="D15" s="208">
        <v>0</v>
      </c>
      <c r="E15" s="208">
        <v>0</v>
      </c>
      <c r="F15" s="208">
        <v>0</v>
      </c>
      <c r="G15" s="208">
        <v>0</v>
      </c>
      <c r="H15" s="208">
        <v>0</v>
      </c>
      <c r="I15" s="208">
        <v>0</v>
      </c>
      <c r="J15" s="208">
        <v>0</v>
      </c>
      <c r="K15" s="208">
        <v>0</v>
      </c>
      <c r="L15" s="208">
        <v>0</v>
      </c>
      <c r="M15" s="208">
        <f>G15+I15+K15</f>
        <v>0</v>
      </c>
      <c r="N15" s="205">
        <f t="shared" ref="N15:N20" si="3">H15+J15+L15</f>
        <v>0</v>
      </c>
      <c r="O15" s="53" t="s">
        <v>20</v>
      </c>
    </row>
    <row r="16" spans="1:22" x14ac:dyDescent="0.25">
      <c r="A16" s="257">
        <v>2.2000000000000002</v>
      </c>
      <c r="B16" s="260" t="s">
        <v>235</v>
      </c>
      <c r="C16" s="208">
        <v>0</v>
      </c>
      <c r="D16" s="208">
        <v>0</v>
      </c>
      <c r="E16" s="208">
        <v>0</v>
      </c>
      <c r="F16" s="208">
        <v>0</v>
      </c>
      <c r="G16" s="208">
        <v>0</v>
      </c>
      <c r="H16" s="208">
        <v>0</v>
      </c>
      <c r="I16" s="208">
        <v>0</v>
      </c>
      <c r="J16" s="208">
        <v>0</v>
      </c>
      <c r="K16" s="208">
        <v>0</v>
      </c>
      <c r="L16" s="208">
        <v>0</v>
      </c>
      <c r="M16" s="208">
        <f t="shared" ref="M16:M20" si="4">G16+I16+K16</f>
        <v>0</v>
      </c>
      <c r="N16" s="205">
        <f t="shared" si="3"/>
        <v>0</v>
      </c>
      <c r="O16" s="53" t="s">
        <v>20</v>
      </c>
    </row>
    <row r="17" spans="1:15" x14ac:dyDescent="0.25">
      <c r="A17" s="257">
        <v>2.2999999999999998</v>
      </c>
      <c r="B17" s="260" t="s">
        <v>236</v>
      </c>
      <c r="C17" s="208">
        <v>0</v>
      </c>
      <c r="D17" s="208">
        <v>0</v>
      </c>
      <c r="E17" s="208">
        <v>0</v>
      </c>
      <c r="F17" s="208">
        <v>0</v>
      </c>
      <c r="G17" s="208">
        <v>0</v>
      </c>
      <c r="H17" s="208">
        <v>0</v>
      </c>
      <c r="I17" s="208">
        <v>0</v>
      </c>
      <c r="J17" s="208">
        <v>0</v>
      </c>
      <c r="K17" s="208">
        <v>0</v>
      </c>
      <c r="L17" s="208">
        <v>0</v>
      </c>
      <c r="M17" s="208">
        <f t="shared" si="4"/>
        <v>0</v>
      </c>
      <c r="N17" s="205">
        <f t="shared" si="3"/>
        <v>0</v>
      </c>
      <c r="O17" s="53" t="s">
        <v>20</v>
      </c>
    </row>
    <row r="18" spans="1:15" ht="27.6" x14ac:dyDescent="0.25">
      <c r="A18" s="257">
        <v>2.4</v>
      </c>
      <c r="B18" s="258" t="s">
        <v>237</v>
      </c>
      <c r="C18" s="208">
        <v>0</v>
      </c>
      <c r="D18" s="208">
        <v>0</v>
      </c>
      <c r="E18" s="208">
        <v>0</v>
      </c>
      <c r="F18" s="208">
        <v>0</v>
      </c>
      <c r="G18" s="208">
        <v>0</v>
      </c>
      <c r="H18" s="208">
        <v>0</v>
      </c>
      <c r="I18" s="208">
        <v>0</v>
      </c>
      <c r="J18" s="208">
        <v>0</v>
      </c>
      <c r="K18" s="208">
        <v>0</v>
      </c>
      <c r="L18" s="208">
        <v>0</v>
      </c>
      <c r="M18" s="208">
        <f t="shared" si="4"/>
        <v>0</v>
      </c>
      <c r="N18" s="205">
        <f t="shared" si="3"/>
        <v>0</v>
      </c>
      <c r="O18" s="53" t="s">
        <v>20</v>
      </c>
    </row>
    <row r="19" spans="1:15" x14ac:dyDescent="0.25">
      <c r="A19" s="257">
        <v>2.5</v>
      </c>
      <c r="B19" s="260" t="s">
        <v>238</v>
      </c>
      <c r="C19" s="208">
        <v>0</v>
      </c>
      <c r="D19" s="208">
        <v>0</v>
      </c>
      <c r="E19" s="208">
        <v>0</v>
      </c>
      <c r="F19" s="208">
        <v>0</v>
      </c>
      <c r="G19" s="208">
        <v>0</v>
      </c>
      <c r="H19" s="208">
        <v>0</v>
      </c>
      <c r="I19" s="208">
        <v>0</v>
      </c>
      <c r="J19" s="208">
        <v>0</v>
      </c>
      <c r="K19" s="208">
        <v>0</v>
      </c>
      <c r="L19" s="208">
        <v>0</v>
      </c>
      <c r="M19" s="208">
        <f t="shared" si="4"/>
        <v>0</v>
      </c>
      <c r="N19" s="205">
        <f t="shared" si="3"/>
        <v>0</v>
      </c>
      <c r="O19" s="53" t="s">
        <v>20</v>
      </c>
    </row>
    <row r="20" spans="1:15" x14ac:dyDescent="0.25">
      <c r="A20" s="257">
        <v>2.6</v>
      </c>
      <c r="B20" s="260" t="s">
        <v>441</v>
      </c>
      <c r="C20" s="208">
        <v>0</v>
      </c>
      <c r="D20" s="208">
        <v>0</v>
      </c>
      <c r="E20" s="208">
        <v>0</v>
      </c>
      <c r="F20" s="208">
        <v>0</v>
      </c>
      <c r="G20" s="208">
        <v>0</v>
      </c>
      <c r="H20" s="208">
        <v>0</v>
      </c>
      <c r="I20" s="208">
        <v>0</v>
      </c>
      <c r="J20" s="208">
        <v>0</v>
      </c>
      <c r="K20" s="208">
        <v>0</v>
      </c>
      <c r="L20" s="208">
        <v>0</v>
      </c>
      <c r="M20" s="208">
        <f t="shared" si="4"/>
        <v>0</v>
      </c>
      <c r="N20" s="205">
        <f t="shared" si="3"/>
        <v>0</v>
      </c>
      <c r="O20" s="53" t="s">
        <v>20</v>
      </c>
    </row>
    <row r="21" spans="1:15" x14ac:dyDescent="0.25">
      <c r="A21" s="261"/>
      <c r="B21" s="262" t="s">
        <v>239</v>
      </c>
      <c r="C21" s="25">
        <f t="shared" ref="C21:M21" si="5">SUM(C15:C20)</f>
        <v>0</v>
      </c>
      <c r="D21" s="25">
        <f t="shared" si="5"/>
        <v>0</v>
      </c>
      <c r="E21" s="25">
        <f t="shared" si="5"/>
        <v>0</v>
      </c>
      <c r="F21" s="25">
        <f t="shared" si="5"/>
        <v>0</v>
      </c>
      <c r="G21" s="25">
        <f t="shared" si="5"/>
        <v>0</v>
      </c>
      <c r="H21" s="25">
        <f t="shared" si="5"/>
        <v>0</v>
      </c>
      <c r="I21" s="25">
        <f t="shared" si="5"/>
        <v>0</v>
      </c>
      <c r="J21" s="25">
        <f t="shared" si="5"/>
        <v>0</v>
      </c>
      <c r="K21" s="25">
        <f t="shared" si="5"/>
        <v>0</v>
      </c>
      <c r="L21" s="25">
        <f t="shared" si="5"/>
        <v>0</v>
      </c>
      <c r="M21" s="25">
        <f t="shared" si="5"/>
        <v>0</v>
      </c>
      <c r="N21" s="26">
        <f>SUM(N15:N20)</f>
        <v>0</v>
      </c>
      <c r="O21" s="53" t="s">
        <v>20</v>
      </c>
    </row>
    <row r="22" spans="1:15" ht="41.4" x14ac:dyDescent="0.25">
      <c r="A22" s="253" t="s">
        <v>240</v>
      </c>
      <c r="B22" s="254" t="s">
        <v>241</v>
      </c>
      <c r="C22" s="255"/>
      <c r="D22" s="255"/>
      <c r="E22" s="255"/>
      <c r="F22" s="255"/>
      <c r="G22" s="255"/>
      <c r="H22" s="255"/>
      <c r="I22" s="255"/>
      <c r="J22" s="255"/>
      <c r="K22" s="255"/>
      <c r="L22" s="255"/>
      <c r="M22" s="255"/>
      <c r="N22" s="256"/>
      <c r="O22" s="53" t="s">
        <v>20</v>
      </c>
    </row>
    <row r="23" spans="1:15" ht="41.4" x14ac:dyDescent="0.25">
      <c r="A23" s="257">
        <v>3.1</v>
      </c>
      <c r="B23" s="258" t="s">
        <v>242</v>
      </c>
      <c r="C23" s="208">
        <v>0</v>
      </c>
      <c r="D23" s="208">
        <v>113000</v>
      </c>
      <c r="E23" s="208">
        <v>0</v>
      </c>
      <c r="F23" s="208">
        <v>113692</v>
      </c>
      <c r="G23" s="208">
        <v>0</v>
      </c>
      <c r="H23" s="208">
        <v>113000</v>
      </c>
      <c r="I23" s="208">
        <v>0</v>
      </c>
      <c r="J23" s="208">
        <f>7900+4500+2000+9000</f>
        <v>23400</v>
      </c>
      <c r="K23" s="208">
        <v>0</v>
      </c>
      <c r="L23" s="208">
        <v>-2000</v>
      </c>
      <c r="M23" s="208">
        <f t="shared" ref="M23:N26" si="6">G23+I23+K23</f>
        <v>0</v>
      </c>
      <c r="N23" s="205">
        <f>H23+J23+L23</f>
        <v>134400</v>
      </c>
      <c r="O23" s="53" t="s">
        <v>20</v>
      </c>
    </row>
    <row r="24" spans="1:15" ht="41.4" x14ac:dyDescent="0.25">
      <c r="A24" s="257">
        <v>3.2</v>
      </c>
      <c r="B24" s="258" t="s">
        <v>243</v>
      </c>
      <c r="C24" s="208">
        <v>0</v>
      </c>
      <c r="D24" s="208">
        <v>0</v>
      </c>
      <c r="E24" s="208">
        <v>0</v>
      </c>
      <c r="F24" s="208">
        <v>0</v>
      </c>
      <c r="G24" s="208">
        <v>0</v>
      </c>
      <c r="H24" s="208">
        <v>0</v>
      </c>
      <c r="I24" s="208">
        <v>0</v>
      </c>
      <c r="J24" s="208">
        <v>0</v>
      </c>
      <c r="K24" s="208">
        <v>0</v>
      </c>
      <c r="L24" s="208">
        <v>0</v>
      </c>
      <c r="M24" s="208">
        <f t="shared" si="6"/>
        <v>0</v>
      </c>
      <c r="N24" s="205">
        <f t="shared" si="6"/>
        <v>0</v>
      </c>
      <c r="O24" s="53" t="s">
        <v>20</v>
      </c>
    </row>
    <row r="25" spans="1:15" ht="41.4" x14ac:dyDescent="0.25">
      <c r="A25" s="257">
        <v>3.3</v>
      </c>
      <c r="B25" s="258" t="s">
        <v>244</v>
      </c>
      <c r="C25" s="208">
        <v>0</v>
      </c>
      <c r="D25" s="208">
        <v>0</v>
      </c>
      <c r="E25" s="208">
        <v>0</v>
      </c>
      <c r="F25" s="208">
        <v>0</v>
      </c>
      <c r="G25" s="208">
        <v>0</v>
      </c>
      <c r="H25" s="208">
        <v>0</v>
      </c>
      <c r="I25" s="208">
        <v>0</v>
      </c>
      <c r="J25" s="208">
        <v>0</v>
      </c>
      <c r="K25" s="208">
        <v>0</v>
      </c>
      <c r="L25" s="208">
        <v>0</v>
      </c>
      <c r="M25" s="208">
        <f t="shared" si="6"/>
        <v>0</v>
      </c>
      <c r="N25" s="205">
        <f t="shared" si="6"/>
        <v>0</v>
      </c>
      <c r="O25" s="53" t="s">
        <v>20</v>
      </c>
    </row>
    <row r="26" spans="1:15" ht="27.6" x14ac:dyDescent="0.25">
      <c r="A26" s="257">
        <v>3.4</v>
      </c>
      <c r="B26" s="258" t="s">
        <v>245</v>
      </c>
      <c r="C26" s="208">
        <v>0</v>
      </c>
      <c r="D26" s="208">
        <v>0</v>
      </c>
      <c r="E26" s="208">
        <v>0</v>
      </c>
      <c r="F26" s="208">
        <v>0</v>
      </c>
      <c r="G26" s="208">
        <v>0</v>
      </c>
      <c r="H26" s="208">
        <v>0</v>
      </c>
      <c r="I26" s="208">
        <v>0</v>
      </c>
      <c r="J26" s="208">
        <v>0</v>
      </c>
      <c r="K26" s="208">
        <v>0</v>
      </c>
      <c r="L26" s="208">
        <v>0</v>
      </c>
      <c r="M26" s="208">
        <f t="shared" si="6"/>
        <v>0</v>
      </c>
      <c r="N26" s="205">
        <f t="shared" si="6"/>
        <v>0</v>
      </c>
      <c r="O26" s="53" t="s">
        <v>20</v>
      </c>
    </row>
    <row r="27" spans="1:15" x14ac:dyDescent="0.25">
      <c r="A27" s="261"/>
      <c r="B27" s="263" t="s">
        <v>246</v>
      </c>
      <c r="C27" s="25">
        <f>SUM(C23:C26)</f>
        <v>0</v>
      </c>
      <c r="D27" s="25">
        <f t="shared" ref="D27:N27" si="7">SUM(D23:D26)</f>
        <v>113000</v>
      </c>
      <c r="E27" s="25">
        <f t="shared" si="7"/>
        <v>0</v>
      </c>
      <c r="F27" s="25">
        <f t="shared" si="7"/>
        <v>113692</v>
      </c>
      <c r="G27" s="25">
        <f t="shared" si="7"/>
        <v>0</v>
      </c>
      <c r="H27" s="25">
        <f t="shared" si="7"/>
        <v>113000</v>
      </c>
      <c r="I27" s="25">
        <f t="shared" si="7"/>
        <v>0</v>
      </c>
      <c r="J27" s="25">
        <f t="shared" si="7"/>
        <v>23400</v>
      </c>
      <c r="K27" s="25">
        <f t="shared" si="7"/>
        <v>0</v>
      </c>
      <c r="L27" s="25">
        <f t="shared" si="7"/>
        <v>-2000</v>
      </c>
      <c r="M27" s="25">
        <f t="shared" si="7"/>
        <v>0</v>
      </c>
      <c r="N27" s="26">
        <f t="shared" si="7"/>
        <v>134400</v>
      </c>
      <c r="O27" s="53" t="s">
        <v>20</v>
      </c>
    </row>
    <row r="28" spans="1:15" ht="14.4" thickBot="1" x14ac:dyDescent="0.3">
      <c r="A28" s="264"/>
      <c r="B28" s="265" t="s">
        <v>247</v>
      </c>
      <c r="C28" s="244">
        <f>C27+C21+C13</f>
        <v>0</v>
      </c>
      <c r="D28" s="244">
        <f t="shared" ref="D28:N28" si="8">D27+D21+D13</f>
        <v>113000</v>
      </c>
      <c r="E28" s="244">
        <f t="shared" si="8"/>
        <v>0</v>
      </c>
      <c r="F28" s="244">
        <f t="shared" si="8"/>
        <v>113692</v>
      </c>
      <c r="G28" s="244">
        <f t="shared" si="8"/>
        <v>0</v>
      </c>
      <c r="H28" s="244">
        <f t="shared" si="8"/>
        <v>113000</v>
      </c>
      <c r="I28" s="244">
        <f t="shared" si="8"/>
        <v>0</v>
      </c>
      <c r="J28" s="244">
        <f t="shared" si="8"/>
        <v>23400</v>
      </c>
      <c r="K28" s="244">
        <f t="shared" si="8"/>
        <v>0</v>
      </c>
      <c r="L28" s="244">
        <f t="shared" si="8"/>
        <v>-2000</v>
      </c>
      <c r="M28" s="244">
        <f t="shared" si="8"/>
        <v>0</v>
      </c>
      <c r="N28" s="266">
        <f t="shared" si="8"/>
        <v>134400</v>
      </c>
      <c r="O28" s="53" t="s">
        <v>20</v>
      </c>
    </row>
    <row r="29" spans="1:15" x14ac:dyDescent="0.25">
      <c r="O29" s="53" t="s">
        <v>20</v>
      </c>
    </row>
    <row r="30" spans="1:15" x14ac:dyDescent="0.25">
      <c r="A30" s="718" t="s">
        <v>248</v>
      </c>
      <c r="B30" s="718"/>
      <c r="C30" s="718"/>
      <c r="D30" s="718"/>
      <c r="E30" s="718"/>
      <c r="F30" s="718"/>
      <c r="G30" s="718"/>
      <c r="H30" s="718"/>
      <c r="I30" s="718"/>
      <c r="J30" s="718"/>
      <c r="K30" s="718"/>
      <c r="L30" s="718"/>
      <c r="M30" s="718"/>
      <c r="N30" s="718"/>
      <c r="O30" s="53" t="s">
        <v>20</v>
      </c>
    </row>
    <row r="31" spans="1:15" x14ac:dyDescent="0.25">
      <c r="A31" s="267"/>
      <c r="B31" s="267"/>
      <c r="C31" s="267"/>
      <c r="D31" s="267"/>
      <c r="E31" s="267"/>
      <c r="F31" s="267"/>
      <c r="G31" s="267"/>
      <c r="H31" s="267"/>
      <c r="I31" s="267"/>
      <c r="J31" s="267"/>
      <c r="K31" s="267"/>
      <c r="L31" s="267"/>
      <c r="M31" s="267"/>
      <c r="N31" s="267"/>
      <c r="O31" s="53" t="s">
        <v>20</v>
      </c>
    </row>
    <row r="32" spans="1:15" x14ac:dyDescent="0.25">
      <c r="A32" s="178" t="s">
        <v>249</v>
      </c>
      <c r="O32" s="53" t="s">
        <v>20</v>
      </c>
    </row>
    <row r="33" spans="15:15" x14ac:dyDescent="0.25">
      <c r="O33" s="53" t="s">
        <v>20</v>
      </c>
    </row>
    <row r="34" spans="15:15" x14ac:dyDescent="0.25">
      <c r="O34" s="53" t="s">
        <v>21</v>
      </c>
    </row>
  </sheetData>
  <customSheetViews>
    <customSheetView guid="{5B2D5037-506A-47D5-AF28-C337BC9133BD}" scale="80" showPageBreaks="1" printArea="1" view="pageBreakPreview" topLeftCell="A4">
      <selection activeCell="J24" sqref="J24"/>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customSheetView>
    <customSheetView guid="{08380F1E-0CB7-4B3B-924E-2A270EA8DD30}" scale="80" showPageBreaks="1" printArea="1" view="pageBreakPreview" topLeftCell="A4">
      <selection activeCell="J24" sqref="J24"/>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customSheetView>
    <customSheetView guid="{D19943A8-2C2A-430A-A724-8C7C332697C8}" scale="80" showPageBreaks="1" printArea="1" view="pageBreakPreview" topLeftCell="A4">
      <selection activeCell="J24" sqref="J24"/>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customSheetView>
    <customSheetView guid="{C6D68C6D-939C-4DFA-9385-A3F05DFB5EDA}" scale="80" showPageBreaks="1" printArea="1" view="pageBreakPreview" topLeftCell="A4">
      <selection activeCell="J24" sqref="J24"/>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customSheetView>
  </customSheetViews>
  <mergeCells count="14">
    <mergeCell ref="M7:N7"/>
    <mergeCell ref="A30:N30"/>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5"/>
  <headerFooter>
    <oddHeader>&amp;L&amp;"Arial,Bold"&amp;12D. Resources by DOJ Strategic Goal and Strategic Objective</oddHeader>
    <oddFooter>&amp;C&amp;"Arial,Regular"Exhibit D - Resources by DOJ Strategic Goal and Strategic Objective&amp;R&amp;"Arial,Regular"Research, Evaluation, and Statistics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view="pageBreakPreview" topLeftCell="A4" zoomScale="80" zoomScaleNormal="100" zoomScaleSheetLayoutView="80" workbookViewId="0">
      <selection activeCell="A40" sqref="A40"/>
    </sheetView>
  </sheetViews>
  <sheetFormatPr defaultColWidth="9.109375" defaultRowHeight="13.8" x14ac:dyDescent="0.25"/>
  <cols>
    <col min="1" max="1" width="37.109375" style="178" customWidth="1"/>
    <col min="2" max="3" width="8.33203125" style="178" customWidth="1"/>
    <col min="4" max="4" width="12.6640625" style="178" customWidth="1"/>
    <col min="5" max="5" width="7.109375" style="178" customWidth="1"/>
    <col min="6" max="6" width="8.6640625" style="178" customWidth="1"/>
    <col min="7" max="7" width="12.6640625" style="178" customWidth="1"/>
    <col min="8" max="9" width="8.33203125" style="178" customWidth="1"/>
    <col min="10" max="12" width="12.6640625" style="178" customWidth="1"/>
    <col min="13" max="14" width="8.33203125" style="178" customWidth="1"/>
    <col min="15" max="15" width="12.6640625" style="178" customWidth="1"/>
    <col min="16" max="16" width="14" style="7" bestFit="1" customWidth="1"/>
    <col min="17" max="17" width="4.5546875" style="178" customWidth="1"/>
    <col min="18" max="19" width="8.33203125" style="178" customWidth="1"/>
    <col min="20" max="20" width="12.6640625" style="178" customWidth="1"/>
    <col min="21" max="22" width="8.33203125" style="178" customWidth="1"/>
    <col min="23" max="23" width="12.6640625" style="178" customWidth="1"/>
    <col min="24" max="16384" width="9.109375" style="178"/>
  </cols>
  <sheetData>
    <row r="1" spans="1:23" ht="18" x14ac:dyDescent="0.25">
      <c r="A1" s="633" t="s">
        <v>39</v>
      </c>
      <c r="B1" s="633"/>
      <c r="C1" s="633"/>
      <c r="D1" s="633"/>
      <c r="E1" s="633"/>
      <c r="F1" s="633"/>
      <c r="G1" s="633"/>
      <c r="H1" s="633"/>
      <c r="I1" s="633"/>
      <c r="J1" s="633"/>
      <c r="K1" s="633"/>
      <c r="L1" s="633"/>
      <c r="M1" s="633"/>
      <c r="N1" s="633"/>
      <c r="O1" s="633"/>
      <c r="P1" s="53" t="s">
        <v>20</v>
      </c>
      <c r="Q1" s="9"/>
      <c r="R1" s="9"/>
      <c r="S1" s="9"/>
      <c r="T1" s="9"/>
      <c r="U1" s="9"/>
      <c r="V1" s="9"/>
      <c r="W1" s="9"/>
    </row>
    <row r="2" spans="1:23" ht="15" x14ac:dyDescent="0.2">
      <c r="A2" s="634" t="str">
        <f>'[1]B. Summ of Req. - RES'!A2:D2</f>
        <v>Office of Justice Programs</v>
      </c>
      <c r="B2" s="634"/>
      <c r="C2" s="634"/>
      <c r="D2" s="634"/>
      <c r="E2" s="634"/>
      <c r="F2" s="634"/>
      <c r="G2" s="634"/>
      <c r="H2" s="634"/>
      <c r="I2" s="634"/>
      <c r="J2" s="634"/>
      <c r="K2" s="634"/>
      <c r="L2" s="634"/>
      <c r="M2" s="634"/>
      <c r="N2" s="634"/>
      <c r="O2" s="634"/>
      <c r="P2" s="53" t="s">
        <v>20</v>
      </c>
      <c r="Q2" s="10"/>
      <c r="R2" s="10"/>
      <c r="S2" s="10"/>
      <c r="T2" s="10"/>
      <c r="U2" s="10"/>
      <c r="V2" s="10"/>
      <c r="W2" s="10"/>
    </row>
    <row r="3" spans="1:23" ht="14.25" x14ac:dyDescent="0.2">
      <c r="A3" s="635" t="str">
        <f>'[1]B. Summ of Req. - RES'!A3:D3</f>
        <v>Research, Evaluation, and Statistics</v>
      </c>
      <c r="B3" s="635"/>
      <c r="C3" s="635"/>
      <c r="D3" s="635"/>
      <c r="E3" s="635"/>
      <c r="F3" s="635"/>
      <c r="G3" s="635"/>
      <c r="H3" s="635"/>
      <c r="I3" s="635"/>
      <c r="J3" s="635"/>
      <c r="K3" s="635"/>
      <c r="L3" s="635"/>
      <c r="M3" s="635"/>
      <c r="N3" s="635"/>
      <c r="O3" s="635"/>
      <c r="P3" s="53" t="s">
        <v>20</v>
      </c>
      <c r="Q3" s="221"/>
      <c r="R3" s="221"/>
      <c r="S3" s="221"/>
      <c r="T3" s="221"/>
      <c r="U3" s="221"/>
      <c r="V3" s="221"/>
      <c r="W3" s="221"/>
    </row>
    <row r="4" spans="1:23" ht="14.25" x14ac:dyDescent="0.2">
      <c r="A4" s="637" t="s">
        <v>1</v>
      </c>
      <c r="B4" s="637"/>
      <c r="C4" s="637"/>
      <c r="D4" s="637"/>
      <c r="E4" s="637"/>
      <c r="F4" s="637"/>
      <c r="G4" s="637"/>
      <c r="H4" s="637"/>
      <c r="I4" s="637"/>
      <c r="J4" s="637"/>
      <c r="K4" s="637"/>
      <c r="L4" s="637"/>
      <c r="M4" s="637"/>
      <c r="N4" s="637"/>
      <c r="O4" s="637"/>
      <c r="P4" s="53" t="s">
        <v>20</v>
      </c>
      <c r="Q4" s="11"/>
      <c r="R4" s="11"/>
      <c r="S4" s="11"/>
      <c r="T4" s="11"/>
      <c r="U4" s="11"/>
      <c r="V4" s="11"/>
      <c r="W4" s="11"/>
    </row>
    <row r="5" spans="1:23" ht="14.25" x14ac:dyDescent="0.2">
      <c r="A5" s="11"/>
      <c r="B5" s="11"/>
      <c r="C5" s="11"/>
      <c r="D5" s="11"/>
      <c r="E5" s="11"/>
      <c r="F5" s="11"/>
      <c r="G5" s="11"/>
      <c r="H5" s="11"/>
      <c r="I5" s="11"/>
      <c r="J5" s="11"/>
      <c r="K5" s="11"/>
      <c r="L5" s="11"/>
      <c r="M5" s="11"/>
      <c r="N5" s="11"/>
      <c r="O5" s="11"/>
      <c r="P5" s="53" t="s">
        <v>20</v>
      </c>
      <c r="Q5" s="11"/>
      <c r="R5" s="11"/>
      <c r="S5" s="11"/>
      <c r="T5" s="11"/>
      <c r="U5" s="11"/>
      <c r="V5" s="11"/>
      <c r="W5" s="11"/>
    </row>
    <row r="6" spans="1:23" ht="15" thickBot="1" x14ac:dyDescent="0.25">
      <c r="A6" s="52"/>
      <c r="B6" s="52"/>
      <c r="C6" s="52"/>
      <c r="D6" s="52"/>
      <c r="E6" s="52"/>
      <c r="F6" s="52"/>
      <c r="G6" s="52"/>
      <c r="H6" s="52"/>
      <c r="I6" s="52"/>
      <c r="J6" s="52"/>
      <c r="K6" s="52"/>
      <c r="L6" s="52"/>
      <c r="M6" s="52"/>
      <c r="N6" s="52"/>
      <c r="O6" s="52"/>
      <c r="P6" s="53" t="s">
        <v>20</v>
      </c>
      <c r="Q6" s="11"/>
      <c r="R6" s="11"/>
      <c r="S6" s="11"/>
      <c r="T6" s="11"/>
      <c r="U6" s="11"/>
      <c r="V6" s="11"/>
      <c r="W6" s="11"/>
    </row>
    <row r="7" spans="1:23" ht="33.75" customHeight="1" x14ac:dyDescent="0.25">
      <c r="A7" s="638" t="s">
        <v>134</v>
      </c>
      <c r="B7" s="641" t="s">
        <v>159</v>
      </c>
      <c r="C7" s="641"/>
      <c r="D7" s="641"/>
      <c r="E7" s="641" t="s">
        <v>130</v>
      </c>
      <c r="F7" s="670"/>
      <c r="G7" s="671"/>
      <c r="H7" s="641" t="s">
        <v>40</v>
      </c>
      <c r="I7" s="641"/>
      <c r="J7" s="641"/>
      <c r="K7" s="192" t="s">
        <v>41</v>
      </c>
      <c r="L7" s="192" t="s">
        <v>139</v>
      </c>
      <c r="M7" s="641" t="s">
        <v>45</v>
      </c>
      <c r="N7" s="641"/>
      <c r="O7" s="642"/>
      <c r="P7" s="53" t="s">
        <v>20</v>
      </c>
    </row>
    <row r="8" spans="1:23" ht="27.6" x14ac:dyDescent="0.25">
      <c r="A8" s="639"/>
      <c r="B8" s="222" t="s">
        <v>3</v>
      </c>
      <c r="C8" s="222" t="s">
        <v>128</v>
      </c>
      <c r="D8" s="222" t="s">
        <v>4</v>
      </c>
      <c r="E8" s="222" t="s">
        <v>3</v>
      </c>
      <c r="F8" s="222" t="s">
        <v>128</v>
      </c>
      <c r="G8" s="222" t="s">
        <v>4</v>
      </c>
      <c r="H8" s="222" t="s">
        <v>3</v>
      </c>
      <c r="I8" s="222" t="s">
        <v>128</v>
      </c>
      <c r="J8" s="222" t="s">
        <v>4</v>
      </c>
      <c r="K8" s="222" t="s">
        <v>4</v>
      </c>
      <c r="L8" s="222" t="s">
        <v>4</v>
      </c>
      <c r="M8" s="222" t="s">
        <v>3</v>
      </c>
      <c r="N8" s="222" t="s">
        <v>128</v>
      </c>
      <c r="O8" s="223" t="s">
        <v>4</v>
      </c>
      <c r="P8" s="53" t="s">
        <v>20</v>
      </c>
    </row>
    <row r="9" spans="1:23" ht="13.95" x14ac:dyDescent="0.25">
      <c r="A9" s="224" t="s">
        <v>197</v>
      </c>
      <c r="B9" s="225">
        <v>0</v>
      </c>
      <c r="C9" s="225">
        <v>0</v>
      </c>
      <c r="D9" s="225">
        <v>45000</v>
      </c>
      <c r="E9" s="225">
        <v>0</v>
      </c>
      <c r="F9" s="225">
        <v>0</v>
      </c>
      <c r="G9" s="225">
        <v>0</v>
      </c>
      <c r="H9" s="225">
        <v>0</v>
      </c>
      <c r="I9" s="225">
        <v>0</v>
      </c>
      <c r="J9" s="225">
        <f>-650+13530</f>
        <v>12880</v>
      </c>
      <c r="K9" s="225">
        <v>0</v>
      </c>
      <c r="L9" s="225">
        <f>654.49645+1.11233</f>
        <v>655.60878000000002</v>
      </c>
      <c r="M9" s="225">
        <f t="shared" ref="M9:N21" si="0">B9+H9</f>
        <v>0</v>
      </c>
      <c r="N9" s="225">
        <f t="shared" si="0"/>
        <v>0</v>
      </c>
      <c r="O9" s="226">
        <f t="shared" ref="O9:O21" si="1">D9+J9+K9+L9+G9</f>
        <v>58535.608780000002</v>
      </c>
      <c r="P9" s="53" t="s">
        <v>20</v>
      </c>
    </row>
    <row r="10" spans="1:23" ht="28.2" x14ac:dyDescent="0.3">
      <c r="A10" s="268" t="s">
        <v>208</v>
      </c>
      <c r="B10" s="208">
        <v>0</v>
      </c>
      <c r="C10" s="208">
        <v>0</v>
      </c>
      <c r="D10" s="169">
        <v>26000</v>
      </c>
      <c r="E10" s="208">
        <v>0</v>
      </c>
      <c r="F10" s="208">
        <v>0</v>
      </c>
      <c r="G10" s="208">
        <v>0</v>
      </c>
      <c r="H10" s="208">
        <v>0</v>
      </c>
      <c r="I10" s="208">
        <v>0</v>
      </c>
      <c r="J10" s="208">
        <v>0</v>
      </c>
      <c r="K10" s="208">
        <v>0</v>
      </c>
      <c r="L10" s="208">
        <v>0</v>
      </c>
      <c r="M10" s="208">
        <f t="shared" si="0"/>
        <v>0</v>
      </c>
      <c r="N10" s="208">
        <f t="shared" si="0"/>
        <v>0</v>
      </c>
      <c r="O10" s="170">
        <f t="shared" si="1"/>
        <v>26000</v>
      </c>
      <c r="P10" s="53" t="s">
        <v>20</v>
      </c>
    </row>
    <row r="11" spans="1:23" ht="14.4" x14ac:dyDescent="0.3">
      <c r="A11" s="268" t="s">
        <v>209</v>
      </c>
      <c r="B11" s="208">
        <v>0</v>
      </c>
      <c r="C11" s="208">
        <v>0</v>
      </c>
      <c r="D11" s="169">
        <v>10000</v>
      </c>
      <c r="E11" s="208">
        <v>0</v>
      </c>
      <c r="F11" s="208">
        <v>0</v>
      </c>
      <c r="G11" s="208">
        <v>0</v>
      </c>
      <c r="H11" s="208">
        <v>0</v>
      </c>
      <c r="I11" s="208">
        <v>0</v>
      </c>
      <c r="J11" s="208">
        <v>0</v>
      </c>
      <c r="K11" s="208">
        <v>0</v>
      </c>
      <c r="L11" s="208">
        <v>0</v>
      </c>
      <c r="M11" s="208">
        <f t="shared" si="0"/>
        <v>0</v>
      </c>
      <c r="N11" s="208">
        <f t="shared" si="0"/>
        <v>0</v>
      </c>
      <c r="O11" s="170">
        <f t="shared" si="1"/>
        <v>10000</v>
      </c>
      <c r="P11" s="53" t="s">
        <v>20</v>
      </c>
    </row>
    <row r="12" spans="1:23" ht="42" x14ac:dyDescent="0.3">
      <c r="A12" s="268" t="s">
        <v>210</v>
      </c>
      <c r="B12" s="208">
        <v>0</v>
      </c>
      <c r="C12" s="208">
        <v>0</v>
      </c>
      <c r="D12" s="169">
        <v>500</v>
      </c>
      <c r="E12" s="208">
        <v>0</v>
      </c>
      <c r="F12" s="208">
        <v>0</v>
      </c>
      <c r="G12" s="208">
        <v>0</v>
      </c>
      <c r="H12" s="208">
        <v>0</v>
      </c>
      <c r="I12" s="208">
        <v>0</v>
      </c>
      <c r="J12" s="208">
        <v>0</v>
      </c>
      <c r="K12" s="208">
        <v>0</v>
      </c>
      <c r="L12" s="208">
        <v>0</v>
      </c>
      <c r="M12" s="208">
        <f t="shared" si="0"/>
        <v>0</v>
      </c>
      <c r="N12" s="208">
        <f t="shared" si="0"/>
        <v>0</v>
      </c>
      <c r="O12" s="170">
        <f t="shared" si="1"/>
        <v>500</v>
      </c>
      <c r="P12" s="53" t="s">
        <v>20</v>
      </c>
    </row>
    <row r="13" spans="1:23" ht="27.6" x14ac:dyDescent="0.25">
      <c r="A13" s="228" t="s">
        <v>211</v>
      </c>
      <c r="B13" s="208">
        <v>0</v>
      </c>
      <c r="C13" s="208">
        <v>0</v>
      </c>
      <c r="D13" s="208">
        <v>27000</v>
      </c>
      <c r="E13" s="208">
        <v>0</v>
      </c>
      <c r="F13" s="208">
        <v>0</v>
      </c>
      <c r="G13" s="208">
        <v>0</v>
      </c>
      <c r="H13" s="208">
        <v>0</v>
      </c>
      <c r="I13" s="208">
        <v>0</v>
      </c>
      <c r="J13" s="208">
        <v>-540</v>
      </c>
      <c r="K13" s="208">
        <v>0</v>
      </c>
      <c r="L13" s="208">
        <v>0</v>
      </c>
      <c r="M13" s="208">
        <f t="shared" si="0"/>
        <v>0</v>
      </c>
      <c r="N13" s="208">
        <f t="shared" si="0"/>
        <v>0</v>
      </c>
      <c r="O13" s="205">
        <f t="shared" si="1"/>
        <v>26460</v>
      </c>
      <c r="P13" s="53" t="s">
        <v>20</v>
      </c>
    </row>
    <row r="14" spans="1:23" ht="27.6" x14ac:dyDescent="0.25">
      <c r="A14" s="228" t="s">
        <v>198</v>
      </c>
      <c r="B14" s="208">
        <v>0</v>
      </c>
      <c r="C14" s="208">
        <v>0</v>
      </c>
      <c r="D14" s="208">
        <v>40000</v>
      </c>
      <c r="E14" s="208">
        <v>0</v>
      </c>
      <c r="F14" s="208">
        <v>0</v>
      </c>
      <c r="G14" s="208">
        <v>-2465.5790699999998</v>
      </c>
      <c r="H14" s="208">
        <v>0</v>
      </c>
      <c r="I14" s="208">
        <v>0</v>
      </c>
      <c r="J14" s="208">
        <f>-650+13530-5000</f>
        <v>7880</v>
      </c>
      <c r="K14" s="208">
        <v>264</v>
      </c>
      <c r="L14" s="208">
        <f>1519.16509+0.027</f>
        <v>1519.19209</v>
      </c>
      <c r="M14" s="208">
        <f t="shared" si="0"/>
        <v>0</v>
      </c>
      <c r="N14" s="208">
        <f t="shared" si="0"/>
        <v>0</v>
      </c>
      <c r="O14" s="205">
        <f t="shared" si="1"/>
        <v>47197.613019999997</v>
      </c>
      <c r="P14" s="53" t="s">
        <v>20</v>
      </c>
    </row>
    <row r="15" spans="1:23" ht="14.4" x14ac:dyDescent="0.3">
      <c r="A15" s="268" t="s">
        <v>212</v>
      </c>
      <c r="B15" s="208">
        <v>0</v>
      </c>
      <c r="C15" s="208">
        <v>0</v>
      </c>
      <c r="D15" s="169">
        <v>5000</v>
      </c>
      <c r="E15" s="169">
        <v>0</v>
      </c>
      <c r="F15" s="169">
        <v>0</v>
      </c>
      <c r="G15" s="169">
        <v>0</v>
      </c>
      <c r="H15" s="169">
        <v>0</v>
      </c>
      <c r="I15" s="169">
        <v>0</v>
      </c>
      <c r="J15" s="169">
        <v>-5000</v>
      </c>
      <c r="K15" s="169">
        <v>0</v>
      </c>
      <c r="L15" s="169">
        <v>0</v>
      </c>
      <c r="M15" s="169">
        <f t="shared" si="0"/>
        <v>0</v>
      </c>
      <c r="N15" s="169">
        <f t="shared" si="0"/>
        <v>0</v>
      </c>
      <c r="O15" s="170">
        <f t="shared" si="1"/>
        <v>0</v>
      </c>
      <c r="P15" s="53" t="s">
        <v>20</v>
      </c>
    </row>
    <row r="16" spans="1:23" ht="41.4" x14ac:dyDescent="0.25">
      <c r="A16" s="228" t="s">
        <v>199</v>
      </c>
      <c r="B16" s="208">
        <v>0</v>
      </c>
      <c r="C16" s="208">
        <v>0</v>
      </c>
      <c r="D16" s="208">
        <v>1000</v>
      </c>
      <c r="E16" s="208">
        <v>0</v>
      </c>
      <c r="F16" s="208">
        <v>0</v>
      </c>
      <c r="G16" s="208">
        <v>0</v>
      </c>
      <c r="H16" s="208">
        <v>0</v>
      </c>
      <c r="I16" s="208">
        <v>0</v>
      </c>
      <c r="J16" s="208">
        <v>-20</v>
      </c>
      <c r="K16" s="208">
        <v>0</v>
      </c>
      <c r="L16" s="208">
        <v>0</v>
      </c>
      <c r="M16" s="208">
        <f t="shared" si="0"/>
        <v>0</v>
      </c>
      <c r="N16" s="208">
        <f t="shared" si="0"/>
        <v>0</v>
      </c>
      <c r="O16" s="205">
        <f t="shared" si="1"/>
        <v>980</v>
      </c>
      <c r="P16" s="53" t="s">
        <v>20</v>
      </c>
    </row>
    <row r="17" spans="1:16" x14ac:dyDescent="0.25">
      <c r="A17" s="228" t="s">
        <v>250</v>
      </c>
      <c r="B17" s="208">
        <v>0</v>
      </c>
      <c r="C17" s="208">
        <v>0</v>
      </c>
      <c r="D17" s="208">
        <v>0</v>
      </c>
      <c r="E17" s="208">
        <v>0</v>
      </c>
      <c r="F17" s="208">
        <v>0</v>
      </c>
      <c r="G17" s="208">
        <v>-1706.4633100000001</v>
      </c>
      <c r="H17" s="208">
        <v>0</v>
      </c>
      <c r="I17" s="208">
        <v>0</v>
      </c>
      <c r="J17" s="208">
        <v>0</v>
      </c>
      <c r="K17" s="208">
        <v>0</v>
      </c>
      <c r="L17" s="208">
        <f>1594.05143+11.6115</f>
        <v>1605.66293</v>
      </c>
      <c r="M17" s="208">
        <f t="shared" si="0"/>
        <v>0</v>
      </c>
      <c r="N17" s="208">
        <f t="shared" si="0"/>
        <v>0</v>
      </c>
      <c r="O17" s="205">
        <f t="shared" si="1"/>
        <v>-100.80038000000013</v>
      </c>
      <c r="P17" s="53" t="s">
        <v>20</v>
      </c>
    </row>
    <row r="18" spans="1:16" ht="27.6" x14ac:dyDescent="0.25">
      <c r="A18" s="228" t="s">
        <v>251</v>
      </c>
      <c r="B18" s="208">
        <v>0</v>
      </c>
      <c r="C18" s="208">
        <v>0</v>
      </c>
      <c r="D18" s="208">
        <v>0</v>
      </c>
      <c r="E18" s="208">
        <v>0</v>
      </c>
      <c r="F18" s="208">
        <v>0</v>
      </c>
      <c r="G18" s="208">
        <v>-119.71558</v>
      </c>
      <c r="H18" s="208">
        <v>0</v>
      </c>
      <c r="I18" s="208">
        <v>0</v>
      </c>
      <c r="J18" s="208">
        <v>0</v>
      </c>
      <c r="K18" s="208">
        <v>0</v>
      </c>
      <c r="L18" s="208">
        <v>0</v>
      </c>
      <c r="M18" s="208">
        <f t="shared" si="0"/>
        <v>0</v>
      </c>
      <c r="N18" s="208">
        <f t="shared" si="0"/>
        <v>0</v>
      </c>
      <c r="O18" s="205">
        <f t="shared" si="1"/>
        <v>-119.71558</v>
      </c>
      <c r="P18" s="53" t="s">
        <v>20</v>
      </c>
    </row>
    <row r="19" spans="1:16" x14ac:dyDescent="0.25">
      <c r="A19" s="228" t="s">
        <v>252</v>
      </c>
      <c r="B19" s="208">
        <v>0</v>
      </c>
      <c r="C19" s="208">
        <v>0</v>
      </c>
      <c r="D19" s="208">
        <v>0</v>
      </c>
      <c r="E19" s="208">
        <v>0</v>
      </c>
      <c r="F19" s="208">
        <v>0</v>
      </c>
      <c r="G19" s="208">
        <v>0</v>
      </c>
      <c r="H19" s="208">
        <v>0</v>
      </c>
      <c r="I19" s="208">
        <v>0</v>
      </c>
      <c r="J19" s="208">
        <v>0</v>
      </c>
      <c r="K19" s="208">
        <v>0</v>
      </c>
      <c r="L19" s="208">
        <v>156.90124</v>
      </c>
      <c r="M19" s="208">
        <f t="shared" si="0"/>
        <v>0</v>
      </c>
      <c r="N19" s="208">
        <f t="shared" si="0"/>
        <v>0</v>
      </c>
      <c r="O19" s="205">
        <f t="shared" si="1"/>
        <v>156.90124</v>
      </c>
      <c r="P19" s="53" t="s">
        <v>20</v>
      </c>
    </row>
    <row r="20" spans="1:16" x14ac:dyDescent="0.25">
      <c r="A20" s="228" t="s">
        <v>253</v>
      </c>
      <c r="B20" s="208">
        <v>0</v>
      </c>
      <c r="C20" s="208">
        <v>0</v>
      </c>
      <c r="D20" s="208">
        <v>0</v>
      </c>
      <c r="E20" s="208">
        <v>0</v>
      </c>
      <c r="F20" s="208">
        <v>0</v>
      </c>
      <c r="G20" s="208">
        <v>0</v>
      </c>
      <c r="H20" s="208">
        <v>0</v>
      </c>
      <c r="I20" s="208">
        <v>0</v>
      </c>
      <c r="J20" s="208">
        <v>0</v>
      </c>
      <c r="K20" s="208">
        <v>0</v>
      </c>
      <c r="L20" s="208">
        <f>266.31125+0.63311</f>
        <v>266.94435999999996</v>
      </c>
      <c r="M20" s="208">
        <f t="shared" si="0"/>
        <v>0</v>
      </c>
      <c r="N20" s="208">
        <f t="shared" si="0"/>
        <v>0</v>
      </c>
      <c r="O20" s="205">
        <f t="shared" si="1"/>
        <v>266.94435999999996</v>
      </c>
      <c r="P20" s="53" t="s">
        <v>20</v>
      </c>
    </row>
    <row r="21" spans="1:16" x14ac:dyDescent="0.25">
      <c r="A21" s="229" t="s">
        <v>254</v>
      </c>
      <c r="B21" s="230">
        <v>0</v>
      </c>
      <c r="C21" s="230">
        <v>0</v>
      </c>
      <c r="D21" s="230">
        <v>0</v>
      </c>
      <c r="E21" s="230">
        <v>0</v>
      </c>
      <c r="F21" s="230">
        <v>0</v>
      </c>
      <c r="G21" s="230">
        <f>-28-2.83672-28.84182-25.39172-11.81816-14.14846-0.26893-10.47476</f>
        <v>-121.78057</v>
      </c>
      <c r="H21" s="230">
        <v>0</v>
      </c>
      <c r="I21" s="230">
        <v>0</v>
      </c>
      <c r="J21" s="230">
        <v>0</v>
      </c>
      <c r="K21" s="230">
        <v>0</v>
      </c>
      <c r="L21" s="230">
        <f>28+28.84182+25.39172+11.81816+14.14846+10.47476</f>
        <v>118.67492000000001</v>
      </c>
      <c r="M21" s="230">
        <f t="shared" si="0"/>
        <v>0</v>
      </c>
      <c r="N21" s="230">
        <f t="shared" si="0"/>
        <v>0</v>
      </c>
      <c r="O21" s="231">
        <f t="shared" si="1"/>
        <v>-3.1056499999999829</v>
      </c>
      <c r="P21" s="53" t="s">
        <v>20</v>
      </c>
    </row>
    <row r="22" spans="1:16" x14ac:dyDescent="0.25">
      <c r="A22" s="16" t="s">
        <v>131</v>
      </c>
      <c r="B22" s="143">
        <f>SUM(B9:B21)</f>
        <v>0</v>
      </c>
      <c r="C22" s="143">
        <f>SUM(C9:C21)</f>
        <v>0</v>
      </c>
      <c r="D22" s="143">
        <f>D9+D13+D14+D16</f>
        <v>113000</v>
      </c>
      <c r="E22" s="143">
        <f t="shared" ref="E22:N22" si="2">SUM(E9:E21)</f>
        <v>0</v>
      </c>
      <c r="F22" s="143">
        <f t="shared" si="2"/>
        <v>0</v>
      </c>
      <c r="G22" s="143">
        <f t="shared" si="2"/>
        <v>-4413.5385299999998</v>
      </c>
      <c r="H22" s="143">
        <f t="shared" si="2"/>
        <v>0</v>
      </c>
      <c r="I22" s="143">
        <f t="shared" si="2"/>
        <v>0</v>
      </c>
      <c r="J22" s="143">
        <f>SUM(J9:J21)-J15</f>
        <v>20200</v>
      </c>
      <c r="K22" s="143">
        <f t="shared" si="2"/>
        <v>264</v>
      </c>
      <c r="L22" s="143">
        <f t="shared" si="2"/>
        <v>4322.9843200000005</v>
      </c>
      <c r="M22" s="143">
        <f t="shared" si="2"/>
        <v>0</v>
      </c>
      <c r="N22" s="143">
        <f t="shared" si="2"/>
        <v>0</v>
      </c>
      <c r="O22" s="144">
        <f>SUM(O9:O21)-O10-O11-O12</f>
        <v>133373.44579</v>
      </c>
      <c r="P22" s="53" t="s">
        <v>20</v>
      </c>
    </row>
    <row r="23" spans="1:16" x14ac:dyDescent="0.25">
      <c r="A23" s="198" t="s">
        <v>26</v>
      </c>
      <c r="B23" s="234"/>
      <c r="C23" s="234">
        <v>0</v>
      </c>
      <c r="D23" s="234"/>
      <c r="E23" s="234"/>
      <c r="F23" s="234">
        <v>0</v>
      </c>
      <c r="G23" s="234"/>
      <c r="H23" s="234"/>
      <c r="I23" s="234">
        <v>0</v>
      </c>
      <c r="J23" s="234"/>
      <c r="K23" s="234"/>
      <c r="L23" s="234"/>
      <c r="M23" s="234"/>
      <c r="N23" s="234">
        <f>C23+I23+F23</f>
        <v>0</v>
      </c>
      <c r="O23" s="235"/>
      <c r="P23" s="53" t="s">
        <v>20</v>
      </c>
    </row>
    <row r="24" spans="1:16" x14ac:dyDescent="0.25">
      <c r="A24" s="195" t="s">
        <v>132</v>
      </c>
      <c r="B24" s="208"/>
      <c r="C24" s="208">
        <f>C22+C23</f>
        <v>0</v>
      </c>
      <c r="D24" s="208"/>
      <c r="E24" s="208"/>
      <c r="F24" s="208">
        <f>F22+F23</f>
        <v>0</v>
      </c>
      <c r="G24" s="208"/>
      <c r="H24" s="208"/>
      <c r="I24" s="208">
        <f>I22+I23</f>
        <v>0</v>
      </c>
      <c r="J24" s="208"/>
      <c r="K24" s="208"/>
      <c r="L24" s="208"/>
      <c r="M24" s="208"/>
      <c r="N24" s="234">
        <f>N22+N23</f>
        <v>0</v>
      </c>
      <c r="O24" s="205"/>
      <c r="P24" s="53" t="s">
        <v>20</v>
      </c>
    </row>
    <row r="25" spans="1:16" x14ac:dyDescent="0.25">
      <c r="A25" s="195"/>
      <c r="B25" s="208"/>
      <c r="C25" s="208"/>
      <c r="D25" s="208"/>
      <c r="E25" s="208"/>
      <c r="F25" s="208"/>
      <c r="G25" s="208"/>
      <c r="H25" s="208"/>
      <c r="I25" s="208"/>
      <c r="J25" s="208"/>
      <c r="K25" s="208"/>
      <c r="L25" s="208"/>
      <c r="M25" s="208"/>
      <c r="N25" s="208"/>
      <c r="O25" s="205"/>
      <c r="P25" s="53" t="s">
        <v>20</v>
      </c>
    </row>
    <row r="26" spans="1:16" x14ac:dyDescent="0.25">
      <c r="A26" s="195" t="s">
        <v>27</v>
      </c>
      <c r="B26" s="208"/>
      <c r="C26" s="208"/>
      <c r="D26" s="208"/>
      <c r="E26" s="208"/>
      <c r="F26" s="208"/>
      <c r="G26" s="208"/>
      <c r="H26" s="208"/>
      <c r="I26" s="208"/>
      <c r="J26" s="208"/>
      <c r="K26" s="208"/>
      <c r="L26" s="208"/>
      <c r="M26" s="208"/>
      <c r="N26" s="208"/>
      <c r="O26" s="205"/>
      <c r="P26" s="53" t="s">
        <v>20</v>
      </c>
    </row>
    <row r="27" spans="1:16" x14ac:dyDescent="0.25">
      <c r="A27" s="236" t="s">
        <v>28</v>
      </c>
      <c r="B27" s="208"/>
      <c r="C27" s="208">
        <v>0</v>
      </c>
      <c r="D27" s="208"/>
      <c r="E27" s="208"/>
      <c r="F27" s="208">
        <v>0</v>
      </c>
      <c r="G27" s="208"/>
      <c r="H27" s="208"/>
      <c r="I27" s="208">
        <v>0</v>
      </c>
      <c r="J27" s="208"/>
      <c r="K27" s="208"/>
      <c r="L27" s="208"/>
      <c r="M27" s="208"/>
      <c r="N27" s="208">
        <f>C27+I27+F27</f>
        <v>0</v>
      </c>
      <c r="O27" s="205"/>
      <c r="P27" s="53" t="s">
        <v>20</v>
      </c>
    </row>
    <row r="28" spans="1:16" x14ac:dyDescent="0.25">
      <c r="A28" s="237" t="s">
        <v>29</v>
      </c>
      <c r="B28" s="238"/>
      <c r="C28" s="238">
        <v>0</v>
      </c>
      <c r="D28" s="238"/>
      <c r="E28" s="238"/>
      <c r="F28" s="238">
        <v>0</v>
      </c>
      <c r="G28" s="238"/>
      <c r="H28" s="238"/>
      <c r="I28" s="238">
        <v>0</v>
      </c>
      <c r="J28" s="238"/>
      <c r="K28" s="238"/>
      <c r="L28" s="238"/>
      <c r="M28" s="238"/>
      <c r="N28" s="208">
        <f>C28+I28+F27</f>
        <v>0</v>
      </c>
      <c r="O28" s="239"/>
      <c r="P28" s="53" t="s">
        <v>20</v>
      </c>
    </row>
    <row r="29" spans="1:16" ht="14.4" thickBot="1" x14ac:dyDescent="0.3">
      <c r="A29" s="240" t="s">
        <v>133</v>
      </c>
      <c r="B29" s="241"/>
      <c r="C29" s="241">
        <f>C24+C27+C28</f>
        <v>0</v>
      </c>
      <c r="D29" s="241"/>
      <c r="E29" s="241"/>
      <c r="F29" s="241">
        <f>F24+F27+F28</f>
        <v>0</v>
      </c>
      <c r="G29" s="241"/>
      <c r="H29" s="241"/>
      <c r="I29" s="241">
        <f>I24+I27+I28</f>
        <v>0</v>
      </c>
      <c r="J29" s="241"/>
      <c r="K29" s="241"/>
      <c r="L29" s="241"/>
      <c r="M29" s="241"/>
      <c r="N29" s="241">
        <f>SUM(N24,N27:N28)</f>
        <v>0</v>
      </c>
      <c r="O29" s="242"/>
      <c r="P29" s="53" t="s">
        <v>20</v>
      </c>
    </row>
    <row r="30" spans="1:16" x14ac:dyDescent="0.25">
      <c r="P30" s="53" t="s">
        <v>20</v>
      </c>
    </row>
    <row r="31" spans="1:16" x14ac:dyDescent="0.25">
      <c r="A31" s="8" t="s">
        <v>40</v>
      </c>
      <c r="P31" s="53" t="s">
        <v>20</v>
      </c>
    </row>
    <row r="32" spans="1:16" x14ac:dyDescent="0.25">
      <c r="A32" s="668" t="s">
        <v>255</v>
      </c>
      <c r="B32" s="668"/>
      <c r="C32" s="668"/>
      <c r="D32" s="668"/>
      <c r="E32" s="668"/>
      <c r="F32" s="668"/>
      <c r="G32" s="668"/>
      <c r="H32" s="668"/>
      <c r="I32" s="668"/>
      <c r="J32" s="668"/>
      <c r="K32" s="668"/>
      <c r="L32" s="668"/>
      <c r="M32" s="668"/>
      <c r="N32" s="668"/>
      <c r="O32" s="668"/>
      <c r="P32" s="53" t="s">
        <v>20</v>
      </c>
    </row>
    <row r="33" spans="1:16" x14ac:dyDescent="0.25">
      <c r="A33" s="721"/>
      <c r="B33" s="721"/>
      <c r="C33" s="721"/>
      <c r="D33" s="721"/>
      <c r="E33" s="721"/>
      <c r="F33" s="721"/>
      <c r="G33" s="721"/>
      <c r="H33" s="721"/>
      <c r="I33" s="721"/>
      <c r="J33" s="721"/>
      <c r="K33" s="721"/>
      <c r="L33" s="721"/>
      <c r="M33" s="721"/>
      <c r="N33" s="721"/>
      <c r="O33" s="721"/>
      <c r="P33" s="53" t="s">
        <v>20</v>
      </c>
    </row>
    <row r="34" spans="1:16" x14ac:dyDescent="0.25">
      <c r="A34" s="8" t="s">
        <v>151</v>
      </c>
      <c r="P34" s="53" t="s">
        <v>20</v>
      </c>
    </row>
    <row r="35" spans="1:16" x14ac:dyDescent="0.25">
      <c r="A35" s="668" t="s">
        <v>256</v>
      </c>
      <c r="B35" s="668"/>
      <c r="C35" s="668"/>
      <c r="D35" s="668"/>
      <c r="E35" s="668"/>
      <c r="F35" s="668"/>
      <c r="G35" s="668"/>
      <c r="H35" s="668"/>
      <c r="I35" s="668"/>
      <c r="J35" s="668"/>
      <c r="K35" s="668"/>
      <c r="L35" s="668"/>
      <c r="M35" s="668"/>
      <c r="N35" s="668"/>
      <c r="O35" s="668"/>
      <c r="P35" s="53" t="s">
        <v>20</v>
      </c>
    </row>
    <row r="36" spans="1:16" x14ac:dyDescent="0.25">
      <c r="A36" s="721"/>
      <c r="B36" s="721"/>
      <c r="C36" s="721"/>
      <c r="D36" s="721"/>
      <c r="E36" s="721"/>
      <c r="F36" s="721"/>
      <c r="G36" s="721"/>
      <c r="H36" s="721"/>
      <c r="I36" s="721"/>
      <c r="J36" s="721"/>
      <c r="K36" s="721"/>
      <c r="L36" s="721"/>
      <c r="M36" s="721"/>
      <c r="N36" s="721"/>
      <c r="O36" s="721"/>
      <c r="P36" s="53" t="s">
        <v>20</v>
      </c>
    </row>
    <row r="37" spans="1:16" x14ac:dyDescent="0.25">
      <c r="A37" s="8" t="s">
        <v>152</v>
      </c>
      <c r="P37" s="53" t="s">
        <v>20</v>
      </c>
    </row>
    <row r="38" spans="1:16" x14ac:dyDescent="0.25">
      <c r="A38" s="668" t="s">
        <v>257</v>
      </c>
      <c r="B38" s="668"/>
      <c r="C38" s="668"/>
      <c r="D38" s="668"/>
      <c r="E38" s="668"/>
      <c r="F38" s="668"/>
      <c r="G38" s="668"/>
      <c r="H38" s="668"/>
      <c r="I38" s="668"/>
      <c r="J38" s="668"/>
      <c r="K38" s="668"/>
      <c r="L38" s="668"/>
      <c r="M38" s="668"/>
      <c r="N38" s="668"/>
      <c r="O38" s="668"/>
      <c r="P38" s="53" t="s">
        <v>20</v>
      </c>
    </row>
    <row r="39" spans="1:16" x14ac:dyDescent="0.25">
      <c r="A39" s="721"/>
      <c r="B39" s="721"/>
      <c r="C39" s="721"/>
      <c r="D39" s="721"/>
      <c r="E39" s="721"/>
      <c r="F39" s="721"/>
      <c r="G39" s="721"/>
      <c r="H39" s="721"/>
      <c r="I39" s="721"/>
      <c r="J39" s="721"/>
      <c r="K39" s="721"/>
      <c r="L39" s="721"/>
      <c r="M39" s="721"/>
      <c r="N39" s="721"/>
      <c r="O39" s="721"/>
      <c r="P39" s="53" t="s">
        <v>20</v>
      </c>
    </row>
    <row r="40" spans="1:16" x14ac:dyDescent="0.25">
      <c r="A40" s="178" t="s">
        <v>258</v>
      </c>
      <c r="P40" s="53" t="s">
        <v>20</v>
      </c>
    </row>
    <row r="41" spans="1:16" x14ac:dyDescent="0.25">
      <c r="P41" s="53" t="s">
        <v>20</v>
      </c>
    </row>
    <row r="42" spans="1:16" x14ac:dyDescent="0.25">
      <c r="P42" s="7" t="s">
        <v>21</v>
      </c>
    </row>
  </sheetData>
  <customSheetViews>
    <customSheetView guid="{5B2D5037-506A-47D5-AF28-C337BC9133BD}" scale="80" showPageBreaks="1" printArea="1" view="pageBreakPreview" topLeftCell="A4">
      <selection activeCell="A40" sqref="A40"/>
      <pageMargins left="0.7" right="0.7" top="0.64" bottom="0.61" header="0.3" footer="0.3"/>
      <printOptions horizontalCentered="1"/>
      <pageSetup scale="64" orientation="landscape" r:id="rId1"/>
      <headerFooter>
        <oddHeader>&amp;L&amp;"Arial,Bold"&amp;12F. Crosswalk of 2012 Availability</oddHeader>
        <oddFooter>&amp;C&amp;"Arial,Regular"Exhibit F - Crosswalk of 2012 Availability&amp;R&amp;"Arial,Regular"Research, Evaluation, and Statistics</oddFooter>
      </headerFooter>
    </customSheetView>
    <customSheetView guid="{08380F1E-0CB7-4B3B-924E-2A270EA8DD30}" scale="80" showPageBreaks="1" printArea="1" view="pageBreakPreview">
      <selection activeCell="J23" sqref="J23"/>
      <pageMargins left="0.7" right="0.7" top="0.64" bottom="0.61" header="0.3" footer="0.3"/>
      <printOptions horizontalCentered="1"/>
      <pageSetup scale="64" orientation="landscape" r:id="rId2"/>
      <headerFooter>
        <oddHeader>&amp;L&amp;"Arial,Bold"&amp;12F. Crosswalk of 2012 Availability</oddHeader>
        <oddFooter>&amp;C&amp;"Arial,Regular"Exhibit F - Crosswalk of 2012 Availability&amp;R&amp;"Arial,Regular"Research, Evaluation, and Statistics</oddFooter>
      </headerFooter>
    </customSheetView>
    <customSheetView guid="{D19943A8-2C2A-430A-A724-8C7C332697C8}" scale="80" showPageBreaks="1" printArea="1" view="pageBreakPreview" topLeftCell="A4">
      <selection activeCell="A40" sqref="A40"/>
      <pageMargins left="0.7" right="0.7" top="0.64" bottom="0.61" header="0.3" footer="0.3"/>
      <printOptions horizontalCentered="1"/>
      <pageSetup scale="64" orientation="landscape" r:id="rId3"/>
      <headerFooter>
        <oddHeader>&amp;L&amp;"Arial,Bold"&amp;12F. Crosswalk of 2012 Availability</oddHeader>
        <oddFooter>&amp;C&amp;"Arial,Regular"Exhibit F - Crosswalk of 2012 Availability&amp;R&amp;"Arial,Regular"Research, Evaluation, and Statistics</oddFooter>
      </headerFooter>
    </customSheetView>
    <customSheetView guid="{C6D68C6D-939C-4DFA-9385-A3F05DFB5EDA}" scale="80" showPageBreaks="1" printArea="1" view="pageBreakPreview" topLeftCell="A4">
      <selection activeCell="A40" sqref="A40"/>
      <pageMargins left="0.7" right="0.7" top="0.64" bottom="0.61" header="0.3" footer="0.3"/>
      <printOptions horizontalCentered="1"/>
      <pageSetup scale="64" orientation="landscape" r:id="rId4"/>
      <headerFooter>
        <oddHeader>&amp;L&amp;"Arial,Bold"&amp;12F. Crosswalk of 2012 Availability</oddHeader>
        <oddFooter>&amp;C&amp;"Arial,Regular"Exhibit F - Crosswalk of 2012 Availability&amp;R&amp;"Arial,Regular"Research, Evaluation, and Statistics</oddFooter>
      </headerFooter>
    </customSheetView>
  </customSheetViews>
  <mergeCells count="15">
    <mergeCell ref="A39:O39"/>
    <mergeCell ref="A1:O1"/>
    <mergeCell ref="A2:O2"/>
    <mergeCell ref="A3:O3"/>
    <mergeCell ref="A4:O4"/>
    <mergeCell ref="A7:A8"/>
    <mergeCell ref="B7:D7"/>
    <mergeCell ref="E7:G7"/>
    <mergeCell ref="H7:J7"/>
    <mergeCell ref="M7:O7"/>
    <mergeCell ref="A32:O32"/>
    <mergeCell ref="A33:O33"/>
    <mergeCell ref="A35:O35"/>
    <mergeCell ref="A36:O36"/>
    <mergeCell ref="A38:O38"/>
  </mergeCells>
  <printOptions horizontalCentered="1"/>
  <pageMargins left="0.7" right="0.7" top="0.64" bottom="0.61" header="0.3" footer="0.3"/>
  <pageSetup scale="64" orientation="landscape" r:id="rId5"/>
  <headerFooter>
    <oddHeader>&amp;L&amp;"Arial,Bold"&amp;12F. Crosswalk of 2012 Availability</oddHeader>
    <oddFooter>&amp;C&amp;"Arial,Regular"Exhibit F - Crosswalk of 2012 Availability&amp;R&amp;"Arial,Regular"Research, Evaluation, and Statistics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view="pageBreakPreview" topLeftCell="A7" zoomScale="80" zoomScaleNormal="100" zoomScaleSheetLayoutView="80" workbookViewId="0">
      <selection activeCell="D8" sqref="D8"/>
    </sheetView>
  </sheetViews>
  <sheetFormatPr defaultColWidth="9.109375" defaultRowHeight="13.8" x14ac:dyDescent="0.25"/>
  <cols>
    <col min="1" max="1" width="37.109375" style="178" customWidth="1"/>
    <col min="2" max="3" width="8.33203125" style="178" customWidth="1"/>
    <col min="4" max="4" width="12.6640625" style="178" customWidth="1"/>
    <col min="5" max="5" width="15" style="178" customWidth="1"/>
    <col min="6" max="7" width="8.33203125" style="178" customWidth="1"/>
    <col min="8"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tr">
        <f>'[1]B. Summ of Req. - RES'!A2:D2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'[1]B. Summ of Req. - RES'!A3:D3</f>
        <v>Research, Evaluation, and Statistics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11"/>
      <c r="C5" s="11"/>
      <c r="D5" s="11"/>
      <c r="E5" s="11"/>
      <c r="F5" s="11"/>
      <c r="G5" s="11"/>
      <c r="H5" s="11"/>
      <c r="I5" s="11"/>
      <c r="J5" s="11"/>
      <c r="K5" s="11"/>
      <c r="L5" s="11"/>
      <c r="M5" s="11"/>
      <c r="N5" s="53" t="s">
        <v>20</v>
      </c>
      <c r="O5" s="11"/>
      <c r="P5" s="11"/>
      <c r="Q5" s="11"/>
      <c r="R5" s="11"/>
      <c r="S5" s="11"/>
      <c r="T5" s="11"/>
      <c r="U5" s="11"/>
    </row>
    <row r="6" spans="1:21" ht="15" thickBot="1" x14ac:dyDescent="0.25">
      <c r="A6" s="52"/>
      <c r="B6" s="52"/>
      <c r="C6" s="52"/>
      <c r="D6" s="52"/>
      <c r="E6" s="52"/>
      <c r="F6" s="52"/>
      <c r="G6" s="52"/>
      <c r="H6" s="52"/>
      <c r="I6" s="52"/>
      <c r="J6" s="52"/>
      <c r="K6" s="52"/>
      <c r="L6" s="52"/>
      <c r="M6" s="52"/>
      <c r="N6" s="53" t="s">
        <v>20</v>
      </c>
      <c r="O6" s="11"/>
      <c r="P6" s="11"/>
      <c r="Q6" s="11"/>
      <c r="R6" s="11"/>
      <c r="S6" s="11"/>
      <c r="T6" s="11"/>
      <c r="U6" s="11"/>
    </row>
    <row r="7" spans="1:21" ht="33.75" customHeight="1" x14ac:dyDescent="0.25">
      <c r="A7" s="638" t="s">
        <v>134</v>
      </c>
      <c r="B7" s="641" t="s">
        <v>451</v>
      </c>
      <c r="C7" s="641"/>
      <c r="D7" s="641"/>
      <c r="E7" s="192" t="s">
        <v>138</v>
      </c>
      <c r="F7" s="641" t="s">
        <v>40</v>
      </c>
      <c r="G7" s="641"/>
      <c r="H7" s="641"/>
      <c r="I7" s="192" t="s">
        <v>41</v>
      </c>
      <c r="J7" s="192" t="s">
        <v>139</v>
      </c>
      <c r="K7" s="641" t="s">
        <v>43</v>
      </c>
      <c r="L7" s="641"/>
      <c r="M7" s="642"/>
      <c r="N7" s="53" t="s">
        <v>20</v>
      </c>
    </row>
    <row r="8" spans="1:21" ht="27.6" x14ac:dyDescent="0.25">
      <c r="A8" s="639"/>
      <c r="B8" s="222" t="s">
        <v>3</v>
      </c>
      <c r="C8" s="222" t="s">
        <v>129</v>
      </c>
      <c r="D8" s="222" t="s">
        <v>4</v>
      </c>
      <c r="E8" s="222" t="s">
        <v>4</v>
      </c>
      <c r="F8" s="222" t="s">
        <v>3</v>
      </c>
      <c r="G8" s="222" t="s">
        <v>129</v>
      </c>
      <c r="H8" s="222" t="s">
        <v>4</v>
      </c>
      <c r="I8" s="222" t="s">
        <v>4</v>
      </c>
      <c r="J8" s="222" t="s">
        <v>4</v>
      </c>
      <c r="K8" s="222" t="s">
        <v>3</v>
      </c>
      <c r="L8" s="222" t="s">
        <v>129</v>
      </c>
      <c r="M8" s="223" t="s">
        <v>4</v>
      </c>
      <c r="N8" s="53" t="s">
        <v>20</v>
      </c>
    </row>
    <row r="9" spans="1:21" ht="13.95" x14ac:dyDescent="0.25">
      <c r="A9" s="224" t="s">
        <v>197</v>
      </c>
      <c r="B9" s="225">
        <v>0</v>
      </c>
      <c r="C9" s="225">
        <v>0</v>
      </c>
      <c r="D9" s="225">
        <v>45275.4</v>
      </c>
      <c r="E9" s="225">
        <v>0</v>
      </c>
      <c r="F9" s="225">
        <v>0</v>
      </c>
      <c r="G9" s="225">
        <v>0</v>
      </c>
      <c r="H9" s="225">
        <v>0</v>
      </c>
      <c r="I9" s="225">
        <v>-249.47363999999999</v>
      </c>
      <c r="J9" s="225">
        <f>299.14154+7.76444</f>
        <v>306.90598</v>
      </c>
      <c r="K9" s="225">
        <f>B9+F9</f>
        <v>0</v>
      </c>
      <c r="L9" s="225">
        <f>C9+G9</f>
        <v>0</v>
      </c>
      <c r="M9" s="226">
        <f>D9+E9+H9+I9+J9</f>
        <v>45332.832340000008</v>
      </c>
      <c r="N9" s="53" t="s">
        <v>20</v>
      </c>
    </row>
    <row r="10" spans="1:21" ht="27.6" x14ac:dyDescent="0.25">
      <c r="A10" s="227" t="s">
        <v>208</v>
      </c>
      <c r="B10" s="208">
        <v>0</v>
      </c>
      <c r="C10" s="208">
        <v>0</v>
      </c>
      <c r="D10" s="208">
        <v>0</v>
      </c>
      <c r="E10" s="208">
        <v>0</v>
      </c>
      <c r="F10" s="208">
        <v>0</v>
      </c>
      <c r="G10" s="208">
        <v>0</v>
      </c>
      <c r="H10" s="208">
        <v>0</v>
      </c>
      <c r="I10" s="208">
        <v>29.768059999999998</v>
      </c>
      <c r="J10" s="208">
        <f>4.88368+2.04663</f>
        <v>6.9303100000000004</v>
      </c>
      <c r="K10" s="208">
        <f t="shared" ref="K10:L24" si="0">B10+F10</f>
        <v>0</v>
      </c>
      <c r="L10" s="208">
        <f t="shared" si="0"/>
        <v>0</v>
      </c>
      <c r="M10" s="205">
        <f t="shared" ref="M10:M24" si="1">D10+E10+H10+I10+J10</f>
        <v>36.698369999999997</v>
      </c>
      <c r="N10" s="53" t="s">
        <v>20</v>
      </c>
    </row>
    <row r="11" spans="1:21" ht="13.95" x14ac:dyDescent="0.25">
      <c r="A11" s="227" t="s">
        <v>209</v>
      </c>
      <c r="B11" s="208">
        <v>0</v>
      </c>
      <c r="C11" s="208">
        <v>0</v>
      </c>
      <c r="D11" s="208">
        <v>0</v>
      </c>
      <c r="E11" s="208">
        <v>0</v>
      </c>
      <c r="F11" s="208">
        <v>0</v>
      </c>
      <c r="G11" s="208">
        <v>0</v>
      </c>
      <c r="H11" s="208">
        <v>0</v>
      </c>
      <c r="I11" s="208">
        <v>12.114000000000001</v>
      </c>
      <c r="J11" s="208">
        <v>0</v>
      </c>
      <c r="K11" s="208">
        <f t="shared" si="0"/>
        <v>0</v>
      </c>
      <c r="L11" s="208">
        <f t="shared" si="0"/>
        <v>0</v>
      </c>
      <c r="M11" s="205">
        <f t="shared" si="1"/>
        <v>12.114000000000001</v>
      </c>
      <c r="N11" s="53" t="s">
        <v>20</v>
      </c>
    </row>
    <row r="12" spans="1:21" ht="41.4" x14ac:dyDescent="0.25">
      <c r="A12" s="227" t="s">
        <v>210</v>
      </c>
      <c r="B12" s="208">
        <v>0</v>
      </c>
      <c r="C12" s="208">
        <v>0</v>
      </c>
      <c r="D12" s="208">
        <v>0</v>
      </c>
      <c r="E12" s="208">
        <v>0</v>
      </c>
      <c r="F12" s="208">
        <v>0</v>
      </c>
      <c r="G12" s="208">
        <v>0</v>
      </c>
      <c r="H12" s="208">
        <v>0</v>
      </c>
      <c r="I12" s="208">
        <v>259.42399999999998</v>
      </c>
      <c r="J12" s="208">
        <v>0</v>
      </c>
      <c r="K12" s="208">
        <f t="shared" si="0"/>
        <v>0</v>
      </c>
      <c r="L12" s="208">
        <f t="shared" si="0"/>
        <v>0</v>
      </c>
      <c r="M12" s="205">
        <f t="shared" si="1"/>
        <v>259.42399999999998</v>
      </c>
      <c r="N12" s="53" t="s">
        <v>20</v>
      </c>
    </row>
    <row r="13" spans="1:21" ht="27.6" x14ac:dyDescent="0.25">
      <c r="A13" s="228" t="s">
        <v>211</v>
      </c>
      <c r="B13" s="208">
        <v>0</v>
      </c>
      <c r="C13" s="208">
        <v>0</v>
      </c>
      <c r="D13" s="208">
        <v>27165.24</v>
      </c>
      <c r="E13" s="208">
        <v>0</v>
      </c>
      <c r="F13" s="208">
        <v>0</v>
      </c>
      <c r="G13" s="208">
        <v>0</v>
      </c>
      <c r="H13" s="208">
        <v>0</v>
      </c>
      <c r="I13" s="208"/>
      <c r="J13" s="208">
        <v>0</v>
      </c>
      <c r="K13" s="208">
        <f t="shared" si="0"/>
        <v>0</v>
      </c>
      <c r="L13" s="208">
        <f t="shared" si="0"/>
        <v>0</v>
      </c>
      <c r="M13" s="205">
        <f t="shared" si="1"/>
        <v>27165.24</v>
      </c>
      <c r="N13" s="53" t="s">
        <v>20</v>
      </c>
    </row>
    <row r="14" spans="1:21" ht="27.6" x14ac:dyDescent="0.25">
      <c r="A14" s="228" t="s">
        <v>198</v>
      </c>
      <c r="B14" s="208">
        <v>0</v>
      </c>
      <c r="C14" s="208">
        <v>0</v>
      </c>
      <c r="D14" s="208">
        <v>40244.800000000003</v>
      </c>
      <c r="E14" s="208">
        <v>0</v>
      </c>
      <c r="F14" s="208">
        <v>0</v>
      </c>
      <c r="G14" s="208">
        <v>0</v>
      </c>
      <c r="H14" s="208">
        <v>-5000</v>
      </c>
      <c r="I14" s="208">
        <v>3422.2103000000002</v>
      </c>
      <c r="J14" s="208">
        <f>414.60691+0.99245</f>
        <v>415.59936000000005</v>
      </c>
      <c r="K14" s="208">
        <f t="shared" si="0"/>
        <v>0</v>
      </c>
      <c r="L14" s="208">
        <f t="shared" si="0"/>
        <v>0</v>
      </c>
      <c r="M14" s="205">
        <f t="shared" si="1"/>
        <v>39082.609660000002</v>
      </c>
      <c r="N14" s="53" t="s">
        <v>20</v>
      </c>
    </row>
    <row r="15" spans="1:21" ht="14.4" x14ac:dyDescent="0.3">
      <c r="A15" s="227" t="s">
        <v>212</v>
      </c>
      <c r="B15" s="208">
        <v>0</v>
      </c>
      <c r="C15" s="208">
        <v>0</v>
      </c>
      <c r="D15" s="169">
        <v>5000</v>
      </c>
      <c r="E15" s="169">
        <v>0</v>
      </c>
      <c r="F15" s="169">
        <v>0</v>
      </c>
      <c r="G15" s="169">
        <v>0</v>
      </c>
      <c r="H15" s="169">
        <v>-5000</v>
      </c>
      <c r="I15" s="169"/>
      <c r="J15" s="169">
        <v>0</v>
      </c>
      <c r="K15" s="169">
        <f t="shared" si="0"/>
        <v>0</v>
      </c>
      <c r="L15" s="169">
        <f t="shared" si="0"/>
        <v>0</v>
      </c>
      <c r="M15" s="170">
        <f t="shared" si="1"/>
        <v>0</v>
      </c>
      <c r="N15" s="53" t="s">
        <v>20</v>
      </c>
    </row>
    <row r="16" spans="1:21" ht="41.4" x14ac:dyDescent="0.25">
      <c r="A16" s="228" t="s">
        <v>199</v>
      </c>
      <c r="B16" s="208">
        <v>0</v>
      </c>
      <c r="C16" s="208">
        <v>0</v>
      </c>
      <c r="D16" s="208">
        <v>1006.12</v>
      </c>
      <c r="E16" s="208">
        <v>0</v>
      </c>
      <c r="F16" s="208">
        <v>0</v>
      </c>
      <c r="G16" s="208">
        <v>0</v>
      </c>
      <c r="H16" s="208">
        <v>0</v>
      </c>
      <c r="I16" s="208"/>
      <c r="J16" s="208">
        <v>0</v>
      </c>
      <c r="K16" s="208">
        <f t="shared" si="0"/>
        <v>0</v>
      </c>
      <c r="L16" s="208">
        <f t="shared" si="0"/>
        <v>0</v>
      </c>
      <c r="M16" s="205">
        <f t="shared" si="1"/>
        <v>1006.12</v>
      </c>
      <c r="N16" s="53" t="s">
        <v>20</v>
      </c>
    </row>
    <row r="17" spans="1:14" x14ac:dyDescent="0.25">
      <c r="A17" s="195" t="s">
        <v>250</v>
      </c>
      <c r="B17" s="208">
        <v>0</v>
      </c>
      <c r="C17" s="208">
        <v>0</v>
      </c>
      <c r="D17" s="208">
        <v>0</v>
      </c>
      <c r="E17" s="208">
        <v>0</v>
      </c>
      <c r="F17" s="208">
        <v>0</v>
      </c>
      <c r="G17" s="208">
        <v>0</v>
      </c>
      <c r="H17" s="208">
        <v>0</v>
      </c>
      <c r="I17" s="208">
        <v>512.09142999999995</v>
      </c>
      <c r="J17" s="208">
        <f>59.16102+0</f>
        <v>59.161020000000001</v>
      </c>
      <c r="K17" s="208">
        <f t="shared" si="0"/>
        <v>0</v>
      </c>
      <c r="L17" s="208">
        <f t="shared" si="0"/>
        <v>0</v>
      </c>
      <c r="M17" s="205">
        <f t="shared" si="1"/>
        <v>571.25244999999995</v>
      </c>
      <c r="N17" s="53" t="s">
        <v>20</v>
      </c>
    </row>
    <row r="18" spans="1:14" x14ac:dyDescent="0.25">
      <c r="A18" s="195" t="s">
        <v>259</v>
      </c>
      <c r="B18" s="208">
        <v>0</v>
      </c>
      <c r="C18" s="208">
        <v>0</v>
      </c>
      <c r="D18" s="208">
        <v>0</v>
      </c>
      <c r="E18" s="208">
        <v>0</v>
      </c>
      <c r="F18" s="208">
        <v>0</v>
      </c>
      <c r="G18" s="208">
        <v>0</v>
      </c>
      <c r="H18" s="208">
        <v>0</v>
      </c>
      <c r="I18" s="208">
        <v>1590.155</v>
      </c>
      <c r="J18" s="208">
        <v>0</v>
      </c>
      <c r="K18" s="208">
        <f t="shared" si="0"/>
        <v>0</v>
      </c>
      <c r="L18" s="208">
        <f t="shared" si="0"/>
        <v>0</v>
      </c>
      <c r="M18" s="205">
        <f t="shared" si="1"/>
        <v>1590.155</v>
      </c>
      <c r="N18" s="53" t="s">
        <v>20</v>
      </c>
    </row>
    <row r="19" spans="1:14" x14ac:dyDescent="0.25">
      <c r="A19" s="195" t="s">
        <v>260</v>
      </c>
      <c r="B19" s="208">
        <v>0</v>
      </c>
      <c r="C19" s="208">
        <v>0</v>
      </c>
      <c r="D19" s="208">
        <v>0</v>
      </c>
      <c r="E19" s="208">
        <v>0</v>
      </c>
      <c r="F19" s="208">
        <v>0</v>
      </c>
      <c r="G19" s="208">
        <v>0</v>
      </c>
      <c r="H19" s="208">
        <v>0</v>
      </c>
      <c r="I19" s="208">
        <v>866.12798999999995</v>
      </c>
      <c r="J19" s="208">
        <f>46.28699</f>
        <v>46.286990000000003</v>
      </c>
      <c r="K19" s="208">
        <f t="shared" si="0"/>
        <v>0</v>
      </c>
      <c r="L19" s="208">
        <f t="shared" si="0"/>
        <v>0</v>
      </c>
      <c r="M19" s="205">
        <f t="shared" si="1"/>
        <v>912.41498000000001</v>
      </c>
      <c r="N19" s="53" t="s">
        <v>20</v>
      </c>
    </row>
    <row r="20" spans="1:14" x14ac:dyDescent="0.25">
      <c r="A20" s="195" t="s">
        <v>261</v>
      </c>
      <c r="B20" s="208">
        <v>0</v>
      </c>
      <c r="C20" s="208">
        <v>0</v>
      </c>
      <c r="D20" s="208">
        <v>0</v>
      </c>
      <c r="E20" s="208">
        <v>0</v>
      </c>
      <c r="F20" s="208">
        <v>0</v>
      </c>
      <c r="G20" s="208">
        <v>0</v>
      </c>
      <c r="H20" s="208">
        <v>0</v>
      </c>
      <c r="I20" s="208">
        <v>707.05229999999995</v>
      </c>
      <c r="J20" s="208">
        <f>103.78485+0.04468</f>
        <v>103.82953000000001</v>
      </c>
      <c r="K20" s="208">
        <f t="shared" si="0"/>
        <v>0</v>
      </c>
      <c r="L20" s="208">
        <f t="shared" si="0"/>
        <v>0</v>
      </c>
      <c r="M20" s="205">
        <f t="shared" si="1"/>
        <v>810.88182999999992</v>
      </c>
      <c r="N20" s="53" t="s">
        <v>20</v>
      </c>
    </row>
    <row r="21" spans="1:14" x14ac:dyDescent="0.25">
      <c r="A21" s="195" t="s">
        <v>252</v>
      </c>
      <c r="B21" s="208">
        <v>0</v>
      </c>
      <c r="C21" s="208">
        <v>0</v>
      </c>
      <c r="D21" s="208">
        <v>0</v>
      </c>
      <c r="E21" s="208">
        <v>0</v>
      </c>
      <c r="F21" s="208">
        <v>0</v>
      </c>
      <c r="G21" s="208">
        <v>0</v>
      </c>
      <c r="H21" s="208">
        <v>0</v>
      </c>
      <c r="I21" s="208">
        <v>-732.41151000000002</v>
      </c>
      <c r="J21" s="208">
        <v>0</v>
      </c>
      <c r="K21" s="208">
        <f t="shared" si="0"/>
        <v>0</v>
      </c>
      <c r="L21" s="208">
        <f t="shared" si="0"/>
        <v>0</v>
      </c>
      <c r="M21" s="205">
        <f t="shared" si="1"/>
        <v>-732.41151000000002</v>
      </c>
      <c r="N21" s="53" t="s">
        <v>20</v>
      </c>
    </row>
    <row r="22" spans="1:14" x14ac:dyDescent="0.25">
      <c r="A22" s="195" t="s">
        <v>253</v>
      </c>
      <c r="B22" s="208">
        <v>0</v>
      </c>
      <c r="C22" s="208">
        <v>0</v>
      </c>
      <c r="D22" s="208">
        <v>0</v>
      </c>
      <c r="E22" s="208">
        <v>0</v>
      </c>
      <c r="F22" s="208">
        <v>0</v>
      </c>
      <c r="G22" s="208">
        <v>0</v>
      </c>
      <c r="H22" s="208">
        <v>0</v>
      </c>
      <c r="I22" s="208">
        <v>-220.33491000000001</v>
      </c>
      <c r="J22" s="208">
        <v>0</v>
      </c>
      <c r="K22" s="208">
        <f t="shared" si="0"/>
        <v>0</v>
      </c>
      <c r="L22" s="208">
        <f t="shared" si="0"/>
        <v>0</v>
      </c>
      <c r="M22" s="205">
        <f t="shared" si="1"/>
        <v>-220.33491000000001</v>
      </c>
      <c r="N22" s="53" t="s">
        <v>20</v>
      </c>
    </row>
    <row r="23" spans="1:14" x14ac:dyDescent="0.25">
      <c r="A23" s="195" t="s">
        <v>254</v>
      </c>
      <c r="B23" s="208">
        <v>0</v>
      </c>
      <c r="C23" s="208">
        <v>0</v>
      </c>
      <c r="D23" s="208">
        <v>0</v>
      </c>
      <c r="E23" s="208">
        <v>0</v>
      </c>
      <c r="F23" s="208">
        <v>0</v>
      </c>
      <c r="G23" s="208">
        <v>0</v>
      </c>
      <c r="H23" s="208">
        <v>0</v>
      </c>
      <c r="I23" s="208">
        <f>47.84822+56.92-704.98487+70.10662+0.00573+0.00047</f>
        <v>-530.10383000000002</v>
      </c>
      <c r="J23" s="208">
        <f>15.6774+0.3</f>
        <v>15.977400000000001</v>
      </c>
      <c r="K23" s="208">
        <f t="shared" ref="K23" si="2">B23+F23</f>
        <v>0</v>
      </c>
      <c r="L23" s="208">
        <f t="shared" ref="L23" si="3">C23+G23</f>
        <v>0</v>
      </c>
      <c r="M23" s="205">
        <f t="shared" ref="M23" si="4">D23+E23+H23+I23+J23</f>
        <v>-514.12643000000003</v>
      </c>
      <c r="N23" s="53" t="s">
        <v>20</v>
      </c>
    </row>
    <row r="24" spans="1:14" x14ac:dyDescent="0.25">
      <c r="A24" s="195" t="s">
        <v>139</v>
      </c>
      <c r="B24" s="208">
        <v>0</v>
      </c>
      <c r="C24" s="208">
        <v>0</v>
      </c>
      <c r="D24" s="208">
        <v>0</v>
      </c>
      <c r="E24" s="208">
        <v>0</v>
      </c>
      <c r="F24" s="208">
        <v>0</v>
      </c>
      <c r="G24" s="208">
        <v>0</v>
      </c>
      <c r="H24" s="208">
        <v>0</v>
      </c>
      <c r="I24" s="208">
        <v>0</v>
      </c>
      <c r="J24" s="208">
        <v>3045</v>
      </c>
      <c r="K24" s="208">
        <f t="shared" si="0"/>
        <v>0</v>
      </c>
      <c r="L24" s="208">
        <f t="shared" si="0"/>
        <v>0</v>
      </c>
      <c r="M24" s="205">
        <f t="shared" si="1"/>
        <v>3045</v>
      </c>
      <c r="N24" s="53" t="s">
        <v>20</v>
      </c>
    </row>
    <row r="25" spans="1:14" x14ac:dyDescent="0.25">
      <c r="A25" s="16" t="s">
        <v>131</v>
      </c>
      <c r="B25" s="143">
        <f>SUM(B9:B24)</f>
        <v>0</v>
      </c>
      <c r="C25" s="143">
        <f>SUM(C9:C24)</f>
        <v>0</v>
      </c>
      <c r="D25" s="143">
        <f>D9+D13+D14+D16</f>
        <v>113691.56</v>
      </c>
      <c r="E25" s="143">
        <f>SUM(E9:E24)</f>
        <v>0</v>
      </c>
      <c r="F25" s="143">
        <f>SUM(F9:F24)</f>
        <v>0</v>
      </c>
      <c r="G25" s="143">
        <f>SUM(G9:G24)</f>
        <v>0</v>
      </c>
      <c r="H25" s="143">
        <f>H14</f>
        <v>-5000</v>
      </c>
      <c r="I25" s="143">
        <f>SUM(I9:I24)</f>
        <v>5666.6191900000013</v>
      </c>
      <c r="J25" s="143">
        <f>SUM(J9:J24)</f>
        <v>3999.6905900000002</v>
      </c>
      <c r="K25" s="143">
        <f>SUM(K9:K24)</f>
        <v>0</v>
      </c>
      <c r="L25" s="143">
        <f>SUM(L9:L24)</f>
        <v>0</v>
      </c>
      <c r="M25" s="144">
        <f>SUM(M9:M24)-M15</f>
        <v>118357.86977999999</v>
      </c>
      <c r="N25" s="53" t="s">
        <v>20</v>
      </c>
    </row>
    <row r="26" spans="1:14" x14ac:dyDescent="0.25">
      <c r="A26" s="272" t="s">
        <v>130</v>
      </c>
      <c r="B26" s="225"/>
      <c r="C26" s="225"/>
      <c r="D26" s="225">
        <v>-4000</v>
      </c>
      <c r="E26" s="225"/>
      <c r="F26" s="225"/>
      <c r="G26" s="225"/>
      <c r="H26" s="225"/>
      <c r="I26" s="225">
        <v>0</v>
      </c>
      <c r="J26" s="225"/>
      <c r="K26" s="225"/>
      <c r="L26" s="225"/>
      <c r="M26" s="226">
        <f>D26+E26+H26+I26+J26</f>
        <v>-4000</v>
      </c>
      <c r="N26" s="53" t="s">
        <v>20</v>
      </c>
    </row>
    <row r="27" spans="1:14" x14ac:dyDescent="0.25">
      <c r="A27" s="273" t="s">
        <v>150</v>
      </c>
      <c r="B27" s="230"/>
      <c r="C27" s="230"/>
      <c r="D27" s="230">
        <f>SUM(D25:D26)</f>
        <v>109691.56</v>
      </c>
      <c r="E27" s="230"/>
      <c r="F27" s="230"/>
      <c r="G27" s="230"/>
      <c r="H27" s="230"/>
      <c r="I27" s="230">
        <f>I25-I26</f>
        <v>5666.6191900000013</v>
      </c>
      <c r="J27" s="230"/>
      <c r="K27" s="230"/>
      <c r="L27" s="230"/>
      <c r="M27" s="231">
        <f>SUM(M25:M26)</f>
        <v>114357.86977999999</v>
      </c>
      <c r="N27" s="53" t="s">
        <v>20</v>
      </c>
    </row>
    <row r="28" spans="1:14" x14ac:dyDescent="0.25">
      <c r="A28" s="198" t="s">
        <v>26</v>
      </c>
      <c r="B28" s="234"/>
      <c r="C28" s="234">
        <v>0</v>
      </c>
      <c r="D28" s="234"/>
      <c r="E28" s="234"/>
      <c r="F28" s="234"/>
      <c r="G28" s="234">
        <v>0</v>
      </c>
      <c r="H28" s="234"/>
      <c r="I28" s="234">
        <v>0</v>
      </c>
      <c r="J28" s="234"/>
      <c r="K28" s="234"/>
      <c r="L28" s="234">
        <f t="shared" ref="L28" si="5">C28+G28</f>
        <v>0</v>
      </c>
      <c r="M28" s="235"/>
      <c r="N28" s="53" t="s">
        <v>20</v>
      </c>
    </row>
    <row r="29" spans="1:14" x14ac:dyDescent="0.25">
      <c r="A29" s="195" t="s">
        <v>132</v>
      </c>
      <c r="B29" s="208"/>
      <c r="C29" s="208">
        <f>C25+C28</f>
        <v>0</v>
      </c>
      <c r="D29" s="208"/>
      <c r="E29" s="208"/>
      <c r="F29" s="208"/>
      <c r="G29" s="208">
        <f>G25+G28</f>
        <v>0</v>
      </c>
      <c r="H29" s="208"/>
      <c r="I29" s="208">
        <f>I25+I28</f>
        <v>5666.6191900000013</v>
      </c>
      <c r="J29" s="208"/>
      <c r="K29" s="208"/>
      <c r="L29" s="208">
        <f>L25+L28</f>
        <v>0</v>
      </c>
      <c r="M29" s="205"/>
      <c r="N29" s="53" t="s">
        <v>20</v>
      </c>
    </row>
    <row r="30" spans="1:14" x14ac:dyDescent="0.25">
      <c r="A30" s="195"/>
      <c r="B30" s="208"/>
      <c r="C30" s="208"/>
      <c r="D30" s="208"/>
      <c r="E30" s="208"/>
      <c r="F30" s="208"/>
      <c r="G30" s="208"/>
      <c r="H30" s="208"/>
      <c r="I30" s="208"/>
      <c r="J30" s="208"/>
      <c r="K30" s="208"/>
      <c r="L30" s="208"/>
      <c r="M30" s="205"/>
      <c r="N30" s="53" t="s">
        <v>20</v>
      </c>
    </row>
    <row r="31" spans="1:14" x14ac:dyDescent="0.25">
      <c r="A31" s="195" t="s">
        <v>27</v>
      </c>
      <c r="B31" s="208"/>
      <c r="C31" s="208"/>
      <c r="D31" s="208"/>
      <c r="E31" s="208"/>
      <c r="F31" s="208"/>
      <c r="G31" s="208"/>
      <c r="H31" s="208"/>
      <c r="I31" s="208"/>
      <c r="J31" s="208"/>
      <c r="K31" s="208"/>
      <c r="L31" s="208"/>
      <c r="M31" s="205"/>
      <c r="N31" s="53" t="s">
        <v>20</v>
      </c>
    </row>
    <row r="32" spans="1:14" x14ac:dyDescent="0.25">
      <c r="A32" s="236" t="s">
        <v>28</v>
      </c>
      <c r="B32" s="208"/>
      <c r="C32" s="208">
        <v>0</v>
      </c>
      <c r="D32" s="208"/>
      <c r="E32" s="208"/>
      <c r="F32" s="208"/>
      <c r="G32" s="208">
        <v>0</v>
      </c>
      <c r="H32" s="208"/>
      <c r="I32" s="208">
        <v>0</v>
      </c>
      <c r="J32" s="208"/>
      <c r="K32" s="208"/>
      <c r="L32" s="208">
        <f t="shared" ref="L32:L33" si="6">C32+G32</f>
        <v>0</v>
      </c>
      <c r="M32" s="205"/>
      <c r="N32" s="53" t="s">
        <v>20</v>
      </c>
    </row>
    <row r="33" spans="1:14" x14ac:dyDescent="0.25">
      <c r="A33" s="237" t="s">
        <v>29</v>
      </c>
      <c r="B33" s="238"/>
      <c r="C33" s="238">
        <v>0</v>
      </c>
      <c r="D33" s="238"/>
      <c r="E33" s="238"/>
      <c r="F33" s="238"/>
      <c r="G33" s="238">
        <v>0</v>
      </c>
      <c r="H33" s="238"/>
      <c r="I33" s="238">
        <v>0</v>
      </c>
      <c r="J33" s="238"/>
      <c r="K33" s="238"/>
      <c r="L33" s="238">
        <f t="shared" si="6"/>
        <v>0</v>
      </c>
      <c r="M33" s="239"/>
      <c r="N33" s="53" t="s">
        <v>20</v>
      </c>
    </row>
    <row r="34" spans="1:14" ht="14.4" thickBot="1" x14ac:dyDescent="0.3">
      <c r="A34" s="240" t="s">
        <v>133</v>
      </c>
      <c r="B34" s="241"/>
      <c r="C34" s="241">
        <f>C29+C32+C33</f>
        <v>0</v>
      </c>
      <c r="D34" s="241"/>
      <c r="E34" s="241"/>
      <c r="F34" s="241"/>
      <c r="G34" s="241">
        <f>G29+G32+G33</f>
        <v>0</v>
      </c>
      <c r="H34" s="241"/>
      <c r="I34" s="241">
        <f>I29+I32+I33</f>
        <v>5666.6191900000013</v>
      </c>
      <c r="J34" s="241"/>
      <c r="K34" s="241"/>
      <c r="L34" s="241">
        <f>SUM(L29,L32:L33)</f>
        <v>0</v>
      </c>
      <c r="M34" s="242"/>
      <c r="N34" s="53" t="s">
        <v>20</v>
      </c>
    </row>
    <row r="35" spans="1:14" x14ac:dyDescent="0.25">
      <c r="A35" s="178" t="s">
        <v>249</v>
      </c>
      <c r="N35" s="53" t="s">
        <v>20</v>
      </c>
    </row>
    <row r="36" spans="1:14" x14ac:dyDescent="0.25">
      <c r="N36" s="53" t="s">
        <v>20</v>
      </c>
    </row>
    <row r="37" spans="1:14" x14ac:dyDescent="0.25">
      <c r="A37" s="8" t="s">
        <v>40</v>
      </c>
      <c r="N37" s="53" t="s">
        <v>20</v>
      </c>
    </row>
    <row r="38" spans="1:14" x14ac:dyDescent="0.25">
      <c r="A38" s="668" t="s">
        <v>262</v>
      </c>
      <c r="B38" s="668"/>
      <c r="C38" s="668"/>
      <c r="D38" s="668"/>
      <c r="E38" s="668"/>
      <c r="F38" s="668"/>
      <c r="G38" s="668"/>
      <c r="H38" s="668"/>
      <c r="I38" s="668"/>
      <c r="J38" s="668"/>
      <c r="K38" s="668"/>
      <c r="L38" s="668"/>
      <c r="M38" s="668"/>
      <c r="N38" s="53" t="s">
        <v>20</v>
      </c>
    </row>
    <row r="39" spans="1:14" x14ac:dyDescent="0.25">
      <c r="A39" s="721"/>
      <c r="B39" s="721"/>
      <c r="C39" s="721"/>
      <c r="D39" s="721"/>
      <c r="E39" s="721"/>
      <c r="F39" s="721"/>
      <c r="G39" s="721"/>
      <c r="H39" s="721"/>
      <c r="I39" s="721"/>
      <c r="J39" s="721"/>
      <c r="K39" s="721"/>
      <c r="L39" s="721"/>
      <c r="M39" s="721"/>
      <c r="N39" s="53" t="s">
        <v>20</v>
      </c>
    </row>
    <row r="40" spans="1:14" x14ac:dyDescent="0.25">
      <c r="A40" s="8" t="s">
        <v>151</v>
      </c>
      <c r="N40" s="53" t="s">
        <v>20</v>
      </c>
    </row>
    <row r="41" spans="1:14" x14ac:dyDescent="0.25">
      <c r="A41" s="668" t="s">
        <v>263</v>
      </c>
      <c r="B41" s="668"/>
      <c r="C41" s="668"/>
      <c r="D41" s="668"/>
      <c r="E41" s="668"/>
      <c r="F41" s="668"/>
      <c r="G41" s="668"/>
      <c r="H41" s="668"/>
      <c r="I41" s="668"/>
      <c r="J41" s="668"/>
      <c r="K41" s="668"/>
      <c r="L41" s="668"/>
      <c r="M41" s="668"/>
      <c r="N41" s="53" t="s">
        <v>20</v>
      </c>
    </row>
    <row r="42" spans="1:14" x14ac:dyDescent="0.25">
      <c r="A42" s="721"/>
      <c r="B42" s="721"/>
      <c r="C42" s="721"/>
      <c r="D42" s="721"/>
      <c r="E42" s="721"/>
      <c r="F42" s="721"/>
      <c r="G42" s="721"/>
      <c r="H42" s="721"/>
      <c r="I42" s="721"/>
      <c r="J42" s="721"/>
      <c r="K42" s="721"/>
      <c r="L42" s="721"/>
      <c r="M42" s="721"/>
      <c r="N42" s="53" t="s">
        <v>20</v>
      </c>
    </row>
    <row r="43" spans="1:14" x14ac:dyDescent="0.25">
      <c r="A43" s="8" t="s">
        <v>152</v>
      </c>
      <c r="N43" s="53" t="s">
        <v>20</v>
      </c>
    </row>
    <row r="44" spans="1:14" x14ac:dyDescent="0.25">
      <c r="A44" s="668" t="s">
        <v>476</v>
      </c>
      <c r="B44" s="668"/>
      <c r="C44" s="668"/>
      <c r="D44" s="668"/>
      <c r="E44" s="668"/>
      <c r="F44" s="668"/>
      <c r="G44" s="668"/>
      <c r="H44" s="668"/>
      <c r="I44" s="668"/>
      <c r="J44" s="668"/>
      <c r="K44" s="668"/>
      <c r="L44" s="668"/>
      <c r="M44" s="668"/>
      <c r="N44" s="53" t="s">
        <v>20</v>
      </c>
    </row>
    <row r="45" spans="1:14" x14ac:dyDescent="0.25">
      <c r="A45" s="721"/>
      <c r="B45" s="721"/>
      <c r="C45" s="721"/>
      <c r="D45" s="721"/>
      <c r="E45" s="721"/>
      <c r="F45" s="721"/>
      <c r="G45" s="721"/>
      <c r="H45" s="721"/>
      <c r="I45" s="721"/>
      <c r="J45" s="721"/>
      <c r="K45" s="721"/>
      <c r="L45" s="721"/>
      <c r="M45" s="721"/>
      <c r="N45" s="53" t="s">
        <v>20</v>
      </c>
    </row>
    <row r="46" spans="1:14" x14ac:dyDescent="0.25">
      <c r="N46" s="53" t="s">
        <v>20</v>
      </c>
    </row>
    <row r="47" spans="1:14" x14ac:dyDescent="0.25">
      <c r="N47" s="7" t="s">
        <v>21</v>
      </c>
    </row>
  </sheetData>
  <customSheetViews>
    <customSheetView guid="{5B2D5037-506A-47D5-AF28-C337BC9133BD}" scale="80" showPageBreaks="1" printArea="1" view="pageBreakPreview" topLeftCell="A7">
      <selection activeCell="D8" sqref="D8"/>
      <pageMargins left="0.7" right="0.7" top="0.66" bottom="0.66" header="0.3" footer="0.3"/>
      <printOptions horizontalCentered="1"/>
      <pageSetup scale="65" orientation="landscape" r:id="rId1"/>
      <headerFooter>
        <oddHeader>&amp;L&amp;"Arial,Bold"&amp;12G. Crosswalk of 2013 Availability</oddHeader>
        <oddFooter>&amp;C&amp;"Arial,Regular"Exhibit G - Crosswalk of 2013 Availability&amp;R&amp;"Arial,Regular"Research, Evaluation, and Statistics</oddFooter>
      </headerFooter>
    </customSheetView>
    <customSheetView guid="{08380F1E-0CB7-4B3B-924E-2A270EA8DD30}" scale="80" showPageBreaks="1" printArea="1" view="pageBreakPreview" topLeftCell="A4">
      <selection activeCell="D25" sqref="D25:J26"/>
      <pageMargins left="0.7" right="0.7" top="0.66" bottom="0.66" header="0.3" footer="0.3"/>
      <printOptions horizontalCentered="1"/>
      <pageSetup scale="65" orientation="landscape" r:id="rId2"/>
      <headerFooter>
        <oddHeader>&amp;L&amp;"Arial,Bold"&amp;12G. Crosswalk of 2013 Availability</oddHeader>
        <oddFooter>&amp;C&amp;"Arial,Regular"Exhibit G - Crosswalk of 2013 Availability&amp;R&amp;"Arial,Regular"Research, Evaluation, and Statistics</oddFooter>
      </headerFooter>
    </customSheetView>
    <customSheetView guid="{D19943A8-2C2A-430A-A724-8C7C332697C8}" scale="80" showPageBreaks="1" printArea="1" view="pageBreakPreview" topLeftCell="A7">
      <selection activeCell="D8" sqref="D8"/>
      <pageMargins left="0.7" right="0.7" top="0.66" bottom="0.66" header="0.3" footer="0.3"/>
      <printOptions horizontalCentered="1"/>
      <pageSetup scale="65" orientation="landscape" r:id="rId3"/>
      <headerFooter>
        <oddHeader>&amp;L&amp;"Arial,Bold"&amp;12G. Crosswalk of 2013 Availability</oddHeader>
        <oddFooter>&amp;C&amp;"Arial,Regular"Exhibit G - Crosswalk of 2013 Availability&amp;R&amp;"Arial,Regular"Research, Evaluation, and Statistics</oddFooter>
      </headerFooter>
    </customSheetView>
    <customSheetView guid="{C6D68C6D-939C-4DFA-9385-A3F05DFB5EDA}" scale="80" showPageBreaks="1" printArea="1" view="pageBreakPreview" topLeftCell="A7">
      <selection activeCell="D8" sqref="D8"/>
      <pageMargins left="0.7" right="0.7" top="0.66" bottom="0.66" header="0.3" footer="0.3"/>
      <printOptions horizontalCentered="1"/>
      <pageSetup scale="65" orientation="landscape" r:id="rId4"/>
      <headerFooter>
        <oddHeader>&amp;L&amp;"Arial,Bold"&amp;12G. Crosswalk of 2013 Availability</oddHeader>
        <oddFooter>&amp;C&amp;"Arial,Regular"Exhibit G - Crosswalk of 2013 Availability&amp;R&amp;"Arial,Regular"Research, Evaluation, and Statistics</oddFooter>
      </headerFooter>
    </customSheetView>
  </customSheetViews>
  <mergeCells count="14">
    <mergeCell ref="A45:M45"/>
    <mergeCell ref="A1:M1"/>
    <mergeCell ref="A2:M2"/>
    <mergeCell ref="A3:M3"/>
    <mergeCell ref="A4:M4"/>
    <mergeCell ref="A7:A8"/>
    <mergeCell ref="B7:D7"/>
    <mergeCell ref="F7:H7"/>
    <mergeCell ref="K7:M7"/>
    <mergeCell ref="A38:M38"/>
    <mergeCell ref="A39:M39"/>
    <mergeCell ref="A41:M41"/>
    <mergeCell ref="A42:M42"/>
    <mergeCell ref="A44:M44"/>
  </mergeCells>
  <printOptions horizontalCentered="1"/>
  <pageMargins left="0.7" right="0.7" top="0.66" bottom="0.66" header="0.3" footer="0.3"/>
  <pageSetup scale="65" orientation="landscape" r:id="rId5"/>
  <headerFooter>
    <oddHeader>&amp;L&amp;"Arial,Bold"&amp;12G. Crosswalk of 2013 Availability</oddHeader>
    <oddFooter>&amp;C&amp;"Arial,Regular"Exhibit G - Crosswalk of 2013 Availability&amp;R&amp;"Arial,Regular"Research, Evaluation, and Statistics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view="pageBreakPreview" zoomScale="80" zoomScaleNormal="100" zoomScaleSheetLayoutView="80" workbookViewId="0">
      <selection activeCell="B8" sqref="B8"/>
    </sheetView>
  </sheetViews>
  <sheetFormatPr defaultColWidth="9.109375" defaultRowHeight="13.8" x14ac:dyDescent="0.25"/>
  <cols>
    <col min="1" max="1" width="37.10937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44</v>
      </c>
      <c r="B1" s="633"/>
      <c r="C1" s="633"/>
      <c r="D1" s="633"/>
      <c r="E1" s="633"/>
      <c r="F1" s="633"/>
      <c r="G1" s="633"/>
      <c r="H1" s="633"/>
      <c r="I1" s="633"/>
      <c r="J1" s="633"/>
      <c r="K1" s="633"/>
      <c r="L1" s="633"/>
      <c r="M1" s="633"/>
      <c r="N1" s="53" t="s">
        <v>20</v>
      </c>
      <c r="O1" s="9"/>
      <c r="P1" s="9"/>
      <c r="Q1" s="9"/>
      <c r="R1" s="9"/>
      <c r="S1" s="9"/>
      <c r="T1" s="9"/>
      <c r="U1" s="9"/>
    </row>
    <row r="2" spans="1:21" ht="15" x14ac:dyDescent="0.2">
      <c r="A2" s="634" t="str">
        <f>'[1]B. Summ of Req. - RES'!A2:D2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'[1]B. Summ of Req. - RES'!A3:D3</f>
        <v>Research, Evaluation, and Statistics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x14ac:dyDescent="0.25">
      <c r="A7" s="638" t="s">
        <v>157</v>
      </c>
      <c r="B7" s="641" t="s">
        <v>45</v>
      </c>
      <c r="C7" s="641"/>
      <c r="D7" s="641"/>
      <c r="E7" s="641" t="s">
        <v>158</v>
      </c>
      <c r="F7" s="641"/>
      <c r="G7" s="641"/>
      <c r="H7" s="641" t="s">
        <v>24</v>
      </c>
      <c r="I7" s="641"/>
      <c r="J7" s="641"/>
      <c r="K7" s="641" t="s">
        <v>46</v>
      </c>
      <c r="L7" s="641"/>
      <c r="M7" s="642"/>
      <c r="N7" s="53" t="s">
        <v>20</v>
      </c>
    </row>
    <row r="8" spans="1:21" ht="27.6" x14ac:dyDescent="0.25">
      <c r="A8" s="639"/>
      <c r="B8" s="222" t="s">
        <v>47</v>
      </c>
      <c r="C8" s="222" t="s">
        <v>48</v>
      </c>
      <c r="D8" s="222" t="s">
        <v>4</v>
      </c>
      <c r="E8" s="222" t="s">
        <v>47</v>
      </c>
      <c r="F8" s="222" t="s">
        <v>48</v>
      </c>
      <c r="G8" s="222" t="s">
        <v>4</v>
      </c>
      <c r="H8" s="222" t="s">
        <v>47</v>
      </c>
      <c r="I8" s="222" t="s">
        <v>48</v>
      </c>
      <c r="J8" s="222" t="s">
        <v>4</v>
      </c>
      <c r="K8" s="222" t="s">
        <v>47</v>
      </c>
      <c r="L8" s="222" t="s">
        <v>48</v>
      </c>
      <c r="M8" s="223" t="s">
        <v>4</v>
      </c>
      <c r="N8" s="53" t="s">
        <v>20</v>
      </c>
    </row>
    <row r="9" spans="1:21" ht="14.25" x14ac:dyDescent="0.2">
      <c r="A9" s="184" t="s">
        <v>184</v>
      </c>
      <c r="B9" s="225">
        <v>0</v>
      </c>
      <c r="C9" s="225">
        <v>0</v>
      </c>
      <c r="D9" s="225">
        <v>6</v>
      </c>
      <c r="E9" s="225">
        <v>0</v>
      </c>
      <c r="F9" s="225">
        <v>0</v>
      </c>
      <c r="G9" s="225">
        <v>6</v>
      </c>
      <c r="H9" s="225">
        <v>0</v>
      </c>
      <c r="I9" s="225">
        <v>0</v>
      </c>
      <c r="J9" s="225">
        <v>6</v>
      </c>
      <c r="K9" s="225">
        <f>H9-E9</f>
        <v>0</v>
      </c>
      <c r="L9" s="225">
        <f t="shared" ref="L9:M10" si="0">I9-F9</f>
        <v>0</v>
      </c>
      <c r="M9" s="226">
        <f t="shared" si="0"/>
        <v>0</v>
      </c>
      <c r="N9" s="53" t="s">
        <v>20</v>
      </c>
    </row>
    <row r="10" spans="1:21" ht="14.25" x14ac:dyDescent="0.2">
      <c r="A10" s="274" t="s">
        <v>264</v>
      </c>
      <c r="B10" s="230">
        <v>0</v>
      </c>
      <c r="C10" s="230">
        <v>0</v>
      </c>
      <c r="D10" s="230">
        <f>109.8+450+250</f>
        <v>809.8</v>
      </c>
      <c r="E10" s="230">
        <v>0</v>
      </c>
      <c r="F10" s="230">
        <v>0</v>
      </c>
      <c r="G10" s="230">
        <v>810</v>
      </c>
      <c r="H10" s="230">
        <v>0</v>
      </c>
      <c r="I10" s="230">
        <v>0</v>
      </c>
      <c r="J10" s="230">
        <v>810</v>
      </c>
      <c r="K10" s="230">
        <f t="shared" ref="K10" si="1">H10-E10</f>
        <v>0</v>
      </c>
      <c r="L10" s="230">
        <f t="shared" si="0"/>
        <v>0</v>
      </c>
      <c r="M10" s="231">
        <f t="shared" si="0"/>
        <v>0</v>
      </c>
      <c r="N10" s="53" t="s">
        <v>20</v>
      </c>
    </row>
    <row r="11" spans="1:21" x14ac:dyDescent="0.25">
      <c r="A11" s="16" t="s">
        <v>148</v>
      </c>
      <c r="B11" s="143">
        <f t="shared" ref="B11:M11" si="2">SUM(B9:B10)</f>
        <v>0</v>
      </c>
      <c r="C11" s="143">
        <f t="shared" si="2"/>
        <v>0</v>
      </c>
      <c r="D11" s="143">
        <f t="shared" si="2"/>
        <v>815.8</v>
      </c>
      <c r="E11" s="143">
        <f t="shared" si="2"/>
        <v>0</v>
      </c>
      <c r="F11" s="143">
        <f t="shared" si="2"/>
        <v>0</v>
      </c>
      <c r="G11" s="143">
        <f t="shared" si="2"/>
        <v>816</v>
      </c>
      <c r="H11" s="143">
        <f t="shared" si="2"/>
        <v>0</v>
      </c>
      <c r="I11" s="143">
        <f t="shared" si="2"/>
        <v>0</v>
      </c>
      <c r="J11" s="143">
        <f t="shared" si="2"/>
        <v>816</v>
      </c>
      <c r="K11" s="143">
        <f t="shared" si="2"/>
        <v>0</v>
      </c>
      <c r="L11" s="143">
        <f t="shared" si="2"/>
        <v>0</v>
      </c>
      <c r="M11" s="144">
        <f t="shared" si="2"/>
        <v>0</v>
      </c>
      <c r="N11" s="53" t="s">
        <v>20</v>
      </c>
    </row>
    <row r="12" spans="1:21" ht="14.4" thickBot="1" x14ac:dyDescent="0.3">
      <c r="N12" s="53" t="s">
        <v>20</v>
      </c>
    </row>
    <row r="13" spans="1:21" ht="18" customHeight="1" x14ac:dyDescent="0.25">
      <c r="A13" s="638" t="s">
        <v>140</v>
      </c>
      <c r="B13" s="641" t="s">
        <v>45</v>
      </c>
      <c r="C13" s="641"/>
      <c r="D13" s="641"/>
      <c r="E13" s="641" t="s">
        <v>158</v>
      </c>
      <c r="F13" s="641"/>
      <c r="G13" s="641"/>
      <c r="H13" s="641" t="s">
        <v>24</v>
      </c>
      <c r="I13" s="641"/>
      <c r="J13" s="641"/>
      <c r="K13" s="641" t="s">
        <v>46</v>
      </c>
      <c r="L13" s="641"/>
      <c r="M13" s="642"/>
      <c r="N13" s="53" t="s">
        <v>20</v>
      </c>
    </row>
    <row r="14" spans="1:21" ht="27.6" x14ac:dyDescent="0.25">
      <c r="A14" s="639"/>
      <c r="B14" s="222" t="s">
        <v>47</v>
      </c>
      <c r="C14" s="222" t="s">
        <v>48</v>
      </c>
      <c r="D14" s="222" t="s">
        <v>4</v>
      </c>
      <c r="E14" s="222" t="s">
        <v>47</v>
      </c>
      <c r="F14" s="222" t="s">
        <v>48</v>
      </c>
      <c r="G14" s="222" t="s">
        <v>4</v>
      </c>
      <c r="H14" s="222" t="s">
        <v>47</v>
      </c>
      <c r="I14" s="222" t="s">
        <v>48</v>
      </c>
      <c r="J14" s="222" t="s">
        <v>4</v>
      </c>
      <c r="K14" s="222" t="s">
        <v>47</v>
      </c>
      <c r="L14" s="222" t="s">
        <v>48</v>
      </c>
      <c r="M14" s="223" t="s">
        <v>4</v>
      </c>
      <c r="N14" s="53" t="s">
        <v>20</v>
      </c>
    </row>
    <row r="15" spans="1:21" x14ac:dyDescent="0.25">
      <c r="A15" s="184" t="s">
        <v>265</v>
      </c>
      <c r="B15" s="225">
        <v>0</v>
      </c>
      <c r="C15" s="225">
        <v>0</v>
      </c>
      <c r="D15" s="225">
        <v>250</v>
      </c>
      <c r="E15" s="225">
        <v>0</v>
      </c>
      <c r="F15" s="225">
        <v>0</v>
      </c>
      <c r="G15" s="225">
        <v>250</v>
      </c>
      <c r="H15" s="225">
        <v>0</v>
      </c>
      <c r="I15" s="225">
        <v>0</v>
      </c>
      <c r="J15" s="225">
        <v>250</v>
      </c>
      <c r="K15" s="225">
        <f>H15-E15</f>
        <v>0</v>
      </c>
      <c r="L15" s="225">
        <f t="shared" ref="L15:M17" si="3">I15-F15</f>
        <v>0</v>
      </c>
      <c r="M15" s="226">
        <f t="shared" si="3"/>
        <v>0</v>
      </c>
      <c r="N15" s="53" t="s">
        <v>20</v>
      </c>
    </row>
    <row r="16" spans="1:21" ht="27.6" x14ac:dyDescent="0.25">
      <c r="A16" s="228" t="s">
        <v>266</v>
      </c>
      <c r="B16" s="208">
        <v>0</v>
      </c>
      <c r="C16" s="208">
        <v>0</v>
      </c>
      <c r="D16" s="208">
        <v>109.8</v>
      </c>
      <c r="E16" s="208">
        <v>0</v>
      </c>
      <c r="F16" s="208">
        <v>0</v>
      </c>
      <c r="G16" s="208">
        <v>110</v>
      </c>
      <c r="H16" s="208">
        <v>0</v>
      </c>
      <c r="I16" s="208">
        <v>0</v>
      </c>
      <c r="J16" s="208">
        <v>110</v>
      </c>
      <c r="K16" s="208">
        <f t="shared" ref="K16:K17" si="4">H16-E16</f>
        <v>0</v>
      </c>
      <c r="L16" s="208">
        <f t="shared" si="3"/>
        <v>0</v>
      </c>
      <c r="M16" s="205">
        <f t="shared" si="3"/>
        <v>0</v>
      </c>
      <c r="N16" s="53" t="s">
        <v>20</v>
      </c>
    </row>
    <row r="17" spans="1:14" ht="27.6" x14ac:dyDescent="0.25">
      <c r="A17" s="228" t="s">
        <v>267</v>
      </c>
      <c r="B17" s="230">
        <v>0</v>
      </c>
      <c r="C17" s="230">
        <v>0</v>
      </c>
      <c r="D17" s="230">
        <v>456</v>
      </c>
      <c r="E17" s="230">
        <v>0</v>
      </c>
      <c r="F17" s="230">
        <v>0</v>
      </c>
      <c r="G17" s="230">
        <v>456</v>
      </c>
      <c r="H17" s="230">
        <v>0</v>
      </c>
      <c r="I17" s="230">
        <v>0</v>
      </c>
      <c r="J17" s="230">
        <v>456</v>
      </c>
      <c r="K17" s="230">
        <f t="shared" si="4"/>
        <v>0</v>
      </c>
      <c r="L17" s="230">
        <f t="shared" si="3"/>
        <v>0</v>
      </c>
      <c r="M17" s="231">
        <f t="shared" si="3"/>
        <v>0</v>
      </c>
      <c r="N17" s="53" t="s">
        <v>20</v>
      </c>
    </row>
    <row r="18" spans="1:14" x14ac:dyDescent="0.25">
      <c r="A18" s="16" t="s">
        <v>148</v>
      </c>
      <c r="B18" s="143">
        <f t="shared" ref="B18:M18" si="5">SUM(B15:B17)</f>
        <v>0</v>
      </c>
      <c r="C18" s="143">
        <f t="shared" si="5"/>
        <v>0</v>
      </c>
      <c r="D18" s="143">
        <f t="shared" si="5"/>
        <v>815.8</v>
      </c>
      <c r="E18" s="143">
        <f t="shared" si="5"/>
        <v>0</v>
      </c>
      <c r="F18" s="143">
        <f t="shared" si="5"/>
        <v>0</v>
      </c>
      <c r="G18" s="143">
        <f t="shared" si="5"/>
        <v>816</v>
      </c>
      <c r="H18" s="143">
        <f t="shared" si="5"/>
        <v>0</v>
      </c>
      <c r="I18" s="143">
        <f t="shared" si="5"/>
        <v>0</v>
      </c>
      <c r="J18" s="143">
        <f t="shared" si="5"/>
        <v>816</v>
      </c>
      <c r="K18" s="143">
        <f t="shared" si="5"/>
        <v>0</v>
      </c>
      <c r="L18" s="143">
        <f t="shared" si="5"/>
        <v>0</v>
      </c>
      <c r="M18" s="144">
        <f t="shared" si="5"/>
        <v>0</v>
      </c>
      <c r="N18" s="53" t="s">
        <v>20</v>
      </c>
    </row>
    <row r="19" spans="1:14" x14ac:dyDescent="0.25">
      <c r="N19" s="53" t="s">
        <v>20</v>
      </c>
    </row>
    <row r="20" spans="1:14" x14ac:dyDescent="0.25">
      <c r="N20" s="53" t="s">
        <v>21</v>
      </c>
    </row>
  </sheetData>
  <customSheetViews>
    <customSheetView guid="{5B2D5037-506A-47D5-AF28-C337BC9133BD}" scale="80" showPageBreaks="1" printArea="1" view="pageBreakPreview">
      <selection activeCell="B8" sqref="B8"/>
      <pageMargins left="0.7" right="0.7" top="0.75" bottom="0.75" header="0.3" footer="0.3"/>
      <printOptions horizontalCentered="1"/>
      <pageSetup scale="79" orientation="landscape" r:id="rId1"/>
      <headerFooter>
        <oddHeader>&amp;L&amp;"Arial,Bold"&amp;12H. Summary of Reimbursable Resources</oddHeader>
        <oddFooter>&amp;C&amp;"Arial,Regular"Exhibit H - Summary of Reimbursable Resources&amp;R&amp;"Arial,Regular"Research, Evaluation, and Statistics</oddFooter>
      </headerFooter>
    </customSheetView>
    <customSheetView guid="{08380F1E-0CB7-4B3B-924E-2A270EA8DD30}" scale="80" showPageBreaks="1" printArea="1" view="pageBreakPreview">
      <selection activeCell="B8" sqref="B8"/>
      <pageMargins left="0.7" right="0.7" top="0.75" bottom="0.75" header="0.3" footer="0.3"/>
      <printOptions horizontalCentered="1"/>
      <pageSetup scale="79" orientation="landscape" r:id="rId2"/>
      <headerFooter>
        <oddHeader>&amp;L&amp;"Arial,Bold"&amp;12H. Summary of Reimbursable Resources</oddHeader>
        <oddFooter>&amp;C&amp;"Arial,Regular"Exhibit H - Summary of Reimbursable Resources&amp;R&amp;"Arial,Regular"Research, Evaluation, and Statistics</oddFooter>
      </headerFooter>
    </customSheetView>
    <customSheetView guid="{D19943A8-2C2A-430A-A724-8C7C332697C8}" scale="80" showPageBreaks="1" printArea="1" view="pageBreakPreview">
      <selection activeCell="B8" sqref="B8"/>
      <pageMargins left="0.7" right="0.7" top="0.75" bottom="0.75" header="0.3" footer="0.3"/>
      <printOptions horizontalCentered="1"/>
      <pageSetup scale="79" orientation="landscape" r:id="rId3"/>
      <headerFooter>
        <oddHeader>&amp;L&amp;"Arial,Bold"&amp;12H. Summary of Reimbursable Resources</oddHeader>
        <oddFooter>&amp;C&amp;"Arial,Regular"Exhibit H - Summary of Reimbursable Resources&amp;R&amp;"Arial,Regular"Research, Evaluation, and Statistics</oddFooter>
      </headerFooter>
    </customSheetView>
    <customSheetView guid="{C6D68C6D-939C-4DFA-9385-A3F05DFB5EDA}" scale="80" showPageBreaks="1" printArea="1" view="pageBreakPreview">
      <selection activeCell="B8" sqref="B8"/>
      <pageMargins left="0.7" right="0.7" top="0.75" bottom="0.75" header="0.3" footer="0.3"/>
      <printOptions horizontalCentered="1"/>
      <pageSetup scale="79" orientation="landscape" r:id="rId4"/>
      <headerFooter>
        <oddHeader>&amp;L&amp;"Arial,Bold"&amp;12H. Summary of Reimbursable Resources</oddHeader>
        <oddFooter>&amp;C&amp;"Arial,Regular"Exhibit H - Summary of Reimbursable Resources&amp;R&amp;"Arial,Regular"Research, Evaluation, and Statistics</oddFooter>
      </headerFooter>
    </customSheetView>
  </customSheetViews>
  <mergeCells count="16">
    <mergeCell ref="A7:A8"/>
    <mergeCell ref="B7:D7"/>
    <mergeCell ref="E7:G7"/>
    <mergeCell ref="H7:J7"/>
    <mergeCell ref="K7:M7"/>
    <mergeCell ref="A13:A14"/>
    <mergeCell ref="B13:D13"/>
    <mergeCell ref="E13:G13"/>
    <mergeCell ref="H13:J13"/>
    <mergeCell ref="K13:M13"/>
    <mergeCell ref="A6:M6"/>
    <mergeCell ref="A1:M1"/>
    <mergeCell ref="A2:M2"/>
    <mergeCell ref="A3:M3"/>
    <mergeCell ref="A4:M4"/>
    <mergeCell ref="A5:M5"/>
  </mergeCells>
  <printOptions horizontalCentered="1"/>
  <pageMargins left="0.7" right="0.7" top="0.75" bottom="0.75" header="0.3" footer="0.3"/>
  <pageSetup scale="79" orientation="landscape" r:id="rId5"/>
  <headerFooter>
    <oddHeader>&amp;L&amp;"Arial,Bold"&amp;12H. Summary of Reimbursable Resources</oddHeader>
    <oddFooter>&amp;C&amp;"Arial,Regular"Exhibit H - Summary of Reimbursable Resources&amp;R&amp;"Arial,Regular"Research, Evaluation, and Statistics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view="pageBreakPreview" zoomScale="80" zoomScaleNormal="100" zoomScaleSheetLayoutView="80" workbookViewId="0">
      <selection activeCell="I16" sqref="I16"/>
    </sheetView>
  </sheetViews>
  <sheetFormatPr defaultColWidth="9.109375" defaultRowHeight="13.8" x14ac:dyDescent="0.25"/>
  <cols>
    <col min="1" max="1" width="63.5546875" style="178" customWidth="1"/>
    <col min="2" max="2" width="8.6640625" style="178" customWidth="1"/>
    <col min="3" max="3" width="12.6640625" style="178" customWidth="1"/>
    <col min="4" max="4" width="8.6640625" style="178" customWidth="1"/>
    <col min="5" max="5" width="12.6640625" style="178" customWidth="1"/>
    <col min="6" max="6" width="8.6640625" style="178" customWidth="1"/>
    <col min="7" max="7" width="12.6640625" style="178" customWidth="1"/>
    <col min="8" max="8" width="8.6640625" style="178" customWidth="1"/>
    <col min="9" max="9" width="12.6640625" style="178" customWidth="1"/>
    <col min="10" max="10" width="8.6640625" style="178" customWidth="1"/>
    <col min="11"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98</v>
      </c>
      <c r="B1" s="633"/>
      <c r="C1" s="633"/>
      <c r="D1" s="633"/>
      <c r="E1" s="633"/>
      <c r="F1" s="633"/>
      <c r="G1" s="633"/>
      <c r="H1" s="633"/>
      <c r="I1" s="633"/>
      <c r="J1" s="633"/>
      <c r="K1" s="633"/>
      <c r="L1" s="633"/>
      <c r="M1" s="633"/>
      <c r="N1" s="53" t="s">
        <v>20</v>
      </c>
      <c r="O1" s="9"/>
      <c r="P1" s="9"/>
      <c r="Q1" s="9"/>
      <c r="R1" s="9"/>
      <c r="S1" s="9"/>
      <c r="T1" s="9"/>
      <c r="U1" s="9"/>
    </row>
    <row r="2" spans="1:21" ht="15" x14ac:dyDescent="0.2">
      <c r="A2" s="634" t="str">
        <f>'[1]B. Summ of Req. - RES'!A2:D2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'[1]B. Summ of Req. - RES'!A3:D3</f>
        <v>Research, Evaluation, and Statistics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191"/>
      <c r="M5" s="191"/>
      <c r="N5" s="53" t="s">
        <v>20</v>
      </c>
      <c r="O5" s="11"/>
      <c r="P5" s="11"/>
      <c r="Q5" s="11"/>
      <c r="R5" s="11"/>
      <c r="S5" s="11"/>
      <c r="T5" s="11"/>
      <c r="U5" s="11"/>
    </row>
    <row r="6" spans="1:21" x14ac:dyDescent="0.25">
      <c r="A6" s="722"/>
      <c r="B6" s="679" t="s">
        <v>185</v>
      </c>
      <c r="C6" s="725"/>
      <c r="D6" s="725"/>
      <c r="E6" s="725"/>
      <c r="F6" s="725"/>
      <c r="G6" s="725"/>
      <c r="H6" s="679" t="s">
        <v>185</v>
      </c>
      <c r="I6" s="725"/>
      <c r="J6" s="725"/>
      <c r="K6" s="725"/>
      <c r="L6" s="695" t="s">
        <v>17</v>
      </c>
      <c r="M6" s="726"/>
      <c r="N6" s="53" t="s">
        <v>20</v>
      </c>
    </row>
    <row r="7" spans="1:21" ht="15" customHeight="1" x14ac:dyDescent="0.25">
      <c r="A7" s="723"/>
      <c r="B7" s="679" t="s">
        <v>268</v>
      </c>
      <c r="C7" s="680"/>
      <c r="D7" s="679" t="s">
        <v>268</v>
      </c>
      <c r="E7" s="680"/>
      <c r="F7" s="679" t="s">
        <v>268</v>
      </c>
      <c r="G7" s="680"/>
      <c r="H7" s="679" t="s">
        <v>268</v>
      </c>
      <c r="I7" s="680"/>
      <c r="J7" s="679" t="s">
        <v>269</v>
      </c>
      <c r="K7" s="680"/>
      <c r="L7" s="727"/>
      <c r="M7" s="728"/>
      <c r="N7" s="53" t="s">
        <v>20</v>
      </c>
    </row>
    <row r="8" spans="1:21" ht="60" customHeight="1" x14ac:dyDescent="0.25">
      <c r="A8" s="723"/>
      <c r="B8" s="679" t="s">
        <v>197</v>
      </c>
      <c r="C8" s="680"/>
      <c r="D8" s="679" t="s">
        <v>198</v>
      </c>
      <c r="E8" s="680"/>
      <c r="F8" s="679" t="s">
        <v>199</v>
      </c>
      <c r="G8" s="680"/>
      <c r="H8" s="679" t="s">
        <v>200</v>
      </c>
      <c r="I8" s="680"/>
      <c r="J8" s="679" t="s">
        <v>204</v>
      </c>
      <c r="K8" s="680"/>
      <c r="L8" s="729"/>
      <c r="M8" s="716"/>
      <c r="N8" s="53" t="s">
        <v>20</v>
      </c>
    </row>
    <row r="9" spans="1:21" ht="27.6" x14ac:dyDescent="0.25">
      <c r="A9" s="724"/>
      <c r="B9" s="222" t="s">
        <v>3</v>
      </c>
      <c r="C9" s="222" t="s">
        <v>4</v>
      </c>
      <c r="D9" s="222" t="s">
        <v>3</v>
      </c>
      <c r="E9" s="222" t="s">
        <v>4</v>
      </c>
      <c r="F9" s="222" t="s">
        <v>3</v>
      </c>
      <c r="G9" s="222" t="s">
        <v>4</v>
      </c>
      <c r="H9" s="222" t="s">
        <v>3</v>
      </c>
      <c r="I9" s="222" t="s">
        <v>4</v>
      </c>
      <c r="J9" s="222" t="s">
        <v>3</v>
      </c>
      <c r="K9" s="222" t="s">
        <v>4</v>
      </c>
      <c r="L9" s="222" t="s">
        <v>3</v>
      </c>
      <c r="M9" s="222" t="s">
        <v>4</v>
      </c>
      <c r="N9" s="53" t="s">
        <v>20</v>
      </c>
    </row>
    <row r="10" spans="1:21" x14ac:dyDescent="0.25">
      <c r="A10" s="275" t="s">
        <v>80</v>
      </c>
      <c r="B10" s="234"/>
      <c r="C10" s="234">
        <v>4.87</v>
      </c>
      <c r="D10" s="234"/>
      <c r="E10" s="234">
        <v>3</v>
      </c>
      <c r="F10" s="234"/>
      <c r="G10" s="234">
        <v>1</v>
      </c>
      <c r="H10" s="234"/>
      <c r="I10" s="234">
        <v>6</v>
      </c>
      <c r="J10" s="234"/>
      <c r="K10" s="234">
        <v>-1</v>
      </c>
      <c r="L10" s="234"/>
      <c r="M10" s="234">
        <f>C10+E10+G10+I10+K10</f>
        <v>13.870000000000001</v>
      </c>
      <c r="N10" s="53" t="s">
        <v>20</v>
      </c>
    </row>
    <row r="11" spans="1:21" x14ac:dyDescent="0.25">
      <c r="A11" s="275" t="s">
        <v>81</v>
      </c>
      <c r="B11" s="234"/>
      <c r="C11" s="234">
        <v>394.26</v>
      </c>
      <c r="D11" s="234"/>
      <c r="E11" s="234">
        <v>224</v>
      </c>
      <c r="F11" s="234"/>
      <c r="G11" s="234">
        <v>100</v>
      </c>
      <c r="H11" s="234"/>
      <c r="I11" s="234">
        <v>449</v>
      </c>
      <c r="J11" s="234"/>
      <c r="K11" s="234">
        <v>-100</v>
      </c>
      <c r="L11" s="234"/>
      <c r="M11" s="234">
        <f t="shared" ref="M11:M16" si="0">C11+E11+G11+I11+K11</f>
        <v>1067.26</v>
      </c>
      <c r="N11" s="53" t="s">
        <v>20</v>
      </c>
    </row>
    <row r="12" spans="1:21" x14ac:dyDescent="0.25">
      <c r="A12" s="275" t="s">
        <v>82</v>
      </c>
      <c r="B12" s="234"/>
      <c r="C12" s="234">
        <v>85.14</v>
      </c>
      <c r="D12" s="234"/>
      <c r="E12" s="234">
        <v>19</v>
      </c>
      <c r="F12" s="234"/>
      <c r="G12" s="234">
        <v>22</v>
      </c>
      <c r="H12" s="234"/>
      <c r="I12" s="234">
        <v>38</v>
      </c>
      <c r="J12" s="234"/>
      <c r="K12" s="234">
        <v>-22</v>
      </c>
      <c r="L12" s="234"/>
      <c r="M12" s="234">
        <f t="shared" si="0"/>
        <v>142.13999999999999</v>
      </c>
      <c r="N12" s="53" t="s">
        <v>20</v>
      </c>
    </row>
    <row r="13" spans="1:21" x14ac:dyDescent="0.25">
      <c r="A13" s="275" t="s">
        <v>83</v>
      </c>
      <c r="B13" s="234"/>
      <c r="C13" s="234">
        <v>2151.34</v>
      </c>
      <c r="D13" s="234"/>
      <c r="E13" s="234">
        <v>1265</v>
      </c>
      <c r="F13" s="234"/>
      <c r="G13" s="234">
        <v>545</v>
      </c>
      <c r="H13" s="234"/>
      <c r="I13" s="234">
        <v>2530</v>
      </c>
      <c r="J13" s="234"/>
      <c r="K13" s="234">
        <v>-545</v>
      </c>
      <c r="L13" s="234"/>
      <c r="M13" s="234">
        <f t="shared" si="0"/>
        <v>5946.34</v>
      </c>
      <c r="N13" s="53" t="s">
        <v>20</v>
      </c>
    </row>
    <row r="14" spans="1:21" x14ac:dyDescent="0.25">
      <c r="A14" s="275" t="s">
        <v>88</v>
      </c>
      <c r="B14" s="234"/>
      <c r="C14" s="234">
        <v>0</v>
      </c>
      <c r="D14" s="234"/>
      <c r="E14" s="234">
        <v>0</v>
      </c>
      <c r="F14" s="234"/>
      <c r="G14" s="234">
        <v>0</v>
      </c>
      <c r="H14" s="234"/>
      <c r="I14" s="234">
        <v>0</v>
      </c>
      <c r="J14" s="234"/>
      <c r="K14" s="234">
        <v>0</v>
      </c>
      <c r="L14" s="234"/>
      <c r="M14" s="234">
        <f t="shared" si="0"/>
        <v>0</v>
      </c>
      <c r="N14" s="53" t="s">
        <v>20</v>
      </c>
    </row>
    <row r="15" spans="1:21" x14ac:dyDescent="0.25">
      <c r="A15" s="275" t="s">
        <v>89</v>
      </c>
      <c r="B15" s="234"/>
      <c r="C15" s="234">
        <v>9.57</v>
      </c>
      <c r="D15" s="234"/>
      <c r="E15" s="234">
        <v>2</v>
      </c>
      <c r="F15" s="234"/>
      <c r="G15" s="234">
        <v>2</v>
      </c>
      <c r="H15" s="234"/>
      <c r="I15" s="234">
        <v>4</v>
      </c>
      <c r="J15" s="234"/>
      <c r="K15" s="234">
        <v>-2</v>
      </c>
      <c r="L15" s="276"/>
      <c r="M15" s="276">
        <f t="shared" si="0"/>
        <v>15.57</v>
      </c>
      <c r="N15" s="53" t="s">
        <v>20</v>
      </c>
    </row>
    <row r="16" spans="1:21" x14ac:dyDescent="0.25">
      <c r="A16" s="277" t="s">
        <v>270</v>
      </c>
      <c r="B16" s="276"/>
      <c r="C16" s="276">
        <f>5254.34</f>
        <v>5254.34</v>
      </c>
      <c r="D16" s="276"/>
      <c r="E16" s="276">
        <v>2987</v>
      </c>
      <c r="F16" s="276"/>
      <c r="G16" s="276">
        <v>1330</v>
      </c>
      <c r="H16" s="276"/>
      <c r="I16" s="276">
        <v>5973</v>
      </c>
      <c r="J16" s="276"/>
      <c r="K16" s="276">
        <v>-1330</v>
      </c>
      <c r="L16" s="276"/>
      <c r="M16" s="276">
        <f t="shared" si="0"/>
        <v>14214.34</v>
      </c>
      <c r="N16" s="53" t="s">
        <v>20</v>
      </c>
    </row>
    <row r="17" spans="1:14" x14ac:dyDescent="0.25">
      <c r="A17" s="66" t="s">
        <v>145</v>
      </c>
      <c r="B17" s="143">
        <f t="shared" ref="B17:M17" si="1">SUM(B10:B16)</f>
        <v>0</v>
      </c>
      <c r="C17" s="143">
        <f t="shared" si="1"/>
        <v>7899.52</v>
      </c>
      <c r="D17" s="143">
        <f t="shared" si="1"/>
        <v>0</v>
      </c>
      <c r="E17" s="143">
        <f t="shared" si="1"/>
        <v>4500</v>
      </c>
      <c r="F17" s="143">
        <f t="shared" si="1"/>
        <v>0</v>
      </c>
      <c r="G17" s="143">
        <f t="shared" si="1"/>
        <v>2000</v>
      </c>
      <c r="H17" s="143">
        <f t="shared" si="1"/>
        <v>0</v>
      </c>
      <c r="I17" s="143">
        <f>SUM(I10:I16)</f>
        <v>9000</v>
      </c>
      <c r="J17" s="143">
        <f t="shared" si="1"/>
        <v>0</v>
      </c>
      <c r="K17" s="143">
        <f t="shared" si="1"/>
        <v>-2000</v>
      </c>
      <c r="L17" s="143">
        <f t="shared" si="1"/>
        <v>0</v>
      </c>
      <c r="M17" s="143">
        <f t="shared" si="1"/>
        <v>21399.52</v>
      </c>
      <c r="N17" s="53" t="s">
        <v>20</v>
      </c>
    </row>
    <row r="18" spans="1:14" x14ac:dyDescent="0.25">
      <c r="A18" s="65"/>
      <c r="B18" s="64"/>
      <c r="C18" s="64"/>
      <c r="D18" s="64"/>
      <c r="E18" s="64"/>
      <c r="F18" s="64"/>
      <c r="G18" s="64"/>
      <c r="H18" s="64"/>
      <c r="I18" s="64"/>
      <c r="J18" s="64"/>
      <c r="K18" s="64"/>
      <c r="L18" s="64"/>
      <c r="M18" s="64"/>
      <c r="N18" s="53" t="s">
        <v>20</v>
      </c>
    </row>
    <row r="19" spans="1:14" x14ac:dyDescent="0.25">
      <c r="A19" s="278"/>
      <c r="B19" s="278"/>
      <c r="C19" s="278"/>
      <c r="D19" s="278"/>
      <c r="E19" s="278"/>
      <c r="F19" s="278"/>
      <c r="G19" s="278"/>
      <c r="H19" s="278"/>
      <c r="I19" s="278"/>
      <c r="J19" s="278"/>
      <c r="K19" s="278"/>
      <c r="N19" s="53" t="s">
        <v>20</v>
      </c>
    </row>
    <row r="20" spans="1:14" x14ac:dyDescent="0.25">
      <c r="N20" s="53" t="s">
        <v>21</v>
      </c>
    </row>
    <row r="21" spans="1:14" x14ac:dyDescent="0.25">
      <c r="C21" s="459"/>
    </row>
    <row r="22" spans="1:14" x14ac:dyDescent="0.25">
      <c r="C22" s="459"/>
    </row>
    <row r="23" spans="1:14" x14ac:dyDescent="0.25">
      <c r="C23" s="459"/>
    </row>
    <row r="24" spans="1:14" x14ac:dyDescent="0.25">
      <c r="C24" s="459"/>
    </row>
    <row r="25" spans="1:14" x14ac:dyDescent="0.25">
      <c r="C25" s="459"/>
    </row>
    <row r="26" spans="1:14" x14ac:dyDescent="0.25">
      <c r="C26" s="459"/>
    </row>
    <row r="27" spans="1:14" x14ac:dyDescent="0.25">
      <c r="C27" s="459"/>
    </row>
  </sheetData>
  <customSheetViews>
    <customSheetView guid="{5B2D5037-506A-47D5-AF28-C337BC9133BD}" scale="80" showPageBreaks="1" printArea="1" view="pageBreakPreview">
      <selection activeCell="I16" sqref="I16"/>
      <pageMargins left="0.7" right="0.7" top="0.52" bottom="0.39" header="0.3" footer="0.23"/>
      <printOptions horizontalCentered="1"/>
      <pageSetup scale="56" fitToHeight="2" orientation="landscape" r:id="rId1"/>
      <headerFooter>
        <oddHeader xml:space="preserve">&amp;L&amp;"Arial,Bold"&amp;12J. Financial Analysis of Program Changes
</oddHeader>
        <oddFooter>&amp;C&amp;"Arial,Regular"Exhibit J - Financial Analysis of Program Changes&amp;R&amp;"Arial,Regular"Research, Evaluation, and Statistics</oddFooter>
      </headerFooter>
    </customSheetView>
    <customSheetView guid="{08380F1E-0CB7-4B3B-924E-2A270EA8DD30}" scale="80" showPageBreaks="1" printArea="1" view="pageBreakPreview">
      <selection activeCell="I16" sqref="I16"/>
      <pageMargins left="0.7" right="0.7" top="0.52" bottom="0.39" header="0.3" footer="0.23"/>
      <printOptions horizontalCentered="1"/>
      <pageSetup scale="56" fitToHeight="2" orientation="landscape" r:id="rId2"/>
      <headerFooter>
        <oddHeader xml:space="preserve">&amp;L&amp;"Arial,Bold"&amp;12J. Financial Analysis of Program Changes
</oddHeader>
        <oddFooter>&amp;C&amp;"Arial,Regular"Exhibit J - Financial Analysis of Program Changes&amp;R&amp;"Arial,Regular"Research, Evaluation, and Statistics</oddFooter>
      </headerFooter>
    </customSheetView>
    <customSheetView guid="{D19943A8-2C2A-430A-A724-8C7C332697C8}" scale="80" showPageBreaks="1" printArea="1" view="pageBreakPreview">
      <selection activeCell="I16" sqref="I16"/>
      <pageMargins left="0.7" right="0.7" top="0.52" bottom="0.39" header="0.3" footer="0.23"/>
      <printOptions horizontalCentered="1"/>
      <pageSetup scale="56" fitToHeight="2" orientation="landscape" r:id="rId3"/>
      <headerFooter>
        <oddHeader xml:space="preserve">&amp;L&amp;"Arial,Bold"&amp;12J. Financial Analysis of Program Changes
</oddHeader>
        <oddFooter>&amp;C&amp;"Arial,Regular"Exhibit J - Financial Analysis of Program Changes&amp;R&amp;"Arial,Regular"Research, Evaluation, and Statistics</oddFooter>
      </headerFooter>
    </customSheetView>
    <customSheetView guid="{C6D68C6D-939C-4DFA-9385-A3F05DFB5EDA}" scale="80" showPageBreaks="1" printArea="1" view="pageBreakPreview">
      <selection activeCell="I16" sqref="I16"/>
      <pageMargins left="0.7" right="0.7" top="0.52" bottom="0.39" header="0.3" footer="0.23"/>
      <printOptions horizontalCentered="1"/>
      <pageSetup scale="56" fitToHeight="2" orientation="landscape" r:id="rId4"/>
      <headerFooter>
        <oddHeader xml:space="preserve">&amp;L&amp;"Arial,Bold"&amp;12J. Financial Analysis of Program Changes
</oddHeader>
        <oddFooter>&amp;C&amp;"Arial,Regular"Exhibit J - Financial Analysis of Program Changes&amp;R&amp;"Arial,Regular"Research, Evaluation, and Statistics</oddFooter>
      </headerFooter>
    </customSheetView>
  </customSheetViews>
  <mergeCells count="19">
    <mergeCell ref="A1:M1"/>
    <mergeCell ref="A2:M2"/>
    <mergeCell ref="A3:M3"/>
    <mergeCell ref="A4:M4"/>
    <mergeCell ref="A5:K5"/>
    <mergeCell ref="A6:A9"/>
    <mergeCell ref="B6:G6"/>
    <mergeCell ref="H6:K6"/>
    <mergeCell ref="L6:M8"/>
    <mergeCell ref="B7:C7"/>
    <mergeCell ref="D7:E7"/>
    <mergeCell ref="F7:G7"/>
    <mergeCell ref="H7:I7"/>
    <mergeCell ref="J7:K7"/>
    <mergeCell ref="B8:C8"/>
    <mergeCell ref="D8:E8"/>
    <mergeCell ref="F8:G8"/>
    <mergeCell ref="H8:I8"/>
    <mergeCell ref="J8:K8"/>
  </mergeCells>
  <printOptions horizontalCentered="1"/>
  <pageMargins left="0.7" right="0.7" top="0.52" bottom="0.39" header="0.3" footer="0.23"/>
  <pageSetup scale="56" fitToHeight="2" orientation="landscape" r:id="rId5"/>
  <headerFooter>
    <oddHeader xml:space="preserve">&amp;L&amp;"Arial,Bold"&amp;12J. Financial Analysis of Program Changes
</oddHeader>
    <oddFooter>&amp;C&amp;"Arial,Regular"Exhibit J - Financial Analysis of Program Changes&amp;R&amp;"Arial,Regular"Research, Evaluation, and Statistics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70" zoomScaleNormal="100" zoomScaleSheetLayoutView="70" workbookViewId="0">
      <pane xSplit="1" ySplit="7" topLeftCell="B20" activePane="bottomRight" state="frozen"/>
      <selection pane="topRight" activeCell="B1" sqref="B1"/>
      <selection pane="bottomLeft" activeCell="A8" sqref="A8"/>
      <selection pane="bottomRight" activeCell="A43" sqref="A43:XFD43"/>
    </sheetView>
  </sheetViews>
  <sheetFormatPr defaultColWidth="9.109375" defaultRowHeight="13.8" x14ac:dyDescent="0.25"/>
  <cols>
    <col min="1" max="1" width="86.5546875" style="178" customWidth="1"/>
    <col min="2" max="2" width="8.33203125" style="178" customWidth="1"/>
    <col min="3" max="3" width="12.6640625" style="178" customWidth="1"/>
    <col min="4" max="4" width="8.33203125" style="178" customWidth="1"/>
    <col min="5" max="5" width="12.6640625" style="178" customWidth="1"/>
    <col min="6" max="6" width="8.33203125" style="178" customWidth="1"/>
    <col min="7" max="7" width="12.6640625" style="178" customWidth="1"/>
    <col min="8" max="8" width="8.33203125" style="178" customWidth="1"/>
    <col min="9" max="9" width="12.6640625" style="178" customWidth="1"/>
    <col min="10" max="10" width="14" style="7" bestFit="1" customWidth="1"/>
    <col min="11" max="11" width="4.5546875" style="178" customWidth="1"/>
    <col min="12" max="13" width="8.33203125" style="178" customWidth="1"/>
    <col min="14" max="14" width="12.6640625" style="178" customWidth="1"/>
    <col min="15" max="16384" width="9.109375" style="178"/>
  </cols>
  <sheetData>
    <row r="1" spans="1:14" ht="18" x14ac:dyDescent="0.25">
      <c r="A1" s="633" t="s">
        <v>67</v>
      </c>
      <c r="B1" s="633"/>
      <c r="C1" s="633"/>
      <c r="D1" s="633"/>
      <c r="E1" s="633"/>
      <c r="F1" s="633"/>
      <c r="G1" s="633"/>
      <c r="H1" s="633"/>
      <c r="I1" s="633"/>
      <c r="J1" s="53" t="s">
        <v>20</v>
      </c>
      <c r="K1" s="9"/>
      <c r="L1" s="9"/>
      <c r="M1" s="9"/>
      <c r="N1" s="9"/>
    </row>
    <row r="2" spans="1:14" ht="15" x14ac:dyDescent="0.2">
      <c r="A2" s="634" t="str">
        <f>'[1]B. Summ of Req. - RES'!A2:D2</f>
        <v>Office of Justice Programs</v>
      </c>
      <c r="B2" s="634"/>
      <c r="C2" s="634"/>
      <c r="D2" s="634"/>
      <c r="E2" s="634"/>
      <c r="F2" s="634"/>
      <c r="G2" s="634"/>
      <c r="H2" s="634"/>
      <c r="I2" s="634"/>
      <c r="J2" s="53" t="s">
        <v>20</v>
      </c>
      <c r="K2" s="10"/>
      <c r="L2" s="10"/>
      <c r="M2" s="10"/>
      <c r="N2" s="10"/>
    </row>
    <row r="3" spans="1:14" ht="14.25" x14ac:dyDescent="0.2">
      <c r="A3" s="635" t="str">
        <f>'[1]B. Summ of Req. - RES'!A3:D3</f>
        <v>Research, Evaluation, and Statistics</v>
      </c>
      <c r="B3" s="635"/>
      <c r="C3" s="635"/>
      <c r="D3" s="635"/>
      <c r="E3" s="635"/>
      <c r="F3" s="635"/>
      <c r="G3" s="635"/>
      <c r="H3" s="635"/>
      <c r="I3" s="635"/>
      <c r="J3" s="53" t="s">
        <v>20</v>
      </c>
      <c r="K3" s="221"/>
      <c r="L3" s="221"/>
      <c r="M3" s="221"/>
      <c r="N3" s="221"/>
    </row>
    <row r="4" spans="1:14" ht="14.25" x14ac:dyDescent="0.2">
      <c r="A4" s="637" t="s">
        <v>1</v>
      </c>
      <c r="B4" s="637"/>
      <c r="C4" s="637"/>
      <c r="D4" s="637"/>
      <c r="E4" s="637"/>
      <c r="F4" s="637"/>
      <c r="G4" s="637"/>
      <c r="H4" s="637"/>
      <c r="I4" s="637"/>
      <c r="J4" s="53" t="s">
        <v>20</v>
      </c>
      <c r="K4" s="11"/>
      <c r="L4" s="11"/>
      <c r="M4" s="11"/>
      <c r="N4" s="11"/>
    </row>
    <row r="5" spans="1:14" ht="15" thickBot="1" x14ac:dyDescent="0.25">
      <c r="A5" s="637"/>
      <c r="B5" s="637"/>
      <c r="C5" s="637"/>
      <c r="D5" s="637"/>
      <c r="E5" s="637"/>
      <c r="F5" s="637"/>
      <c r="G5" s="637"/>
      <c r="H5" s="637"/>
      <c r="I5" s="637"/>
      <c r="J5" s="53" t="s">
        <v>20</v>
      </c>
      <c r="K5" s="11"/>
      <c r="L5" s="11"/>
      <c r="M5" s="11"/>
      <c r="N5" s="11"/>
    </row>
    <row r="6" spans="1:14" x14ac:dyDescent="0.25">
      <c r="A6" s="638" t="s">
        <v>68</v>
      </c>
      <c r="B6" s="641" t="s">
        <v>45</v>
      </c>
      <c r="C6" s="641"/>
      <c r="D6" s="641" t="s">
        <v>420</v>
      </c>
      <c r="E6" s="641"/>
      <c r="F6" s="641" t="s">
        <v>24</v>
      </c>
      <c r="G6" s="641"/>
      <c r="H6" s="641" t="s">
        <v>46</v>
      </c>
      <c r="I6" s="642"/>
      <c r="J6" s="53" t="s">
        <v>20</v>
      </c>
    </row>
    <row r="7" spans="1:14" ht="27.6" x14ac:dyDescent="0.25">
      <c r="A7" s="639"/>
      <c r="B7" s="222" t="s">
        <v>30</v>
      </c>
      <c r="C7" s="222" t="s">
        <v>4</v>
      </c>
      <c r="D7" s="222" t="s">
        <v>30</v>
      </c>
      <c r="E7" s="222" t="s">
        <v>4</v>
      </c>
      <c r="F7" s="222" t="s">
        <v>30</v>
      </c>
      <c r="G7" s="222" t="s">
        <v>4</v>
      </c>
      <c r="H7" s="222" t="s">
        <v>30</v>
      </c>
      <c r="I7" s="223" t="s">
        <v>4</v>
      </c>
      <c r="J7" s="53" t="s">
        <v>20</v>
      </c>
    </row>
    <row r="8" spans="1:14" ht="14.25" x14ac:dyDescent="0.2">
      <c r="A8" s="232" t="s">
        <v>69</v>
      </c>
      <c r="B8" s="225">
        <v>0</v>
      </c>
      <c r="C8" s="225">
        <v>0</v>
      </c>
      <c r="D8" s="225">
        <v>0</v>
      </c>
      <c r="E8" s="225">
        <v>0</v>
      </c>
      <c r="F8" s="225">
        <v>0</v>
      </c>
      <c r="G8" s="225">
        <v>0</v>
      </c>
      <c r="H8" s="225">
        <f>F8-D8</f>
        <v>0</v>
      </c>
      <c r="I8" s="226">
        <f>G8-E8</f>
        <v>0</v>
      </c>
      <c r="J8" s="53" t="s">
        <v>20</v>
      </c>
    </row>
    <row r="9" spans="1:14" ht="14.25" x14ac:dyDescent="0.2">
      <c r="A9" s="177" t="s">
        <v>70</v>
      </c>
      <c r="B9" s="208">
        <v>0</v>
      </c>
      <c r="C9" s="208">
        <v>0</v>
      </c>
      <c r="D9" s="208">
        <v>0</v>
      </c>
      <c r="E9" s="208">
        <v>0</v>
      </c>
      <c r="F9" s="208">
        <v>0</v>
      </c>
      <c r="G9" s="208">
        <v>0</v>
      </c>
      <c r="H9" s="208">
        <f t="shared" ref="H9:I13" si="0">F9-D9</f>
        <v>0</v>
      </c>
      <c r="I9" s="205">
        <f t="shared" si="0"/>
        <v>0</v>
      </c>
      <c r="J9" s="53" t="s">
        <v>20</v>
      </c>
    </row>
    <row r="10" spans="1:14" ht="14.25" x14ac:dyDescent="0.2">
      <c r="A10" s="177" t="s">
        <v>146</v>
      </c>
      <c r="B10" s="208">
        <f>SUM(B11:B12)</f>
        <v>0</v>
      </c>
      <c r="C10" s="208">
        <v>0</v>
      </c>
      <c r="D10" s="208">
        <f t="shared" ref="D10:G10" si="1">SUM(D11:D12)</f>
        <v>0</v>
      </c>
      <c r="E10" s="208">
        <f t="shared" si="1"/>
        <v>0</v>
      </c>
      <c r="F10" s="208">
        <f t="shared" si="1"/>
        <v>0</v>
      </c>
      <c r="G10" s="208">
        <f t="shared" si="1"/>
        <v>0</v>
      </c>
      <c r="H10" s="208">
        <f t="shared" si="0"/>
        <v>0</v>
      </c>
      <c r="I10" s="205">
        <f t="shared" si="0"/>
        <v>0</v>
      </c>
      <c r="J10" s="53" t="s">
        <v>20</v>
      </c>
    </row>
    <row r="11" spans="1:14" ht="14.25" x14ac:dyDescent="0.2">
      <c r="A11" s="60" t="s">
        <v>29</v>
      </c>
      <c r="B11" s="169">
        <v>0</v>
      </c>
      <c r="C11" s="169">
        <v>0</v>
      </c>
      <c r="D11" s="169">
        <v>0</v>
      </c>
      <c r="E11" s="169">
        <v>0</v>
      </c>
      <c r="F11" s="169">
        <v>0</v>
      </c>
      <c r="G11" s="169">
        <v>0</v>
      </c>
      <c r="H11" s="169">
        <f t="shared" si="0"/>
        <v>0</v>
      </c>
      <c r="I11" s="170">
        <f t="shared" si="0"/>
        <v>0</v>
      </c>
      <c r="J11" s="53" t="s">
        <v>20</v>
      </c>
    </row>
    <row r="12" spans="1:14" ht="14.25" x14ac:dyDescent="0.2">
      <c r="A12" s="60" t="s">
        <v>71</v>
      </c>
      <c r="B12" s="169">
        <v>0</v>
      </c>
      <c r="C12" s="169">
        <v>0</v>
      </c>
      <c r="D12" s="169">
        <v>0</v>
      </c>
      <c r="E12" s="169">
        <v>0</v>
      </c>
      <c r="F12" s="169">
        <v>0</v>
      </c>
      <c r="G12" s="169">
        <v>0</v>
      </c>
      <c r="H12" s="169">
        <f t="shared" si="0"/>
        <v>0</v>
      </c>
      <c r="I12" s="170">
        <f t="shared" si="0"/>
        <v>0</v>
      </c>
      <c r="J12" s="53" t="s">
        <v>20</v>
      </c>
    </row>
    <row r="13" spans="1:14" ht="14.25" x14ac:dyDescent="0.2">
      <c r="A13" s="177" t="s">
        <v>72</v>
      </c>
      <c r="B13" s="230">
        <v>0</v>
      </c>
      <c r="C13" s="230">
        <v>0</v>
      </c>
      <c r="D13" s="230">
        <v>0</v>
      </c>
      <c r="E13" s="230">
        <v>0</v>
      </c>
      <c r="F13" s="230">
        <v>0</v>
      </c>
      <c r="G13" s="230">
        <v>0</v>
      </c>
      <c r="H13" s="230">
        <f t="shared" si="0"/>
        <v>0</v>
      </c>
      <c r="I13" s="231">
        <f t="shared" si="0"/>
        <v>0</v>
      </c>
      <c r="J13" s="53" t="s">
        <v>20</v>
      </c>
    </row>
    <row r="14" spans="1:14" ht="15" x14ac:dyDescent="0.25">
      <c r="A14" s="62" t="s">
        <v>25</v>
      </c>
      <c r="B14" s="127">
        <f>SUM(B8:B10,B13)</f>
        <v>0</v>
      </c>
      <c r="C14" s="127">
        <f t="shared" ref="C14:I14" si="2">SUM(C8:C10,C13)</f>
        <v>0</v>
      </c>
      <c r="D14" s="127">
        <f t="shared" si="2"/>
        <v>0</v>
      </c>
      <c r="E14" s="127">
        <f t="shared" si="2"/>
        <v>0</v>
      </c>
      <c r="F14" s="127">
        <f t="shared" si="2"/>
        <v>0</v>
      </c>
      <c r="G14" s="127">
        <f t="shared" si="2"/>
        <v>0</v>
      </c>
      <c r="H14" s="127">
        <f t="shared" si="2"/>
        <v>0</v>
      </c>
      <c r="I14" s="133">
        <f t="shared" si="2"/>
        <v>0</v>
      </c>
      <c r="J14" s="53" t="s">
        <v>20</v>
      </c>
    </row>
    <row r="15" spans="1:14" ht="15" x14ac:dyDescent="0.25">
      <c r="A15" s="61" t="s">
        <v>73</v>
      </c>
      <c r="B15" s="208"/>
      <c r="C15" s="208"/>
      <c r="D15" s="208"/>
      <c r="E15" s="208"/>
      <c r="F15" s="208"/>
      <c r="G15" s="208"/>
      <c r="H15" s="208"/>
      <c r="I15" s="205"/>
      <c r="J15" s="53" t="s">
        <v>20</v>
      </c>
      <c r="L15" s="459"/>
    </row>
    <row r="16" spans="1:14" ht="14.25" x14ac:dyDescent="0.2">
      <c r="A16" s="177" t="s">
        <v>74</v>
      </c>
      <c r="B16" s="208"/>
      <c r="C16" s="208">
        <v>1000</v>
      </c>
      <c r="D16" s="208"/>
      <c r="E16" s="208">
        <v>0</v>
      </c>
      <c r="F16" s="208"/>
      <c r="G16" s="208">
        <v>0</v>
      </c>
      <c r="H16" s="208"/>
      <c r="I16" s="205">
        <f t="shared" ref="I16:I36" si="3">G16-E16</f>
        <v>0</v>
      </c>
      <c r="J16" s="53" t="s">
        <v>20</v>
      </c>
      <c r="L16" s="459"/>
    </row>
    <row r="17" spans="1:12" ht="14.25" x14ac:dyDescent="0.2">
      <c r="A17" s="177" t="s">
        <v>75</v>
      </c>
      <c r="B17" s="208"/>
      <c r="C17" s="208">
        <v>0</v>
      </c>
      <c r="D17" s="208"/>
      <c r="E17" s="208">
        <v>0</v>
      </c>
      <c r="F17" s="208"/>
      <c r="G17" s="208">
        <v>0</v>
      </c>
      <c r="H17" s="208"/>
      <c r="I17" s="205">
        <f t="shared" si="3"/>
        <v>0</v>
      </c>
      <c r="J17" s="53" t="s">
        <v>20</v>
      </c>
      <c r="L17" s="459"/>
    </row>
    <row r="18" spans="1:12" ht="15" x14ac:dyDescent="0.25">
      <c r="A18" s="177" t="s">
        <v>76</v>
      </c>
      <c r="B18" s="208"/>
      <c r="C18" s="485">
        <f>928</f>
        <v>928</v>
      </c>
      <c r="D18" s="208"/>
      <c r="E18" s="208">
        <v>0</v>
      </c>
      <c r="F18" s="208"/>
      <c r="G18" s="208">
        <v>4</v>
      </c>
      <c r="H18" s="208"/>
      <c r="I18" s="205">
        <f t="shared" si="3"/>
        <v>4</v>
      </c>
      <c r="J18" s="53" t="s">
        <v>20</v>
      </c>
      <c r="L18" s="459"/>
    </row>
    <row r="19" spans="1:12" ht="15" x14ac:dyDescent="0.25">
      <c r="A19" s="177" t="s">
        <v>147</v>
      </c>
      <c r="B19" s="208"/>
      <c r="C19" s="486">
        <f>832+75</f>
        <v>907</v>
      </c>
      <c r="D19" s="208"/>
      <c r="E19" s="208">
        <v>0</v>
      </c>
      <c r="F19" s="208"/>
      <c r="G19" s="208">
        <v>0</v>
      </c>
      <c r="H19" s="208"/>
      <c r="I19" s="205">
        <f t="shared" si="3"/>
        <v>0</v>
      </c>
      <c r="J19" s="53" t="s">
        <v>20</v>
      </c>
      <c r="L19" s="459"/>
    </row>
    <row r="20" spans="1:12" ht="15" x14ac:dyDescent="0.25">
      <c r="A20" s="177" t="s">
        <v>77</v>
      </c>
      <c r="B20" s="208"/>
      <c r="C20" s="486">
        <v>1802</v>
      </c>
      <c r="D20" s="208"/>
      <c r="E20" s="208">
        <v>0</v>
      </c>
      <c r="F20" s="208"/>
      <c r="G20" s="208">
        <v>0</v>
      </c>
      <c r="H20" s="208"/>
      <c r="I20" s="205">
        <f t="shared" si="3"/>
        <v>0</v>
      </c>
      <c r="J20" s="53" t="s">
        <v>20</v>
      </c>
      <c r="L20" s="459"/>
    </row>
    <row r="21" spans="1:12" ht="14.25" x14ac:dyDescent="0.2">
      <c r="A21" s="177" t="s">
        <v>78</v>
      </c>
      <c r="B21" s="208"/>
      <c r="C21" s="208">
        <v>0</v>
      </c>
      <c r="D21" s="208"/>
      <c r="E21" s="208">
        <v>0</v>
      </c>
      <c r="F21" s="208"/>
      <c r="G21" s="208">
        <v>0</v>
      </c>
      <c r="H21" s="208"/>
      <c r="I21" s="205">
        <f t="shared" si="3"/>
        <v>0</v>
      </c>
      <c r="J21" s="53" t="s">
        <v>20</v>
      </c>
      <c r="L21" s="459"/>
    </row>
    <row r="22" spans="1:12" ht="14.25" x14ac:dyDescent="0.2">
      <c r="A22" s="177" t="s">
        <v>79</v>
      </c>
      <c r="B22" s="208"/>
      <c r="C22" s="208">
        <v>0</v>
      </c>
      <c r="D22" s="208"/>
      <c r="E22" s="208">
        <v>0</v>
      </c>
      <c r="F22" s="208"/>
      <c r="G22" s="208">
        <v>0</v>
      </c>
      <c r="H22" s="208"/>
      <c r="I22" s="205">
        <f t="shared" si="3"/>
        <v>0</v>
      </c>
      <c r="J22" s="53" t="s">
        <v>20</v>
      </c>
      <c r="L22" s="459"/>
    </row>
    <row r="23" spans="1:12" ht="14.25" x14ac:dyDescent="0.2">
      <c r="A23" s="177" t="s">
        <v>80</v>
      </c>
      <c r="B23" s="208"/>
      <c r="C23" s="208">
        <v>0</v>
      </c>
      <c r="D23" s="208"/>
      <c r="E23" s="208">
        <v>1</v>
      </c>
      <c r="F23" s="208"/>
      <c r="G23" s="208">
        <v>80</v>
      </c>
      <c r="H23" s="208"/>
      <c r="I23" s="205">
        <f t="shared" si="3"/>
        <v>79</v>
      </c>
      <c r="J23" s="53" t="s">
        <v>20</v>
      </c>
      <c r="L23" s="459"/>
    </row>
    <row r="24" spans="1:12" ht="14.25" x14ac:dyDescent="0.2">
      <c r="A24" s="177" t="s">
        <v>81</v>
      </c>
      <c r="B24" s="208"/>
      <c r="C24" s="208">
        <f>270+554+1646+3458+1308+281+500</f>
        <v>8017</v>
      </c>
      <c r="D24" s="208"/>
      <c r="E24" s="208">
        <v>14668</v>
      </c>
      <c r="F24" s="208"/>
      <c r="G24" s="208">
        <v>6302</v>
      </c>
      <c r="H24" s="208"/>
      <c r="I24" s="205">
        <f t="shared" si="3"/>
        <v>-8366</v>
      </c>
      <c r="J24" s="53" t="s">
        <v>20</v>
      </c>
      <c r="L24" s="459"/>
    </row>
    <row r="25" spans="1:12" ht="14.25" x14ac:dyDescent="0.2">
      <c r="A25" s="177" t="s">
        <v>82</v>
      </c>
      <c r="B25" s="208"/>
      <c r="C25" s="208">
        <f>21.49-582.83+226.48+842.22+657.3</f>
        <v>1164.6599999999999</v>
      </c>
      <c r="D25" s="208"/>
      <c r="E25" s="208">
        <v>485</v>
      </c>
      <c r="F25" s="208"/>
      <c r="G25" s="208">
        <v>539</v>
      </c>
      <c r="H25" s="208"/>
      <c r="I25" s="205">
        <f t="shared" si="3"/>
        <v>54</v>
      </c>
      <c r="J25" s="53" t="s">
        <v>20</v>
      </c>
      <c r="L25" s="459"/>
    </row>
    <row r="26" spans="1:12" ht="14.25" x14ac:dyDescent="0.2">
      <c r="A26" s="177" t="s">
        <v>83</v>
      </c>
      <c r="B26" s="208"/>
      <c r="C26" s="208">
        <f>341+33087+999</f>
        <v>34427</v>
      </c>
      <c r="D26" s="208"/>
      <c r="E26" s="208">
        <f>28963+71</f>
        <v>29034</v>
      </c>
      <c r="F26" s="208"/>
      <c r="G26" s="208">
        <v>35536</v>
      </c>
      <c r="H26" s="208"/>
      <c r="I26" s="205">
        <f t="shared" si="3"/>
        <v>6502</v>
      </c>
      <c r="J26" s="53" t="s">
        <v>20</v>
      </c>
      <c r="L26" s="459"/>
    </row>
    <row r="27" spans="1:12" ht="15" x14ac:dyDescent="0.25">
      <c r="A27" s="177" t="s">
        <v>84</v>
      </c>
      <c r="B27" s="208"/>
      <c r="C27" s="208">
        <v>0</v>
      </c>
      <c r="D27" s="208"/>
      <c r="E27" s="208">
        <v>0</v>
      </c>
      <c r="F27" s="208"/>
      <c r="G27" s="208">
        <v>0</v>
      </c>
      <c r="H27" s="208"/>
      <c r="I27" s="205">
        <f t="shared" si="3"/>
        <v>0</v>
      </c>
      <c r="J27" s="53" t="s">
        <v>20</v>
      </c>
      <c r="L27" s="482"/>
    </row>
    <row r="28" spans="1:12" ht="14.25" x14ac:dyDescent="0.2">
      <c r="A28" s="177" t="s">
        <v>85</v>
      </c>
      <c r="B28" s="208"/>
      <c r="C28" s="208">
        <v>0</v>
      </c>
      <c r="D28" s="208"/>
      <c r="E28" s="208">
        <v>0</v>
      </c>
      <c r="F28" s="208"/>
      <c r="G28" s="208">
        <v>0</v>
      </c>
      <c r="H28" s="208"/>
      <c r="I28" s="205">
        <f t="shared" si="3"/>
        <v>0</v>
      </c>
      <c r="J28" s="53" t="s">
        <v>20</v>
      </c>
      <c r="L28" s="459"/>
    </row>
    <row r="29" spans="1:12" ht="14.25" x14ac:dyDescent="0.2">
      <c r="A29" s="177" t="s">
        <v>34</v>
      </c>
      <c r="B29" s="208"/>
      <c r="C29" s="208">
        <v>0</v>
      </c>
      <c r="D29" s="208"/>
      <c r="E29" s="208">
        <v>0</v>
      </c>
      <c r="F29" s="208"/>
      <c r="G29" s="208">
        <v>0</v>
      </c>
      <c r="H29" s="208"/>
      <c r="I29" s="205">
        <f t="shared" si="3"/>
        <v>0</v>
      </c>
      <c r="J29" s="53" t="s">
        <v>20</v>
      </c>
    </row>
    <row r="30" spans="1:12" ht="14.25" x14ac:dyDescent="0.2">
      <c r="A30" s="177" t="s">
        <v>86</v>
      </c>
      <c r="B30" s="208"/>
      <c r="C30" s="208">
        <v>0</v>
      </c>
      <c r="D30" s="208"/>
      <c r="E30" s="208">
        <v>0</v>
      </c>
      <c r="F30" s="208"/>
      <c r="G30" s="208">
        <v>0</v>
      </c>
      <c r="H30" s="208"/>
      <c r="I30" s="205">
        <f t="shared" si="3"/>
        <v>0</v>
      </c>
      <c r="J30" s="53" t="s">
        <v>20</v>
      </c>
      <c r="L30" s="484"/>
    </row>
    <row r="31" spans="1:12" ht="14.25" x14ac:dyDescent="0.2">
      <c r="A31" s="177" t="s">
        <v>87</v>
      </c>
      <c r="B31" s="208"/>
      <c r="C31" s="208">
        <v>0</v>
      </c>
      <c r="D31" s="208"/>
      <c r="E31" s="208">
        <v>0</v>
      </c>
      <c r="F31" s="208"/>
      <c r="G31" s="208">
        <v>0</v>
      </c>
      <c r="H31" s="208"/>
      <c r="I31" s="205">
        <f t="shared" si="3"/>
        <v>0</v>
      </c>
      <c r="J31" s="53" t="s">
        <v>20</v>
      </c>
      <c r="L31" s="484"/>
    </row>
    <row r="32" spans="1:12" ht="14.25" x14ac:dyDescent="0.2">
      <c r="A32" s="177" t="s">
        <v>88</v>
      </c>
      <c r="B32" s="208"/>
      <c r="C32" s="208">
        <v>0</v>
      </c>
      <c r="D32" s="208"/>
      <c r="E32" s="208">
        <v>0</v>
      </c>
      <c r="F32" s="208"/>
      <c r="G32" s="208">
        <v>0</v>
      </c>
      <c r="H32" s="208"/>
      <c r="I32" s="205">
        <f t="shared" si="3"/>
        <v>0</v>
      </c>
      <c r="J32" s="53" t="s">
        <v>20</v>
      </c>
      <c r="L32" s="484"/>
    </row>
    <row r="33" spans="1:13" x14ac:dyDescent="0.25">
      <c r="A33" s="177" t="s">
        <v>89</v>
      </c>
      <c r="B33" s="208"/>
      <c r="C33" s="208">
        <v>48</v>
      </c>
      <c r="D33" s="208"/>
      <c r="E33" s="208">
        <v>46</v>
      </c>
      <c r="F33" s="208"/>
      <c r="G33" s="208">
        <v>51</v>
      </c>
      <c r="H33" s="208"/>
      <c r="I33" s="205">
        <f t="shared" si="3"/>
        <v>5</v>
      </c>
      <c r="J33" s="53" t="s">
        <v>20</v>
      </c>
      <c r="L33" s="484"/>
    </row>
    <row r="34" spans="1:13" x14ac:dyDescent="0.25">
      <c r="A34" s="177" t="s">
        <v>90</v>
      </c>
      <c r="B34" s="208"/>
      <c r="C34" s="208"/>
      <c r="D34" s="208"/>
      <c r="E34" s="208">
        <v>0</v>
      </c>
      <c r="F34" s="208"/>
      <c r="G34" s="208">
        <v>0</v>
      </c>
      <c r="H34" s="208"/>
      <c r="I34" s="205">
        <f t="shared" si="3"/>
        <v>0</v>
      </c>
      <c r="J34" s="53" t="s">
        <v>20</v>
      </c>
      <c r="L34" s="484"/>
    </row>
    <row r="35" spans="1:13" x14ac:dyDescent="0.25">
      <c r="A35" s="177" t="s">
        <v>91</v>
      </c>
      <c r="B35" s="208"/>
      <c r="C35" s="208">
        <f>16-1413+25168+55142+500</f>
        <v>79413</v>
      </c>
      <c r="D35" s="208"/>
      <c r="E35" s="208">
        <v>64458</v>
      </c>
      <c r="F35" s="208"/>
      <c r="G35" s="208">
        <v>83888</v>
      </c>
      <c r="H35" s="208"/>
      <c r="I35" s="205">
        <f t="shared" si="3"/>
        <v>19430</v>
      </c>
      <c r="J35" s="53" t="s">
        <v>20</v>
      </c>
      <c r="L35" s="484"/>
    </row>
    <row r="36" spans="1:13" x14ac:dyDescent="0.25">
      <c r="A36" s="177" t="s">
        <v>92</v>
      </c>
      <c r="B36" s="208"/>
      <c r="C36" s="208">
        <v>0</v>
      </c>
      <c r="D36" s="208"/>
      <c r="E36" s="208">
        <v>0</v>
      </c>
      <c r="F36" s="208"/>
      <c r="G36" s="208">
        <v>0</v>
      </c>
      <c r="H36" s="208"/>
      <c r="I36" s="205">
        <f t="shared" si="3"/>
        <v>0</v>
      </c>
      <c r="J36" s="53" t="s">
        <v>20</v>
      </c>
      <c r="L36" s="484"/>
      <c r="M36" s="487"/>
    </row>
    <row r="37" spans="1:13" x14ac:dyDescent="0.25">
      <c r="A37" s="62" t="s">
        <v>93</v>
      </c>
      <c r="B37" s="70"/>
      <c r="C37" s="70">
        <f>SUM(C14:C36)</f>
        <v>127706.66</v>
      </c>
      <c r="D37" s="70"/>
      <c r="E37" s="70">
        <f t="shared" ref="E37:I37" si="4">SUM(E14:E36)</f>
        <v>108692</v>
      </c>
      <c r="F37" s="70"/>
      <c r="G37" s="70">
        <f t="shared" si="4"/>
        <v>126400</v>
      </c>
      <c r="H37" s="70"/>
      <c r="I37" s="73">
        <f t="shared" si="4"/>
        <v>17708</v>
      </c>
      <c r="J37" s="53" t="s">
        <v>20</v>
      </c>
      <c r="L37" s="478"/>
      <c r="M37" s="487"/>
    </row>
    <row r="38" spans="1:13" x14ac:dyDescent="0.25">
      <c r="A38" s="177" t="s">
        <v>462</v>
      </c>
      <c r="B38" s="208"/>
      <c r="C38" s="208">
        <v>-264</v>
      </c>
      <c r="D38" s="208"/>
      <c r="E38" s="208">
        <v>-5667</v>
      </c>
      <c r="F38" s="208"/>
      <c r="G38" s="208">
        <v>-6359</v>
      </c>
      <c r="H38" s="208"/>
      <c r="I38" s="205">
        <f>G38-E38</f>
        <v>-692</v>
      </c>
      <c r="J38" s="53" t="s">
        <v>20</v>
      </c>
      <c r="L38" s="483"/>
      <c r="M38" s="487"/>
    </row>
    <row r="39" spans="1:13" x14ac:dyDescent="0.25">
      <c r="A39" s="177" t="s">
        <v>463</v>
      </c>
      <c r="B39" s="208"/>
      <c r="C39" s="208">
        <v>-20200</v>
      </c>
      <c r="D39" s="208"/>
      <c r="E39" s="208">
        <v>5000</v>
      </c>
      <c r="F39" s="208"/>
      <c r="G39" s="208">
        <v>8000</v>
      </c>
      <c r="H39" s="208"/>
      <c r="I39" s="205">
        <f t="shared" ref="I39:I42" si="5">G39-E39</f>
        <v>3000</v>
      </c>
      <c r="J39" s="53" t="s">
        <v>20</v>
      </c>
      <c r="M39" s="487"/>
    </row>
    <row r="40" spans="1:13" x14ac:dyDescent="0.25">
      <c r="A40" s="177" t="s">
        <v>139</v>
      </c>
      <c r="B40" s="208"/>
      <c r="C40" s="208">
        <v>-4323</v>
      </c>
      <c r="D40" s="208"/>
      <c r="E40" s="208">
        <v>-4000</v>
      </c>
      <c r="F40" s="208"/>
      <c r="G40" s="208">
        <v>-3000</v>
      </c>
      <c r="H40" s="208"/>
      <c r="I40" s="205">
        <f t="shared" si="5"/>
        <v>1000</v>
      </c>
      <c r="J40" s="53" t="s">
        <v>20</v>
      </c>
      <c r="M40" s="487"/>
    </row>
    <row r="41" spans="1:13" x14ac:dyDescent="0.25">
      <c r="A41" s="177" t="s">
        <v>464</v>
      </c>
      <c r="B41" s="208"/>
      <c r="C41" s="208">
        <v>4413.5385299999998</v>
      </c>
      <c r="D41" s="208"/>
      <c r="E41" s="208">
        <v>4000</v>
      </c>
      <c r="F41" s="208"/>
      <c r="G41" s="208">
        <v>3000</v>
      </c>
      <c r="H41" s="208"/>
      <c r="I41" s="205">
        <f t="shared" si="5"/>
        <v>-1000</v>
      </c>
      <c r="J41" s="53" t="s">
        <v>20</v>
      </c>
      <c r="M41" s="487"/>
    </row>
    <row r="42" spans="1:13" x14ac:dyDescent="0.25">
      <c r="A42" s="177" t="s">
        <v>465</v>
      </c>
      <c r="B42" s="208"/>
      <c r="C42" s="208">
        <v>5667</v>
      </c>
      <c r="D42" s="208"/>
      <c r="E42" s="208">
        <f>5667+692</f>
        <v>6359</v>
      </c>
      <c r="F42" s="208"/>
      <c r="G42" s="208">
        <v>6359</v>
      </c>
      <c r="H42" s="208"/>
      <c r="I42" s="205">
        <f t="shared" si="5"/>
        <v>0</v>
      </c>
      <c r="J42" s="53" t="s">
        <v>20</v>
      </c>
      <c r="M42" s="487"/>
    </row>
    <row r="43" spans="1:13" ht="14.4" thickBot="1" x14ac:dyDescent="0.3">
      <c r="A43" s="63" t="s">
        <v>94</v>
      </c>
      <c r="B43" s="171">
        <f t="shared" ref="B43:I43" si="6">SUM(B37:B42)</f>
        <v>0</v>
      </c>
      <c r="C43" s="171">
        <f t="shared" si="6"/>
        <v>113000.19853000001</v>
      </c>
      <c r="D43" s="171">
        <f t="shared" si="6"/>
        <v>0</v>
      </c>
      <c r="E43" s="171">
        <f>SUM(E37:E42)</f>
        <v>114384</v>
      </c>
      <c r="F43" s="171">
        <f t="shared" si="6"/>
        <v>0</v>
      </c>
      <c r="G43" s="171">
        <f t="shared" si="6"/>
        <v>134400</v>
      </c>
      <c r="H43" s="171">
        <f t="shared" si="6"/>
        <v>0</v>
      </c>
      <c r="I43" s="172">
        <f t="shared" si="6"/>
        <v>20016</v>
      </c>
      <c r="J43" s="53" t="s">
        <v>20</v>
      </c>
    </row>
    <row r="44" spans="1:13" x14ac:dyDescent="0.25">
      <c r="A44" s="279" t="s">
        <v>26</v>
      </c>
      <c r="B44" s="280"/>
      <c r="C44" s="280"/>
      <c r="D44" s="280"/>
      <c r="E44" s="280"/>
      <c r="F44" s="280"/>
      <c r="G44" s="280"/>
      <c r="H44" s="280"/>
      <c r="I44" s="281"/>
      <c r="J44" s="53" t="s">
        <v>20</v>
      </c>
    </row>
    <row r="45" spans="1:13" x14ac:dyDescent="0.25">
      <c r="A45" s="177" t="s">
        <v>95</v>
      </c>
      <c r="B45" s="208">
        <v>0</v>
      </c>
      <c r="C45" s="208">
        <v>0</v>
      </c>
      <c r="D45" s="208">
        <v>0</v>
      </c>
      <c r="E45" s="208"/>
      <c r="F45" s="208">
        <v>0</v>
      </c>
      <c r="G45" s="208"/>
      <c r="H45" s="208">
        <f>F45-D45</f>
        <v>0</v>
      </c>
      <c r="I45" s="205"/>
      <c r="J45" s="53" t="s">
        <v>20</v>
      </c>
    </row>
    <row r="46" spans="1:13" x14ac:dyDescent="0.25">
      <c r="A46" s="177"/>
      <c r="B46" s="208"/>
      <c r="C46" s="208"/>
      <c r="D46" s="208"/>
      <c r="E46" s="208"/>
      <c r="F46" s="208"/>
      <c r="G46" s="208"/>
      <c r="H46" s="208"/>
      <c r="I46" s="205"/>
      <c r="J46" s="53" t="s">
        <v>20</v>
      </c>
    </row>
    <row r="47" spans="1:13" x14ac:dyDescent="0.25">
      <c r="A47" s="177" t="s">
        <v>96</v>
      </c>
      <c r="B47" s="208"/>
      <c r="C47" s="208">
        <v>0</v>
      </c>
      <c r="D47" s="208"/>
      <c r="E47" s="208">
        <v>0</v>
      </c>
      <c r="F47" s="208"/>
      <c r="G47" s="208">
        <v>0</v>
      </c>
      <c r="H47" s="208"/>
      <c r="I47" s="205">
        <f t="shared" ref="I47:I48" si="7">G47-E47</f>
        <v>0</v>
      </c>
      <c r="J47" s="53" t="s">
        <v>20</v>
      </c>
    </row>
    <row r="48" spans="1:13" ht="14.4" thickBot="1" x14ac:dyDescent="0.3">
      <c r="A48" s="282" t="s">
        <v>97</v>
      </c>
      <c r="B48" s="283"/>
      <c r="C48" s="283">
        <v>0</v>
      </c>
      <c r="D48" s="283"/>
      <c r="E48" s="283">
        <v>0</v>
      </c>
      <c r="F48" s="283"/>
      <c r="G48" s="283">
        <v>0</v>
      </c>
      <c r="H48" s="283"/>
      <c r="I48" s="284">
        <f t="shared" si="7"/>
        <v>0</v>
      </c>
      <c r="J48" s="53" t="s">
        <v>20</v>
      </c>
    </row>
    <row r="49" spans="1:10" x14ac:dyDescent="0.25">
      <c r="A49" s="285"/>
      <c r="B49" s="286"/>
      <c r="C49" s="286"/>
      <c r="D49" s="286"/>
      <c r="E49" s="286"/>
      <c r="F49" s="286"/>
      <c r="G49" s="286"/>
      <c r="H49" s="286"/>
      <c r="I49" s="286"/>
      <c r="J49" s="53" t="s">
        <v>20</v>
      </c>
    </row>
    <row r="50" spans="1:10" x14ac:dyDescent="0.25">
      <c r="A50" s="178" t="s">
        <v>271</v>
      </c>
      <c r="J50" s="53" t="s">
        <v>20</v>
      </c>
    </row>
    <row r="51" spans="1:10" x14ac:dyDescent="0.25">
      <c r="J51" s="53" t="s">
        <v>20</v>
      </c>
    </row>
    <row r="52" spans="1:10" x14ac:dyDescent="0.25">
      <c r="J52" s="7" t="s">
        <v>21</v>
      </c>
    </row>
  </sheetData>
  <customSheetViews>
    <customSheetView guid="{5B2D5037-506A-47D5-AF28-C337BC9133BD}" scale="70" showPageBreaks="1" printArea="1" view="pageBreakPreview">
      <pane xSplit="1" ySplit="7" topLeftCell="B20" activePane="bottomRight" state="frozen"/>
      <selection pane="bottomRight" activeCell="A43" sqref="A43:XFD43"/>
      <pageMargins left="0.6" right="0.6" top="0.56999999999999995" bottom="0.55000000000000004" header="0.3" footer="0.3"/>
      <printOptions horizontalCentered="1"/>
      <pageSetup scale="70" orientation="landscape" r:id="rId1"/>
      <headerFooter>
        <oddHeader>&amp;L&amp;"Arial,Bold"&amp;12L. Summary of Requirements by Object Class</oddHeader>
        <oddFooter>&amp;C&amp;"Arial,Regular"Exhibit L - Summary of Requirements by Object Class&amp;R&amp;"Arial,Regular"Research, Evaluation, and Statistics</oddFooter>
      </headerFooter>
    </customSheetView>
    <customSheetView guid="{08380F1E-0CB7-4B3B-924E-2A270EA8DD30}" scale="70" showPageBreaks="1" printArea="1" view="pageBreakPreview">
      <pane xSplit="1" ySplit="7" topLeftCell="B8" activePane="bottomRight" state="frozen"/>
      <selection pane="bottomRight" activeCell="C38" sqref="C38"/>
      <pageMargins left="0.6" right="0.6" top="0.56999999999999995" bottom="0.55000000000000004" header="0.3" footer="0.3"/>
      <printOptions horizontalCentered="1"/>
      <pageSetup scale="70" orientation="landscape" r:id="rId2"/>
      <headerFooter>
        <oddHeader>&amp;L&amp;"Arial,Bold"&amp;12L. Summary of Requirements by Object Class</oddHeader>
        <oddFooter>&amp;C&amp;"Arial,Regular"Exhibit L - Summary of Requirements by Object Class&amp;R&amp;"Arial,Regular"Research, Evaluation, and Statistics</oddFooter>
      </headerFooter>
    </customSheetView>
    <customSheetView guid="{D19943A8-2C2A-430A-A724-8C7C332697C8}" scale="70" showPageBreaks="1" printArea="1" view="pageBreakPreview">
      <pane xSplit="1" ySplit="7" topLeftCell="B8" activePane="bottomRight" state="frozen"/>
      <selection pane="bottomRight" activeCell="E31" sqref="E31"/>
      <pageMargins left="0.6" right="0.6" top="0.56999999999999995" bottom="0.55000000000000004" header="0.3" footer="0.3"/>
      <printOptions horizontalCentered="1"/>
      <pageSetup scale="70" orientation="landscape" r:id="rId3"/>
      <headerFooter>
        <oddHeader>&amp;L&amp;"Arial,Bold"&amp;12L. Summary of Requirements by Object Class</oddHeader>
        <oddFooter>&amp;C&amp;"Arial,Regular"Exhibit L - Summary of Requirements by Object Class&amp;R&amp;"Arial,Regular"Research, Evaluation, and Statistics</oddFooter>
      </headerFooter>
    </customSheetView>
    <customSheetView guid="{C6D68C6D-939C-4DFA-9385-A3F05DFB5EDA}" scale="70" showPageBreaks="1" printArea="1" view="pageBreakPreview">
      <pane xSplit="1" ySplit="7" topLeftCell="B8" activePane="bottomRight" state="frozen"/>
      <selection pane="bottomRight" activeCell="E31" sqref="E31"/>
      <pageMargins left="0.6" right="0.6" top="0.56999999999999995" bottom="0.55000000000000004" header="0.3" footer="0.3"/>
      <printOptions horizontalCentered="1"/>
      <pageSetup scale="70" orientation="landscape" r:id="rId4"/>
      <headerFooter>
        <oddHeader>&amp;L&amp;"Arial,Bold"&amp;12L. Summary of Requirements by Object Class</oddHeader>
        <oddFooter>&amp;C&amp;"Arial,Regular"Exhibit L - Summary of Requirements by Object Class&amp;R&amp;"Arial,Regular"Research, Evaluation, and Statistics</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0" orientation="landscape" r:id="rId5"/>
  <headerFooter>
    <oddHeader>&amp;L&amp;"Arial,Bold"&amp;12L. Summary of Requirements by Object Class</oddHeader>
    <oddFooter>&amp;C&amp;"Arial,Regular"Exhibit L - Summary of Requirements by Object Class&amp;R&amp;"Arial,Regular"Research, Evaluation, and Statistics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view="pageBreakPreview" zoomScale="80" zoomScaleNormal="100" zoomScaleSheetLayoutView="80" workbookViewId="0">
      <selection activeCell="L27" sqref="L27"/>
    </sheetView>
  </sheetViews>
  <sheetFormatPr defaultColWidth="9.109375" defaultRowHeight="13.8" x14ac:dyDescent="0.25"/>
  <cols>
    <col min="1" max="1" width="60.88671875" style="12" customWidth="1"/>
    <col min="2" max="3" width="8.33203125" style="12" customWidth="1"/>
    <col min="4" max="4" width="12.6640625" style="12" customWidth="1"/>
    <col min="5" max="6" width="8.33203125" style="12" customWidth="1"/>
    <col min="7" max="7" width="12.6640625" style="12" customWidth="1"/>
    <col min="8" max="9" width="8.33203125" style="12" customWidth="1"/>
    <col min="10" max="10" width="12.6640625" style="12" customWidth="1"/>
    <col min="11" max="12" width="8.33203125" style="12" customWidth="1"/>
    <col min="13" max="13" width="12.6640625" style="12" customWidth="1"/>
    <col min="14" max="14" width="14" style="7" bestFit="1" customWidth="1"/>
    <col min="15" max="15" width="4.5546875" style="12" customWidth="1"/>
    <col min="16" max="17" width="8.33203125" style="12" customWidth="1"/>
    <col min="18" max="18" width="12.6640625" style="12" customWidth="1"/>
    <col min="19" max="20" width="8.33203125" style="12" customWidth="1"/>
    <col min="21" max="21" width="12.6640625" style="12" customWidth="1"/>
    <col min="22" max="16384" width="9.109375" style="12"/>
  </cols>
  <sheetData>
    <row r="1" spans="1:21" ht="18" x14ac:dyDescent="0.25">
      <c r="A1" s="633" t="s">
        <v>0</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169</v>
      </c>
      <c r="B3" s="640"/>
      <c r="C3" s="640"/>
      <c r="D3" s="640"/>
      <c r="E3" s="640"/>
      <c r="F3" s="640"/>
      <c r="G3" s="640"/>
      <c r="H3" s="640"/>
      <c r="I3" s="640"/>
      <c r="J3" s="640"/>
      <c r="K3" s="640"/>
      <c r="L3" s="640"/>
      <c r="M3" s="640"/>
      <c r="N3" s="53" t="s">
        <v>20</v>
      </c>
      <c r="O3" s="13"/>
      <c r="P3" s="13"/>
      <c r="Q3" s="13"/>
      <c r="R3" s="13"/>
      <c r="S3" s="13"/>
      <c r="T3" s="13"/>
      <c r="U3" s="13"/>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ht="45.75" customHeight="1" x14ac:dyDescent="0.25">
      <c r="A7" s="638" t="s">
        <v>134</v>
      </c>
      <c r="B7" s="641" t="s">
        <v>126</v>
      </c>
      <c r="C7" s="641"/>
      <c r="D7" s="641"/>
      <c r="E7" s="641" t="s">
        <v>207</v>
      </c>
      <c r="F7" s="641"/>
      <c r="G7" s="641"/>
      <c r="H7" s="641" t="s">
        <v>155</v>
      </c>
      <c r="I7" s="641"/>
      <c r="J7" s="641"/>
      <c r="K7" s="641" t="s">
        <v>13</v>
      </c>
      <c r="L7" s="641"/>
      <c r="M7" s="642"/>
      <c r="N7" s="53" t="s">
        <v>20</v>
      </c>
    </row>
    <row r="8" spans="1:21" ht="27.6" x14ac:dyDescent="0.25">
      <c r="A8" s="639"/>
      <c r="B8" s="14" t="s">
        <v>3</v>
      </c>
      <c r="C8" s="112" t="s">
        <v>128</v>
      </c>
      <c r="D8" s="14" t="s">
        <v>4</v>
      </c>
      <c r="E8" s="14" t="s">
        <v>3</v>
      </c>
      <c r="F8" s="112" t="s">
        <v>149</v>
      </c>
      <c r="G8" s="14" t="s">
        <v>4</v>
      </c>
      <c r="H8" s="14" t="s">
        <v>3</v>
      </c>
      <c r="I8" s="14" t="s">
        <v>149</v>
      </c>
      <c r="J8" s="14" t="s">
        <v>4</v>
      </c>
      <c r="K8" s="14" t="s">
        <v>3</v>
      </c>
      <c r="L8" s="14" t="s">
        <v>149</v>
      </c>
      <c r="M8" s="15" t="s">
        <v>4</v>
      </c>
      <c r="N8" s="53" t="s">
        <v>20</v>
      </c>
    </row>
    <row r="9" spans="1:21" x14ac:dyDescent="0.25">
      <c r="A9" s="184" t="s">
        <v>169</v>
      </c>
      <c r="B9" s="140">
        <v>702</v>
      </c>
      <c r="C9" s="140">
        <v>628</v>
      </c>
      <c r="D9" s="140">
        <v>175057</v>
      </c>
      <c r="E9" s="140">
        <v>702</v>
      </c>
      <c r="F9" s="140">
        <v>601</v>
      </c>
      <c r="G9" s="140">
        <v>176128</v>
      </c>
      <c r="H9" s="140">
        <v>0</v>
      </c>
      <c r="I9" s="140">
        <v>0</v>
      </c>
      <c r="J9" s="140">
        <v>537</v>
      </c>
      <c r="K9" s="140">
        <f>E9+H9</f>
        <v>702</v>
      </c>
      <c r="L9" s="140">
        <f t="shared" ref="L9:M12" si="0">F9+I9</f>
        <v>601</v>
      </c>
      <c r="M9" s="141">
        <f t="shared" si="0"/>
        <v>176665</v>
      </c>
      <c r="N9" s="53" t="s">
        <v>20</v>
      </c>
    </row>
    <row r="10" spans="1:21" x14ac:dyDescent="0.25">
      <c r="A10" s="16" t="s">
        <v>131</v>
      </c>
      <c r="B10" s="143">
        <f t="shared" ref="B10:M10" si="1">SUM(B9:B9)</f>
        <v>702</v>
      </c>
      <c r="C10" s="143">
        <f t="shared" si="1"/>
        <v>628</v>
      </c>
      <c r="D10" s="143">
        <f t="shared" si="1"/>
        <v>175057</v>
      </c>
      <c r="E10" s="143">
        <f t="shared" si="1"/>
        <v>702</v>
      </c>
      <c r="F10" s="143">
        <f t="shared" si="1"/>
        <v>601</v>
      </c>
      <c r="G10" s="143">
        <f t="shared" si="1"/>
        <v>176128</v>
      </c>
      <c r="H10" s="143">
        <f t="shared" si="1"/>
        <v>0</v>
      </c>
      <c r="I10" s="143">
        <f t="shared" si="1"/>
        <v>0</v>
      </c>
      <c r="J10" s="143">
        <f t="shared" si="1"/>
        <v>537</v>
      </c>
      <c r="K10" s="143">
        <f t="shared" si="1"/>
        <v>702</v>
      </c>
      <c r="L10" s="143">
        <f t="shared" si="1"/>
        <v>601</v>
      </c>
      <c r="M10" s="144">
        <f t="shared" si="1"/>
        <v>176665</v>
      </c>
      <c r="N10" s="53" t="s">
        <v>20</v>
      </c>
    </row>
    <row r="11" spans="1:21" x14ac:dyDescent="0.25">
      <c r="A11" s="96" t="s">
        <v>130</v>
      </c>
      <c r="B11" s="145"/>
      <c r="C11" s="145"/>
      <c r="D11" s="146">
        <v>0</v>
      </c>
      <c r="E11" s="145"/>
      <c r="F11" s="145"/>
      <c r="G11" s="146">
        <v>0</v>
      </c>
      <c r="H11" s="145"/>
      <c r="I11" s="145"/>
      <c r="J11" s="146">
        <v>0</v>
      </c>
      <c r="K11" s="145"/>
      <c r="L11" s="145"/>
      <c r="M11" s="147">
        <f t="shared" si="0"/>
        <v>0</v>
      </c>
      <c r="N11" s="53" t="s">
        <v>20</v>
      </c>
    </row>
    <row r="12" spans="1:21" x14ac:dyDescent="0.25">
      <c r="A12" s="123" t="s">
        <v>150</v>
      </c>
      <c r="B12" s="25"/>
      <c r="C12" s="25"/>
      <c r="D12" s="148">
        <f>SUM(D10:D11)</f>
        <v>175057</v>
      </c>
      <c r="E12" s="25"/>
      <c r="F12" s="25"/>
      <c r="G12" s="148">
        <f>SUM(G10:G11)</f>
        <v>176128</v>
      </c>
      <c r="H12" s="25"/>
      <c r="I12" s="25"/>
      <c r="J12" s="148">
        <f>SUM(J10:J11)</f>
        <v>537</v>
      </c>
      <c r="K12" s="25"/>
      <c r="L12" s="25"/>
      <c r="M12" s="149">
        <f t="shared" si="0"/>
        <v>176665</v>
      </c>
      <c r="N12" s="53" t="s">
        <v>20</v>
      </c>
    </row>
    <row r="13" spans="1:21" x14ac:dyDescent="0.25">
      <c r="A13" s="113" t="s">
        <v>26</v>
      </c>
      <c r="B13" s="150"/>
      <c r="C13" s="150">
        <v>0</v>
      </c>
      <c r="D13" s="150"/>
      <c r="E13" s="150"/>
      <c r="F13" s="150">
        <v>0</v>
      </c>
      <c r="G13" s="150"/>
      <c r="H13" s="150"/>
      <c r="I13" s="150">
        <v>0</v>
      </c>
      <c r="J13" s="150"/>
      <c r="K13" s="150"/>
      <c r="L13" s="150">
        <f t="shared" ref="L13:L14" si="2">F13+I13</f>
        <v>0</v>
      </c>
      <c r="M13" s="151"/>
      <c r="N13" s="53" t="s">
        <v>20</v>
      </c>
    </row>
    <row r="14" spans="1:21" x14ac:dyDescent="0.25">
      <c r="A14" s="114" t="s">
        <v>132</v>
      </c>
      <c r="B14" s="24"/>
      <c r="C14" s="24">
        <f>C10+C13</f>
        <v>628</v>
      </c>
      <c r="D14" s="24"/>
      <c r="E14" s="24"/>
      <c r="F14" s="24">
        <f>F10+F13</f>
        <v>601</v>
      </c>
      <c r="G14" s="24"/>
      <c r="H14" s="24"/>
      <c r="I14" s="24">
        <f>I10+I13</f>
        <v>0</v>
      </c>
      <c r="J14" s="24"/>
      <c r="K14" s="24"/>
      <c r="L14" s="24">
        <f t="shared" si="2"/>
        <v>601</v>
      </c>
      <c r="M14" s="142"/>
      <c r="N14" s="53" t="s">
        <v>20</v>
      </c>
    </row>
    <row r="15" spans="1:21" x14ac:dyDescent="0.25">
      <c r="A15" s="18"/>
      <c r="B15" s="24"/>
      <c r="C15" s="24"/>
      <c r="D15" s="24"/>
      <c r="E15" s="24"/>
      <c r="F15" s="24"/>
      <c r="G15" s="24"/>
      <c r="H15" s="24"/>
      <c r="I15" s="24"/>
      <c r="J15" s="24"/>
      <c r="K15" s="24"/>
      <c r="L15" s="24"/>
      <c r="M15" s="142"/>
      <c r="N15" s="53" t="s">
        <v>20</v>
      </c>
    </row>
    <row r="16" spans="1:21" x14ac:dyDescent="0.25">
      <c r="A16" s="18" t="s">
        <v>27</v>
      </c>
      <c r="B16" s="24"/>
      <c r="C16" s="24"/>
      <c r="D16" s="24"/>
      <c r="E16" s="24"/>
      <c r="F16" s="24"/>
      <c r="G16" s="24"/>
      <c r="H16" s="24"/>
      <c r="I16" s="24"/>
      <c r="J16" s="24"/>
      <c r="K16" s="24"/>
      <c r="L16" s="24"/>
      <c r="M16" s="142"/>
      <c r="N16" s="53" t="s">
        <v>20</v>
      </c>
    </row>
    <row r="17" spans="1:14" x14ac:dyDescent="0.25">
      <c r="A17" s="19" t="s">
        <v>28</v>
      </c>
      <c r="B17" s="24"/>
      <c r="C17" s="24">
        <v>0</v>
      </c>
      <c r="D17" s="24"/>
      <c r="E17" s="24"/>
      <c r="F17" s="24">
        <v>0</v>
      </c>
      <c r="G17" s="24"/>
      <c r="H17" s="24"/>
      <c r="I17" s="24">
        <v>0</v>
      </c>
      <c r="J17" s="24"/>
      <c r="K17" s="24"/>
      <c r="L17" s="24">
        <f t="shared" ref="L17:L19" si="3">F17+I17</f>
        <v>0</v>
      </c>
      <c r="M17" s="142"/>
      <c r="N17" s="53" t="s">
        <v>20</v>
      </c>
    </row>
    <row r="18" spans="1:14" x14ac:dyDescent="0.25">
      <c r="A18" s="20" t="s">
        <v>29</v>
      </c>
      <c r="B18" s="152"/>
      <c r="C18" s="152">
        <v>0</v>
      </c>
      <c r="D18" s="152"/>
      <c r="E18" s="152"/>
      <c r="F18" s="152">
        <v>0</v>
      </c>
      <c r="G18" s="152"/>
      <c r="H18" s="152"/>
      <c r="I18" s="152">
        <v>0</v>
      </c>
      <c r="J18" s="152"/>
      <c r="K18" s="152"/>
      <c r="L18" s="152">
        <f t="shared" si="3"/>
        <v>0</v>
      </c>
      <c r="M18" s="153"/>
      <c r="N18" s="53" t="s">
        <v>20</v>
      </c>
    </row>
    <row r="19" spans="1:14" ht="14.4" thickBot="1" x14ac:dyDescent="0.3">
      <c r="A19" s="115" t="s">
        <v>133</v>
      </c>
      <c r="B19" s="154"/>
      <c r="C19" s="154">
        <f>C14+C17+C18</f>
        <v>628</v>
      </c>
      <c r="D19" s="154"/>
      <c r="E19" s="154"/>
      <c r="F19" s="154">
        <f>F14+F17+F18</f>
        <v>601</v>
      </c>
      <c r="G19" s="154"/>
      <c r="H19" s="154"/>
      <c r="I19" s="154">
        <f>I14+I17+I18</f>
        <v>0</v>
      </c>
      <c r="J19" s="154"/>
      <c r="K19" s="154"/>
      <c r="L19" s="154">
        <f t="shared" si="3"/>
        <v>601</v>
      </c>
      <c r="M19" s="155"/>
      <c r="N19" s="53" t="s">
        <v>20</v>
      </c>
    </row>
    <row r="20" spans="1:14" ht="14.4" thickBot="1" x14ac:dyDescent="0.3">
      <c r="N20" s="53" t="s">
        <v>20</v>
      </c>
    </row>
    <row r="21" spans="1:14" x14ac:dyDescent="0.25">
      <c r="A21" s="638" t="s">
        <v>134</v>
      </c>
      <c r="B21" s="641" t="s">
        <v>22</v>
      </c>
      <c r="C21" s="641"/>
      <c r="D21" s="641"/>
      <c r="E21" s="641" t="s">
        <v>23</v>
      </c>
      <c r="F21" s="641"/>
      <c r="G21" s="641"/>
      <c r="H21" s="641" t="s">
        <v>24</v>
      </c>
      <c r="I21" s="641"/>
      <c r="J21" s="642"/>
      <c r="N21" s="53" t="s">
        <v>20</v>
      </c>
    </row>
    <row r="22" spans="1:14" ht="27.6" x14ac:dyDescent="0.25">
      <c r="A22" s="639"/>
      <c r="B22" s="14" t="s">
        <v>3</v>
      </c>
      <c r="C22" s="14" t="s">
        <v>149</v>
      </c>
      <c r="D22" s="14" t="s">
        <v>4</v>
      </c>
      <c r="E22" s="14" t="s">
        <v>3</v>
      </c>
      <c r="F22" s="14" t="s">
        <v>149</v>
      </c>
      <c r="G22" s="14" t="s">
        <v>4</v>
      </c>
      <c r="H22" s="14" t="s">
        <v>3</v>
      </c>
      <c r="I22" s="14" t="s">
        <v>149</v>
      </c>
      <c r="J22" s="15" t="s">
        <v>4</v>
      </c>
      <c r="N22" s="53" t="s">
        <v>20</v>
      </c>
    </row>
    <row r="23" spans="1:14" x14ac:dyDescent="0.25">
      <c r="A23" s="17" t="str">
        <f>A9</f>
        <v>Salaries and Expenses/Management and Administration</v>
      </c>
      <c r="B23" s="140">
        <v>10</v>
      </c>
      <c r="C23" s="140">
        <v>10</v>
      </c>
      <c r="D23" s="140">
        <v>0</v>
      </c>
      <c r="E23" s="140">
        <v>0</v>
      </c>
      <c r="F23" s="140">
        <v>0</v>
      </c>
      <c r="G23" s="140">
        <v>0</v>
      </c>
      <c r="H23" s="140">
        <f>K9+B23+E23</f>
        <v>712</v>
      </c>
      <c r="I23" s="140">
        <f>L9+C23+F23</f>
        <v>611</v>
      </c>
      <c r="J23" s="141">
        <f>M9+D23+G23</f>
        <v>176665</v>
      </c>
      <c r="N23" s="53" t="s">
        <v>20</v>
      </c>
    </row>
    <row r="24" spans="1:14" x14ac:dyDescent="0.25">
      <c r="A24" s="16" t="s">
        <v>131</v>
      </c>
      <c r="B24" s="143">
        <f t="shared" ref="B24:J24" si="4">SUM(B23:B23)</f>
        <v>10</v>
      </c>
      <c r="C24" s="143">
        <f t="shared" si="4"/>
        <v>10</v>
      </c>
      <c r="D24" s="143">
        <f t="shared" si="4"/>
        <v>0</v>
      </c>
      <c r="E24" s="143">
        <f t="shared" si="4"/>
        <v>0</v>
      </c>
      <c r="F24" s="143">
        <f t="shared" si="4"/>
        <v>0</v>
      </c>
      <c r="G24" s="143">
        <f t="shared" si="4"/>
        <v>0</v>
      </c>
      <c r="H24" s="143">
        <f t="shared" si="4"/>
        <v>712</v>
      </c>
      <c r="I24" s="143">
        <f t="shared" si="4"/>
        <v>611</v>
      </c>
      <c r="J24" s="144">
        <f t="shared" si="4"/>
        <v>176665</v>
      </c>
      <c r="N24" s="53" t="s">
        <v>20</v>
      </c>
    </row>
    <row r="25" spans="1:14" x14ac:dyDescent="0.25">
      <c r="A25" s="96" t="s">
        <v>130</v>
      </c>
      <c r="B25" s="145"/>
      <c r="C25" s="145"/>
      <c r="D25" s="146">
        <v>0</v>
      </c>
      <c r="E25" s="145"/>
      <c r="F25" s="145"/>
      <c r="G25" s="146">
        <v>0</v>
      </c>
      <c r="H25" s="145"/>
      <c r="I25" s="145"/>
      <c r="J25" s="147">
        <f>M11+D25+G25</f>
        <v>0</v>
      </c>
      <c r="N25" s="53" t="s">
        <v>20</v>
      </c>
    </row>
    <row r="26" spans="1:14" x14ac:dyDescent="0.25">
      <c r="A26" s="123" t="s">
        <v>150</v>
      </c>
      <c r="B26" s="25"/>
      <c r="C26" s="25"/>
      <c r="D26" s="148">
        <f>SUM(D24:D25)</f>
        <v>0</v>
      </c>
      <c r="E26" s="25"/>
      <c r="F26" s="25"/>
      <c r="G26" s="148">
        <f>SUM(G24:G25)</f>
        <v>0</v>
      </c>
      <c r="H26" s="25"/>
      <c r="I26" s="25"/>
      <c r="J26" s="149">
        <f>M12+D26+G26</f>
        <v>176665</v>
      </c>
      <c r="N26" s="53" t="s">
        <v>20</v>
      </c>
    </row>
    <row r="27" spans="1:14" x14ac:dyDescent="0.25">
      <c r="A27" s="95" t="s">
        <v>26</v>
      </c>
      <c r="B27" s="150"/>
      <c r="C27" s="150">
        <v>0</v>
      </c>
      <c r="D27" s="150"/>
      <c r="E27" s="150"/>
      <c r="F27" s="150">
        <v>0</v>
      </c>
      <c r="G27" s="150"/>
      <c r="H27" s="150"/>
      <c r="I27" s="150">
        <f t="shared" ref="I27:I33" si="5">L13+C27+F27</f>
        <v>0</v>
      </c>
      <c r="J27" s="151"/>
      <c r="N27" s="53" t="s">
        <v>20</v>
      </c>
    </row>
    <row r="28" spans="1:14" x14ac:dyDescent="0.25">
      <c r="A28" s="18" t="s">
        <v>132</v>
      </c>
      <c r="B28" s="24"/>
      <c r="C28" s="24">
        <f>C24+C27</f>
        <v>10</v>
      </c>
      <c r="D28" s="24"/>
      <c r="E28" s="24"/>
      <c r="F28" s="24">
        <f>F24+F27</f>
        <v>0</v>
      </c>
      <c r="G28" s="24"/>
      <c r="H28" s="24"/>
      <c r="I28" s="24">
        <f t="shared" si="5"/>
        <v>611</v>
      </c>
      <c r="J28" s="142"/>
      <c r="N28" s="53" t="s">
        <v>20</v>
      </c>
    </row>
    <row r="29" spans="1:14" x14ac:dyDescent="0.25">
      <c r="A29" s="18"/>
      <c r="B29" s="24"/>
      <c r="C29" s="24"/>
      <c r="D29" s="24"/>
      <c r="E29" s="24"/>
      <c r="F29" s="24"/>
      <c r="G29" s="24"/>
      <c r="H29" s="24"/>
      <c r="I29" s="24"/>
      <c r="J29" s="142"/>
      <c r="N29" s="53" t="s">
        <v>20</v>
      </c>
    </row>
    <row r="30" spans="1:14" x14ac:dyDescent="0.25">
      <c r="A30" s="18" t="s">
        <v>27</v>
      </c>
      <c r="B30" s="24"/>
      <c r="C30" s="24"/>
      <c r="D30" s="24"/>
      <c r="E30" s="24"/>
      <c r="F30" s="24"/>
      <c r="G30" s="24"/>
      <c r="H30" s="24"/>
      <c r="I30" s="24"/>
      <c r="J30" s="142"/>
      <c r="N30" s="53" t="s">
        <v>20</v>
      </c>
    </row>
    <row r="31" spans="1:14" x14ac:dyDescent="0.25">
      <c r="A31" s="19" t="s">
        <v>28</v>
      </c>
      <c r="B31" s="24"/>
      <c r="C31" s="24">
        <v>0</v>
      </c>
      <c r="D31" s="24"/>
      <c r="E31" s="24"/>
      <c r="F31" s="24">
        <v>0</v>
      </c>
      <c r="G31" s="24"/>
      <c r="H31" s="24"/>
      <c r="I31" s="24">
        <f t="shared" si="5"/>
        <v>0</v>
      </c>
      <c r="J31" s="142"/>
      <c r="N31" s="53" t="s">
        <v>20</v>
      </c>
    </row>
    <row r="32" spans="1:14" x14ac:dyDescent="0.25">
      <c r="A32" s="20" t="s">
        <v>29</v>
      </c>
      <c r="B32" s="152"/>
      <c r="C32" s="152">
        <v>0</v>
      </c>
      <c r="D32" s="152"/>
      <c r="E32" s="152"/>
      <c r="F32" s="152">
        <v>0</v>
      </c>
      <c r="G32" s="152"/>
      <c r="H32" s="152"/>
      <c r="I32" s="152">
        <f t="shared" si="5"/>
        <v>0</v>
      </c>
      <c r="J32" s="153"/>
      <c r="N32" s="53" t="s">
        <v>20</v>
      </c>
    </row>
    <row r="33" spans="1:14" ht="14.4" thickBot="1" x14ac:dyDescent="0.3">
      <c r="A33" s="21" t="s">
        <v>133</v>
      </c>
      <c r="B33" s="154"/>
      <c r="C33" s="154">
        <f>C28+C31+C32</f>
        <v>10</v>
      </c>
      <c r="D33" s="154"/>
      <c r="E33" s="154"/>
      <c r="F33" s="154">
        <f>F28+F31+F32</f>
        <v>0</v>
      </c>
      <c r="G33" s="154"/>
      <c r="H33" s="154"/>
      <c r="I33" s="154">
        <f t="shared" si="5"/>
        <v>611</v>
      </c>
      <c r="J33" s="155"/>
      <c r="N33" s="53" t="s">
        <v>20</v>
      </c>
    </row>
    <row r="34" spans="1:14" x14ac:dyDescent="0.25">
      <c r="N34" s="7" t="s">
        <v>21</v>
      </c>
    </row>
    <row r="35" spans="1:14" x14ac:dyDescent="0.25">
      <c r="A35" s="178" t="s">
        <v>213</v>
      </c>
    </row>
  </sheetData>
  <customSheetViews>
    <customSheetView guid="{5B2D5037-506A-47D5-AF28-C337BC9133BD}" scale="80" showPageBreaks="1" printArea="1" view="pageBreakPreview">
      <selection activeCell="L27" sqref="L27"/>
      <pageMargins left="0.7" right="0.7" top="0.75" bottom="0.75" header="0.3" footer="0.3"/>
      <printOptions horizontalCentered="1"/>
      <pageSetup scale="68" orientation="landscape" r:id="rId1"/>
      <headerFooter>
        <oddHeader>&amp;L&amp;"Arial,Bold"&amp;12B. Summary of Requirements</oddHeader>
        <oddFooter>&amp;C&amp;"Arial,Regular"Exhibit B - Summary of Requirements&amp;R&amp;"Arial,Regular"Salaries and Expenses/Management and Administration</oddFooter>
      </headerFooter>
    </customSheetView>
    <customSheetView guid="{08380F1E-0CB7-4B3B-924E-2A270EA8DD30}" scale="80" showPageBreaks="1" printArea="1" view="pageBreakPreview">
      <selection activeCell="C24" sqref="C24"/>
      <pageMargins left="0.7" right="0.7" top="0.75" bottom="0.75" header="0.3" footer="0.3"/>
      <printOptions horizontalCentered="1"/>
      <pageSetup scale="68" orientation="landscape" r:id="rId2"/>
      <headerFooter>
        <oddHeader>&amp;L&amp;"Arial,Bold"&amp;12B. Summary of Requirements</oddHeader>
        <oddFooter>&amp;C&amp;"Arial,Regular"Exhibit B - Summary of Requirements&amp;R&amp;"Arial,Regular"Salaries and Expenses/Management and Administration</oddFooter>
      </headerFooter>
    </customSheetView>
    <customSheetView guid="{D19943A8-2C2A-430A-A724-8C7C332697C8}" scale="80" showPageBreaks="1" printArea="1" view="pageBreakPreview">
      <selection activeCell="C24" sqref="C24"/>
      <pageMargins left="0.7" right="0.7" top="0.75" bottom="0.75" header="0.3" footer="0.3"/>
      <printOptions horizontalCentered="1"/>
      <pageSetup scale="68" orientation="landscape" r:id="rId3"/>
      <headerFooter>
        <oddHeader>&amp;L&amp;"Arial,Bold"&amp;12B. Summary of Requirements</oddHeader>
        <oddFooter>&amp;C&amp;"Arial,Regular"Exhibit B - Summary of Requirements&amp;R&amp;"Arial,Regular"Salaries and Expenses/Management and Administration</oddFooter>
      </headerFooter>
    </customSheetView>
    <customSheetView guid="{C6D68C6D-939C-4DFA-9385-A3F05DFB5EDA}" scale="80" showPageBreaks="1" printArea="1" view="pageBreakPreview">
      <selection activeCell="C24" sqref="C24"/>
      <pageMargins left="0.7" right="0.7" top="0.75" bottom="0.75" header="0.3" footer="0.3"/>
      <printOptions horizontalCentered="1"/>
      <pageSetup scale="68" orientation="landscape" r:id="rId4"/>
      <headerFooter>
        <oddHeader>&amp;L&amp;"Arial,Bold"&amp;12B. Summary of Requirements</oddHeader>
        <oddFooter>&amp;C&amp;"Arial,Regular"Exhibit B - Summary of Requirements&amp;R&amp;"Arial,Regular"Salaries and Expenses/Management and Administration</oddFooter>
      </headerFooter>
    </customSheetView>
  </customSheetViews>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68" orientation="landscape" r:id="rId5"/>
  <headerFooter>
    <oddHeader>&amp;L&amp;"Arial,Bold"&amp;12B. Summary of Requirements</oddHeader>
    <oddFooter>&amp;C&amp;"Arial,Regular"Exhibit B - Summary of Requirements&amp;R&amp;"Arial,Regular"Salaries and Expenses/Management and Administration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view="pageBreakPreview" topLeftCell="A31" zoomScale="90" zoomScaleNormal="100" zoomScaleSheetLayoutView="90" workbookViewId="0">
      <selection activeCell="A49" sqref="A49"/>
    </sheetView>
  </sheetViews>
  <sheetFormatPr defaultColWidth="9.109375" defaultRowHeight="13.8" x14ac:dyDescent="0.25"/>
  <cols>
    <col min="1" max="1" width="113.5546875" style="178" customWidth="1"/>
    <col min="2" max="3" width="14.5546875" style="199" customWidth="1"/>
    <col min="4" max="4" width="14.5546875" style="200" customWidth="1"/>
    <col min="5" max="5" width="11.5546875" style="7" bestFit="1" customWidth="1"/>
    <col min="6" max="6" width="4.88671875" style="178" customWidth="1"/>
    <col min="7" max="16384" width="9.109375" style="178"/>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272</v>
      </c>
      <c r="B3" s="635"/>
      <c r="C3" s="635"/>
      <c r="D3" s="635"/>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7.25" x14ac:dyDescent="0.25">
      <c r="A8" s="90" t="s">
        <v>153</v>
      </c>
      <c r="B8" s="91">
        <v>0</v>
      </c>
      <c r="C8" s="92">
        <v>0</v>
      </c>
      <c r="D8" s="93">
        <v>1162500</v>
      </c>
      <c r="E8" s="7" t="s">
        <v>20</v>
      </c>
    </row>
    <row r="9" spans="1:5" ht="15" x14ac:dyDescent="0.25">
      <c r="A9" s="201" t="s">
        <v>5</v>
      </c>
      <c r="B9" s="130"/>
      <c r="C9" s="25"/>
      <c r="D9" s="469">
        <v>-42000</v>
      </c>
      <c r="E9" s="7" t="s">
        <v>20</v>
      </c>
    </row>
    <row r="10" spans="1:5" ht="16.2" x14ac:dyDescent="0.25">
      <c r="A10" s="89" t="s">
        <v>154</v>
      </c>
      <c r="B10" s="126">
        <f t="shared" ref="B10:C10" si="0">SUM(B8:B9)</f>
        <v>0</v>
      </c>
      <c r="C10" s="127">
        <f t="shared" si="0"/>
        <v>0</v>
      </c>
      <c r="D10" s="204">
        <f>SUM(D8:D9)</f>
        <v>1120500</v>
      </c>
      <c r="E10" s="7" t="s">
        <v>20</v>
      </c>
    </row>
    <row r="11" spans="1:5" ht="13.95" x14ac:dyDescent="0.25">
      <c r="A11" s="67" t="s">
        <v>8</v>
      </c>
      <c r="B11" s="126">
        <v>0</v>
      </c>
      <c r="C11" s="127">
        <v>0</v>
      </c>
      <c r="D11" s="128">
        <v>1162500</v>
      </c>
      <c r="E11" s="7" t="s">
        <v>20</v>
      </c>
    </row>
    <row r="12" spans="1:5" ht="13.95" x14ac:dyDescent="0.25">
      <c r="A12" s="201" t="s">
        <v>6</v>
      </c>
      <c r="B12" s="69"/>
      <c r="C12" s="70"/>
      <c r="D12" s="470">
        <v>-42000</v>
      </c>
      <c r="E12" s="7" t="s">
        <v>20</v>
      </c>
    </row>
    <row r="13" spans="1:5" ht="13.95" x14ac:dyDescent="0.25">
      <c r="A13" s="201" t="s">
        <v>156</v>
      </c>
      <c r="B13" s="173"/>
      <c r="C13" s="174"/>
      <c r="D13" s="202">
        <v>7115</v>
      </c>
      <c r="E13" s="7" t="s">
        <v>20</v>
      </c>
    </row>
    <row r="14" spans="1:5" ht="13.95" x14ac:dyDescent="0.25">
      <c r="A14" s="201" t="s">
        <v>137</v>
      </c>
      <c r="B14" s="130"/>
      <c r="C14" s="25"/>
      <c r="D14" s="203">
        <v>0</v>
      </c>
      <c r="E14" s="7" t="s">
        <v>20</v>
      </c>
    </row>
    <row r="15" spans="1:5" ht="13.95" x14ac:dyDescent="0.25">
      <c r="A15" s="72" t="s">
        <v>122</v>
      </c>
      <c r="B15" s="69">
        <f t="shared" ref="B15:C15" si="1">SUM(B11:B14)</f>
        <v>0</v>
      </c>
      <c r="C15" s="70">
        <f t="shared" si="1"/>
        <v>0</v>
      </c>
      <c r="D15" s="73">
        <f>SUM(D11:D14)</f>
        <v>1127615</v>
      </c>
      <c r="E15" s="7" t="s">
        <v>20</v>
      </c>
    </row>
    <row r="16" spans="1:5" ht="13.95" x14ac:dyDescent="0.25">
      <c r="A16" s="72"/>
      <c r="B16" s="69"/>
      <c r="C16" s="70"/>
      <c r="D16" s="73"/>
      <c r="E16" s="7" t="s">
        <v>20</v>
      </c>
    </row>
    <row r="17" spans="1:5" ht="13.95" x14ac:dyDescent="0.25">
      <c r="A17" s="74" t="s">
        <v>191</v>
      </c>
      <c r="B17" s="69"/>
      <c r="C17" s="70"/>
      <c r="D17" s="73"/>
      <c r="E17" s="7" t="s">
        <v>20</v>
      </c>
    </row>
    <row r="18" spans="1:5" ht="14.25" x14ac:dyDescent="0.2">
      <c r="A18" s="206" t="s">
        <v>193</v>
      </c>
      <c r="B18" s="207">
        <v>0</v>
      </c>
      <c r="C18" s="208">
        <v>0</v>
      </c>
      <c r="D18" s="470">
        <v>-7115</v>
      </c>
      <c r="E18" s="7" t="s">
        <v>20</v>
      </c>
    </row>
    <row r="19" spans="1:5" ht="13.95" x14ac:dyDescent="0.25">
      <c r="A19" s="206" t="s">
        <v>434</v>
      </c>
      <c r="B19" s="136"/>
      <c r="C19" s="137"/>
      <c r="D19" s="138">
        <v>42000</v>
      </c>
    </row>
    <row r="20" spans="1:5" ht="13.95" x14ac:dyDescent="0.25">
      <c r="A20" s="77" t="s">
        <v>195</v>
      </c>
      <c r="B20" s="69">
        <f>SUM(B18:B18)</f>
        <v>0</v>
      </c>
      <c r="C20" s="70">
        <f>SUM(C18:C18)</f>
        <v>0</v>
      </c>
      <c r="D20" s="471">
        <f>SUM(D18:D18)</f>
        <v>-7115</v>
      </c>
      <c r="E20" s="7" t="s">
        <v>20</v>
      </c>
    </row>
    <row r="21" spans="1:5" ht="13.95" x14ac:dyDescent="0.25">
      <c r="A21" s="72" t="s">
        <v>124</v>
      </c>
      <c r="B21" s="134">
        <f>+B20</f>
        <v>0</v>
      </c>
      <c r="C21" s="25">
        <f>+C20</f>
        <v>0</v>
      </c>
      <c r="D21" s="26">
        <f>+D20+D19</f>
        <v>34885</v>
      </c>
      <c r="E21" s="7" t="s">
        <v>20</v>
      </c>
    </row>
    <row r="22" spans="1:5" ht="13.95" x14ac:dyDescent="0.25">
      <c r="A22" s="78" t="s">
        <v>13</v>
      </c>
      <c r="B22" s="132">
        <f>B15+B21</f>
        <v>0</v>
      </c>
      <c r="C22" s="127">
        <f>C15+C21</f>
        <v>0</v>
      </c>
      <c r="D22" s="133">
        <f>D15+D21</f>
        <v>1162500</v>
      </c>
      <c r="E22" s="7" t="s">
        <v>20</v>
      </c>
    </row>
    <row r="23" spans="1:5" ht="13.95" x14ac:dyDescent="0.25">
      <c r="A23" s="78" t="s">
        <v>14</v>
      </c>
      <c r="B23" s="132"/>
      <c r="C23" s="127"/>
      <c r="D23" s="133"/>
      <c r="E23" s="7" t="s">
        <v>20</v>
      </c>
    </row>
    <row r="24" spans="1:5" ht="13.95" x14ac:dyDescent="0.25">
      <c r="A24" s="182" t="s">
        <v>196</v>
      </c>
      <c r="B24" s="79"/>
      <c r="C24" s="70"/>
      <c r="D24" s="80"/>
      <c r="E24" s="7" t="s">
        <v>20</v>
      </c>
    </row>
    <row r="25" spans="1:5" ht="13.95" x14ac:dyDescent="0.25">
      <c r="A25" s="189" t="s">
        <v>273</v>
      </c>
      <c r="B25" s="209">
        <v>0</v>
      </c>
      <c r="C25" s="208">
        <v>0</v>
      </c>
      <c r="D25" s="210">
        <v>20000</v>
      </c>
      <c r="E25" s="7" t="s">
        <v>20</v>
      </c>
    </row>
    <row r="26" spans="1:5" ht="13.95" x14ac:dyDescent="0.25">
      <c r="A26" s="189" t="s">
        <v>274</v>
      </c>
      <c r="B26" s="209">
        <v>0</v>
      </c>
      <c r="C26" s="208">
        <v>0</v>
      </c>
      <c r="D26" s="210">
        <v>85000</v>
      </c>
      <c r="E26" s="7" t="s">
        <v>20</v>
      </c>
    </row>
    <row r="27" spans="1:5" ht="13.95" x14ac:dyDescent="0.25">
      <c r="A27" s="189" t="s">
        <v>275</v>
      </c>
      <c r="B27" s="209">
        <v>0</v>
      </c>
      <c r="C27" s="208">
        <v>0</v>
      </c>
      <c r="D27" s="210">
        <v>2000</v>
      </c>
      <c r="E27" s="7" t="s">
        <v>20</v>
      </c>
    </row>
    <row r="28" spans="1:5" ht="13.95" x14ac:dyDescent="0.25">
      <c r="A28" s="189" t="s">
        <v>276</v>
      </c>
      <c r="B28" s="209">
        <v>0</v>
      </c>
      <c r="C28" s="208">
        <v>0</v>
      </c>
      <c r="D28" s="210">
        <v>13000</v>
      </c>
      <c r="E28" s="7" t="s">
        <v>20</v>
      </c>
    </row>
    <row r="29" spans="1:5" ht="13.95" x14ac:dyDescent="0.25">
      <c r="A29" s="189" t="s">
        <v>277</v>
      </c>
      <c r="B29" s="209">
        <v>0</v>
      </c>
      <c r="C29" s="208">
        <v>0</v>
      </c>
      <c r="D29" s="210">
        <v>10000</v>
      </c>
      <c r="E29" s="7" t="s">
        <v>20</v>
      </c>
    </row>
    <row r="30" spans="1:5" ht="13.95" x14ac:dyDescent="0.25">
      <c r="A30" s="189" t="s">
        <v>278</v>
      </c>
      <c r="B30" s="209"/>
      <c r="C30" s="208"/>
      <c r="D30" s="210">
        <v>44000</v>
      </c>
      <c r="E30" s="7" t="s">
        <v>20</v>
      </c>
    </row>
    <row r="31" spans="1:5" ht="13.95" x14ac:dyDescent="0.25">
      <c r="A31" s="189" t="s">
        <v>279</v>
      </c>
      <c r="B31" s="209">
        <v>0</v>
      </c>
      <c r="C31" s="208">
        <v>0</v>
      </c>
      <c r="D31" s="210">
        <v>25000</v>
      </c>
      <c r="E31" s="7" t="s">
        <v>20</v>
      </c>
    </row>
    <row r="32" spans="1:5" ht="13.95" x14ac:dyDescent="0.25">
      <c r="A32" s="189" t="s">
        <v>280</v>
      </c>
      <c r="B32" s="209">
        <v>0</v>
      </c>
      <c r="C32" s="208">
        <v>0</v>
      </c>
      <c r="D32" s="210">
        <v>44000</v>
      </c>
      <c r="E32" s="7" t="s">
        <v>20</v>
      </c>
    </row>
    <row r="33" spans="1:5" ht="13.95" x14ac:dyDescent="0.25">
      <c r="A33" s="189" t="s">
        <v>281</v>
      </c>
      <c r="B33" s="209">
        <v>0</v>
      </c>
      <c r="C33" s="208">
        <v>0</v>
      </c>
      <c r="D33" s="210">
        <v>9000</v>
      </c>
      <c r="E33" s="7" t="s">
        <v>20</v>
      </c>
    </row>
    <row r="34" spans="1:5" ht="13.95" x14ac:dyDescent="0.25">
      <c r="A34" s="189" t="s">
        <v>282</v>
      </c>
      <c r="B34" s="209">
        <v>0</v>
      </c>
      <c r="C34" s="208">
        <v>0</v>
      </c>
      <c r="D34" s="210">
        <v>56000</v>
      </c>
      <c r="E34" s="7" t="s">
        <v>20</v>
      </c>
    </row>
    <row r="35" spans="1:5" ht="13.95" x14ac:dyDescent="0.25">
      <c r="A35" s="189" t="s">
        <v>283</v>
      </c>
      <c r="B35" s="287">
        <v>0</v>
      </c>
      <c r="C35" s="230">
        <v>0</v>
      </c>
      <c r="D35" s="436">
        <v>40000</v>
      </c>
      <c r="E35" s="7" t="s">
        <v>20</v>
      </c>
    </row>
    <row r="36" spans="1:5" ht="13.95" x14ac:dyDescent="0.25">
      <c r="A36" s="189" t="s">
        <v>16</v>
      </c>
      <c r="B36" s="288">
        <f>SUM(B25:B27)</f>
        <v>0</v>
      </c>
      <c r="C36" s="234">
        <f>SUM(C25:C27)</f>
        <v>0</v>
      </c>
      <c r="D36" s="204">
        <f>SUM(D25:D35)</f>
        <v>348000</v>
      </c>
      <c r="E36" s="7" t="s">
        <v>20</v>
      </c>
    </row>
    <row r="37" spans="1:5" ht="13.95" x14ac:dyDescent="0.25">
      <c r="A37" s="182" t="s">
        <v>284</v>
      </c>
      <c r="B37" s="79"/>
      <c r="C37" s="70"/>
      <c r="D37" s="80"/>
      <c r="E37" s="7" t="s">
        <v>20</v>
      </c>
    </row>
    <row r="38" spans="1:5" ht="13.95" x14ac:dyDescent="0.25">
      <c r="A38" s="189" t="s">
        <v>285</v>
      </c>
      <c r="B38" s="209">
        <v>0</v>
      </c>
      <c r="C38" s="208">
        <v>0</v>
      </c>
      <c r="D38" s="472">
        <v>-1000</v>
      </c>
      <c r="E38" s="7" t="s">
        <v>20</v>
      </c>
    </row>
    <row r="39" spans="1:5" ht="13.95" x14ac:dyDescent="0.25">
      <c r="A39" s="189" t="s">
        <v>286</v>
      </c>
      <c r="B39" s="209">
        <v>0</v>
      </c>
      <c r="C39" s="208">
        <v>0</v>
      </c>
      <c r="D39" s="472">
        <v>-25000</v>
      </c>
      <c r="E39" s="7" t="s">
        <v>20</v>
      </c>
    </row>
    <row r="40" spans="1:5" ht="13.95" x14ac:dyDescent="0.25">
      <c r="A40" s="189" t="s">
        <v>287</v>
      </c>
      <c r="B40" s="209">
        <v>0</v>
      </c>
      <c r="C40" s="208">
        <v>0</v>
      </c>
      <c r="D40" s="472">
        <v>-2000</v>
      </c>
      <c r="E40" s="7" t="s">
        <v>20</v>
      </c>
    </row>
    <row r="41" spans="1:5" ht="16.2" x14ac:dyDescent="0.25">
      <c r="A41" s="189" t="s">
        <v>466</v>
      </c>
      <c r="B41" s="209"/>
      <c r="C41" s="208"/>
      <c r="D41" s="473">
        <v>-477500</v>
      </c>
      <c r="E41" s="7" t="s">
        <v>20</v>
      </c>
    </row>
    <row r="42" spans="1:5" x14ac:dyDescent="0.25">
      <c r="A42" s="189" t="s">
        <v>205</v>
      </c>
      <c r="B42" s="209">
        <f>SUM(B38:B41)</f>
        <v>0</v>
      </c>
      <c r="C42" s="208">
        <f>SUM(C38:C41)</f>
        <v>0</v>
      </c>
      <c r="D42" s="472">
        <f>SUM(D38:D41)</f>
        <v>-505500</v>
      </c>
      <c r="E42" s="7" t="s">
        <v>20</v>
      </c>
    </row>
    <row r="43" spans="1:5" x14ac:dyDescent="0.25">
      <c r="A43" s="72" t="s">
        <v>17</v>
      </c>
      <c r="B43" s="130">
        <f>B36+B42</f>
        <v>0</v>
      </c>
      <c r="C43" s="25">
        <f>C36+C42</f>
        <v>0</v>
      </c>
      <c r="D43" s="474">
        <f>D36+D42</f>
        <v>-157500</v>
      </c>
      <c r="E43" s="7" t="s">
        <v>20</v>
      </c>
    </row>
    <row r="44" spans="1:5" x14ac:dyDescent="0.25">
      <c r="A44" s="85" t="s">
        <v>18</v>
      </c>
      <c r="B44" s="126">
        <f>B22+B43</f>
        <v>0</v>
      </c>
      <c r="C44" s="127">
        <f>C22+C43</f>
        <v>0</v>
      </c>
      <c r="D44" s="128">
        <f>D22+D43</f>
        <v>1005000</v>
      </c>
      <c r="E44" s="7" t="s">
        <v>20</v>
      </c>
    </row>
    <row r="45" spans="1:5" x14ac:dyDescent="0.25">
      <c r="A45" s="201" t="s">
        <v>143</v>
      </c>
      <c r="B45" s="130"/>
      <c r="C45" s="25"/>
      <c r="D45" s="469">
        <v>-36000</v>
      </c>
      <c r="E45" s="7" t="s">
        <v>20</v>
      </c>
    </row>
    <row r="46" spans="1:5" s="8" customFormat="1" x14ac:dyDescent="0.25">
      <c r="A46" s="111" t="s">
        <v>125</v>
      </c>
      <c r="B46" s="108">
        <f t="shared" ref="B46:C46" si="2">SUM(B44:B45)</f>
        <v>0</v>
      </c>
      <c r="C46" s="109">
        <f t="shared" si="2"/>
        <v>0</v>
      </c>
      <c r="D46" s="110">
        <f>SUM(D44:D45)</f>
        <v>969000</v>
      </c>
      <c r="E46" s="7" t="s">
        <v>20</v>
      </c>
    </row>
    <row r="47" spans="1:5" ht="14.4" thickBot="1" x14ac:dyDescent="0.3">
      <c r="A47" s="217" t="s">
        <v>19</v>
      </c>
      <c r="B47" s="218">
        <f>B44-B15</f>
        <v>0</v>
      </c>
      <c r="C47" s="219">
        <f>C44-C15</f>
        <v>0</v>
      </c>
      <c r="D47" s="475">
        <f>D44-D11</f>
        <v>-157500</v>
      </c>
      <c r="E47" s="7" t="s">
        <v>20</v>
      </c>
    </row>
    <row r="48" spans="1:5" x14ac:dyDescent="0.25">
      <c r="A48" s="715" t="s">
        <v>206</v>
      </c>
      <c r="B48" s="715"/>
      <c r="C48" s="715"/>
      <c r="D48" s="715"/>
      <c r="E48" s="7" t="s">
        <v>20</v>
      </c>
    </row>
    <row r="49" spans="1:5" x14ac:dyDescent="0.25">
      <c r="A49" s="178" t="s">
        <v>486</v>
      </c>
      <c r="E49" s="7" t="s">
        <v>21</v>
      </c>
    </row>
    <row r="50" spans="1:5" x14ac:dyDescent="0.25">
      <c r="A50" s="178" t="s">
        <v>487</v>
      </c>
    </row>
    <row r="51" spans="1:5" x14ac:dyDescent="0.25">
      <c r="A51" s="178" t="s">
        <v>488</v>
      </c>
    </row>
  </sheetData>
  <customSheetViews>
    <customSheetView guid="{5B2D5037-506A-47D5-AF28-C337BC9133BD}" scale="90" showPageBreaks="1" printArea="1" view="pageBreakPreview" topLeftCell="A31">
      <selection activeCell="A49" sqref="A49"/>
      <pageMargins left="0.7" right="0.7" top="0.63" bottom="0.63" header="0.3" footer="0.3"/>
      <printOptions horizontalCentered="1"/>
      <pageSetup scale="57" orientation="landscape" r:id="rId1"/>
      <headerFooter>
        <oddHeader>&amp;L&amp;"Arial,Bold"&amp;12B. Summary of Requirements</oddHeader>
        <oddFooter>&amp;C&amp;"Arial,Regular"Exhibit B - Summary of Requirements&amp;R&amp;"Arial,Regular"State and Local Law Enforcement Assistance</oddFooter>
      </headerFooter>
    </customSheetView>
    <customSheetView guid="{08380F1E-0CB7-4B3B-924E-2A270EA8DD30}" scale="90" showPageBreaks="1" printArea="1" view="pageBreakPreview" topLeftCell="C1">
      <selection activeCell="A49" sqref="A49"/>
      <pageMargins left="0.7" right="0.7" top="0.63" bottom="0.63" header="0.3" footer="0.3"/>
      <printOptions horizontalCentered="1"/>
      <pageSetup scale="57" orientation="landscape" r:id="rId2"/>
      <headerFooter>
        <oddHeader>&amp;L&amp;"Arial,Bold"&amp;12B. Summary of Requirements</oddHeader>
        <oddFooter>&amp;C&amp;"Arial,Regular"Exhibit B - Summary of Requirements&amp;R&amp;"Arial,Regular"State and Local Law Enforcement Assistance</oddFooter>
      </headerFooter>
    </customSheetView>
    <customSheetView guid="{D19943A8-2C2A-430A-A724-8C7C332697C8}" scale="90" showPageBreaks="1" printArea="1" view="pageBreakPreview">
      <selection activeCell="C49" sqref="C49"/>
      <pageMargins left="0.7" right="0.7" top="0.63" bottom="0.63" header="0.3" footer="0.3"/>
      <printOptions horizontalCentered="1"/>
      <pageSetup scale="57" orientation="landscape" r:id="rId3"/>
      <headerFooter>
        <oddHeader>&amp;L&amp;"Arial,Bold"&amp;12B. Summary of Requirements</oddHeader>
        <oddFooter>&amp;C&amp;"Arial,Regular"Exhibit B - Summary of Requirements&amp;R&amp;"Arial,Regular"State and Local Law Enforcement Assistance</oddFooter>
      </headerFooter>
    </customSheetView>
    <customSheetView guid="{C6D68C6D-939C-4DFA-9385-A3F05DFB5EDA}" scale="90" showPageBreaks="1" printArea="1" view="pageBreakPreview" topLeftCell="C1">
      <selection activeCell="A49" sqref="A49"/>
      <pageMargins left="0.7" right="0.7" top="0.63" bottom="0.63" header="0.3" footer="0.3"/>
      <printOptions horizontalCentered="1"/>
      <pageSetup scale="57" orientation="landscape" r:id="rId4"/>
      <headerFooter>
        <oddHeader>&amp;L&amp;"Arial,Bold"&amp;12B. Summary of Requirements</oddHeader>
        <oddFooter>&amp;C&amp;"Arial,Regular"Exhibit B - Summary of Requirements&amp;R&amp;"Arial,Regular"State and Local Law Enforcement Assistance</oddFooter>
      </headerFooter>
    </customSheetView>
  </customSheetViews>
  <mergeCells count="6">
    <mergeCell ref="A48:D48"/>
    <mergeCell ref="A1:D1"/>
    <mergeCell ref="A2:D2"/>
    <mergeCell ref="A3:D3"/>
    <mergeCell ref="A4:D4"/>
    <mergeCell ref="B6:D6"/>
  </mergeCells>
  <printOptions horizontalCentered="1"/>
  <pageMargins left="0.7" right="0.7" top="0.63" bottom="0.63" header="0.3" footer="0.3"/>
  <pageSetup scale="57" orientation="landscape" r:id="rId5"/>
  <headerFooter>
    <oddHeader>&amp;L&amp;"Arial,Bold"&amp;12B. Summary of Requirements</oddHeader>
    <oddFooter>&amp;C&amp;"Arial,Regular"Exhibit B - Summary of Requirements&amp;R&amp;"Arial,Regular"State and Local Law Enforcement Assistance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8"/>
  <sheetViews>
    <sheetView view="pageBreakPreview" topLeftCell="A115" zoomScale="80" zoomScaleNormal="100" zoomScaleSheetLayoutView="80" workbookViewId="0">
      <selection activeCell="J59" sqref="J59"/>
    </sheetView>
  </sheetViews>
  <sheetFormatPr defaultColWidth="9.109375" defaultRowHeight="13.8" x14ac:dyDescent="0.25"/>
  <cols>
    <col min="1" max="1" width="84.664062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61" t="s">
        <v>0</v>
      </c>
      <c r="B1" s="661"/>
      <c r="C1" s="661"/>
      <c r="D1" s="661"/>
      <c r="E1" s="661"/>
      <c r="F1" s="661"/>
      <c r="G1" s="661"/>
      <c r="H1" s="661"/>
      <c r="I1" s="661"/>
      <c r="J1" s="661"/>
      <c r="K1" s="661"/>
      <c r="L1" s="661"/>
      <c r="M1" s="661"/>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5" x14ac:dyDescent="0.2">
      <c r="A3" s="634" t="s">
        <v>272</v>
      </c>
      <c r="B3" s="634"/>
      <c r="C3" s="634"/>
      <c r="D3" s="634"/>
      <c r="E3" s="634"/>
      <c r="F3" s="634"/>
      <c r="G3" s="634"/>
      <c r="H3" s="634"/>
      <c r="I3" s="634"/>
      <c r="J3" s="634"/>
      <c r="K3" s="634"/>
      <c r="L3" s="634"/>
      <c r="M3" s="634"/>
      <c r="N3" s="53" t="s">
        <v>20</v>
      </c>
      <c r="O3" s="221"/>
      <c r="P3" s="221"/>
      <c r="Q3" s="221"/>
      <c r="R3" s="221"/>
      <c r="S3" s="221"/>
      <c r="T3" s="221"/>
      <c r="U3" s="221"/>
    </row>
    <row r="4" spans="1:21" ht="15" x14ac:dyDescent="0.2">
      <c r="A4" s="634" t="s">
        <v>1</v>
      </c>
      <c r="B4" s="634"/>
      <c r="C4" s="634"/>
      <c r="D4" s="634"/>
      <c r="E4" s="634"/>
      <c r="F4" s="634"/>
      <c r="G4" s="634"/>
      <c r="H4" s="634"/>
      <c r="I4" s="634"/>
      <c r="J4" s="634"/>
      <c r="K4" s="634"/>
      <c r="L4" s="634"/>
      <c r="M4" s="634"/>
      <c r="N4" s="53" t="s">
        <v>20</v>
      </c>
      <c r="O4" s="11"/>
      <c r="P4" s="11"/>
      <c r="Q4" s="11"/>
      <c r="R4" s="11"/>
      <c r="S4" s="11"/>
      <c r="T4" s="11"/>
      <c r="U4" s="11"/>
    </row>
    <row r="5" spans="1:21" ht="15" x14ac:dyDescent="0.2">
      <c r="A5" s="634"/>
      <c r="B5" s="634"/>
      <c r="C5" s="634"/>
      <c r="D5" s="634"/>
      <c r="E5" s="634"/>
      <c r="F5" s="634"/>
      <c r="G5" s="634"/>
      <c r="H5" s="634"/>
      <c r="I5" s="634"/>
      <c r="J5" s="634"/>
      <c r="K5" s="634"/>
      <c r="L5" s="634"/>
      <c r="M5" s="634"/>
      <c r="N5" s="53" t="s">
        <v>20</v>
      </c>
      <c r="O5" s="11"/>
      <c r="P5" s="11"/>
      <c r="Q5" s="11"/>
      <c r="R5" s="11"/>
      <c r="S5" s="11"/>
      <c r="T5" s="11"/>
      <c r="U5" s="11"/>
    </row>
    <row r="6" spans="1:21" ht="15.75" thickBot="1" x14ac:dyDescent="0.25">
      <c r="A6" s="634"/>
      <c r="B6" s="634"/>
      <c r="C6" s="634"/>
      <c r="D6" s="634"/>
      <c r="E6" s="634"/>
      <c r="F6" s="634"/>
      <c r="G6" s="634"/>
      <c r="H6" s="634"/>
      <c r="I6" s="634"/>
      <c r="J6" s="634"/>
      <c r="K6" s="634"/>
      <c r="L6" s="634"/>
      <c r="M6" s="634"/>
      <c r="N6" s="53" t="s">
        <v>20</v>
      </c>
      <c r="O6" s="11"/>
      <c r="P6" s="11"/>
      <c r="Q6" s="11"/>
      <c r="R6" s="11"/>
      <c r="S6" s="11"/>
      <c r="T6" s="11"/>
      <c r="U6" s="11"/>
    </row>
    <row r="7" spans="1:21" ht="45.75" customHeight="1" x14ac:dyDescent="0.25">
      <c r="A7" s="730" t="s">
        <v>134</v>
      </c>
      <c r="B7" s="732" t="s">
        <v>126</v>
      </c>
      <c r="C7" s="732"/>
      <c r="D7" s="732"/>
      <c r="E7" s="732" t="s">
        <v>207</v>
      </c>
      <c r="F7" s="732"/>
      <c r="G7" s="732"/>
      <c r="H7" s="732" t="s">
        <v>155</v>
      </c>
      <c r="I7" s="732"/>
      <c r="J7" s="732"/>
      <c r="K7" s="732" t="s">
        <v>13</v>
      </c>
      <c r="L7" s="732"/>
      <c r="M7" s="733"/>
      <c r="N7" s="53" t="s">
        <v>20</v>
      </c>
    </row>
    <row r="8" spans="1:21" ht="30" x14ac:dyDescent="0.25">
      <c r="A8" s="731"/>
      <c r="B8" s="339" t="s">
        <v>3</v>
      </c>
      <c r="C8" s="339" t="s">
        <v>128</v>
      </c>
      <c r="D8" s="339" t="s">
        <v>4</v>
      </c>
      <c r="E8" s="339" t="s">
        <v>3</v>
      </c>
      <c r="F8" s="339" t="s">
        <v>149</v>
      </c>
      <c r="G8" s="339" t="s">
        <v>4</v>
      </c>
      <c r="H8" s="339" t="s">
        <v>3</v>
      </c>
      <c r="I8" s="339" t="s">
        <v>149</v>
      </c>
      <c r="J8" s="339" t="s">
        <v>4</v>
      </c>
      <c r="K8" s="339" t="s">
        <v>3</v>
      </c>
      <c r="L8" s="339" t="s">
        <v>149</v>
      </c>
      <c r="M8" s="340" t="s">
        <v>4</v>
      </c>
      <c r="N8" s="53" t="s">
        <v>20</v>
      </c>
    </row>
    <row r="9" spans="1:21" ht="15" x14ac:dyDescent="0.25">
      <c r="A9" s="341" t="s">
        <v>288</v>
      </c>
      <c r="B9" s="342">
        <v>0</v>
      </c>
      <c r="C9" s="342">
        <v>0</v>
      </c>
      <c r="D9" s="342">
        <v>10000</v>
      </c>
      <c r="E9" s="342">
        <v>0</v>
      </c>
      <c r="F9" s="342">
        <v>0</v>
      </c>
      <c r="G9" s="342">
        <v>10061</v>
      </c>
      <c r="H9" s="342">
        <v>0</v>
      </c>
      <c r="I9" s="342">
        <v>0</v>
      </c>
      <c r="J9" s="464">
        <v>-61</v>
      </c>
      <c r="K9" s="342">
        <f t="shared" ref="K9:M10" si="0">E9+H9</f>
        <v>0</v>
      </c>
      <c r="L9" s="342">
        <f t="shared" si="0"/>
        <v>0</v>
      </c>
      <c r="M9" s="343">
        <f t="shared" si="0"/>
        <v>10000</v>
      </c>
      <c r="N9" s="53" t="s">
        <v>20</v>
      </c>
    </row>
    <row r="10" spans="1:21" ht="15" x14ac:dyDescent="0.25">
      <c r="A10" s="344" t="s">
        <v>289</v>
      </c>
      <c r="B10" s="345">
        <v>0</v>
      </c>
      <c r="C10" s="345">
        <v>0</v>
      </c>
      <c r="D10" s="345">
        <v>24000</v>
      </c>
      <c r="E10" s="345">
        <v>0</v>
      </c>
      <c r="F10" s="345">
        <v>0</v>
      </c>
      <c r="G10" s="345">
        <v>24147</v>
      </c>
      <c r="H10" s="345">
        <v>0</v>
      </c>
      <c r="I10" s="345">
        <v>0</v>
      </c>
      <c r="J10" s="468">
        <v>-147</v>
      </c>
      <c r="K10" s="345">
        <f t="shared" si="0"/>
        <v>0</v>
      </c>
      <c r="L10" s="345">
        <f t="shared" si="0"/>
        <v>0</v>
      </c>
      <c r="M10" s="346">
        <f t="shared" si="0"/>
        <v>24000</v>
      </c>
      <c r="N10" s="53" t="s">
        <v>20</v>
      </c>
    </row>
    <row r="11" spans="1:21" ht="15.6" x14ac:dyDescent="0.3">
      <c r="A11" s="344" t="s">
        <v>290</v>
      </c>
      <c r="B11" s="345"/>
      <c r="C11" s="345"/>
      <c r="D11" s="347">
        <v>1500</v>
      </c>
      <c r="E11" s="345"/>
      <c r="F11" s="345"/>
      <c r="G11" s="345"/>
      <c r="H11" s="345"/>
      <c r="I11" s="345"/>
      <c r="J11" s="468"/>
      <c r="K11" s="345"/>
      <c r="L11" s="345"/>
      <c r="M11" s="346"/>
      <c r="N11" s="53" t="s">
        <v>20</v>
      </c>
    </row>
    <row r="12" spans="1:21" ht="15" x14ac:dyDescent="0.25">
      <c r="A12" s="344" t="s">
        <v>291</v>
      </c>
      <c r="B12" s="345">
        <v>0</v>
      </c>
      <c r="C12" s="345">
        <v>0</v>
      </c>
      <c r="D12" s="345">
        <v>15000</v>
      </c>
      <c r="E12" s="345">
        <v>0</v>
      </c>
      <c r="F12" s="345">
        <v>0</v>
      </c>
      <c r="G12" s="345">
        <v>15092</v>
      </c>
      <c r="H12" s="345">
        <v>0</v>
      </c>
      <c r="I12" s="345">
        <v>0</v>
      </c>
      <c r="J12" s="468">
        <v>-92</v>
      </c>
      <c r="K12" s="345">
        <f t="shared" ref="K12:M14" si="1">E12+H12</f>
        <v>0</v>
      </c>
      <c r="L12" s="345">
        <f t="shared" si="1"/>
        <v>0</v>
      </c>
      <c r="M12" s="346">
        <f t="shared" si="1"/>
        <v>15000</v>
      </c>
      <c r="N12" s="53" t="s">
        <v>20</v>
      </c>
    </row>
    <row r="13" spans="1:21" ht="15" x14ac:dyDescent="0.25">
      <c r="A13" s="348" t="s">
        <v>273</v>
      </c>
      <c r="B13" s="345">
        <v>0</v>
      </c>
      <c r="C13" s="345">
        <v>0</v>
      </c>
      <c r="D13" s="349">
        <v>15000</v>
      </c>
      <c r="E13" s="345">
        <v>0</v>
      </c>
      <c r="F13" s="345">
        <v>0</v>
      </c>
      <c r="G13" s="345">
        <v>15092</v>
      </c>
      <c r="H13" s="345">
        <v>0</v>
      </c>
      <c r="I13" s="345">
        <v>0</v>
      </c>
      <c r="J13" s="461">
        <v>-92</v>
      </c>
      <c r="K13" s="345">
        <f t="shared" si="1"/>
        <v>0</v>
      </c>
      <c r="L13" s="345">
        <f t="shared" si="1"/>
        <v>0</v>
      </c>
      <c r="M13" s="346">
        <f t="shared" si="1"/>
        <v>15000</v>
      </c>
      <c r="N13" s="53" t="s">
        <v>20</v>
      </c>
    </row>
    <row r="14" spans="1:21" ht="15" x14ac:dyDescent="0.25">
      <c r="A14" s="348" t="s">
        <v>279</v>
      </c>
      <c r="B14" s="345">
        <v>0</v>
      </c>
      <c r="C14" s="345">
        <v>0</v>
      </c>
      <c r="D14" s="349">
        <v>470000</v>
      </c>
      <c r="E14" s="345">
        <v>0</v>
      </c>
      <c r="F14" s="345">
        <v>0</v>
      </c>
      <c r="G14" s="345">
        <v>372264</v>
      </c>
      <c r="H14" s="345">
        <v>0</v>
      </c>
      <c r="I14" s="345">
        <v>0</v>
      </c>
      <c r="J14" s="461">
        <v>-2264</v>
      </c>
      <c r="K14" s="345">
        <f t="shared" si="1"/>
        <v>0</v>
      </c>
      <c r="L14" s="345">
        <f t="shared" si="1"/>
        <v>0</v>
      </c>
      <c r="M14" s="346">
        <f t="shared" si="1"/>
        <v>370000</v>
      </c>
      <c r="N14" s="53" t="s">
        <v>20</v>
      </c>
    </row>
    <row r="15" spans="1:21" ht="15" x14ac:dyDescent="0.2">
      <c r="A15" s="348" t="s">
        <v>292</v>
      </c>
      <c r="B15" s="347">
        <v>0</v>
      </c>
      <c r="C15" s="347">
        <v>0</v>
      </c>
      <c r="D15" s="350">
        <v>6000</v>
      </c>
      <c r="E15" s="347">
        <v>0</v>
      </c>
      <c r="F15" s="347">
        <v>0</v>
      </c>
      <c r="G15" s="345">
        <v>6000</v>
      </c>
      <c r="H15" s="345"/>
      <c r="I15" s="345"/>
      <c r="J15" s="349"/>
      <c r="K15" s="345"/>
      <c r="L15" s="345"/>
      <c r="M15" s="346"/>
      <c r="N15" s="53" t="s">
        <v>20</v>
      </c>
    </row>
    <row r="16" spans="1:21" ht="15" x14ac:dyDescent="0.2">
      <c r="A16" s="348" t="s">
        <v>293</v>
      </c>
      <c r="B16" s="347">
        <v>0</v>
      </c>
      <c r="C16" s="347">
        <v>0</v>
      </c>
      <c r="D16" s="350">
        <v>2000</v>
      </c>
      <c r="E16" s="347">
        <v>0</v>
      </c>
      <c r="F16" s="347">
        <v>0</v>
      </c>
      <c r="G16" s="345">
        <v>2000</v>
      </c>
      <c r="H16" s="345"/>
      <c r="I16" s="345"/>
      <c r="J16" s="349"/>
      <c r="K16" s="345"/>
      <c r="L16" s="345"/>
      <c r="M16" s="346"/>
      <c r="N16" s="53" t="s">
        <v>20</v>
      </c>
    </row>
    <row r="17" spans="1:14" ht="15" x14ac:dyDescent="0.2">
      <c r="A17" s="348" t="s">
        <v>294</v>
      </c>
      <c r="B17" s="347">
        <v>0</v>
      </c>
      <c r="C17" s="347">
        <v>0</v>
      </c>
      <c r="D17" s="350">
        <v>4000</v>
      </c>
      <c r="E17" s="347">
        <v>0</v>
      </c>
      <c r="F17" s="347">
        <v>0</v>
      </c>
      <c r="G17" s="345">
        <v>4000</v>
      </c>
      <c r="H17" s="345"/>
      <c r="I17" s="345"/>
      <c r="J17" s="349"/>
      <c r="K17" s="345"/>
      <c r="L17" s="345"/>
      <c r="M17" s="346"/>
      <c r="N17" s="53" t="s">
        <v>20</v>
      </c>
    </row>
    <row r="18" spans="1:14" ht="15" x14ac:dyDescent="0.2">
      <c r="A18" s="348" t="s">
        <v>295</v>
      </c>
      <c r="B18" s="347">
        <v>0</v>
      </c>
      <c r="C18" s="347">
        <v>0</v>
      </c>
      <c r="D18" s="350">
        <v>4000</v>
      </c>
      <c r="E18" s="347">
        <v>0</v>
      </c>
      <c r="F18" s="347">
        <v>0</v>
      </c>
      <c r="G18" s="345">
        <v>4000</v>
      </c>
      <c r="H18" s="345"/>
      <c r="I18" s="345"/>
      <c r="J18" s="349"/>
      <c r="K18" s="345"/>
      <c r="L18" s="345"/>
      <c r="M18" s="346"/>
      <c r="N18" s="53" t="s">
        <v>20</v>
      </c>
    </row>
    <row r="19" spans="1:14" ht="15" x14ac:dyDescent="0.2">
      <c r="A19" s="348" t="s">
        <v>296</v>
      </c>
      <c r="B19" s="347">
        <v>0</v>
      </c>
      <c r="C19" s="347">
        <v>0</v>
      </c>
      <c r="D19" s="350">
        <v>2000</v>
      </c>
      <c r="E19" s="347">
        <v>0</v>
      </c>
      <c r="F19" s="347">
        <v>0</v>
      </c>
      <c r="G19" s="345">
        <v>2000</v>
      </c>
      <c r="H19" s="345"/>
      <c r="I19" s="345"/>
      <c r="J19" s="349"/>
      <c r="K19" s="345"/>
      <c r="L19" s="345"/>
      <c r="M19" s="346"/>
      <c r="N19" s="53" t="s">
        <v>20</v>
      </c>
    </row>
    <row r="20" spans="1:14" ht="15" x14ac:dyDescent="0.2">
      <c r="A20" s="348" t="s">
        <v>297</v>
      </c>
      <c r="B20" s="345">
        <v>0</v>
      </c>
      <c r="C20" s="345">
        <v>0</v>
      </c>
      <c r="D20" s="349"/>
      <c r="E20" s="347">
        <v>0</v>
      </c>
      <c r="F20" s="347">
        <v>0</v>
      </c>
      <c r="G20" s="345">
        <v>0</v>
      </c>
      <c r="H20" s="345"/>
      <c r="I20" s="345"/>
      <c r="J20" s="349"/>
      <c r="K20" s="345"/>
      <c r="L20" s="345"/>
      <c r="M20" s="346"/>
      <c r="N20" s="53" t="s">
        <v>20</v>
      </c>
    </row>
    <row r="21" spans="1:14" ht="15" x14ac:dyDescent="0.2">
      <c r="A21" s="348" t="s">
        <v>298</v>
      </c>
      <c r="B21" s="345">
        <v>0</v>
      </c>
      <c r="C21" s="345">
        <v>0</v>
      </c>
      <c r="D21" s="349"/>
      <c r="E21" s="347">
        <v>0</v>
      </c>
      <c r="F21" s="347">
        <v>0</v>
      </c>
      <c r="G21" s="345">
        <v>0</v>
      </c>
      <c r="H21" s="345"/>
      <c r="I21" s="345"/>
      <c r="J21" s="349"/>
      <c r="K21" s="345"/>
      <c r="L21" s="345"/>
      <c r="M21" s="346"/>
      <c r="N21" s="53" t="s">
        <v>20</v>
      </c>
    </row>
    <row r="22" spans="1:14" ht="15.6" x14ac:dyDescent="0.3">
      <c r="A22" s="348" t="s">
        <v>299</v>
      </c>
      <c r="B22" s="345"/>
      <c r="C22" s="345"/>
      <c r="D22" s="349">
        <v>100000</v>
      </c>
      <c r="E22" s="347"/>
      <c r="F22" s="347"/>
      <c r="G22" s="345">
        <v>100612</v>
      </c>
      <c r="H22" s="345"/>
      <c r="I22" s="345"/>
      <c r="J22" s="461">
        <v>-612</v>
      </c>
      <c r="K22" s="345"/>
      <c r="L22" s="345"/>
      <c r="M22" s="346">
        <f t="shared" ref="M22:M28" si="2">G22+J22</f>
        <v>100000</v>
      </c>
      <c r="N22" s="53" t="s">
        <v>20</v>
      </c>
    </row>
    <row r="23" spans="1:14" ht="15" x14ac:dyDescent="0.25">
      <c r="A23" s="348" t="s">
        <v>283</v>
      </c>
      <c r="B23" s="345">
        <v>0</v>
      </c>
      <c r="C23" s="345">
        <v>0</v>
      </c>
      <c r="D23" s="349">
        <v>0</v>
      </c>
      <c r="E23" s="345">
        <v>0</v>
      </c>
      <c r="F23" s="345">
        <v>0</v>
      </c>
      <c r="G23" s="349">
        <v>0</v>
      </c>
      <c r="H23" s="345">
        <v>0</v>
      </c>
      <c r="I23" s="345">
        <v>0</v>
      </c>
      <c r="J23" s="461">
        <v>0</v>
      </c>
      <c r="K23" s="345">
        <f t="shared" ref="K23:L28" si="3">E23+H23</f>
        <v>0</v>
      </c>
      <c r="L23" s="345">
        <f t="shared" si="3"/>
        <v>0</v>
      </c>
      <c r="M23" s="346">
        <f t="shared" si="2"/>
        <v>0</v>
      </c>
      <c r="N23" s="53" t="s">
        <v>20</v>
      </c>
    </row>
    <row r="24" spans="1:14" ht="15" x14ac:dyDescent="0.25">
      <c r="A24" s="348" t="s">
        <v>285</v>
      </c>
      <c r="B24" s="345">
        <v>0</v>
      </c>
      <c r="C24" s="345">
        <v>0</v>
      </c>
      <c r="D24" s="349">
        <v>3000</v>
      </c>
      <c r="E24" s="345">
        <v>0</v>
      </c>
      <c r="F24" s="345">
        <v>0</v>
      </c>
      <c r="G24" s="345">
        <v>3018</v>
      </c>
      <c r="H24" s="345">
        <v>0</v>
      </c>
      <c r="I24" s="345">
        <v>0</v>
      </c>
      <c r="J24" s="461">
        <v>-18</v>
      </c>
      <c r="K24" s="345">
        <f t="shared" si="3"/>
        <v>0</v>
      </c>
      <c r="L24" s="345">
        <f t="shared" si="3"/>
        <v>0</v>
      </c>
      <c r="M24" s="346">
        <f t="shared" si="2"/>
        <v>3000</v>
      </c>
      <c r="N24" s="53" t="s">
        <v>20</v>
      </c>
    </row>
    <row r="25" spans="1:14" ht="15" x14ac:dyDescent="0.25">
      <c r="A25" s="348" t="s">
        <v>276</v>
      </c>
      <c r="B25" s="345">
        <v>0</v>
      </c>
      <c r="C25" s="345">
        <v>0</v>
      </c>
      <c r="D25" s="349">
        <v>10000</v>
      </c>
      <c r="E25" s="345">
        <v>0</v>
      </c>
      <c r="F25" s="345">
        <v>0</v>
      </c>
      <c r="G25" s="345">
        <v>10061</v>
      </c>
      <c r="H25" s="345">
        <v>0</v>
      </c>
      <c r="I25" s="345">
        <v>0</v>
      </c>
      <c r="J25" s="461">
        <v>-61</v>
      </c>
      <c r="K25" s="345">
        <f t="shared" si="3"/>
        <v>0</v>
      </c>
      <c r="L25" s="345">
        <f t="shared" si="3"/>
        <v>0</v>
      </c>
      <c r="M25" s="346">
        <f t="shared" si="2"/>
        <v>10000</v>
      </c>
      <c r="N25" s="53" t="s">
        <v>20</v>
      </c>
    </row>
    <row r="26" spans="1:14" ht="15" x14ac:dyDescent="0.25">
      <c r="A26" s="348" t="s">
        <v>300</v>
      </c>
      <c r="B26" s="345">
        <v>0</v>
      </c>
      <c r="C26" s="345">
        <v>0</v>
      </c>
      <c r="D26" s="349">
        <v>4500</v>
      </c>
      <c r="E26" s="345">
        <v>0</v>
      </c>
      <c r="F26" s="345">
        <v>0</v>
      </c>
      <c r="G26" s="345">
        <v>4528</v>
      </c>
      <c r="H26" s="345">
        <v>0</v>
      </c>
      <c r="I26" s="345">
        <v>0</v>
      </c>
      <c r="J26" s="461">
        <v>-28</v>
      </c>
      <c r="K26" s="345">
        <f t="shared" si="3"/>
        <v>0</v>
      </c>
      <c r="L26" s="345">
        <f t="shared" si="3"/>
        <v>0</v>
      </c>
      <c r="M26" s="346">
        <f t="shared" si="2"/>
        <v>4500</v>
      </c>
      <c r="N26" s="53" t="s">
        <v>20</v>
      </c>
    </row>
    <row r="27" spans="1:14" ht="15" x14ac:dyDescent="0.25">
      <c r="A27" s="348" t="s">
        <v>301</v>
      </c>
      <c r="B27" s="345">
        <v>0</v>
      </c>
      <c r="C27" s="345">
        <v>0</v>
      </c>
      <c r="D27" s="349">
        <v>0</v>
      </c>
      <c r="E27" s="345">
        <v>0</v>
      </c>
      <c r="F27" s="345">
        <v>0</v>
      </c>
      <c r="G27" s="345">
        <v>0</v>
      </c>
      <c r="H27" s="345">
        <v>0</v>
      </c>
      <c r="I27" s="345">
        <v>0</v>
      </c>
      <c r="J27" s="461">
        <v>0</v>
      </c>
      <c r="K27" s="345">
        <f t="shared" si="3"/>
        <v>0</v>
      </c>
      <c r="L27" s="345">
        <f t="shared" si="3"/>
        <v>0</v>
      </c>
      <c r="M27" s="346">
        <f t="shared" si="2"/>
        <v>0</v>
      </c>
      <c r="N27" s="53" t="s">
        <v>20</v>
      </c>
    </row>
    <row r="28" spans="1:14" ht="15" x14ac:dyDescent="0.25">
      <c r="A28" s="348" t="s">
        <v>286</v>
      </c>
      <c r="B28" s="345">
        <v>0</v>
      </c>
      <c r="C28" s="345">
        <v>0</v>
      </c>
      <c r="D28" s="349">
        <v>125000</v>
      </c>
      <c r="E28" s="345">
        <v>0</v>
      </c>
      <c r="F28" s="345">
        <v>0</v>
      </c>
      <c r="G28" s="345">
        <v>125765</v>
      </c>
      <c r="H28" s="345">
        <v>0</v>
      </c>
      <c r="I28" s="345">
        <v>0</v>
      </c>
      <c r="J28" s="461">
        <v>-765</v>
      </c>
      <c r="K28" s="345">
        <f t="shared" si="3"/>
        <v>0</v>
      </c>
      <c r="L28" s="345">
        <f t="shared" si="3"/>
        <v>0</v>
      </c>
      <c r="M28" s="346">
        <f t="shared" si="2"/>
        <v>125000</v>
      </c>
      <c r="N28" s="53" t="s">
        <v>20</v>
      </c>
    </row>
    <row r="29" spans="1:14" ht="15.6" x14ac:dyDescent="0.3">
      <c r="A29" s="348" t="s">
        <v>302</v>
      </c>
      <c r="B29" s="347">
        <v>0</v>
      </c>
      <c r="C29" s="347">
        <v>0</v>
      </c>
      <c r="D29" s="350">
        <v>117000</v>
      </c>
      <c r="E29" s="345">
        <v>0</v>
      </c>
      <c r="F29" s="345">
        <v>0</v>
      </c>
      <c r="G29" s="345"/>
      <c r="H29" s="345"/>
      <c r="I29" s="345"/>
      <c r="J29" s="349"/>
      <c r="K29" s="345"/>
      <c r="L29" s="345"/>
      <c r="M29" s="346"/>
      <c r="N29" s="53" t="s">
        <v>20</v>
      </c>
    </row>
    <row r="30" spans="1:14" ht="15.6" x14ac:dyDescent="0.3">
      <c r="A30" s="348" t="s">
        <v>303</v>
      </c>
      <c r="B30" s="347">
        <v>0</v>
      </c>
      <c r="C30" s="347">
        <v>0</v>
      </c>
      <c r="D30" s="350">
        <v>4000</v>
      </c>
      <c r="E30" s="345">
        <v>0</v>
      </c>
      <c r="F30" s="345">
        <v>0</v>
      </c>
      <c r="G30" s="345"/>
      <c r="H30" s="345"/>
      <c r="I30" s="345"/>
      <c r="J30" s="349"/>
      <c r="K30" s="345"/>
      <c r="L30" s="345"/>
      <c r="M30" s="346"/>
      <c r="N30" s="53" t="s">
        <v>20</v>
      </c>
    </row>
    <row r="31" spans="1:14" ht="15.6" x14ac:dyDescent="0.3">
      <c r="A31" s="348" t="s">
        <v>304</v>
      </c>
      <c r="B31" s="347">
        <v>0</v>
      </c>
      <c r="C31" s="347">
        <v>0</v>
      </c>
      <c r="D31" s="350">
        <v>4000</v>
      </c>
      <c r="E31" s="345">
        <v>0</v>
      </c>
      <c r="F31" s="345">
        <v>0</v>
      </c>
      <c r="G31" s="345"/>
      <c r="H31" s="345"/>
      <c r="I31" s="345"/>
      <c r="J31" s="349"/>
      <c r="K31" s="345"/>
      <c r="L31" s="345"/>
      <c r="M31" s="346"/>
      <c r="N31" s="53" t="s">
        <v>20</v>
      </c>
    </row>
    <row r="32" spans="1:14" ht="15.6" x14ac:dyDescent="0.3">
      <c r="A32" s="348" t="s">
        <v>305</v>
      </c>
      <c r="B32" s="347">
        <v>0</v>
      </c>
      <c r="C32" s="347">
        <v>0</v>
      </c>
      <c r="D32" s="350"/>
      <c r="E32" s="345">
        <v>0</v>
      </c>
      <c r="F32" s="345">
        <v>0</v>
      </c>
      <c r="G32" s="345"/>
      <c r="H32" s="345"/>
      <c r="I32" s="345"/>
      <c r="J32" s="349"/>
      <c r="K32" s="345"/>
      <c r="L32" s="345"/>
      <c r="M32" s="346"/>
      <c r="N32" s="53" t="s">
        <v>20</v>
      </c>
    </row>
    <row r="33" spans="1:14" ht="15" x14ac:dyDescent="0.25">
      <c r="A33" s="348" t="s">
        <v>306</v>
      </c>
      <c r="B33" s="345">
        <v>0</v>
      </c>
      <c r="C33" s="345">
        <v>0</v>
      </c>
      <c r="D33" s="349">
        <v>35000</v>
      </c>
      <c r="E33" s="345">
        <v>0</v>
      </c>
      <c r="F33" s="345">
        <v>0</v>
      </c>
      <c r="G33" s="345">
        <v>35214</v>
      </c>
      <c r="H33" s="345">
        <v>0</v>
      </c>
      <c r="I33" s="345">
        <v>0</v>
      </c>
      <c r="J33" s="461">
        <v>-214</v>
      </c>
      <c r="K33" s="345">
        <f t="shared" ref="K33:M34" si="4">E33+H33</f>
        <v>0</v>
      </c>
      <c r="L33" s="345">
        <f t="shared" si="4"/>
        <v>0</v>
      </c>
      <c r="M33" s="346">
        <f t="shared" si="4"/>
        <v>35000</v>
      </c>
      <c r="N33" s="53" t="s">
        <v>20</v>
      </c>
    </row>
    <row r="34" spans="1:14" ht="15" x14ac:dyDescent="0.25">
      <c r="A34" s="348" t="s">
        <v>307</v>
      </c>
      <c r="B34" s="345">
        <v>0</v>
      </c>
      <c r="C34" s="345">
        <v>0</v>
      </c>
      <c r="D34" s="349">
        <v>7000</v>
      </c>
      <c r="E34" s="345">
        <v>0</v>
      </c>
      <c r="F34" s="345">
        <v>0</v>
      </c>
      <c r="G34" s="345">
        <v>7043</v>
      </c>
      <c r="H34" s="345">
        <v>0</v>
      </c>
      <c r="I34" s="345">
        <v>0</v>
      </c>
      <c r="J34" s="461">
        <v>-43</v>
      </c>
      <c r="K34" s="345">
        <f t="shared" si="4"/>
        <v>0</v>
      </c>
      <c r="L34" s="345">
        <f t="shared" si="4"/>
        <v>0</v>
      </c>
      <c r="M34" s="346">
        <f t="shared" si="4"/>
        <v>7000</v>
      </c>
      <c r="N34" s="53" t="s">
        <v>20</v>
      </c>
    </row>
    <row r="35" spans="1:14" ht="15" x14ac:dyDescent="0.25">
      <c r="A35" s="348" t="s">
        <v>308</v>
      </c>
      <c r="B35" s="345"/>
      <c r="C35" s="345"/>
      <c r="D35" s="349"/>
      <c r="E35" s="345"/>
      <c r="F35" s="345"/>
      <c r="G35" s="345"/>
      <c r="H35" s="345"/>
      <c r="I35" s="345"/>
      <c r="J35" s="461"/>
      <c r="K35" s="345"/>
      <c r="L35" s="345"/>
      <c r="M35" s="346"/>
      <c r="N35" s="53" t="s">
        <v>20</v>
      </c>
    </row>
    <row r="36" spans="1:14" ht="15" x14ac:dyDescent="0.25">
      <c r="A36" s="348" t="s">
        <v>309</v>
      </c>
      <c r="B36" s="345">
        <v>0</v>
      </c>
      <c r="C36" s="345">
        <v>0</v>
      </c>
      <c r="D36" s="349">
        <v>20000</v>
      </c>
      <c r="E36" s="345">
        <v>0</v>
      </c>
      <c r="F36" s="345">
        <v>0</v>
      </c>
      <c r="G36" s="345">
        <v>20122</v>
      </c>
      <c r="H36" s="345">
        <v>0</v>
      </c>
      <c r="I36" s="345">
        <v>0</v>
      </c>
      <c r="J36" s="461">
        <v>-122</v>
      </c>
      <c r="K36" s="345">
        <f t="shared" ref="K36:K50" si="5">E36+H36</f>
        <v>0</v>
      </c>
      <c r="L36" s="345">
        <f t="shared" ref="L36:L50" si="6">F36+I36</f>
        <v>0</v>
      </c>
      <c r="M36" s="346">
        <f t="shared" ref="M36:M50" si="7">G36+J36</f>
        <v>20000</v>
      </c>
      <c r="N36" s="53" t="s">
        <v>20</v>
      </c>
    </row>
    <row r="37" spans="1:14" ht="15" x14ac:dyDescent="0.25">
      <c r="A37" s="348" t="s">
        <v>310</v>
      </c>
      <c r="B37" s="345">
        <v>0</v>
      </c>
      <c r="C37" s="345">
        <v>0</v>
      </c>
      <c r="D37" s="349">
        <v>38000</v>
      </c>
      <c r="E37" s="345">
        <v>0</v>
      </c>
      <c r="F37" s="345">
        <v>0</v>
      </c>
      <c r="G37" s="345">
        <v>38233</v>
      </c>
      <c r="H37" s="345">
        <v>0</v>
      </c>
      <c r="I37" s="345">
        <v>0</v>
      </c>
      <c r="J37" s="461">
        <v>-233</v>
      </c>
      <c r="K37" s="345">
        <f t="shared" si="5"/>
        <v>0</v>
      </c>
      <c r="L37" s="345">
        <f t="shared" si="6"/>
        <v>0</v>
      </c>
      <c r="M37" s="346">
        <f t="shared" si="7"/>
        <v>38000</v>
      </c>
      <c r="N37" s="53" t="s">
        <v>20</v>
      </c>
    </row>
    <row r="38" spans="1:14" ht="15" x14ac:dyDescent="0.25">
      <c r="A38" s="348" t="s">
        <v>311</v>
      </c>
      <c r="B38" s="345">
        <v>0</v>
      </c>
      <c r="C38" s="345">
        <v>0</v>
      </c>
      <c r="D38" s="349">
        <v>4000</v>
      </c>
      <c r="E38" s="345">
        <v>0</v>
      </c>
      <c r="F38" s="345">
        <v>0</v>
      </c>
      <c r="G38" s="345">
        <v>4024</v>
      </c>
      <c r="H38" s="345">
        <v>0</v>
      </c>
      <c r="I38" s="345">
        <v>0</v>
      </c>
      <c r="J38" s="461">
        <v>-24</v>
      </c>
      <c r="K38" s="345">
        <f t="shared" si="5"/>
        <v>0</v>
      </c>
      <c r="L38" s="345">
        <f t="shared" si="6"/>
        <v>0</v>
      </c>
      <c r="M38" s="346">
        <f t="shared" si="7"/>
        <v>4000</v>
      </c>
      <c r="N38" s="53" t="s">
        <v>20</v>
      </c>
    </row>
    <row r="39" spans="1:14" ht="15" x14ac:dyDescent="0.25">
      <c r="A39" s="348" t="s">
        <v>312</v>
      </c>
      <c r="B39" s="345">
        <v>0</v>
      </c>
      <c r="C39" s="345">
        <v>0</v>
      </c>
      <c r="D39" s="349">
        <v>9000</v>
      </c>
      <c r="E39" s="345">
        <v>0</v>
      </c>
      <c r="F39" s="345">
        <v>0</v>
      </c>
      <c r="G39" s="345">
        <v>9055</v>
      </c>
      <c r="H39" s="345">
        <v>0</v>
      </c>
      <c r="I39" s="345">
        <v>0</v>
      </c>
      <c r="J39" s="461">
        <v>-55</v>
      </c>
      <c r="K39" s="345">
        <f t="shared" si="5"/>
        <v>0</v>
      </c>
      <c r="L39" s="345">
        <f t="shared" si="6"/>
        <v>0</v>
      </c>
      <c r="M39" s="346">
        <f t="shared" si="7"/>
        <v>9000</v>
      </c>
      <c r="N39" s="53" t="s">
        <v>20</v>
      </c>
    </row>
    <row r="40" spans="1:14" ht="15" x14ac:dyDescent="0.25">
      <c r="A40" s="348" t="s">
        <v>313</v>
      </c>
      <c r="B40" s="345">
        <v>0</v>
      </c>
      <c r="C40" s="345">
        <v>0</v>
      </c>
      <c r="D40" s="349">
        <v>1000</v>
      </c>
      <c r="E40" s="345">
        <v>0</v>
      </c>
      <c r="F40" s="345">
        <v>0</v>
      </c>
      <c r="G40" s="345">
        <v>1006</v>
      </c>
      <c r="H40" s="345">
        <v>0</v>
      </c>
      <c r="I40" s="345">
        <v>0</v>
      </c>
      <c r="J40" s="461">
        <v>-6</v>
      </c>
      <c r="K40" s="345">
        <f t="shared" si="5"/>
        <v>0</v>
      </c>
      <c r="L40" s="345">
        <f t="shared" si="6"/>
        <v>0</v>
      </c>
      <c r="M40" s="346">
        <f t="shared" si="7"/>
        <v>1000</v>
      </c>
      <c r="N40" s="53" t="s">
        <v>20</v>
      </c>
    </row>
    <row r="41" spans="1:14" ht="15" x14ac:dyDescent="0.25">
      <c r="A41" s="348" t="s">
        <v>278</v>
      </c>
      <c r="B41" s="345">
        <v>0</v>
      </c>
      <c r="C41" s="345">
        <v>0</v>
      </c>
      <c r="D41" s="349">
        <v>6000</v>
      </c>
      <c r="E41" s="345">
        <v>0</v>
      </c>
      <c r="F41" s="345">
        <v>0</v>
      </c>
      <c r="G41" s="345">
        <v>6037</v>
      </c>
      <c r="H41" s="345">
        <v>0</v>
      </c>
      <c r="I41" s="345">
        <v>0</v>
      </c>
      <c r="J41" s="461">
        <v>-37</v>
      </c>
      <c r="K41" s="345">
        <f t="shared" si="5"/>
        <v>0</v>
      </c>
      <c r="L41" s="345">
        <f t="shared" si="6"/>
        <v>0</v>
      </c>
      <c r="M41" s="346">
        <f t="shared" si="7"/>
        <v>6000</v>
      </c>
      <c r="N41" s="53" t="s">
        <v>20</v>
      </c>
    </row>
    <row r="42" spans="1:14" ht="15" x14ac:dyDescent="0.25">
      <c r="A42" s="348" t="s">
        <v>314</v>
      </c>
      <c r="B42" s="345">
        <v>0</v>
      </c>
      <c r="C42" s="345">
        <v>0</v>
      </c>
      <c r="D42" s="349">
        <v>5000</v>
      </c>
      <c r="E42" s="345">
        <v>0</v>
      </c>
      <c r="F42" s="345">
        <v>0</v>
      </c>
      <c r="G42" s="345">
        <v>5031</v>
      </c>
      <c r="H42" s="345">
        <v>0</v>
      </c>
      <c r="I42" s="345">
        <v>0</v>
      </c>
      <c r="J42" s="461">
        <v>-31</v>
      </c>
      <c r="K42" s="345">
        <f t="shared" si="5"/>
        <v>0</v>
      </c>
      <c r="L42" s="345">
        <f t="shared" si="6"/>
        <v>0</v>
      </c>
      <c r="M42" s="346">
        <f t="shared" si="7"/>
        <v>5000</v>
      </c>
      <c r="N42" s="53" t="s">
        <v>20</v>
      </c>
    </row>
    <row r="43" spans="1:14" ht="15" x14ac:dyDescent="0.25">
      <c r="A43" s="348" t="s">
        <v>315</v>
      </c>
      <c r="B43" s="345">
        <v>0</v>
      </c>
      <c r="C43" s="345">
        <v>0</v>
      </c>
      <c r="D43" s="349">
        <v>1000</v>
      </c>
      <c r="E43" s="345">
        <v>0</v>
      </c>
      <c r="F43" s="345">
        <v>0</v>
      </c>
      <c r="G43" s="349">
        <v>1006</v>
      </c>
      <c r="H43" s="345">
        <v>0</v>
      </c>
      <c r="I43" s="345">
        <v>0</v>
      </c>
      <c r="J43" s="461">
        <v>-6</v>
      </c>
      <c r="K43" s="345">
        <f t="shared" si="5"/>
        <v>0</v>
      </c>
      <c r="L43" s="345">
        <f t="shared" si="6"/>
        <v>0</v>
      </c>
      <c r="M43" s="346">
        <f t="shared" si="7"/>
        <v>1000</v>
      </c>
      <c r="N43" s="53" t="s">
        <v>20</v>
      </c>
    </row>
    <row r="44" spans="1:14" ht="15" x14ac:dyDescent="0.25">
      <c r="A44" s="348" t="s">
        <v>316</v>
      </c>
      <c r="B44" s="345">
        <v>0</v>
      </c>
      <c r="C44" s="345">
        <v>0</v>
      </c>
      <c r="D44" s="349">
        <v>12000</v>
      </c>
      <c r="E44" s="345">
        <v>0</v>
      </c>
      <c r="F44" s="345">
        <v>0</v>
      </c>
      <c r="G44" s="345">
        <v>12073</v>
      </c>
      <c r="H44" s="345">
        <v>0</v>
      </c>
      <c r="I44" s="345">
        <v>0</v>
      </c>
      <c r="J44" s="461">
        <v>-73</v>
      </c>
      <c r="K44" s="345">
        <f t="shared" si="5"/>
        <v>0</v>
      </c>
      <c r="L44" s="345">
        <f t="shared" si="6"/>
        <v>0</v>
      </c>
      <c r="M44" s="346">
        <f t="shared" si="7"/>
        <v>12000</v>
      </c>
      <c r="N44" s="53" t="s">
        <v>20</v>
      </c>
    </row>
    <row r="45" spans="1:14" ht="15" x14ac:dyDescent="0.25">
      <c r="A45" s="348" t="s">
        <v>317</v>
      </c>
      <c r="B45" s="345">
        <v>0</v>
      </c>
      <c r="C45" s="345">
        <v>0</v>
      </c>
      <c r="D45" s="349">
        <v>7000</v>
      </c>
      <c r="E45" s="345">
        <v>0</v>
      </c>
      <c r="F45" s="345">
        <v>0</v>
      </c>
      <c r="G45" s="345">
        <v>7043</v>
      </c>
      <c r="H45" s="345">
        <v>0</v>
      </c>
      <c r="I45" s="345">
        <v>0</v>
      </c>
      <c r="J45" s="461">
        <v>-43</v>
      </c>
      <c r="K45" s="345">
        <f t="shared" si="5"/>
        <v>0</v>
      </c>
      <c r="L45" s="345">
        <f t="shared" si="6"/>
        <v>0</v>
      </c>
      <c r="M45" s="346">
        <f t="shared" si="7"/>
        <v>7000</v>
      </c>
      <c r="N45" s="53" t="s">
        <v>20</v>
      </c>
    </row>
    <row r="46" spans="1:14" ht="15" x14ac:dyDescent="0.25">
      <c r="A46" s="348" t="s">
        <v>287</v>
      </c>
      <c r="B46" s="345">
        <v>0</v>
      </c>
      <c r="C46" s="345">
        <v>0</v>
      </c>
      <c r="D46" s="349">
        <v>12500</v>
      </c>
      <c r="E46" s="345">
        <v>0</v>
      </c>
      <c r="F46" s="345">
        <v>0</v>
      </c>
      <c r="G46" s="345">
        <v>12577</v>
      </c>
      <c r="H46" s="345">
        <v>0</v>
      </c>
      <c r="I46" s="345">
        <v>0</v>
      </c>
      <c r="J46" s="461">
        <v>-77</v>
      </c>
      <c r="K46" s="345">
        <f t="shared" si="5"/>
        <v>0</v>
      </c>
      <c r="L46" s="345">
        <f t="shared" si="6"/>
        <v>0</v>
      </c>
      <c r="M46" s="346">
        <f t="shared" si="7"/>
        <v>12500</v>
      </c>
      <c r="N46" s="53" t="s">
        <v>20</v>
      </c>
    </row>
    <row r="47" spans="1:14" ht="15" x14ac:dyDescent="0.25">
      <c r="A47" s="348" t="s">
        <v>318</v>
      </c>
      <c r="B47" s="345">
        <v>0</v>
      </c>
      <c r="C47" s="345">
        <v>0</v>
      </c>
      <c r="D47" s="349">
        <v>0</v>
      </c>
      <c r="E47" s="345">
        <v>0</v>
      </c>
      <c r="F47" s="345">
        <v>0</v>
      </c>
      <c r="G47" s="345">
        <v>0</v>
      </c>
      <c r="H47" s="345">
        <v>0</v>
      </c>
      <c r="I47" s="345">
        <v>0</v>
      </c>
      <c r="J47" s="461">
        <v>0</v>
      </c>
      <c r="K47" s="345">
        <f t="shared" si="5"/>
        <v>0</v>
      </c>
      <c r="L47" s="345">
        <f t="shared" si="6"/>
        <v>0</v>
      </c>
      <c r="M47" s="346">
        <f t="shared" si="7"/>
        <v>0</v>
      </c>
      <c r="N47" s="53" t="s">
        <v>20</v>
      </c>
    </row>
    <row r="48" spans="1:14" ht="15" x14ac:dyDescent="0.25">
      <c r="A48" s="348" t="s">
        <v>319</v>
      </c>
      <c r="B48" s="345">
        <v>0</v>
      </c>
      <c r="C48" s="345">
        <v>0</v>
      </c>
      <c r="D48" s="349">
        <v>0</v>
      </c>
      <c r="E48" s="345">
        <v>0</v>
      </c>
      <c r="F48" s="345">
        <v>0</v>
      </c>
      <c r="G48" s="345">
        <v>0</v>
      </c>
      <c r="H48" s="345">
        <v>0</v>
      </c>
      <c r="I48" s="345">
        <v>0</v>
      </c>
      <c r="J48" s="461">
        <v>0</v>
      </c>
      <c r="K48" s="345">
        <f t="shared" si="5"/>
        <v>0</v>
      </c>
      <c r="L48" s="345">
        <f t="shared" si="6"/>
        <v>0</v>
      </c>
      <c r="M48" s="346">
        <f t="shared" si="7"/>
        <v>0</v>
      </c>
      <c r="N48" s="53" t="s">
        <v>20</v>
      </c>
    </row>
    <row r="49" spans="1:14" ht="15" x14ac:dyDescent="0.25">
      <c r="A49" s="348" t="s">
        <v>320</v>
      </c>
      <c r="B49" s="345">
        <v>0</v>
      </c>
      <c r="C49" s="345">
        <v>0</v>
      </c>
      <c r="D49" s="349">
        <v>10000</v>
      </c>
      <c r="E49" s="345">
        <v>0</v>
      </c>
      <c r="F49" s="345">
        <v>0</v>
      </c>
      <c r="G49" s="345">
        <v>10061</v>
      </c>
      <c r="H49" s="345">
        <v>0</v>
      </c>
      <c r="I49" s="345">
        <v>0</v>
      </c>
      <c r="J49" s="461">
        <v>-61</v>
      </c>
      <c r="K49" s="345">
        <f t="shared" si="5"/>
        <v>0</v>
      </c>
      <c r="L49" s="345">
        <f t="shared" si="6"/>
        <v>0</v>
      </c>
      <c r="M49" s="346">
        <f t="shared" si="7"/>
        <v>10000</v>
      </c>
      <c r="N49" s="53" t="s">
        <v>20</v>
      </c>
    </row>
    <row r="50" spans="1:14" ht="15" x14ac:dyDescent="0.25">
      <c r="A50" s="348" t="s">
        <v>321</v>
      </c>
      <c r="B50" s="345">
        <v>0</v>
      </c>
      <c r="C50" s="345">
        <v>0</v>
      </c>
      <c r="D50" s="349">
        <v>63000</v>
      </c>
      <c r="E50" s="345">
        <v>0</v>
      </c>
      <c r="F50" s="345">
        <v>0</v>
      </c>
      <c r="G50" s="345">
        <v>63386</v>
      </c>
      <c r="H50" s="345">
        <v>0</v>
      </c>
      <c r="I50" s="345">
        <v>0</v>
      </c>
      <c r="J50" s="461">
        <v>-386</v>
      </c>
      <c r="K50" s="345">
        <f t="shared" si="5"/>
        <v>0</v>
      </c>
      <c r="L50" s="345">
        <f t="shared" si="6"/>
        <v>0</v>
      </c>
      <c r="M50" s="346">
        <f t="shared" si="7"/>
        <v>63000</v>
      </c>
      <c r="N50" s="53" t="s">
        <v>20</v>
      </c>
    </row>
    <row r="51" spans="1:14" ht="15" x14ac:dyDescent="0.25">
      <c r="A51" s="348" t="s">
        <v>322</v>
      </c>
      <c r="B51" s="345"/>
      <c r="C51" s="345"/>
      <c r="D51" s="349"/>
      <c r="E51" s="345"/>
      <c r="F51" s="345"/>
      <c r="G51" s="345"/>
      <c r="H51" s="345"/>
      <c r="I51" s="345"/>
      <c r="J51" s="349"/>
      <c r="K51" s="345"/>
      <c r="L51" s="345"/>
      <c r="M51" s="346"/>
      <c r="N51" s="53" t="s">
        <v>20</v>
      </c>
    </row>
    <row r="52" spans="1:14" ht="15" x14ac:dyDescent="0.25">
      <c r="A52" s="348" t="s">
        <v>323</v>
      </c>
      <c r="B52" s="345"/>
      <c r="C52" s="345"/>
      <c r="D52" s="349"/>
      <c r="E52" s="345"/>
      <c r="F52" s="345"/>
      <c r="G52" s="345"/>
      <c r="H52" s="345"/>
      <c r="I52" s="345"/>
      <c r="J52" s="349"/>
      <c r="K52" s="345"/>
      <c r="L52" s="345"/>
      <c r="M52" s="346"/>
      <c r="N52" s="53" t="s">
        <v>20</v>
      </c>
    </row>
    <row r="53" spans="1:14" ht="15" x14ac:dyDescent="0.25">
      <c r="A53" s="348" t="s">
        <v>324</v>
      </c>
      <c r="B53" s="345"/>
      <c r="C53" s="345"/>
      <c r="D53" s="349"/>
      <c r="E53" s="345"/>
      <c r="F53" s="345"/>
      <c r="G53" s="345"/>
      <c r="H53" s="345"/>
      <c r="I53" s="345"/>
      <c r="J53" s="349"/>
      <c r="K53" s="345"/>
      <c r="L53" s="345"/>
      <c r="M53" s="346"/>
      <c r="N53" s="53" t="s">
        <v>20</v>
      </c>
    </row>
    <row r="54" spans="1:14" ht="15" x14ac:dyDescent="0.25">
      <c r="A54" s="348" t="s">
        <v>325</v>
      </c>
      <c r="B54" s="345"/>
      <c r="C54" s="345"/>
      <c r="D54" s="349"/>
      <c r="E54" s="345"/>
      <c r="F54" s="345"/>
      <c r="G54" s="345"/>
      <c r="H54" s="345"/>
      <c r="I54" s="345"/>
      <c r="J54" s="349"/>
      <c r="K54" s="345"/>
      <c r="L54" s="345"/>
      <c r="M54" s="346"/>
      <c r="N54" s="53" t="s">
        <v>20</v>
      </c>
    </row>
    <row r="55" spans="1:14" ht="15.6" x14ac:dyDescent="0.3">
      <c r="A55" s="348" t="s">
        <v>326</v>
      </c>
      <c r="B55" s="345"/>
      <c r="C55" s="345"/>
      <c r="D55" s="350">
        <v>4000</v>
      </c>
      <c r="E55" s="345"/>
      <c r="F55" s="345"/>
      <c r="G55" s="345"/>
      <c r="H55" s="345"/>
      <c r="I55" s="345"/>
      <c r="J55" s="349"/>
      <c r="K55" s="345"/>
      <c r="L55" s="345"/>
      <c r="M55" s="346"/>
      <c r="N55" s="53" t="s">
        <v>20</v>
      </c>
    </row>
    <row r="56" spans="1:14" ht="15" x14ac:dyDescent="0.25">
      <c r="A56" s="348" t="s">
        <v>333</v>
      </c>
      <c r="B56" s="345"/>
      <c r="C56" s="345"/>
      <c r="D56" s="349"/>
      <c r="E56" s="345"/>
      <c r="F56" s="345"/>
      <c r="G56" s="345"/>
      <c r="H56" s="345"/>
      <c r="I56" s="345"/>
      <c r="J56" s="349"/>
      <c r="K56" s="345"/>
      <c r="L56" s="345"/>
      <c r="M56" s="346"/>
      <c r="N56" s="53" t="s">
        <v>20</v>
      </c>
    </row>
    <row r="57" spans="1:14" ht="15" x14ac:dyDescent="0.25">
      <c r="A57" s="348" t="s">
        <v>327</v>
      </c>
      <c r="B57" s="345"/>
      <c r="C57" s="345"/>
      <c r="D57" s="349"/>
      <c r="E57" s="345"/>
      <c r="F57" s="345"/>
      <c r="G57" s="345"/>
      <c r="H57" s="345"/>
      <c r="I57" s="345"/>
      <c r="J57" s="349"/>
      <c r="K57" s="345"/>
      <c r="L57" s="345"/>
      <c r="M57" s="346"/>
      <c r="N57" s="53" t="s">
        <v>20</v>
      </c>
    </row>
    <row r="58" spans="1:14" ht="15" x14ac:dyDescent="0.25">
      <c r="A58" s="348" t="s">
        <v>328</v>
      </c>
      <c r="B58" s="345">
        <v>0</v>
      </c>
      <c r="C58" s="345">
        <v>0</v>
      </c>
      <c r="D58" s="349">
        <v>5000</v>
      </c>
      <c r="E58" s="345">
        <v>0</v>
      </c>
      <c r="F58" s="345">
        <v>0</v>
      </c>
      <c r="G58" s="345">
        <v>5031</v>
      </c>
      <c r="H58" s="345">
        <v>0</v>
      </c>
      <c r="I58" s="345">
        <v>0</v>
      </c>
      <c r="J58" s="461">
        <v>-31</v>
      </c>
      <c r="K58" s="345">
        <f t="shared" ref="K58:M60" si="8">E58+H58</f>
        <v>0</v>
      </c>
      <c r="L58" s="345">
        <f t="shared" si="8"/>
        <v>0</v>
      </c>
      <c r="M58" s="346">
        <f t="shared" si="8"/>
        <v>5000</v>
      </c>
      <c r="N58" s="53" t="s">
        <v>20</v>
      </c>
    </row>
    <row r="59" spans="1:14" ht="15" x14ac:dyDescent="0.25">
      <c r="A59" s="348" t="s">
        <v>334</v>
      </c>
      <c r="B59" s="345">
        <v>0</v>
      </c>
      <c r="C59" s="345">
        <v>0</v>
      </c>
      <c r="D59" s="349">
        <v>240000</v>
      </c>
      <c r="E59" s="345">
        <v>0</v>
      </c>
      <c r="F59" s="345">
        <v>0</v>
      </c>
      <c r="G59" s="345">
        <v>241469</v>
      </c>
      <c r="H59" s="345">
        <v>0</v>
      </c>
      <c r="I59" s="345">
        <v>0</v>
      </c>
      <c r="J59" s="461">
        <v>-1469</v>
      </c>
      <c r="K59" s="345">
        <f t="shared" si="8"/>
        <v>0</v>
      </c>
      <c r="L59" s="345">
        <f t="shared" si="8"/>
        <v>0</v>
      </c>
      <c r="M59" s="346">
        <f t="shared" si="8"/>
        <v>240000</v>
      </c>
      <c r="N59" s="53" t="s">
        <v>20</v>
      </c>
    </row>
    <row r="60" spans="1:14" ht="15" x14ac:dyDescent="0.25">
      <c r="A60" s="348" t="s">
        <v>329</v>
      </c>
      <c r="B60" s="345">
        <v>0</v>
      </c>
      <c r="C60" s="345">
        <v>0</v>
      </c>
      <c r="D60" s="349">
        <v>10500</v>
      </c>
      <c r="E60" s="345">
        <v>0</v>
      </c>
      <c r="F60" s="345">
        <v>0</v>
      </c>
      <c r="G60" s="349">
        <v>10564</v>
      </c>
      <c r="H60" s="345">
        <v>0</v>
      </c>
      <c r="I60" s="345">
        <v>0</v>
      </c>
      <c r="J60" s="461">
        <v>-64</v>
      </c>
      <c r="K60" s="345">
        <f t="shared" si="8"/>
        <v>0</v>
      </c>
      <c r="L60" s="345">
        <f t="shared" si="8"/>
        <v>0</v>
      </c>
      <c r="M60" s="346">
        <f t="shared" si="8"/>
        <v>10500</v>
      </c>
      <c r="N60" s="53" t="s">
        <v>20</v>
      </c>
    </row>
    <row r="61" spans="1:14" ht="15.6" x14ac:dyDescent="0.3">
      <c r="A61" s="351" t="s">
        <v>131</v>
      </c>
      <c r="B61" s="352">
        <f>SUM(B9:B60)</f>
        <v>0</v>
      </c>
      <c r="C61" s="352">
        <f>SUM(C9:C60)</f>
        <v>0</v>
      </c>
      <c r="D61" s="352">
        <f>D9+D10+D12+D13+D14+D23+D24+D25+D26+D27+D28+D33+D34+D36+D37+D38+D39+D40+D41+D42+D43+D44+D45+D46+D47+D48+D49+D50+D58+D59+D60</f>
        <v>1162500</v>
      </c>
      <c r="E61" s="352">
        <f>SUM(E9:E60)</f>
        <v>0</v>
      </c>
      <c r="F61" s="352">
        <f>SUM(F9:F60)</f>
        <v>0</v>
      </c>
      <c r="G61" s="352">
        <f>G9+G10+G12+G13+G14+G24+G25+G26+G28+G33+G34+G36+G37+G38+G39+G40+G41+G42+G43+G44+G45+G46+G49+G50+G58+G59+G60+G22</f>
        <v>1169615</v>
      </c>
      <c r="H61" s="352">
        <f t="shared" ref="H61:M61" si="9">SUM(H9:H60)</f>
        <v>0</v>
      </c>
      <c r="I61" s="352">
        <f t="shared" si="9"/>
        <v>0</v>
      </c>
      <c r="J61" s="463">
        <f t="shared" si="9"/>
        <v>-7115</v>
      </c>
      <c r="K61" s="352">
        <f t="shared" si="9"/>
        <v>0</v>
      </c>
      <c r="L61" s="352">
        <f t="shared" si="9"/>
        <v>0</v>
      </c>
      <c r="M61" s="353">
        <f t="shared" si="9"/>
        <v>1162500</v>
      </c>
      <c r="N61" s="53" t="s">
        <v>20</v>
      </c>
    </row>
    <row r="62" spans="1:14" ht="15.6" x14ac:dyDescent="0.3">
      <c r="A62" s="496" t="s">
        <v>130</v>
      </c>
      <c r="B62" s="352"/>
      <c r="C62" s="352"/>
      <c r="D62" s="467">
        <v>-42000</v>
      </c>
      <c r="E62" s="352"/>
      <c r="F62" s="352"/>
      <c r="G62" s="467">
        <v>-42000</v>
      </c>
      <c r="H62" s="352"/>
      <c r="I62" s="352"/>
      <c r="J62" s="467">
        <v>0</v>
      </c>
      <c r="K62" s="352"/>
      <c r="L62" s="352"/>
      <c r="M62" s="497">
        <f>G62+J62</f>
        <v>-42000</v>
      </c>
      <c r="N62" s="53" t="s">
        <v>20</v>
      </c>
    </row>
    <row r="63" spans="1:14" ht="15.6" x14ac:dyDescent="0.3">
      <c r="A63" s="355" t="s">
        <v>150</v>
      </c>
      <c r="B63" s="356"/>
      <c r="C63" s="356"/>
      <c r="D63" s="357">
        <f>SUM(D61:D62)</f>
        <v>1120500</v>
      </c>
      <c r="E63" s="356"/>
      <c r="F63" s="356"/>
      <c r="G63" s="357">
        <f>SUM(G61:G62)</f>
        <v>1127615</v>
      </c>
      <c r="H63" s="356"/>
      <c r="I63" s="356"/>
      <c r="J63" s="465">
        <f>SUM(J61:J62)</f>
        <v>-7115</v>
      </c>
      <c r="K63" s="356"/>
      <c r="L63" s="356"/>
      <c r="M63" s="358">
        <f>G63+J63</f>
        <v>1120500</v>
      </c>
      <c r="N63" s="53" t="s">
        <v>20</v>
      </c>
    </row>
    <row r="64" spans="1:14" ht="15" x14ac:dyDescent="0.25">
      <c r="A64" s="359" t="s">
        <v>26</v>
      </c>
      <c r="B64" s="360"/>
      <c r="C64" s="360">
        <v>0</v>
      </c>
      <c r="D64" s="360"/>
      <c r="E64" s="360"/>
      <c r="F64" s="360">
        <v>0</v>
      </c>
      <c r="G64" s="360"/>
      <c r="H64" s="360"/>
      <c r="I64" s="360">
        <v>0</v>
      </c>
      <c r="J64" s="360"/>
      <c r="K64" s="360"/>
      <c r="L64" s="360">
        <f>F64+I64</f>
        <v>0</v>
      </c>
      <c r="M64" s="361"/>
      <c r="N64" s="53" t="s">
        <v>20</v>
      </c>
    </row>
    <row r="65" spans="1:14" ht="15" x14ac:dyDescent="0.25">
      <c r="A65" s="344" t="s">
        <v>132</v>
      </c>
      <c r="B65" s="345"/>
      <c r="C65" s="345">
        <f>C61+C64</f>
        <v>0</v>
      </c>
      <c r="D65" s="345"/>
      <c r="E65" s="345"/>
      <c r="F65" s="345">
        <f>F61+F64</f>
        <v>0</v>
      </c>
      <c r="G65" s="345"/>
      <c r="H65" s="345"/>
      <c r="I65" s="345">
        <f>I61+I64</f>
        <v>0</v>
      </c>
      <c r="J65" s="345"/>
      <c r="K65" s="345"/>
      <c r="L65" s="345">
        <f>F65+I65</f>
        <v>0</v>
      </c>
      <c r="M65" s="346"/>
      <c r="N65" s="53" t="s">
        <v>20</v>
      </c>
    </row>
    <row r="66" spans="1:14" ht="15" x14ac:dyDescent="0.25">
      <c r="A66" s="344"/>
      <c r="B66" s="345"/>
      <c r="C66" s="345"/>
      <c r="D66" s="345"/>
      <c r="E66" s="345"/>
      <c r="F66" s="345"/>
      <c r="G66" s="345"/>
      <c r="H66" s="345"/>
      <c r="I66" s="345"/>
      <c r="J66" s="345"/>
      <c r="K66" s="345"/>
      <c r="L66" s="345"/>
      <c r="M66" s="346"/>
      <c r="N66" s="53" t="s">
        <v>20</v>
      </c>
    </row>
    <row r="67" spans="1:14" ht="15" x14ac:dyDescent="0.25">
      <c r="A67" s="344" t="s">
        <v>27</v>
      </c>
      <c r="B67" s="345"/>
      <c r="C67" s="345"/>
      <c r="D67" s="345"/>
      <c r="E67" s="345"/>
      <c r="F67" s="345"/>
      <c r="G67" s="345"/>
      <c r="H67" s="345"/>
      <c r="I67" s="345"/>
      <c r="J67" s="345"/>
      <c r="K67" s="345"/>
      <c r="L67" s="345"/>
      <c r="M67" s="346"/>
      <c r="N67" s="53" t="s">
        <v>20</v>
      </c>
    </row>
    <row r="68" spans="1:14" ht="15" x14ac:dyDescent="0.25">
      <c r="A68" s="362" t="s">
        <v>28</v>
      </c>
      <c r="B68" s="345"/>
      <c r="C68" s="345">
        <v>0</v>
      </c>
      <c r="D68" s="345"/>
      <c r="E68" s="345"/>
      <c r="F68" s="345">
        <v>0</v>
      </c>
      <c r="G68" s="345"/>
      <c r="H68" s="345"/>
      <c r="I68" s="345">
        <v>0</v>
      </c>
      <c r="J68" s="345"/>
      <c r="K68" s="345"/>
      <c r="L68" s="345">
        <f>F68+I68</f>
        <v>0</v>
      </c>
      <c r="M68" s="346"/>
      <c r="N68" s="53" t="s">
        <v>20</v>
      </c>
    </row>
    <row r="69" spans="1:14" ht="15" x14ac:dyDescent="0.25">
      <c r="A69" s="363" t="s">
        <v>29</v>
      </c>
      <c r="B69" s="364"/>
      <c r="C69" s="364">
        <v>0</v>
      </c>
      <c r="D69" s="364"/>
      <c r="E69" s="364"/>
      <c r="F69" s="364">
        <v>0</v>
      </c>
      <c r="G69" s="364"/>
      <c r="H69" s="364"/>
      <c r="I69" s="364">
        <v>0</v>
      </c>
      <c r="J69" s="364"/>
      <c r="K69" s="364"/>
      <c r="L69" s="364">
        <f>F69+I69</f>
        <v>0</v>
      </c>
      <c r="M69" s="365"/>
      <c r="N69" s="53" t="s">
        <v>20</v>
      </c>
    </row>
    <row r="70" spans="1:14" ht="15.6" thickBot="1" x14ac:dyDescent="0.3">
      <c r="A70" s="366" t="s">
        <v>133</v>
      </c>
      <c r="B70" s="367"/>
      <c r="C70" s="367">
        <f>C65+C68+C69</f>
        <v>0</v>
      </c>
      <c r="D70" s="367"/>
      <c r="E70" s="367"/>
      <c r="F70" s="367">
        <f>F65+F68+F69</f>
        <v>0</v>
      </c>
      <c r="G70" s="367"/>
      <c r="H70" s="367"/>
      <c r="I70" s="367">
        <f>I65+I68+I69</f>
        <v>0</v>
      </c>
      <c r="J70" s="367"/>
      <c r="K70" s="367"/>
      <c r="L70" s="367">
        <f>F70+I70</f>
        <v>0</v>
      </c>
      <c r="M70" s="368"/>
      <c r="N70" s="53" t="s">
        <v>20</v>
      </c>
    </row>
    <row r="71" spans="1:14" ht="15.6" thickBot="1" x14ac:dyDescent="0.3">
      <c r="A71" s="369"/>
      <c r="B71" s="369"/>
      <c r="C71" s="369"/>
      <c r="D71" s="369"/>
      <c r="E71" s="369"/>
      <c r="F71" s="369"/>
      <c r="G71" s="369"/>
      <c r="H71" s="369"/>
      <c r="I71" s="369"/>
      <c r="J71" s="369"/>
      <c r="K71" s="369"/>
      <c r="L71" s="369"/>
      <c r="M71" s="369"/>
      <c r="N71" s="53" t="s">
        <v>20</v>
      </c>
    </row>
    <row r="72" spans="1:14" ht="15.6" x14ac:dyDescent="0.25">
      <c r="A72" s="730" t="s">
        <v>134</v>
      </c>
      <c r="B72" s="732" t="s">
        <v>22</v>
      </c>
      <c r="C72" s="732"/>
      <c r="D72" s="732"/>
      <c r="E72" s="732" t="s">
        <v>23</v>
      </c>
      <c r="F72" s="732"/>
      <c r="G72" s="732"/>
      <c r="H72" s="732" t="s">
        <v>24</v>
      </c>
      <c r="I72" s="732"/>
      <c r="J72" s="733"/>
      <c r="K72" s="369"/>
      <c r="L72" s="369"/>
      <c r="M72" s="369"/>
      <c r="N72" s="53" t="s">
        <v>20</v>
      </c>
    </row>
    <row r="73" spans="1:14" ht="30" x14ac:dyDescent="0.25">
      <c r="A73" s="731"/>
      <c r="B73" s="339" t="s">
        <v>3</v>
      </c>
      <c r="C73" s="339" t="s">
        <v>149</v>
      </c>
      <c r="D73" s="339" t="s">
        <v>4</v>
      </c>
      <c r="E73" s="339" t="s">
        <v>3</v>
      </c>
      <c r="F73" s="339" t="s">
        <v>149</v>
      </c>
      <c r="G73" s="339" t="s">
        <v>4</v>
      </c>
      <c r="H73" s="339" t="s">
        <v>3</v>
      </c>
      <c r="I73" s="339" t="s">
        <v>149</v>
      </c>
      <c r="J73" s="340" t="s">
        <v>4</v>
      </c>
      <c r="K73" s="369"/>
      <c r="L73" s="369"/>
      <c r="M73" s="369"/>
      <c r="N73" s="53" t="s">
        <v>20</v>
      </c>
    </row>
    <row r="74" spans="1:14" ht="15" x14ac:dyDescent="0.25">
      <c r="A74" s="370" t="str">
        <f>A9</f>
        <v>Border Initiatives</v>
      </c>
      <c r="B74" s="345">
        <f>B9</f>
        <v>0</v>
      </c>
      <c r="C74" s="345">
        <f>C9</f>
        <v>0</v>
      </c>
      <c r="D74" s="349">
        <v>0</v>
      </c>
      <c r="E74" s="345">
        <f>E9</f>
        <v>0</v>
      </c>
      <c r="F74" s="345">
        <f>F9</f>
        <v>0</v>
      </c>
      <c r="G74" s="349">
        <v>0</v>
      </c>
      <c r="H74" s="345">
        <f>H9</f>
        <v>0</v>
      </c>
      <c r="I74" s="345">
        <f>I9</f>
        <v>0</v>
      </c>
      <c r="J74" s="439">
        <v>0</v>
      </c>
      <c r="K74" s="369"/>
      <c r="L74" s="369"/>
      <c r="M74" s="369"/>
      <c r="N74" s="53" t="s">
        <v>20</v>
      </c>
    </row>
    <row r="75" spans="1:14" ht="15" x14ac:dyDescent="0.25">
      <c r="A75" s="370" t="str">
        <f>A10</f>
        <v>Bulletproof Vests Partnership</v>
      </c>
      <c r="B75" s="345">
        <v>0</v>
      </c>
      <c r="C75" s="345">
        <v>0</v>
      </c>
      <c r="D75" s="349">
        <v>0</v>
      </c>
      <c r="E75" s="345">
        <v>0</v>
      </c>
      <c r="F75" s="345">
        <v>0</v>
      </c>
      <c r="G75" s="349">
        <v>0</v>
      </c>
      <c r="H75" s="345">
        <f t="shared" ref="H75:H86" si="10">K10+B75+E75</f>
        <v>0</v>
      </c>
      <c r="I75" s="345">
        <f t="shared" ref="I75:I86" si="11">L10+C75+F75</f>
        <v>0</v>
      </c>
      <c r="J75" s="439">
        <v>0</v>
      </c>
      <c r="K75" s="369"/>
      <c r="L75" s="369"/>
      <c r="M75" s="369"/>
      <c r="N75" s="53" t="s">
        <v>20</v>
      </c>
    </row>
    <row r="76" spans="1:14" ht="15" x14ac:dyDescent="0.25">
      <c r="A76" s="370" t="s">
        <v>290</v>
      </c>
      <c r="B76" s="345">
        <v>0</v>
      </c>
      <c r="C76" s="345">
        <v>0</v>
      </c>
      <c r="D76" s="349">
        <v>0</v>
      </c>
      <c r="E76" s="345">
        <v>0</v>
      </c>
      <c r="F76" s="345">
        <v>0</v>
      </c>
      <c r="G76" s="349">
        <v>0</v>
      </c>
      <c r="H76" s="345">
        <f t="shared" si="10"/>
        <v>0</v>
      </c>
      <c r="I76" s="345">
        <f t="shared" si="11"/>
        <v>0</v>
      </c>
      <c r="J76" s="439">
        <f t="shared" ref="J76:J86" si="12">M11+D76+G76</f>
        <v>0</v>
      </c>
      <c r="K76" s="369"/>
      <c r="L76" s="369"/>
      <c r="M76" s="369"/>
      <c r="N76" s="53" t="s">
        <v>20</v>
      </c>
    </row>
    <row r="77" spans="1:14" ht="15" x14ac:dyDescent="0.25">
      <c r="A77" s="370" t="str">
        <f>A12</f>
        <v>Byrne Competitive Grants</v>
      </c>
      <c r="B77" s="345">
        <v>0</v>
      </c>
      <c r="C77" s="345">
        <v>0</v>
      </c>
      <c r="D77" s="349">
        <v>0</v>
      </c>
      <c r="E77" s="345">
        <v>0</v>
      </c>
      <c r="F77" s="345">
        <v>0</v>
      </c>
      <c r="G77" s="349">
        <v>0</v>
      </c>
      <c r="H77" s="345">
        <f t="shared" si="10"/>
        <v>0</v>
      </c>
      <c r="I77" s="345">
        <f t="shared" si="11"/>
        <v>0</v>
      </c>
      <c r="J77" s="439">
        <f t="shared" si="12"/>
        <v>15000</v>
      </c>
      <c r="K77" s="369"/>
      <c r="L77" s="369"/>
      <c r="M77" s="369"/>
      <c r="N77" s="53" t="s">
        <v>20</v>
      </c>
    </row>
    <row r="78" spans="1:14" ht="15" x14ac:dyDescent="0.25">
      <c r="A78" s="348" t="s">
        <v>273</v>
      </c>
      <c r="B78" s="345">
        <v>0</v>
      </c>
      <c r="C78" s="345">
        <v>0</v>
      </c>
      <c r="D78" s="349">
        <v>20000</v>
      </c>
      <c r="E78" s="345">
        <v>0</v>
      </c>
      <c r="F78" s="345">
        <v>0</v>
      </c>
      <c r="G78" s="349">
        <v>0</v>
      </c>
      <c r="H78" s="345">
        <f t="shared" si="10"/>
        <v>0</v>
      </c>
      <c r="I78" s="345">
        <f t="shared" si="11"/>
        <v>0</v>
      </c>
      <c r="J78" s="439">
        <f t="shared" si="12"/>
        <v>35000</v>
      </c>
      <c r="K78" s="369"/>
      <c r="L78" s="369"/>
      <c r="M78" s="369"/>
      <c r="N78" s="53" t="s">
        <v>20</v>
      </c>
    </row>
    <row r="79" spans="1:14" ht="15" x14ac:dyDescent="0.25">
      <c r="A79" s="370" t="s">
        <v>279</v>
      </c>
      <c r="B79" s="345">
        <v>0</v>
      </c>
      <c r="C79" s="345">
        <v>0</v>
      </c>
      <c r="D79" s="349">
        <v>25000</v>
      </c>
      <c r="E79" s="345">
        <v>0</v>
      </c>
      <c r="F79" s="345">
        <v>0</v>
      </c>
      <c r="G79" s="349">
        <v>0</v>
      </c>
      <c r="H79" s="345">
        <f t="shared" si="10"/>
        <v>0</v>
      </c>
      <c r="I79" s="345">
        <f t="shared" si="11"/>
        <v>0</v>
      </c>
      <c r="J79" s="439">
        <f t="shared" si="12"/>
        <v>395000</v>
      </c>
      <c r="K79" s="369"/>
      <c r="L79" s="369"/>
      <c r="M79" s="369"/>
      <c r="N79" s="53" t="s">
        <v>20</v>
      </c>
    </row>
    <row r="80" spans="1:14" ht="15" x14ac:dyDescent="0.25">
      <c r="A80" s="370" t="s">
        <v>292</v>
      </c>
      <c r="B80" s="345">
        <v>0</v>
      </c>
      <c r="C80" s="345">
        <v>0</v>
      </c>
      <c r="D80" s="349">
        <v>0</v>
      </c>
      <c r="E80" s="345">
        <v>0</v>
      </c>
      <c r="F80" s="345">
        <v>0</v>
      </c>
      <c r="G80" s="349">
        <v>0</v>
      </c>
      <c r="H80" s="345">
        <f t="shared" si="10"/>
        <v>0</v>
      </c>
      <c r="I80" s="345">
        <f t="shared" si="11"/>
        <v>0</v>
      </c>
      <c r="J80" s="439">
        <f t="shared" si="12"/>
        <v>0</v>
      </c>
      <c r="K80" s="369"/>
      <c r="L80" s="369"/>
      <c r="M80" s="369"/>
      <c r="N80" s="53" t="s">
        <v>20</v>
      </c>
    </row>
    <row r="81" spans="1:14" ht="15" x14ac:dyDescent="0.25">
      <c r="A81" s="370" t="s">
        <v>293</v>
      </c>
      <c r="B81" s="345">
        <v>0</v>
      </c>
      <c r="C81" s="345">
        <v>0</v>
      </c>
      <c r="D81" s="349">
        <v>0</v>
      </c>
      <c r="E81" s="345">
        <v>0</v>
      </c>
      <c r="F81" s="345">
        <v>0</v>
      </c>
      <c r="G81" s="349">
        <v>0</v>
      </c>
      <c r="H81" s="345">
        <f t="shared" si="10"/>
        <v>0</v>
      </c>
      <c r="I81" s="345">
        <f t="shared" si="11"/>
        <v>0</v>
      </c>
      <c r="J81" s="439">
        <f t="shared" si="12"/>
        <v>0</v>
      </c>
      <c r="K81" s="369"/>
      <c r="L81" s="369"/>
      <c r="M81" s="369"/>
      <c r="N81" s="53" t="s">
        <v>20</v>
      </c>
    </row>
    <row r="82" spans="1:14" ht="15" x14ac:dyDescent="0.25">
      <c r="A82" s="370" t="s">
        <v>294</v>
      </c>
      <c r="B82" s="345">
        <v>0</v>
      </c>
      <c r="C82" s="345">
        <v>0</v>
      </c>
      <c r="D82" s="349">
        <v>0</v>
      </c>
      <c r="E82" s="345">
        <v>0</v>
      </c>
      <c r="F82" s="345">
        <v>0</v>
      </c>
      <c r="G82" s="349">
        <v>0</v>
      </c>
      <c r="H82" s="345">
        <f t="shared" si="10"/>
        <v>0</v>
      </c>
      <c r="I82" s="345">
        <f t="shared" si="11"/>
        <v>0</v>
      </c>
      <c r="J82" s="439">
        <f t="shared" si="12"/>
        <v>0</v>
      </c>
      <c r="K82" s="369"/>
      <c r="L82" s="369"/>
      <c r="M82" s="369"/>
      <c r="N82" s="53" t="s">
        <v>20</v>
      </c>
    </row>
    <row r="83" spans="1:14" ht="15" x14ac:dyDescent="0.25">
      <c r="A83" s="370" t="s">
        <v>295</v>
      </c>
      <c r="B83" s="345">
        <v>0</v>
      </c>
      <c r="C83" s="345">
        <v>0</v>
      </c>
      <c r="D83" s="349">
        <v>0</v>
      </c>
      <c r="E83" s="345">
        <v>0</v>
      </c>
      <c r="F83" s="345">
        <v>0</v>
      </c>
      <c r="G83" s="349">
        <v>0</v>
      </c>
      <c r="H83" s="345">
        <f t="shared" si="10"/>
        <v>0</v>
      </c>
      <c r="I83" s="345">
        <f t="shared" si="11"/>
        <v>0</v>
      </c>
      <c r="J83" s="439">
        <f t="shared" si="12"/>
        <v>0</v>
      </c>
      <c r="K83" s="369"/>
      <c r="L83" s="369"/>
      <c r="M83" s="369"/>
      <c r="N83" s="53" t="s">
        <v>20</v>
      </c>
    </row>
    <row r="84" spans="1:14" ht="15" x14ac:dyDescent="0.25">
      <c r="A84" s="370" t="s">
        <v>296</v>
      </c>
      <c r="B84" s="345">
        <v>0</v>
      </c>
      <c r="C84" s="345">
        <v>0</v>
      </c>
      <c r="D84" s="349">
        <v>0</v>
      </c>
      <c r="E84" s="345">
        <v>0</v>
      </c>
      <c r="F84" s="345">
        <v>0</v>
      </c>
      <c r="G84" s="349">
        <v>0</v>
      </c>
      <c r="H84" s="345">
        <f t="shared" si="10"/>
        <v>0</v>
      </c>
      <c r="I84" s="345">
        <f t="shared" si="11"/>
        <v>0</v>
      </c>
      <c r="J84" s="439">
        <f t="shared" si="12"/>
        <v>0</v>
      </c>
      <c r="K84" s="369"/>
      <c r="L84" s="369"/>
      <c r="M84" s="369"/>
      <c r="N84" s="53" t="s">
        <v>20</v>
      </c>
    </row>
    <row r="85" spans="1:14" ht="15" x14ac:dyDescent="0.25">
      <c r="A85" s="370" t="s">
        <v>297</v>
      </c>
      <c r="B85" s="345">
        <v>0</v>
      </c>
      <c r="C85" s="345">
        <v>0</v>
      </c>
      <c r="D85" s="349">
        <v>0</v>
      </c>
      <c r="E85" s="345">
        <v>0</v>
      </c>
      <c r="F85" s="345">
        <v>0</v>
      </c>
      <c r="G85" s="349">
        <v>0</v>
      </c>
      <c r="H85" s="345">
        <f t="shared" si="10"/>
        <v>0</v>
      </c>
      <c r="I85" s="345">
        <f t="shared" si="11"/>
        <v>0</v>
      </c>
      <c r="J85" s="439">
        <f t="shared" si="12"/>
        <v>0</v>
      </c>
      <c r="K85" s="369"/>
      <c r="L85" s="369"/>
      <c r="M85" s="369"/>
      <c r="N85" s="53" t="s">
        <v>20</v>
      </c>
    </row>
    <row r="86" spans="1:14" ht="15" x14ac:dyDescent="0.25">
      <c r="A86" s="370" t="s">
        <v>298</v>
      </c>
      <c r="B86" s="345">
        <v>0</v>
      </c>
      <c r="C86" s="345">
        <v>0</v>
      </c>
      <c r="D86" s="349">
        <v>0</v>
      </c>
      <c r="E86" s="345">
        <v>0</v>
      </c>
      <c r="F86" s="345">
        <v>0</v>
      </c>
      <c r="G86" s="349">
        <v>0</v>
      </c>
      <c r="H86" s="345">
        <f t="shared" si="10"/>
        <v>0</v>
      </c>
      <c r="I86" s="345">
        <f t="shared" si="11"/>
        <v>0</v>
      </c>
      <c r="J86" s="439">
        <f t="shared" si="12"/>
        <v>0</v>
      </c>
      <c r="K86" s="369"/>
      <c r="L86" s="369"/>
      <c r="M86" s="369"/>
      <c r="N86" s="53" t="s">
        <v>20</v>
      </c>
    </row>
    <row r="87" spans="1:14" ht="15" x14ac:dyDescent="0.25">
      <c r="A87" s="370" t="s">
        <v>330</v>
      </c>
      <c r="B87" s="345"/>
      <c r="C87" s="345"/>
      <c r="D87" s="349"/>
      <c r="E87" s="345">
        <v>0</v>
      </c>
      <c r="F87" s="345">
        <v>0</v>
      </c>
      <c r="G87" s="349">
        <v>0</v>
      </c>
      <c r="H87" s="345">
        <v>0</v>
      </c>
      <c r="I87" s="345">
        <v>0</v>
      </c>
      <c r="J87" s="439">
        <v>0</v>
      </c>
      <c r="K87" s="369"/>
      <c r="L87" s="369"/>
      <c r="M87" s="369"/>
      <c r="N87" s="53" t="s">
        <v>20</v>
      </c>
    </row>
    <row r="88" spans="1:14" ht="15" x14ac:dyDescent="0.25">
      <c r="A88" s="370" t="s">
        <v>283</v>
      </c>
      <c r="B88" s="345">
        <v>0</v>
      </c>
      <c r="C88" s="345">
        <v>0</v>
      </c>
      <c r="D88" s="349">
        <v>40000</v>
      </c>
      <c r="E88" s="345">
        <v>0</v>
      </c>
      <c r="F88" s="345">
        <v>0</v>
      </c>
      <c r="G88" s="349">
        <v>0</v>
      </c>
      <c r="H88" s="345">
        <f t="shared" ref="H88:J90" si="13">K23+B88+E88</f>
        <v>0</v>
      </c>
      <c r="I88" s="345">
        <f t="shared" si="13"/>
        <v>0</v>
      </c>
      <c r="J88" s="439">
        <f t="shared" si="13"/>
        <v>40000</v>
      </c>
      <c r="K88" s="369"/>
      <c r="L88" s="369"/>
      <c r="M88" s="369"/>
      <c r="N88" s="53" t="s">
        <v>20</v>
      </c>
    </row>
    <row r="89" spans="1:14" ht="15" x14ac:dyDescent="0.25">
      <c r="A89" s="370" t="s">
        <v>285</v>
      </c>
      <c r="B89" s="345">
        <v>0</v>
      </c>
      <c r="C89" s="345">
        <v>0</v>
      </c>
      <c r="D89" s="349">
        <v>0</v>
      </c>
      <c r="E89" s="345">
        <v>0</v>
      </c>
      <c r="F89" s="345">
        <v>0</v>
      </c>
      <c r="G89" s="461">
        <v>-1000</v>
      </c>
      <c r="H89" s="345">
        <f t="shared" si="13"/>
        <v>0</v>
      </c>
      <c r="I89" s="345">
        <f t="shared" si="13"/>
        <v>0</v>
      </c>
      <c r="J89" s="439">
        <f t="shared" si="13"/>
        <v>2000</v>
      </c>
      <c r="K89" s="369"/>
      <c r="L89" s="369"/>
      <c r="M89" s="369"/>
      <c r="N89" s="53" t="s">
        <v>20</v>
      </c>
    </row>
    <row r="90" spans="1:14" ht="15" x14ac:dyDescent="0.25">
      <c r="A90" s="370" t="s">
        <v>276</v>
      </c>
      <c r="B90" s="345">
        <v>0</v>
      </c>
      <c r="C90" s="345">
        <v>0</v>
      </c>
      <c r="D90" s="349">
        <v>13000</v>
      </c>
      <c r="E90" s="345">
        <v>0</v>
      </c>
      <c r="F90" s="345">
        <v>0</v>
      </c>
      <c r="G90" s="461">
        <v>0</v>
      </c>
      <c r="H90" s="345">
        <f t="shared" si="13"/>
        <v>0</v>
      </c>
      <c r="I90" s="345">
        <f t="shared" si="13"/>
        <v>0</v>
      </c>
      <c r="J90" s="439">
        <f t="shared" si="13"/>
        <v>23000</v>
      </c>
      <c r="K90" s="369"/>
      <c r="L90" s="369"/>
      <c r="M90" s="369"/>
      <c r="N90" s="53" t="s">
        <v>20</v>
      </c>
    </row>
    <row r="91" spans="1:14" ht="15" x14ac:dyDescent="0.25">
      <c r="A91" s="370" t="s">
        <v>300</v>
      </c>
      <c r="B91" s="345">
        <v>0</v>
      </c>
      <c r="C91" s="345">
        <v>0</v>
      </c>
      <c r="D91" s="349">
        <v>0</v>
      </c>
      <c r="E91" s="345">
        <v>0</v>
      </c>
      <c r="F91" s="345">
        <v>0</v>
      </c>
      <c r="G91" s="461">
        <v>0</v>
      </c>
      <c r="H91" s="345">
        <f t="shared" ref="H91:H126" si="14">K26+B91+E91</f>
        <v>0</v>
      </c>
      <c r="I91" s="345">
        <f t="shared" ref="I91:I126" si="15">L26+C91+F91</f>
        <v>0</v>
      </c>
      <c r="J91" s="439">
        <v>0</v>
      </c>
      <c r="K91" s="369"/>
      <c r="L91" s="369"/>
      <c r="M91" s="369"/>
      <c r="N91" s="53" t="s">
        <v>20</v>
      </c>
    </row>
    <row r="92" spans="1:14" ht="15" x14ac:dyDescent="0.25">
      <c r="A92" s="370" t="s">
        <v>301</v>
      </c>
      <c r="B92" s="345">
        <v>0</v>
      </c>
      <c r="C92" s="345">
        <v>0</v>
      </c>
      <c r="D92" s="349">
        <v>85000</v>
      </c>
      <c r="E92" s="345">
        <v>0</v>
      </c>
      <c r="F92" s="345">
        <v>0</v>
      </c>
      <c r="G92" s="461">
        <v>0</v>
      </c>
      <c r="H92" s="345">
        <f t="shared" si="14"/>
        <v>0</v>
      </c>
      <c r="I92" s="345">
        <f t="shared" si="15"/>
        <v>0</v>
      </c>
      <c r="J92" s="439">
        <f t="shared" ref="J92:J97" si="16">M27+D92+G92</f>
        <v>85000</v>
      </c>
      <c r="K92" s="369"/>
      <c r="L92" s="369"/>
      <c r="M92" s="369"/>
      <c r="N92" s="53" t="s">
        <v>20</v>
      </c>
    </row>
    <row r="93" spans="1:14" ht="15" x14ac:dyDescent="0.25">
      <c r="A93" s="370" t="s">
        <v>331</v>
      </c>
      <c r="B93" s="345">
        <v>0</v>
      </c>
      <c r="C93" s="345">
        <v>0</v>
      </c>
      <c r="D93" s="349">
        <v>0</v>
      </c>
      <c r="E93" s="345">
        <v>0</v>
      </c>
      <c r="F93" s="345">
        <v>0</v>
      </c>
      <c r="G93" s="461">
        <v>-25000</v>
      </c>
      <c r="H93" s="345">
        <f t="shared" si="14"/>
        <v>0</v>
      </c>
      <c r="I93" s="345">
        <f t="shared" si="15"/>
        <v>0</v>
      </c>
      <c r="J93" s="439">
        <f t="shared" si="16"/>
        <v>100000</v>
      </c>
      <c r="K93" s="369"/>
      <c r="L93" s="369"/>
      <c r="M93" s="369"/>
      <c r="N93" s="53" t="s">
        <v>20</v>
      </c>
    </row>
    <row r="94" spans="1:14" ht="15" x14ac:dyDescent="0.25">
      <c r="A94" s="370" t="s">
        <v>302</v>
      </c>
      <c r="B94" s="345">
        <v>0</v>
      </c>
      <c r="C94" s="345">
        <v>0</v>
      </c>
      <c r="D94" s="349">
        <v>0</v>
      </c>
      <c r="E94" s="345">
        <v>0</v>
      </c>
      <c r="F94" s="345">
        <v>0</v>
      </c>
      <c r="G94" s="461">
        <v>0</v>
      </c>
      <c r="H94" s="345">
        <f t="shared" si="14"/>
        <v>0</v>
      </c>
      <c r="I94" s="345">
        <f t="shared" si="15"/>
        <v>0</v>
      </c>
      <c r="J94" s="439">
        <f t="shared" si="16"/>
        <v>0</v>
      </c>
      <c r="K94" s="369"/>
      <c r="L94" s="369"/>
      <c r="M94" s="369"/>
      <c r="N94" s="53" t="s">
        <v>20</v>
      </c>
    </row>
    <row r="95" spans="1:14" ht="15" x14ac:dyDescent="0.25">
      <c r="A95" s="370" t="s">
        <v>303</v>
      </c>
      <c r="B95" s="345">
        <v>0</v>
      </c>
      <c r="C95" s="345">
        <v>0</v>
      </c>
      <c r="D95" s="349">
        <v>0</v>
      </c>
      <c r="E95" s="345">
        <v>0</v>
      </c>
      <c r="F95" s="345">
        <v>0</v>
      </c>
      <c r="G95" s="461">
        <v>0</v>
      </c>
      <c r="H95" s="345">
        <f t="shared" si="14"/>
        <v>0</v>
      </c>
      <c r="I95" s="345">
        <f t="shared" si="15"/>
        <v>0</v>
      </c>
      <c r="J95" s="439">
        <f t="shared" si="16"/>
        <v>0</v>
      </c>
      <c r="K95" s="369"/>
      <c r="L95" s="369"/>
      <c r="M95" s="369"/>
      <c r="N95" s="53" t="s">
        <v>20</v>
      </c>
    </row>
    <row r="96" spans="1:14" ht="15" x14ac:dyDescent="0.25">
      <c r="A96" s="370" t="s">
        <v>304</v>
      </c>
      <c r="B96" s="345">
        <v>0</v>
      </c>
      <c r="C96" s="345">
        <v>0</v>
      </c>
      <c r="D96" s="349">
        <v>0</v>
      </c>
      <c r="E96" s="345">
        <v>0</v>
      </c>
      <c r="F96" s="345">
        <v>0</v>
      </c>
      <c r="G96" s="461">
        <v>0</v>
      </c>
      <c r="H96" s="345">
        <f t="shared" si="14"/>
        <v>0</v>
      </c>
      <c r="I96" s="345">
        <f t="shared" si="15"/>
        <v>0</v>
      </c>
      <c r="J96" s="439">
        <f t="shared" si="16"/>
        <v>0</v>
      </c>
      <c r="K96" s="369"/>
      <c r="L96" s="369"/>
      <c r="M96" s="369"/>
      <c r="N96" s="53" t="s">
        <v>20</v>
      </c>
    </row>
    <row r="97" spans="1:14" ht="15" x14ac:dyDescent="0.25">
      <c r="A97" s="370" t="s">
        <v>305</v>
      </c>
      <c r="B97" s="345">
        <v>0</v>
      </c>
      <c r="C97" s="345">
        <v>0</v>
      </c>
      <c r="D97" s="349">
        <v>0</v>
      </c>
      <c r="E97" s="345">
        <v>0</v>
      </c>
      <c r="F97" s="345">
        <v>0</v>
      </c>
      <c r="G97" s="461">
        <v>0</v>
      </c>
      <c r="H97" s="345">
        <f t="shared" si="14"/>
        <v>0</v>
      </c>
      <c r="I97" s="345">
        <f t="shared" si="15"/>
        <v>0</v>
      </c>
      <c r="J97" s="439">
        <f t="shared" si="16"/>
        <v>0</v>
      </c>
      <c r="K97" s="369"/>
      <c r="L97" s="369"/>
      <c r="M97" s="369"/>
      <c r="N97" s="53" t="s">
        <v>20</v>
      </c>
    </row>
    <row r="98" spans="1:14" ht="15" x14ac:dyDescent="0.25">
      <c r="A98" s="370" t="s">
        <v>306</v>
      </c>
      <c r="B98" s="345">
        <v>0</v>
      </c>
      <c r="C98" s="345">
        <v>0</v>
      </c>
      <c r="D98" s="349">
        <v>0</v>
      </c>
      <c r="E98" s="345">
        <v>0</v>
      </c>
      <c r="F98" s="345">
        <v>0</v>
      </c>
      <c r="G98" s="461">
        <v>0</v>
      </c>
      <c r="H98" s="345">
        <f t="shared" si="14"/>
        <v>0</v>
      </c>
      <c r="I98" s="345">
        <f t="shared" si="15"/>
        <v>0</v>
      </c>
      <c r="J98" s="439">
        <v>0</v>
      </c>
      <c r="K98" s="369"/>
      <c r="L98" s="369"/>
      <c r="M98" s="369"/>
      <c r="N98" s="53" t="s">
        <v>20</v>
      </c>
    </row>
    <row r="99" spans="1:14" ht="15" x14ac:dyDescent="0.25">
      <c r="A99" s="370" t="s">
        <v>307</v>
      </c>
      <c r="B99" s="345">
        <v>0</v>
      </c>
      <c r="C99" s="345">
        <v>0</v>
      </c>
      <c r="D99" s="349">
        <v>2000</v>
      </c>
      <c r="E99" s="345">
        <v>0</v>
      </c>
      <c r="F99" s="345">
        <v>0</v>
      </c>
      <c r="G99" s="461">
        <v>0</v>
      </c>
      <c r="H99" s="345">
        <f t="shared" si="14"/>
        <v>0</v>
      </c>
      <c r="I99" s="345">
        <f t="shared" si="15"/>
        <v>0</v>
      </c>
      <c r="J99" s="439">
        <f>M34+D99+G99</f>
        <v>9000</v>
      </c>
      <c r="K99" s="369"/>
      <c r="L99" s="369"/>
      <c r="M99" s="369"/>
      <c r="N99" s="53" t="s">
        <v>20</v>
      </c>
    </row>
    <row r="100" spans="1:14" ht="15" x14ac:dyDescent="0.25">
      <c r="A100" s="370" t="s">
        <v>308</v>
      </c>
      <c r="B100" s="345">
        <v>0</v>
      </c>
      <c r="C100" s="345">
        <v>0</v>
      </c>
      <c r="D100" s="349">
        <v>0</v>
      </c>
      <c r="E100" s="345">
        <v>0</v>
      </c>
      <c r="F100" s="345">
        <v>0</v>
      </c>
      <c r="G100" s="461">
        <v>0</v>
      </c>
      <c r="H100" s="345">
        <f t="shared" si="14"/>
        <v>0</v>
      </c>
      <c r="I100" s="345">
        <f t="shared" si="15"/>
        <v>0</v>
      </c>
      <c r="J100" s="439">
        <f>M35+D100+G100</f>
        <v>0</v>
      </c>
      <c r="K100" s="369"/>
      <c r="L100" s="369"/>
      <c r="M100" s="369"/>
      <c r="N100" s="53" t="s">
        <v>20</v>
      </c>
    </row>
    <row r="101" spans="1:14" ht="15" x14ac:dyDescent="0.25">
      <c r="A101" s="370" t="s">
        <v>309</v>
      </c>
      <c r="B101" s="345">
        <v>0</v>
      </c>
      <c r="C101" s="345">
        <v>0</v>
      </c>
      <c r="D101" s="349">
        <v>0</v>
      </c>
      <c r="E101" s="345">
        <v>0</v>
      </c>
      <c r="F101" s="345">
        <v>0</v>
      </c>
      <c r="G101" s="461">
        <v>0</v>
      </c>
      <c r="H101" s="345">
        <f t="shared" si="14"/>
        <v>0</v>
      </c>
      <c r="I101" s="345">
        <f t="shared" si="15"/>
        <v>0</v>
      </c>
      <c r="J101" s="439">
        <f>M36+D101+G101</f>
        <v>20000</v>
      </c>
      <c r="K101" s="369"/>
      <c r="L101" s="369"/>
      <c r="M101" s="369"/>
      <c r="N101" s="53" t="s">
        <v>20</v>
      </c>
    </row>
    <row r="102" spans="1:14" ht="15" x14ac:dyDescent="0.25">
      <c r="A102" s="370" t="s">
        <v>310</v>
      </c>
      <c r="B102" s="345">
        <v>0</v>
      </c>
      <c r="C102" s="345">
        <v>0</v>
      </c>
      <c r="D102" s="349">
        <v>0</v>
      </c>
      <c r="E102" s="345">
        <v>0</v>
      </c>
      <c r="F102" s="345">
        <v>0</v>
      </c>
      <c r="G102" s="461">
        <v>0</v>
      </c>
      <c r="H102" s="345">
        <f t="shared" si="14"/>
        <v>0</v>
      </c>
      <c r="I102" s="345">
        <f t="shared" si="15"/>
        <v>0</v>
      </c>
      <c r="J102" s="439">
        <v>0</v>
      </c>
      <c r="K102" s="369"/>
      <c r="L102" s="369"/>
      <c r="M102" s="369"/>
      <c r="N102" s="53" t="s">
        <v>20</v>
      </c>
    </row>
    <row r="103" spans="1:14" ht="15" x14ac:dyDescent="0.25">
      <c r="A103" s="370" t="s">
        <v>311</v>
      </c>
      <c r="B103" s="345">
        <v>0</v>
      </c>
      <c r="C103" s="345">
        <v>0</v>
      </c>
      <c r="D103" s="349">
        <v>0</v>
      </c>
      <c r="E103" s="345">
        <v>0</v>
      </c>
      <c r="F103" s="345">
        <v>0</v>
      </c>
      <c r="G103" s="461">
        <v>0</v>
      </c>
      <c r="H103" s="345">
        <f t="shared" si="14"/>
        <v>0</v>
      </c>
      <c r="I103" s="345">
        <f t="shared" si="15"/>
        <v>0</v>
      </c>
      <c r="J103" s="439"/>
      <c r="K103" s="369"/>
      <c r="L103" s="369"/>
      <c r="M103" s="369"/>
      <c r="N103" s="53" t="s">
        <v>20</v>
      </c>
    </row>
    <row r="104" spans="1:14" ht="15" x14ac:dyDescent="0.25">
      <c r="A104" s="370" t="s">
        <v>312</v>
      </c>
      <c r="B104" s="345">
        <v>0</v>
      </c>
      <c r="C104" s="345">
        <v>0</v>
      </c>
      <c r="D104" s="349">
        <v>0</v>
      </c>
      <c r="E104" s="345">
        <v>0</v>
      </c>
      <c r="F104" s="345">
        <v>0</v>
      </c>
      <c r="G104" s="461">
        <v>0</v>
      </c>
      <c r="H104" s="345">
        <f t="shared" si="14"/>
        <v>0</v>
      </c>
      <c r="I104" s="345">
        <f t="shared" si="15"/>
        <v>0</v>
      </c>
      <c r="J104" s="439">
        <v>0</v>
      </c>
      <c r="K104" s="369"/>
      <c r="L104" s="369"/>
      <c r="M104" s="369"/>
      <c r="N104" s="53" t="s">
        <v>20</v>
      </c>
    </row>
    <row r="105" spans="1:14" ht="15" x14ac:dyDescent="0.25">
      <c r="A105" s="370" t="s">
        <v>313</v>
      </c>
      <c r="B105" s="345">
        <v>0</v>
      </c>
      <c r="C105" s="345">
        <v>0</v>
      </c>
      <c r="D105" s="349">
        <v>0</v>
      </c>
      <c r="E105" s="345">
        <v>0</v>
      </c>
      <c r="F105" s="345">
        <v>0</v>
      </c>
      <c r="G105" s="461">
        <v>0</v>
      </c>
      <c r="H105" s="345">
        <f t="shared" si="14"/>
        <v>0</v>
      </c>
      <c r="I105" s="345">
        <f t="shared" si="15"/>
        <v>0</v>
      </c>
      <c r="J105" s="439">
        <v>0</v>
      </c>
      <c r="K105" s="369"/>
      <c r="L105" s="369"/>
      <c r="M105" s="369"/>
      <c r="N105" s="53" t="s">
        <v>20</v>
      </c>
    </row>
    <row r="106" spans="1:14" ht="15" x14ac:dyDescent="0.25">
      <c r="A106" s="370" t="s">
        <v>278</v>
      </c>
      <c r="B106" s="345">
        <v>0</v>
      </c>
      <c r="C106" s="345">
        <v>0</v>
      </c>
      <c r="D106" s="349">
        <v>44000</v>
      </c>
      <c r="E106" s="345">
        <v>0</v>
      </c>
      <c r="F106" s="345">
        <v>0</v>
      </c>
      <c r="G106" s="461">
        <v>0</v>
      </c>
      <c r="H106" s="345">
        <f t="shared" si="14"/>
        <v>0</v>
      </c>
      <c r="I106" s="345">
        <f t="shared" si="15"/>
        <v>0</v>
      </c>
      <c r="J106" s="439">
        <f>M41+D106+G106</f>
        <v>50000</v>
      </c>
      <c r="K106" s="369"/>
      <c r="L106" s="369"/>
      <c r="M106" s="369"/>
      <c r="N106" s="53" t="s">
        <v>20</v>
      </c>
    </row>
    <row r="107" spans="1:14" ht="15" x14ac:dyDescent="0.25">
      <c r="A107" s="370" t="s">
        <v>314</v>
      </c>
      <c r="B107" s="345">
        <v>0</v>
      </c>
      <c r="C107" s="345">
        <v>0</v>
      </c>
      <c r="D107" s="349">
        <v>0</v>
      </c>
      <c r="E107" s="345">
        <v>0</v>
      </c>
      <c r="F107" s="345">
        <v>0</v>
      </c>
      <c r="G107" s="461">
        <v>0</v>
      </c>
      <c r="H107" s="345">
        <f t="shared" si="14"/>
        <v>0</v>
      </c>
      <c r="I107" s="345">
        <f t="shared" si="15"/>
        <v>0</v>
      </c>
      <c r="J107" s="439">
        <f>M42+D107+G107</f>
        <v>5000</v>
      </c>
      <c r="K107" s="369"/>
      <c r="L107" s="369"/>
      <c r="M107" s="369"/>
      <c r="N107" s="53" t="s">
        <v>20</v>
      </c>
    </row>
    <row r="108" spans="1:14" ht="15" x14ac:dyDescent="0.25">
      <c r="A108" s="370" t="s">
        <v>315</v>
      </c>
      <c r="B108" s="345">
        <v>0</v>
      </c>
      <c r="C108" s="345">
        <v>0</v>
      </c>
      <c r="D108" s="349">
        <v>0</v>
      </c>
      <c r="E108" s="345">
        <v>0</v>
      </c>
      <c r="F108" s="345">
        <v>0</v>
      </c>
      <c r="G108" s="461">
        <v>0</v>
      </c>
      <c r="H108" s="345">
        <f t="shared" si="14"/>
        <v>0</v>
      </c>
      <c r="I108" s="345">
        <f t="shared" si="15"/>
        <v>0</v>
      </c>
      <c r="J108" s="439">
        <f>M43+D108+G108</f>
        <v>1000</v>
      </c>
      <c r="K108" s="369"/>
      <c r="L108" s="369"/>
      <c r="M108" s="369"/>
      <c r="N108" s="53" t="s">
        <v>20</v>
      </c>
    </row>
    <row r="109" spans="1:14" ht="15" x14ac:dyDescent="0.25">
      <c r="A109" s="370" t="s">
        <v>316</v>
      </c>
      <c r="B109" s="345">
        <v>0</v>
      </c>
      <c r="C109" s="345">
        <v>0</v>
      </c>
      <c r="D109" s="349">
        <v>0</v>
      </c>
      <c r="E109" s="345">
        <v>0</v>
      </c>
      <c r="F109" s="345">
        <v>0</v>
      </c>
      <c r="G109" s="461">
        <v>0</v>
      </c>
      <c r="H109" s="345">
        <f t="shared" si="14"/>
        <v>0</v>
      </c>
      <c r="I109" s="345">
        <f t="shared" si="15"/>
        <v>0</v>
      </c>
      <c r="J109" s="439">
        <v>0</v>
      </c>
      <c r="K109" s="369"/>
      <c r="L109" s="369"/>
      <c r="M109" s="369"/>
      <c r="N109" s="53" t="s">
        <v>20</v>
      </c>
    </row>
    <row r="110" spans="1:14" ht="15" x14ac:dyDescent="0.25">
      <c r="A110" s="370" t="s">
        <v>317</v>
      </c>
      <c r="B110" s="345">
        <v>0</v>
      </c>
      <c r="C110" s="345">
        <v>0</v>
      </c>
      <c r="D110" s="349">
        <v>0</v>
      </c>
      <c r="E110" s="345">
        <v>0</v>
      </c>
      <c r="F110" s="345">
        <v>0</v>
      </c>
      <c r="G110" s="461">
        <v>0</v>
      </c>
      <c r="H110" s="345">
        <f t="shared" si="14"/>
        <v>0</v>
      </c>
      <c r="I110" s="345">
        <f t="shared" si="15"/>
        <v>0</v>
      </c>
      <c r="J110" s="439">
        <f t="shared" ref="J110:J123" si="17">M45+D110+G110</f>
        <v>7000</v>
      </c>
      <c r="K110" s="369"/>
      <c r="L110" s="369"/>
      <c r="M110" s="369"/>
      <c r="N110" s="53" t="s">
        <v>20</v>
      </c>
    </row>
    <row r="111" spans="1:14" ht="15" x14ac:dyDescent="0.25">
      <c r="A111" s="370" t="s">
        <v>287</v>
      </c>
      <c r="B111" s="345">
        <v>0</v>
      </c>
      <c r="C111" s="345">
        <v>0</v>
      </c>
      <c r="D111" s="349">
        <v>0</v>
      </c>
      <c r="E111" s="345">
        <v>0</v>
      </c>
      <c r="F111" s="345">
        <v>0</v>
      </c>
      <c r="G111" s="461">
        <v>-2000</v>
      </c>
      <c r="H111" s="345">
        <f t="shared" si="14"/>
        <v>0</v>
      </c>
      <c r="I111" s="345">
        <f t="shared" si="15"/>
        <v>0</v>
      </c>
      <c r="J111" s="439">
        <f t="shared" si="17"/>
        <v>10500</v>
      </c>
      <c r="K111" s="369"/>
      <c r="L111" s="369"/>
      <c r="M111" s="369"/>
      <c r="N111" s="53" t="s">
        <v>20</v>
      </c>
    </row>
    <row r="112" spans="1:14" ht="15" x14ac:dyDescent="0.25">
      <c r="A112" s="370" t="s">
        <v>318</v>
      </c>
      <c r="B112" s="345">
        <v>0</v>
      </c>
      <c r="C112" s="345">
        <v>0</v>
      </c>
      <c r="D112" s="349">
        <v>44000</v>
      </c>
      <c r="E112" s="345">
        <v>0</v>
      </c>
      <c r="F112" s="345">
        <v>0</v>
      </c>
      <c r="G112" s="349">
        <v>0</v>
      </c>
      <c r="H112" s="345">
        <f t="shared" si="14"/>
        <v>0</v>
      </c>
      <c r="I112" s="345">
        <f t="shared" si="15"/>
        <v>0</v>
      </c>
      <c r="J112" s="439">
        <f t="shared" si="17"/>
        <v>44000</v>
      </c>
      <c r="K112" s="369"/>
      <c r="L112" s="369"/>
      <c r="M112" s="369"/>
      <c r="N112" s="53" t="s">
        <v>20</v>
      </c>
    </row>
    <row r="113" spans="1:14" ht="15" x14ac:dyDescent="0.25">
      <c r="A113" s="370" t="s">
        <v>319</v>
      </c>
      <c r="B113" s="345">
        <v>0</v>
      </c>
      <c r="C113" s="345">
        <v>0</v>
      </c>
      <c r="D113" s="349">
        <v>10000</v>
      </c>
      <c r="E113" s="345">
        <v>0</v>
      </c>
      <c r="F113" s="345">
        <v>0</v>
      </c>
      <c r="G113" s="349">
        <v>0</v>
      </c>
      <c r="H113" s="345">
        <f t="shared" si="14"/>
        <v>0</v>
      </c>
      <c r="I113" s="345">
        <f t="shared" si="15"/>
        <v>0</v>
      </c>
      <c r="J113" s="439">
        <f t="shared" si="17"/>
        <v>10000</v>
      </c>
      <c r="K113" s="369"/>
      <c r="L113" s="369"/>
      <c r="M113" s="369"/>
      <c r="N113" s="53" t="s">
        <v>20</v>
      </c>
    </row>
    <row r="114" spans="1:14" ht="15" x14ac:dyDescent="0.25">
      <c r="A114" s="370" t="s">
        <v>320</v>
      </c>
      <c r="B114" s="345">
        <v>0</v>
      </c>
      <c r="C114" s="345">
        <v>0</v>
      </c>
      <c r="D114" s="349">
        <v>9000</v>
      </c>
      <c r="E114" s="345">
        <v>0</v>
      </c>
      <c r="F114" s="345">
        <v>0</v>
      </c>
      <c r="G114" s="349">
        <v>0</v>
      </c>
      <c r="H114" s="345">
        <f t="shared" si="14"/>
        <v>0</v>
      </c>
      <c r="I114" s="345">
        <f t="shared" si="15"/>
        <v>0</v>
      </c>
      <c r="J114" s="439">
        <f t="shared" si="17"/>
        <v>19000</v>
      </c>
      <c r="K114" s="369"/>
      <c r="L114" s="369"/>
      <c r="M114" s="369"/>
      <c r="N114" s="53" t="s">
        <v>20</v>
      </c>
    </row>
    <row r="115" spans="1:14" ht="15" x14ac:dyDescent="0.25">
      <c r="A115" s="370" t="s">
        <v>332</v>
      </c>
      <c r="B115" s="345">
        <v>0</v>
      </c>
      <c r="C115" s="345">
        <v>0</v>
      </c>
      <c r="D115" s="349">
        <v>56000</v>
      </c>
      <c r="E115" s="345">
        <v>0</v>
      </c>
      <c r="F115" s="345">
        <v>0</v>
      </c>
      <c r="G115" s="349">
        <v>0</v>
      </c>
      <c r="H115" s="345">
        <f t="shared" si="14"/>
        <v>0</v>
      </c>
      <c r="I115" s="345">
        <f t="shared" si="15"/>
        <v>0</v>
      </c>
      <c r="J115" s="439">
        <f t="shared" si="17"/>
        <v>119000</v>
      </c>
      <c r="K115" s="369"/>
      <c r="L115" s="369"/>
      <c r="M115" s="369"/>
      <c r="N115" s="53" t="s">
        <v>20</v>
      </c>
    </row>
    <row r="116" spans="1:14" ht="15" x14ac:dyDescent="0.25">
      <c r="A116" s="370" t="s">
        <v>322</v>
      </c>
      <c r="B116" s="345">
        <v>0</v>
      </c>
      <c r="C116" s="345">
        <v>0</v>
      </c>
      <c r="D116" s="349">
        <v>0</v>
      </c>
      <c r="E116" s="345">
        <v>0</v>
      </c>
      <c r="F116" s="345">
        <v>0</v>
      </c>
      <c r="G116" s="349">
        <v>0</v>
      </c>
      <c r="H116" s="345">
        <f t="shared" si="14"/>
        <v>0</v>
      </c>
      <c r="I116" s="345">
        <f t="shared" si="15"/>
        <v>0</v>
      </c>
      <c r="J116" s="439">
        <f t="shared" si="17"/>
        <v>0</v>
      </c>
      <c r="K116" s="369"/>
      <c r="L116" s="369"/>
      <c r="M116" s="369"/>
      <c r="N116" s="53" t="s">
        <v>20</v>
      </c>
    </row>
    <row r="117" spans="1:14" ht="15" x14ac:dyDescent="0.25">
      <c r="A117" s="370" t="s">
        <v>323</v>
      </c>
      <c r="B117" s="345">
        <v>0</v>
      </c>
      <c r="C117" s="345">
        <v>0</v>
      </c>
      <c r="D117" s="349">
        <v>0</v>
      </c>
      <c r="E117" s="345">
        <v>0</v>
      </c>
      <c r="F117" s="345">
        <v>0</v>
      </c>
      <c r="G117" s="349">
        <v>0</v>
      </c>
      <c r="H117" s="345">
        <f t="shared" si="14"/>
        <v>0</v>
      </c>
      <c r="I117" s="345">
        <f t="shared" si="15"/>
        <v>0</v>
      </c>
      <c r="J117" s="439">
        <f t="shared" si="17"/>
        <v>0</v>
      </c>
      <c r="K117" s="369"/>
      <c r="L117" s="369"/>
      <c r="M117" s="369"/>
      <c r="N117" s="53" t="s">
        <v>20</v>
      </c>
    </row>
    <row r="118" spans="1:14" ht="15" x14ac:dyDescent="0.25">
      <c r="A118" s="370" t="s">
        <v>324</v>
      </c>
      <c r="B118" s="345">
        <v>0</v>
      </c>
      <c r="C118" s="345">
        <v>0</v>
      </c>
      <c r="D118" s="349">
        <v>0</v>
      </c>
      <c r="E118" s="345">
        <v>0</v>
      </c>
      <c r="F118" s="345">
        <v>0</v>
      </c>
      <c r="G118" s="349">
        <v>0</v>
      </c>
      <c r="H118" s="345">
        <f t="shared" si="14"/>
        <v>0</v>
      </c>
      <c r="I118" s="345">
        <f t="shared" si="15"/>
        <v>0</v>
      </c>
      <c r="J118" s="439">
        <f t="shared" si="17"/>
        <v>0</v>
      </c>
      <c r="K118" s="369"/>
      <c r="L118" s="369"/>
      <c r="M118" s="369"/>
      <c r="N118" s="53" t="s">
        <v>20</v>
      </c>
    </row>
    <row r="119" spans="1:14" ht="15" x14ac:dyDescent="0.25">
      <c r="A119" s="370" t="s">
        <v>325</v>
      </c>
      <c r="B119" s="345">
        <v>0</v>
      </c>
      <c r="C119" s="345">
        <v>0</v>
      </c>
      <c r="D119" s="349">
        <v>0</v>
      </c>
      <c r="E119" s="345">
        <v>0</v>
      </c>
      <c r="F119" s="345">
        <v>0</v>
      </c>
      <c r="G119" s="349">
        <v>0</v>
      </c>
      <c r="H119" s="345">
        <f t="shared" si="14"/>
        <v>0</v>
      </c>
      <c r="I119" s="345">
        <f t="shared" si="15"/>
        <v>0</v>
      </c>
      <c r="J119" s="439">
        <f t="shared" si="17"/>
        <v>0</v>
      </c>
      <c r="K119" s="369"/>
      <c r="L119" s="369"/>
      <c r="M119" s="369"/>
      <c r="N119" s="53" t="s">
        <v>20</v>
      </c>
    </row>
    <row r="120" spans="1:14" ht="15" x14ac:dyDescent="0.25">
      <c r="A120" s="370" t="s">
        <v>326</v>
      </c>
      <c r="B120" s="345">
        <v>0</v>
      </c>
      <c r="C120" s="345">
        <v>0</v>
      </c>
      <c r="D120" s="349">
        <v>0</v>
      </c>
      <c r="E120" s="345">
        <v>0</v>
      </c>
      <c r="F120" s="345">
        <v>0</v>
      </c>
      <c r="G120" s="349">
        <v>0</v>
      </c>
      <c r="H120" s="345">
        <f t="shared" si="14"/>
        <v>0</v>
      </c>
      <c r="I120" s="345">
        <f t="shared" si="15"/>
        <v>0</v>
      </c>
      <c r="J120" s="439">
        <f t="shared" si="17"/>
        <v>0</v>
      </c>
      <c r="K120" s="369"/>
      <c r="L120" s="369"/>
      <c r="M120" s="369"/>
      <c r="N120" s="53" t="s">
        <v>20</v>
      </c>
    </row>
    <row r="121" spans="1:14" ht="15" x14ac:dyDescent="0.25">
      <c r="A121" s="370" t="s">
        <v>333</v>
      </c>
      <c r="B121" s="345">
        <v>0</v>
      </c>
      <c r="C121" s="345">
        <v>0</v>
      </c>
      <c r="D121" s="349">
        <v>0</v>
      </c>
      <c r="E121" s="345">
        <v>0</v>
      </c>
      <c r="F121" s="345">
        <v>0</v>
      </c>
      <c r="G121" s="349">
        <v>0</v>
      </c>
      <c r="H121" s="345">
        <f t="shared" si="14"/>
        <v>0</v>
      </c>
      <c r="I121" s="345">
        <f t="shared" si="15"/>
        <v>0</v>
      </c>
      <c r="J121" s="439">
        <f t="shared" si="17"/>
        <v>0</v>
      </c>
      <c r="K121" s="369"/>
      <c r="L121" s="369"/>
      <c r="M121" s="369"/>
      <c r="N121" s="53" t="s">
        <v>20</v>
      </c>
    </row>
    <row r="122" spans="1:14" ht="15" x14ac:dyDescent="0.25">
      <c r="A122" s="370" t="s">
        <v>327</v>
      </c>
      <c r="B122" s="345">
        <v>0</v>
      </c>
      <c r="C122" s="345">
        <v>0</v>
      </c>
      <c r="D122" s="349">
        <v>0</v>
      </c>
      <c r="E122" s="345">
        <v>0</v>
      </c>
      <c r="F122" s="345">
        <v>0</v>
      </c>
      <c r="G122" s="349">
        <v>0</v>
      </c>
      <c r="H122" s="345">
        <f t="shared" si="14"/>
        <v>0</v>
      </c>
      <c r="I122" s="345">
        <f t="shared" si="15"/>
        <v>0</v>
      </c>
      <c r="J122" s="439">
        <f t="shared" si="17"/>
        <v>0</v>
      </c>
      <c r="K122" s="369"/>
      <c r="L122" s="369"/>
      <c r="M122" s="369"/>
      <c r="N122" s="53" t="s">
        <v>20</v>
      </c>
    </row>
    <row r="123" spans="1:14" ht="15" x14ac:dyDescent="0.25">
      <c r="A123" s="370" t="s">
        <v>328</v>
      </c>
      <c r="B123" s="345">
        <v>0</v>
      </c>
      <c r="C123" s="345">
        <v>0</v>
      </c>
      <c r="D123" s="349">
        <v>0</v>
      </c>
      <c r="E123" s="345">
        <v>0</v>
      </c>
      <c r="F123" s="345">
        <v>0</v>
      </c>
      <c r="G123" s="349">
        <v>0</v>
      </c>
      <c r="H123" s="345">
        <f t="shared" si="14"/>
        <v>0</v>
      </c>
      <c r="I123" s="345">
        <f t="shared" si="15"/>
        <v>0</v>
      </c>
      <c r="J123" s="439">
        <f t="shared" si="17"/>
        <v>5000</v>
      </c>
      <c r="K123" s="369"/>
      <c r="L123" s="369"/>
      <c r="M123" s="369"/>
      <c r="N123" s="53" t="s">
        <v>20</v>
      </c>
    </row>
    <row r="124" spans="1:14" ht="15" x14ac:dyDescent="0.25">
      <c r="A124" s="370" t="s">
        <v>334</v>
      </c>
      <c r="B124" s="345">
        <v>0</v>
      </c>
      <c r="C124" s="345">
        <v>0</v>
      </c>
      <c r="D124" s="349">
        <v>0</v>
      </c>
      <c r="E124" s="345">
        <v>0</v>
      </c>
      <c r="F124" s="345">
        <v>0</v>
      </c>
      <c r="G124" s="349">
        <v>0</v>
      </c>
      <c r="H124" s="345">
        <f t="shared" si="14"/>
        <v>0</v>
      </c>
      <c r="I124" s="345">
        <f t="shared" si="15"/>
        <v>0</v>
      </c>
      <c r="J124" s="439">
        <f>+G124</f>
        <v>0</v>
      </c>
      <c r="K124" s="369"/>
      <c r="L124" s="369"/>
      <c r="M124" s="369"/>
      <c r="N124" s="53" t="s">
        <v>20</v>
      </c>
    </row>
    <row r="125" spans="1:14" ht="15" x14ac:dyDescent="0.25">
      <c r="A125" s="370" t="s">
        <v>329</v>
      </c>
      <c r="B125" s="364">
        <v>0</v>
      </c>
      <c r="C125" s="364">
        <v>0</v>
      </c>
      <c r="D125" s="349">
        <v>0</v>
      </c>
      <c r="E125" s="364">
        <v>0</v>
      </c>
      <c r="F125" s="364">
        <v>0</v>
      </c>
      <c r="G125" s="349">
        <v>0</v>
      </c>
      <c r="H125" s="364">
        <f t="shared" si="14"/>
        <v>0</v>
      </c>
      <c r="I125" s="364">
        <f t="shared" si="15"/>
        <v>0</v>
      </c>
      <c r="J125" s="439">
        <f>M60+D125+G125</f>
        <v>10500</v>
      </c>
      <c r="K125" s="369"/>
      <c r="L125" s="369"/>
      <c r="M125" s="369"/>
      <c r="N125" s="53" t="s">
        <v>20</v>
      </c>
    </row>
    <row r="126" spans="1:14" ht="15" x14ac:dyDescent="0.25">
      <c r="A126" s="370" t="s">
        <v>335</v>
      </c>
      <c r="B126" s="437">
        <v>0</v>
      </c>
      <c r="C126" s="437">
        <v>0</v>
      </c>
      <c r="D126" s="437">
        <v>0</v>
      </c>
      <c r="E126" s="437">
        <v>0</v>
      </c>
      <c r="F126" s="437">
        <v>0</v>
      </c>
      <c r="G126" s="462">
        <v>-477500</v>
      </c>
      <c r="H126" s="437">
        <f t="shared" si="14"/>
        <v>0</v>
      </c>
      <c r="I126" s="437">
        <f t="shared" si="15"/>
        <v>0</v>
      </c>
      <c r="J126" s="438">
        <v>0</v>
      </c>
      <c r="K126" s="369"/>
      <c r="L126" s="369"/>
      <c r="M126" s="369"/>
      <c r="N126" s="53" t="s">
        <v>20</v>
      </c>
    </row>
    <row r="127" spans="1:14" ht="15.6" x14ac:dyDescent="0.3">
      <c r="A127" s="371" t="s">
        <v>336</v>
      </c>
      <c r="B127" s="352">
        <f t="shared" ref="B127:J127" si="18">SUM(B74:B126)</f>
        <v>0</v>
      </c>
      <c r="C127" s="352">
        <f t="shared" si="18"/>
        <v>0</v>
      </c>
      <c r="D127" s="352">
        <f t="shared" si="18"/>
        <v>348000</v>
      </c>
      <c r="E127" s="352">
        <f t="shared" si="18"/>
        <v>0</v>
      </c>
      <c r="F127" s="352">
        <f t="shared" si="18"/>
        <v>0</v>
      </c>
      <c r="G127" s="463">
        <f t="shared" si="18"/>
        <v>-505500</v>
      </c>
      <c r="H127" s="352">
        <f t="shared" si="18"/>
        <v>0</v>
      </c>
      <c r="I127" s="352">
        <f t="shared" si="18"/>
        <v>0</v>
      </c>
      <c r="J127" s="353">
        <f t="shared" si="18"/>
        <v>1005000</v>
      </c>
      <c r="K127" s="369"/>
      <c r="L127" s="369"/>
      <c r="M127" s="369"/>
      <c r="N127" s="53" t="s">
        <v>20</v>
      </c>
    </row>
    <row r="128" spans="1:14" ht="15.6" x14ac:dyDescent="0.3">
      <c r="A128" s="354" t="s">
        <v>130</v>
      </c>
      <c r="B128" s="372"/>
      <c r="C128" s="372"/>
      <c r="D128" s="342">
        <v>0</v>
      </c>
      <c r="E128" s="372"/>
      <c r="F128" s="372"/>
      <c r="G128" s="464">
        <v>0</v>
      </c>
      <c r="H128" s="372"/>
      <c r="I128" s="372"/>
      <c r="J128" s="466">
        <v>-36000</v>
      </c>
      <c r="K128" s="369"/>
      <c r="L128" s="369"/>
      <c r="M128" s="369"/>
      <c r="N128" s="53" t="s">
        <v>20</v>
      </c>
    </row>
    <row r="129" spans="1:14" ht="15.6" x14ac:dyDescent="0.3">
      <c r="A129" s="355" t="s">
        <v>150</v>
      </c>
      <c r="B129" s="356"/>
      <c r="C129" s="356"/>
      <c r="D129" s="357">
        <f>SUM(D127:D128)</f>
        <v>348000</v>
      </c>
      <c r="E129" s="356"/>
      <c r="F129" s="356"/>
      <c r="G129" s="465">
        <f>SUM(G127:G128)</f>
        <v>-505500</v>
      </c>
      <c r="H129" s="356"/>
      <c r="I129" s="356"/>
      <c r="J129" s="358">
        <f>J127+J128</f>
        <v>969000</v>
      </c>
      <c r="K129" s="369"/>
      <c r="L129" s="369"/>
      <c r="M129" s="369"/>
      <c r="N129" s="53" t="s">
        <v>20</v>
      </c>
    </row>
    <row r="130" spans="1:14" ht="15" x14ac:dyDescent="0.25">
      <c r="A130" s="359" t="s">
        <v>26</v>
      </c>
      <c r="B130" s="360"/>
      <c r="C130" s="360">
        <v>0</v>
      </c>
      <c r="D130" s="360"/>
      <c r="E130" s="360"/>
      <c r="F130" s="360">
        <v>0</v>
      </c>
      <c r="G130" s="360"/>
      <c r="H130" s="360"/>
      <c r="I130" s="360">
        <f t="shared" ref="I130:I136" si="19">L64+C130+F130</f>
        <v>0</v>
      </c>
      <c r="J130" s="361"/>
      <c r="K130" s="369"/>
      <c r="L130" s="369"/>
      <c r="M130" s="369"/>
      <c r="N130" s="53" t="s">
        <v>20</v>
      </c>
    </row>
    <row r="131" spans="1:14" ht="15" x14ac:dyDescent="0.25">
      <c r="A131" s="344" t="s">
        <v>132</v>
      </c>
      <c r="B131" s="345"/>
      <c r="C131" s="345">
        <f>C127+C130</f>
        <v>0</v>
      </c>
      <c r="D131" s="345"/>
      <c r="E131" s="345"/>
      <c r="F131" s="345">
        <f>F127+F130</f>
        <v>0</v>
      </c>
      <c r="G131" s="345"/>
      <c r="H131" s="345"/>
      <c r="I131" s="345">
        <f t="shared" si="19"/>
        <v>0</v>
      </c>
      <c r="J131" s="346"/>
      <c r="K131" s="369"/>
      <c r="L131" s="369"/>
      <c r="M131" s="369"/>
      <c r="N131" s="53" t="s">
        <v>20</v>
      </c>
    </row>
    <row r="132" spans="1:14" ht="15" x14ac:dyDescent="0.25">
      <c r="A132" s="344"/>
      <c r="B132" s="345"/>
      <c r="C132" s="345"/>
      <c r="D132" s="345"/>
      <c r="E132" s="345"/>
      <c r="F132" s="345"/>
      <c r="G132" s="345"/>
      <c r="H132" s="345"/>
      <c r="I132" s="345">
        <f t="shared" si="19"/>
        <v>0</v>
      </c>
      <c r="J132" s="346"/>
      <c r="K132" s="369"/>
      <c r="L132" s="369"/>
      <c r="M132" s="369"/>
      <c r="N132" s="53" t="s">
        <v>20</v>
      </c>
    </row>
    <row r="133" spans="1:14" ht="15" x14ac:dyDescent="0.25">
      <c r="A133" s="344" t="s">
        <v>27</v>
      </c>
      <c r="B133" s="345"/>
      <c r="C133" s="345"/>
      <c r="D133" s="345"/>
      <c r="E133" s="345"/>
      <c r="F133" s="345"/>
      <c r="G133" s="345"/>
      <c r="H133" s="345"/>
      <c r="I133" s="345">
        <f t="shared" si="19"/>
        <v>0</v>
      </c>
      <c r="J133" s="346"/>
      <c r="K133" s="369"/>
      <c r="L133" s="369"/>
      <c r="M133" s="369"/>
      <c r="N133" s="53" t="s">
        <v>20</v>
      </c>
    </row>
    <row r="134" spans="1:14" ht="15" x14ac:dyDescent="0.25">
      <c r="A134" s="362" t="s">
        <v>28</v>
      </c>
      <c r="B134" s="345"/>
      <c r="C134" s="345">
        <v>0</v>
      </c>
      <c r="D134" s="345"/>
      <c r="E134" s="345"/>
      <c r="F134" s="345">
        <v>0</v>
      </c>
      <c r="G134" s="345"/>
      <c r="H134" s="345"/>
      <c r="I134" s="345">
        <f t="shared" si="19"/>
        <v>0</v>
      </c>
      <c r="J134" s="346"/>
      <c r="K134" s="369"/>
      <c r="L134" s="369"/>
      <c r="M134" s="369"/>
      <c r="N134" s="53" t="s">
        <v>20</v>
      </c>
    </row>
    <row r="135" spans="1:14" ht="15" x14ac:dyDescent="0.25">
      <c r="A135" s="363" t="s">
        <v>29</v>
      </c>
      <c r="B135" s="364"/>
      <c r="C135" s="364">
        <v>0</v>
      </c>
      <c r="D135" s="364"/>
      <c r="E135" s="364"/>
      <c r="F135" s="364">
        <v>0</v>
      </c>
      <c r="G135" s="364"/>
      <c r="H135" s="364"/>
      <c r="I135" s="364">
        <f t="shared" si="19"/>
        <v>0</v>
      </c>
      <c r="J135" s="365"/>
      <c r="K135" s="369"/>
      <c r="L135" s="369"/>
      <c r="M135" s="369"/>
      <c r="N135" s="53" t="s">
        <v>20</v>
      </c>
    </row>
    <row r="136" spans="1:14" ht="15.6" thickBot="1" x14ac:dyDescent="0.3">
      <c r="A136" s="366" t="s">
        <v>133</v>
      </c>
      <c r="B136" s="367"/>
      <c r="C136" s="367">
        <f>C131+C134+C135</f>
        <v>0</v>
      </c>
      <c r="D136" s="367"/>
      <c r="E136" s="367"/>
      <c r="F136" s="367">
        <f>F131+F134+F135</f>
        <v>0</v>
      </c>
      <c r="G136" s="367"/>
      <c r="H136" s="367"/>
      <c r="I136" s="367">
        <f t="shared" si="19"/>
        <v>0</v>
      </c>
      <c r="J136" s="368"/>
      <c r="K136" s="369"/>
      <c r="L136" s="369"/>
      <c r="M136" s="369"/>
      <c r="N136" s="53" t="s">
        <v>20</v>
      </c>
    </row>
    <row r="137" spans="1:14" x14ac:dyDescent="0.25">
      <c r="N137" s="7" t="s">
        <v>21</v>
      </c>
    </row>
    <row r="138" spans="1:14" x14ac:dyDescent="0.25">
      <c r="A138" s="178" t="s">
        <v>213</v>
      </c>
    </row>
  </sheetData>
  <customSheetViews>
    <customSheetView guid="{5B2D5037-506A-47D5-AF28-C337BC9133BD}" scale="80" showPageBreaks="1" printArea="1" view="pageBreakPreview" topLeftCell="A115">
      <selection activeCell="J59" sqref="J59"/>
      <rowBreaks count="1" manualBreakCount="1">
        <brk id="70" max="12" man="1"/>
      </rowBreaks>
      <pageMargins left="0.7" right="0.7" top="0.75" bottom="0.75" header="0.3" footer="0.3"/>
      <printOptions horizontalCentered="1"/>
      <pageSetup scale="43" orientation="landscape" r:id="rId1"/>
      <headerFooter>
        <oddHeader>&amp;L&amp;"Arial,Bold"&amp;12B. Summary of Requirements</oddHeader>
        <oddFooter>&amp;C&amp;"Arial,Regular"Exhibit B - Summary of Requirements&amp;R&amp;"Arial,Regular"State and Local Law Enforcement Assistance</oddFooter>
      </headerFooter>
    </customSheetView>
    <customSheetView guid="{08380F1E-0CB7-4B3B-924E-2A270EA8DD30}" scale="80" showPageBreaks="1" printArea="1" view="pageBreakPreview">
      <selection activeCell="J59" sqref="J59"/>
      <rowBreaks count="1" manualBreakCount="1">
        <brk id="70" max="12" man="1"/>
      </rowBreaks>
      <pageMargins left="0.7" right="0.7" top="0.75" bottom="0.75" header="0.3" footer="0.3"/>
      <printOptions horizontalCentered="1"/>
      <pageSetup scale="43" orientation="landscape" r:id="rId2"/>
      <headerFooter>
        <oddHeader>&amp;L&amp;"Arial,Bold"&amp;12B. Summary of Requirements</oddHeader>
        <oddFooter>&amp;C&amp;"Arial,Regular"Exhibit B - Summary of Requirements&amp;R&amp;"Arial,Regular"State and Local Law Enforcement Assistance</oddFooter>
      </headerFooter>
    </customSheetView>
    <customSheetView guid="{D19943A8-2C2A-430A-A724-8C7C332697C8}" scale="80" showPageBreaks="1" printArea="1" view="pageBreakPreview">
      <selection activeCell="J59" sqref="J59"/>
      <rowBreaks count="1" manualBreakCount="1">
        <brk id="70" max="12" man="1"/>
      </rowBreaks>
      <pageMargins left="0.7" right="0.7" top="0.75" bottom="0.75" header="0.3" footer="0.3"/>
      <printOptions horizontalCentered="1"/>
      <pageSetup scale="43" orientation="landscape" r:id="rId3"/>
      <headerFooter>
        <oddHeader>&amp;L&amp;"Arial,Bold"&amp;12B. Summary of Requirements</oddHeader>
        <oddFooter>&amp;C&amp;"Arial,Regular"Exhibit B - Summary of Requirements&amp;R&amp;"Arial,Regular"State and Local Law Enforcement Assistance</oddFooter>
      </headerFooter>
    </customSheetView>
    <customSheetView guid="{C6D68C6D-939C-4DFA-9385-A3F05DFB5EDA}" scale="80" showPageBreaks="1" printArea="1" view="pageBreakPreview">
      <selection activeCell="J59" sqref="J59"/>
      <rowBreaks count="1" manualBreakCount="1">
        <brk id="70" max="12" man="1"/>
      </rowBreaks>
      <pageMargins left="0.7" right="0.7" top="0.75" bottom="0.75" header="0.3" footer="0.3"/>
      <printOptions horizontalCentered="1"/>
      <pageSetup scale="43" orientation="landscape" r:id="rId4"/>
      <headerFooter>
        <oddHeader>&amp;L&amp;"Arial,Bold"&amp;12B. Summary of Requirements</oddHeader>
        <oddFooter>&amp;C&amp;"Arial,Regular"Exhibit B - Summary of Requirements&amp;R&amp;"Arial,Regular"State and Local Law Enforcement Assistance</oddFooter>
      </headerFooter>
    </customSheetView>
  </customSheetViews>
  <mergeCells count="15">
    <mergeCell ref="A5:M5"/>
    <mergeCell ref="A6:M6"/>
    <mergeCell ref="A72:A73"/>
    <mergeCell ref="A1:M1"/>
    <mergeCell ref="A2:M2"/>
    <mergeCell ref="A3:M3"/>
    <mergeCell ref="A4:M4"/>
    <mergeCell ref="A7:A8"/>
    <mergeCell ref="B7:D7"/>
    <mergeCell ref="E7:G7"/>
    <mergeCell ref="H7:J7"/>
    <mergeCell ref="K7:M7"/>
    <mergeCell ref="B72:D72"/>
    <mergeCell ref="E72:G72"/>
    <mergeCell ref="H72:J72"/>
  </mergeCells>
  <printOptions horizontalCentered="1"/>
  <pageMargins left="0.7" right="0.7" top="0.75" bottom="0.75" header="0.3" footer="0.3"/>
  <pageSetup scale="43" orientation="landscape" r:id="rId5"/>
  <headerFooter>
    <oddHeader>&amp;L&amp;"Arial,Bold"&amp;12B. Summary of Requirements</oddHeader>
    <oddFooter>&amp;C&amp;"Arial,Regular"Exhibit B - Summary of Requirements&amp;R&amp;"Arial,Regular"State and Local Law Enforcement Assistance</oddFooter>
  </headerFooter>
  <rowBreaks count="1" manualBreakCount="1">
    <brk id="70"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view="pageBreakPreview" topLeftCell="A13" zoomScale="80" zoomScaleNormal="100" zoomScaleSheetLayoutView="80" workbookViewId="0">
      <selection activeCell="A33" sqref="A33"/>
    </sheetView>
  </sheetViews>
  <sheetFormatPr defaultColWidth="9.109375" defaultRowHeight="13.8" x14ac:dyDescent="0.25"/>
  <cols>
    <col min="1" max="1" width="61" style="178" customWidth="1"/>
    <col min="2" max="2" width="46" style="178" customWidth="1"/>
    <col min="3" max="5" width="8.6640625" style="178" customWidth="1"/>
    <col min="6" max="6" width="12.6640625" style="178" customWidth="1"/>
    <col min="7" max="9" width="8.6640625" style="178" customWidth="1"/>
    <col min="10" max="10" width="16.33203125" style="178" customWidth="1"/>
    <col min="11" max="11" width="14" style="7" bestFit="1" customWidth="1"/>
    <col min="12" max="12" width="4.5546875" style="178" customWidth="1"/>
    <col min="13" max="14" width="8.33203125" style="178" customWidth="1"/>
    <col min="15" max="15" width="12.6640625" style="178" customWidth="1"/>
    <col min="16" max="17" width="8.33203125" style="178" customWidth="1"/>
    <col min="18" max="18" width="12.6640625" style="178" customWidth="1"/>
    <col min="19" max="16384" width="9.109375" style="178"/>
  </cols>
  <sheetData>
    <row r="1" spans="1:18" ht="18" x14ac:dyDescent="0.25">
      <c r="A1" s="633" t="s">
        <v>220</v>
      </c>
      <c r="B1" s="633"/>
      <c r="C1" s="633"/>
      <c r="D1" s="633"/>
      <c r="E1" s="633"/>
      <c r="F1" s="633"/>
      <c r="G1" s="633"/>
      <c r="H1" s="633"/>
      <c r="I1" s="633"/>
      <c r="J1" s="633"/>
      <c r="K1" s="295" t="s">
        <v>20</v>
      </c>
      <c r="L1" s="9"/>
      <c r="M1" s="9"/>
      <c r="N1" s="9"/>
      <c r="O1" s="9"/>
      <c r="P1" s="9"/>
      <c r="Q1" s="9"/>
      <c r="R1" s="9"/>
    </row>
    <row r="2" spans="1:18" ht="18" x14ac:dyDescent="0.25">
      <c r="A2" s="634" t="s">
        <v>160</v>
      </c>
      <c r="B2" s="634"/>
      <c r="C2" s="634"/>
      <c r="D2" s="634"/>
      <c r="E2" s="634"/>
      <c r="F2" s="634"/>
      <c r="G2" s="634"/>
      <c r="H2" s="634"/>
      <c r="I2" s="634"/>
      <c r="J2" s="634"/>
      <c r="K2" s="295" t="s">
        <v>20</v>
      </c>
      <c r="L2" s="10"/>
      <c r="M2" s="10"/>
      <c r="N2" s="10"/>
      <c r="O2" s="10"/>
      <c r="P2" s="10"/>
      <c r="Q2" s="10"/>
      <c r="R2" s="10"/>
    </row>
    <row r="3" spans="1:18" ht="18" x14ac:dyDescent="0.25">
      <c r="A3" s="635" t="s">
        <v>272</v>
      </c>
      <c r="B3" s="635"/>
      <c r="C3" s="635"/>
      <c r="D3" s="635"/>
      <c r="E3" s="635"/>
      <c r="F3" s="635"/>
      <c r="G3" s="635"/>
      <c r="H3" s="635"/>
      <c r="I3" s="635"/>
      <c r="J3" s="635"/>
      <c r="K3" s="295" t="s">
        <v>20</v>
      </c>
      <c r="L3" s="221"/>
      <c r="M3" s="221"/>
      <c r="N3" s="221"/>
      <c r="O3" s="221"/>
      <c r="P3" s="221"/>
      <c r="Q3" s="221"/>
      <c r="R3" s="221"/>
    </row>
    <row r="4" spans="1:18" ht="18" x14ac:dyDescent="0.25">
      <c r="A4" s="637" t="s">
        <v>1</v>
      </c>
      <c r="B4" s="637"/>
      <c r="C4" s="637"/>
      <c r="D4" s="637"/>
      <c r="E4" s="637"/>
      <c r="F4" s="637"/>
      <c r="G4" s="637"/>
      <c r="H4" s="637"/>
      <c r="I4" s="637"/>
      <c r="J4" s="637"/>
      <c r="K4" s="295" t="s">
        <v>20</v>
      </c>
      <c r="L4" s="11"/>
      <c r="M4" s="11"/>
      <c r="N4" s="11"/>
      <c r="O4" s="11"/>
      <c r="P4" s="11"/>
      <c r="Q4" s="11"/>
      <c r="R4" s="11"/>
    </row>
    <row r="5" spans="1:18" ht="18" thickBot="1" x14ac:dyDescent="0.35">
      <c r="A5" s="734"/>
      <c r="B5" s="734"/>
      <c r="C5" s="734"/>
      <c r="D5" s="734"/>
      <c r="E5" s="734"/>
      <c r="F5" s="734"/>
      <c r="G5" s="691"/>
      <c r="H5" s="691"/>
      <c r="I5" s="691"/>
      <c r="J5" s="691"/>
      <c r="K5" s="295" t="s">
        <v>20</v>
      </c>
      <c r="L5" s="11"/>
      <c r="M5" s="11"/>
      <c r="N5" s="11"/>
      <c r="O5" s="11"/>
      <c r="P5" s="11"/>
      <c r="Q5" s="11"/>
      <c r="R5" s="11"/>
    </row>
    <row r="6" spans="1:18" ht="33.75" customHeight="1" x14ac:dyDescent="0.3">
      <c r="A6" s="638" t="s">
        <v>31</v>
      </c>
      <c r="B6" s="673" t="s">
        <v>217</v>
      </c>
      <c r="C6" s="641" t="s">
        <v>272</v>
      </c>
      <c r="D6" s="641"/>
      <c r="E6" s="641"/>
      <c r="F6" s="641"/>
      <c r="G6" s="641" t="s">
        <v>219</v>
      </c>
      <c r="H6" s="641"/>
      <c r="I6" s="641"/>
      <c r="J6" s="641"/>
      <c r="K6" s="295" t="s">
        <v>20</v>
      </c>
    </row>
    <row r="7" spans="1:18" ht="27.6" x14ac:dyDescent="0.3">
      <c r="A7" s="639"/>
      <c r="B7" s="716"/>
      <c r="C7" s="222" t="s">
        <v>3</v>
      </c>
      <c r="D7" s="222" t="s">
        <v>215</v>
      </c>
      <c r="E7" s="222" t="s">
        <v>149</v>
      </c>
      <c r="F7" s="222" t="s">
        <v>4</v>
      </c>
      <c r="G7" s="222" t="s">
        <v>3</v>
      </c>
      <c r="H7" s="222" t="s">
        <v>215</v>
      </c>
      <c r="I7" s="222" t="s">
        <v>149</v>
      </c>
      <c r="J7" s="222" t="s">
        <v>4</v>
      </c>
      <c r="K7" s="295" t="s">
        <v>20</v>
      </c>
    </row>
    <row r="8" spans="1:18" ht="17.399999999999999" x14ac:dyDescent="0.3">
      <c r="A8" s="296" t="s">
        <v>273</v>
      </c>
      <c r="B8" s="297" t="s">
        <v>272</v>
      </c>
      <c r="C8" s="247">
        <v>0</v>
      </c>
      <c r="D8" s="247">
        <v>0</v>
      </c>
      <c r="E8" s="247">
        <v>0</v>
      </c>
      <c r="F8" s="247">
        <v>20000</v>
      </c>
      <c r="G8" s="222"/>
      <c r="H8" s="222"/>
      <c r="I8" s="222"/>
      <c r="J8" s="299">
        <f>F8</f>
        <v>20000</v>
      </c>
      <c r="K8" s="295" t="s">
        <v>20</v>
      </c>
    </row>
    <row r="9" spans="1:18" ht="17.399999999999999" x14ac:dyDescent="0.3">
      <c r="A9" s="296" t="s">
        <v>301</v>
      </c>
      <c r="B9" s="297" t="s">
        <v>272</v>
      </c>
      <c r="C9" s="247">
        <v>0</v>
      </c>
      <c r="D9" s="247">
        <v>0</v>
      </c>
      <c r="E9" s="247">
        <v>0</v>
      </c>
      <c r="F9" s="247">
        <v>85000</v>
      </c>
      <c r="G9" s="222"/>
      <c r="H9" s="222"/>
      <c r="I9" s="222"/>
      <c r="J9" s="299">
        <f t="shared" ref="J9:J18" si="0">F9</f>
        <v>85000</v>
      </c>
      <c r="K9" s="295" t="s">
        <v>20</v>
      </c>
    </row>
    <row r="10" spans="1:18" ht="17.399999999999999" x14ac:dyDescent="0.3">
      <c r="A10" s="296" t="s">
        <v>276</v>
      </c>
      <c r="B10" s="297" t="s">
        <v>272</v>
      </c>
      <c r="C10" s="247">
        <v>0</v>
      </c>
      <c r="D10" s="247">
        <v>0</v>
      </c>
      <c r="E10" s="247">
        <v>0</v>
      </c>
      <c r="F10" s="247">
        <v>13000</v>
      </c>
      <c r="G10" s="300"/>
      <c r="H10" s="300"/>
      <c r="I10" s="300"/>
      <c r="J10" s="299">
        <f t="shared" si="0"/>
        <v>13000</v>
      </c>
      <c r="K10" s="295" t="s">
        <v>20</v>
      </c>
    </row>
    <row r="11" spans="1:18" ht="17.399999999999999" x14ac:dyDescent="0.3">
      <c r="A11" s="296" t="s">
        <v>337</v>
      </c>
      <c r="B11" s="297" t="s">
        <v>272</v>
      </c>
      <c r="C11" s="247"/>
      <c r="D11" s="247"/>
      <c r="E11" s="247"/>
      <c r="F11" s="247">
        <v>10000</v>
      </c>
      <c r="G11" s="301"/>
      <c r="H11" s="301"/>
      <c r="I11" s="301"/>
      <c r="J11" s="299">
        <f t="shared" si="0"/>
        <v>10000</v>
      </c>
      <c r="K11" s="295" t="s">
        <v>20</v>
      </c>
    </row>
    <row r="12" spans="1:18" ht="17.399999999999999" x14ac:dyDescent="0.3">
      <c r="A12" s="296" t="s">
        <v>338</v>
      </c>
      <c r="B12" s="297" t="s">
        <v>272</v>
      </c>
      <c r="C12" s="247"/>
      <c r="D12" s="247"/>
      <c r="E12" s="247"/>
      <c r="F12" s="247">
        <v>44000</v>
      </c>
      <c r="G12" s="301"/>
      <c r="H12" s="301"/>
      <c r="I12" s="301"/>
      <c r="J12" s="299">
        <f t="shared" si="0"/>
        <v>44000</v>
      </c>
      <c r="K12" s="295" t="s">
        <v>20</v>
      </c>
    </row>
    <row r="13" spans="1:18" ht="17.399999999999999" x14ac:dyDescent="0.3">
      <c r="A13" s="296" t="s">
        <v>279</v>
      </c>
      <c r="B13" s="297" t="s">
        <v>272</v>
      </c>
      <c r="C13" s="247"/>
      <c r="D13" s="247"/>
      <c r="E13" s="247"/>
      <c r="F13" s="247">
        <v>25000</v>
      </c>
      <c r="G13" s="301"/>
      <c r="H13" s="301"/>
      <c r="I13" s="301"/>
      <c r="J13" s="299">
        <f t="shared" si="0"/>
        <v>25000</v>
      </c>
      <c r="K13" s="295" t="s">
        <v>20</v>
      </c>
    </row>
    <row r="14" spans="1:18" ht="17.399999999999999" x14ac:dyDescent="0.3">
      <c r="A14" s="296" t="s">
        <v>318</v>
      </c>
      <c r="B14" s="297" t="s">
        <v>272</v>
      </c>
      <c r="C14" s="247"/>
      <c r="D14" s="247"/>
      <c r="E14" s="247"/>
      <c r="F14" s="247">
        <v>44000</v>
      </c>
      <c r="G14" s="225"/>
      <c r="H14" s="225"/>
      <c r="I14" s="225"/>
      <c r="J14" s="299">
        <f t="shared" si="0"/>
        <v>44000</v>
      </c>
      <c r="K14" s="295" t="s">
        <v>20</v>
      </c>
    </row>
    <row r="15" spans="1:18" ht="17.399999999999999" x14ac:dyDescent="0.3">
      <c r="A15" s="296" t="s">
        <v>320</v>
      </c>
      <c r="B15" s="297" t="s">
        <v>272</v>
      </c>
      <c r="C15" s="247"/>
      <c r="D15" s="247"/>
      <c r="E15" s="247"/>
      <c r="F15" s="247">
        <v>9000</v>
      </c>
      <c r="G15" s="225"/>
      <c r="H15" s="225"/>
      <c r="I15" s="225"/>
      <c r="J15" s="299">
        <f t="shared" si="0"/>
        <v>9000</v>
      </c>
      <c r="K15" s="295" t="s">
        <v>20</v>
      </c>
    </row>
    <row r="16" spans="1:18" ht="17.399999999999999" x14ac:dyDescent="0.3">
      <c r="A16" s="296" t="s">
        <v>282</v>
      </c>
      <c r="B16" s="297" t="s">
        <v>272</v>
      </c>
      <c r="C16" s="247"/>
      <c r="D16" s="247"/>
      <c r="E16" s="247"/>
      <c r="F16" s="247">
        <v>56000</v>
      </c>
      <c r="G16" s="225"/>
      <c r="H16" s="225"/>
      <c r="I16" s="225"/>
      <c r="J16" s="299">
        <f t="shared" si="0"/>
        <v>56000</v>
      </c>
      <c r="K16" s="295" t="s">
        <v>20</v>
      </c>
    </row>
    <row r="17" spans="1:12" ht="17.399999999999999" x14ac:dyDescent="0.3">
      <c r="A17" s="296" t="s">
        <v>283</v>
      </c>
      <c r="B17" s="297" t="s">
        <v>272</v>
      </c>
      <c r="C17" s="247"/>
      <c r="D17" s="247"/>
      <c r="E17" s="247"/>
      <c r="F17" s="247">
        <v>40000</v>
      </c>
      <c r="G17" s="225"/>
      <c r="H17" s="225"/>
      <c r="I17" s="225"/>
      <c r="J17" s="299">
        <f t="shared" si="0"/>
        <v>40000</v>
      </c>
      <c r="K17" s="295" t="s">
        <v>20</v>
      </c>
    </row>
    <row r="18" spans="1:12" ht="17.399999999999999" x14ac:dyDescent="0.3">
      <c r="A18" s="269" t="s">
        <v>339</v>
      </c>
      <c r="B18" s="298" t="s">
        <v>272</v>
      </c>
      <c r="C18" s="270">
        <v>0</v>
      </c>
      <c r="D18" s="270">
        <v>0</v>
      </c>
      <c r="E18" s="270">
        <v>0</v>
      </c>
      <c r="F18" s="270">
        <v>2000</v>
      </c>
      <c r="G18" s="225"/>
      <c r="H18" s="225"/>
      <c r="I18" s="225"/>
      <c r="J18" s="299">
        <f t="shared" si="0"/>
        <v>2000</v>
      </c>
      <c r="K18" s="295" t="s">
        <v>20</v>
      </c>
    </row>
    <row r="19" spans="1:12" ht="18" thickBot="1" x14ac:dyDescent="0.35">
      <c r="A19" s="246" t="s">
        <v>218</v>
      </c>
      <c r="B19" s="245"/>
      <c r="C19" s="244">
        <f>SUM(C8:C18)</f>
        <v>0</v>
      </c>
      <c r="D19" s="244">
        <f>SUM(D8:D18)</f>
        <v>0</v>
      </c>
      <c r="E19" s="244">
        <f t="shared" ref="E19:F19" si="1">SUM(E8:E18)</f>
        <v>0</v>
      </c>
      <c r="F19" s="244">
        <f t="shared" si="1"/>
        <v>348000</v>
      </c>
      <c r="G19" s="244">
        <f>SUM(G14:G18)</f>
        <v>0</v>
      </c>
      <c r="H19" s="244">
        <f t="shared" ref="H19:I19" si="2">SUM(H14:H18)</f>
        <v>0</v>
      </c>
      <c r="I19" s="244">
        <f t="shared" si="2"/>
        <v>0</v>
      </c>
      <c r="J19" s="244">
        <f>SUM(J8:J18)</f>
        <v>348000</v>
      </c>
      <c r="K19" s="295" t="s">
        <v>20</v>
      </c>
    </row>
    <row r="20" spans="1:12" ht="17.399999999999999" x14ac:dyDescent="0.3">
      <c r="K20" s="295" t="s">
        <v>20</v>
      </c>
    </row>
    <row r="21" spans="1:12" ht="18" thickBot="1" x14ac:dyDescent="0.35">
      <c r="K21" s="295" t="s">
        <v>20</v>
      </c>
    </row>
    <row r="22" spans="1:12" ht="33.75" customHeight="1" x14ac:dyDescent="0.3">
      <c r="A22" s="638" t="s">
        <v>32</v>
      </c>
      <c r="B22" s="673" t="s">
        <v>217</v>
      </c>
      <c r="C22" s="641" t="s">
        <v>272</v>
      </c>
      <c r="D22" s="641"/>
      <c r="E22" s="641"/>
      <c r="F22" s="641"/>
      <c r="G22" s="641" t="s">
        <v>216</v>
      </c>
      <c r="H22" s="641"/>
      <c r="I22" s="641"/>
      <c r="J22" s="641"/>
      <c r="K22" s="295" t="s">
        <v>20</v>
      </c>
    </row>
    <row r="23" spans="1:12" ht="27.6" x14ac:dyDescent="0.3">
      <c r="A23" s="639"/>
      <c r="B23" s="716"/>
      <c r="C23" s="222" t="s">
        <v>3</v>
      </c>
      <c r="D23" s="222" t="s">
        <v>215</v>
      </c>
      <c r="E23" s="222" t="s">
        <v>149</v>
      </c>
      <c r="F23" s="222" t="s">
        <v>4</v>
      </c>
      <c r="G23" s="222" t="s">
        <v>3</v>
      </c>
      <c r="H23" s="222" t="s">
        <v>215</v>
      </c>
      <c r="I23" s="222" t="s">
        <v>149</v>
      </c>
      <c r="J23" s="222" t="s">
        <v>4</v>
      </c>
      <c r="K23" s="295" t="s">
        <v>20</v>
      </c>
    </row>
    <row r="24" spans="1:12" ht="17.399999999999999" x14ac:dyDescent="0.3">
      <c r="A24" s="296" t="s">
        <v>285</v>
      </c>
      <c r="B24" s="302" t="s">
        <v>272</v>
      </c>
      <c r="C24" s="247">
        <v>0</v>
      </c>
      <c r="D24" s="247">
        <v>0</v>
      </c>
      <c r="E24" s="247">
        <v>0</v>
      </c>
      <c r="F24" s="385">
        <v>-1000</v>
      </c>
      <c r="G24" s="225">
        <f>C16</f>
        <v>0</v>
      </c>
      <c r="H24" s="225">
        <f>D16</f>
        <v>0</v>
      </c>
      <c r="I24" s="225">
        <f>E16</f>
        <v>0</v>
      </c>
      <c r="J24" s="289">
        <f>F24</f>
        <v>-1000</v>
      </c>
      <c r="K24" s="295" t="s">
        <v>20</v>
      </c>
    </row>
    <row r="25" spans="1:12" ht="17.399999999999999" x14ac:dyDescent="0.3">
      <c r="A25" s="303" t="s">
        <v>286</v>
      </c>
      <c r="B25" s="302" t="s">
        <v>272</v>
      </c>
      <c r="C25" s="247">
        <v>0</v>
      </c>
      <c r="D25" s="247">
        <v>0</v>
      </c>
      <c r="E25" s="247">
        <v>0</v>
      </c>
      <c r="F25" s="385">
        <v>-25000</v>
      </c>
      <c r="G25" s="225">
        <f t="shared" ref="G25:G27" si="3">C17</f>
        <v>0</v>
      </c>
      <c r="H25" s="225">
        <f t="shared" ref="H25:H27" si="4">D17</f>
        <v>0</v>
      </c>
      <c r="I25" s="225">
        <f t="shared" ref="I25:I27" si="5">E17</f>
        <v>0</v>
      </c>
      <c r="J25" s="289">
        <f t="shared" ref="J25:J27" si="6">F25</f>
        <v>-25000</v>
      </c>
      <c r="K25" s="295" t="s">
        <v>20</v>
      </c>
    </row>
    <row r="26" spans="1:12" ht="17.399999999999999" x14ac:dyDescent="0.3">
      <c r="A26" s="296" t="s">
        <v>340</v>
      </c>
      <c r="B26" s="302" t="s">
        <v>272</v>
      </c>
      <c r="C26" s="247">
        <v>0</v>
      </c>
      <c r="D26" s="247">
        <v>0</v>
      </c>
      <c r="E26" s="247">
        <v>0</v>
      </c>
      <c r="F26" s="385">
        <v>-2000</v>
      </c>
      <c r="G26" s="225">
        <f t="shared" si="3"/>
        <v>0</v>
      </c>
      <c r="H26" s="225">
        <f t="shared" si="4"/>
        <v>0</v>
      </c>
      <c r="I26" s="225">
        <f t="shared" si="5"/>
        <v>0</v>
      </c>
      <c r="J26" s="289">
        <f t="shared" si="6"/>
        <v>-2000</v>
      </c>
      <c r="K26" s="295" t="s">
        <v>20</v>
      </c>
    </row>
    <row r="27" spans="1:12" ht="17.399999999999999" x14ac:dyDescent="0.3">
      <c r="A27" s="291" t="s">
        <v>341</v>
      </c>
      <c r="B27" s="302" t="s">
        <v>272</v>
      </c>
      <c r="C27" s="276"/>
      <c r="D27" s="276"/>
      <c r="E27" s="276"/>
      <c r="F27" s="292">
        <v>-477500</v>
      </c>
      <c r="G27" s="225">
        <f t="shared" si="3"/>
        <v>0</v>
      </c>
      <c r="H27" s="225">
        <f t="shared" si="4"/>
        <v>0</v>
      </c>
      <c r="I27" s="225">
        <f t="shared" si="5"/>
        <v>0</v>
      </c>
      <c r="J27" s="289">
        <f t="shared" si="6"/>
        <v>-477500</v>
      </c>
      <c r="K27" s="295" t="s">
        <v>20</v>
      </c>
    </row>
    <row r="28" spans="1:12" ht="18" thickBot="1" x14ac:dyDescent="0.35">
      <c r="A28" s="246" t="s">
        <v>214</v>
      </c>
      <c r="B28" s="245"/>
      <c r="C28" s="244">
        <f t="shared" ref="C28:J28" si="7">SUM(C24:C27)</f>
        <v>0</v>
      </c>
      <c r="D28" s="244">
        <f t="shared" si="7"/>
        <v>0</v>
      </c>
      <c r="E28" s="244">
        <f t="shared" si="7"/>
        <v>0</v>
      </c>
      <c r="F28" s="304">
        <f t="shared" si="7"/>
        <v>-505500</v>
      </c>
      <c r="G28" s="244">
        <f t="shared" si="7"/>
        <v>0</v>
      </c>
      <c r="H28" s="244">
        <f t="shared" si="7"/>
        <v>0</v>
      </c>
      <c r="I28" s="244">
        <f t="shared" si="7"/>
        <v>0</v>
      </c>
      <c r="J28" s="304">
        <f t="shared" si="7"/>
        <v>-505500</v>
      </c>
      <c r="K28" s="295" t="s">
        <v>20</v>
      </c>
    </row>
    <row r="29" spans="1:12" ht="51.75" customHeight="1" x14ac:dyDescent="0.3">
      <c r="A29" s="735" t="s">
        <v>489</v>
      </c>
      <c r="B29" s="735"/>
      <c r="C29" s="735"/>
      <c r="D29" s="735"/>
      <c r="E29" s="735"/>
      <c r="F29" s="735"/>
      <c r="G29" s="735"/>
      <c r="H29" s="735"/>
      <c r="I29" s="735"/>
      <c r="J29" s="735"/>
      <c r="K29" s="295" t="s">
        <v>20</v>
      </c>
      <c r="L29" s="305"/>
    </row>
    <row r="30" spans="1:12" ht="17.399999999999999" x14ac:dyDescent="0.3">
      <c r="K30" s="295" t="s">
        <v>21</v>
      </c>
    </row>
  </sheetData>
  <customSheetViews>
    <customSheetView guid="{5B2D5037-506A-47D5-AF28-C337BC9133BD}" scale="80" showPageBreaks="1" printArea="1" view="pageBreakPreview" topLeftCell="A13">
      <selection activeCell="A33" sqref="A33"/>
      <pageMargins left="0.7" right="0.7" top="0.66" bottom="0.65" header="0.3" footer="0.3"/>
      <printOptions horizontalCentered="1"/>
      <pageSetup scale="60" orientation="landscape" r:id="rId1"/>
      <headerFooter>
        <oddHeader xml:space="preserve">&amp;L&amp;"Arial,Bold"&amp;12C. Program Changes by Decision Unit
</oddHeader>
        <oddFooter>&amp;C&amp;"Arial,Regular"Exhibit C - Program Changes by Decision Unit&amp;R&amp;"Arial,Regular"State and Local Law Enforcement Assistance</oddFooter>
      </headerFooter>
    </customSheetView>
    <customSheetView guid="{08380F1E-0CB7-4B3B-924E-2A270EA8DD30}" scale="80" showPageBreaks="1" printArea="1" view="pageBreakPreview" topLeftCell="A4">
      <selection activeCell="B41" sqref="B41"/>
      <pageMargins left="0.7" right="0.7" top="0.66" bottom="0.65" header="0.3" footer="0.3"/>
      <printOptions horizontalCentered="1"/>
      <pageSetup scale="60" orientation="landscape" r:id="rId2"/>
      <headerFooter>
        <oddHeader xml:space="preserve">&amp;L&amp;"Arial,Bold"&amp;12C. Program Changes by Decision Unit
</oddHeader>
        <oddFooter>&amp;C&amp;"Arial,Regular"Exhibit C - Program Changes by Decision Unit&amp;R&amp;"Arial,Regular"State and Local Law Enforcement Assistance</oddFooter>
      </headerFooter>
    </customSheetView>
    <customSheetView guid="{D19943A8-2C2A-430A-A724-8C7C332697C8}" scale="80" showPageBreaks="1" printArea="1" view="pageBreakPreview">
      <selection activeCell="B41" sqref="B41"/>
      <pageMargins left="0.7" right="0.7" top="0.66" bottom="0.65" header="0.3" footer="0.3"/>
      <printOptions horizontalCentered="1"/>
      <pageSetup scale="60" orientation="landscape" r:id="rId3"/>
      <headerFooter>
        <oddHeader xml:space="preserve">&amp;L&amp;"Arial,Bold"&amp;12C. Program Changes by Decision Unit
</oddHeader>
        <oddFooter>&amp;C&amp;"Arial,Regular"Exhibit C - Program Changes by Decision Unit&amp;R&amp;"Arial,Regular"State and Local Law Enforcement Assistance</oddFooter>
      </headerFooter>
    </customSheetView>
    <customSheetView guid="{C6D68C6D-939C-4DFA-9385-A3F05DFB5EDA}" scale="80" showPageBreaks="1" printArea="1" view="pageBreakPreview" topLeftCell="A4">
      <selection activeCell="B41" sqref="B41"/>
      <pageMargins left="0.7" right="0.7" top="0.66" bottom="0.65" header="0.3" footer="0.3"/>
      <printOptions horizontalCentered="1"/>
      <pageSetup scale="60" orientation="landscape" r:id="rId4"/>
      <headerFooter>
        <oddHeader xml:space="preserve">&amp;L&amp;"Arial,Bold"&amp;12C. Program Changes by Decision Unit
</oddHeader>
        <oddFooter>&amp;C&amp;"Arial,Regular"Exhibit C - Program Changes by Decision Unit&amp;R&amp;"Arial,Regular"State and Local Law Enforcement Assistance</oddFooter>
      </headerFooter>
    </customSheetView>
  </customSheetViews>
  <mergeCells count="14">
    <mergeCell ref="G22:J22"/>
    <mergeCell ref="A29:J29"/>
    <mergeCell ref="A22:A23"/>
    <mergeCell ref="B22:B23"/>
    <mergeCell ref="C22:F22"/>
    <mergeCell ref="A6:A7"/>
    <mergeCell ref="B6:B7"/>
    <mergeCell ref="C6:F6"/>
    <mergeCell ref="A1:J1"/>
    <mergeCell ref="A2:J2"/>
    <mergeCell ref="A3:J3"/>
    <mergeCell ref="A4:J4"/>
    <mergeCell ref="A5:J5"/>
    <mergeCell ref="G6:J6"/>
  </mergeCells>
  <printOptions horizontalCentered="1"/>
  <pageMargins left="0.7" right="0.7" top="0.66" bottom="0.65" header="0.3" footer="0.3"/>
  <pageSetup scale="60" orientation="landscape" r:id="rId5"/>
  <headerFooter>
    <oddHeader xml:space="preserve">&amp;L&amp;"Arial,Bold"&amp;12C. Program Changes by Decision Unit
</oddHeader>
    <oddFooter>&amp;C&amp;"Arial,Regular"Exhibit C - Program Changes by Decision Unit&amp;R&amp;"Arial,Regular"State and Local Law Enforcement Assistance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topLeftCell="A22" zoomScale="80" zoomScaleNormal="100" zoomScaleSheetLayoutView="80" workbookViewId="0">
      <selection activeCell="J28" sqref="J28"/>
    </sheetView>
  </sheetViews>
  <sheetFormatPr defaultColWidth="9.109375" defaultRowHeight="13.8" x14ac:dyDescent="0.25"/>
  <cols>
    <col min="1" max="1" width="7.44140625" style="178" bestFit="1" customWidth="1"/>
    <col min="2" max="2" width="58.109375" style="178" customWidth="1"/>
    <col min="3" max="3" width="8.6640625" style="178" customWidth="1"/>
    <col min="4" max="4" width="12.6640625" style="178" customWidth="1"/>
    <col min="5" max="5" width="8.6640625" style="178" customWidth="1"/>
    <col min="6" max="6" width="12.6640625" style="178" customWidth="1"/>
    <col min="7" max="7" width="8.6640625" style="178" customWidth="1"/>
    <col min="8" max="8" width="12.6640625" style="178" customWidth="1"/>
    <col min="9" max="9" width="8.6640625" style="178" customWidth="1"/>
    <col min="10" max="10" width="12.6640625" style="178" customWidth="1"/>
    <col min="11" max="11" width="8.6640625" style="178" customWidth="1"/>
    <col min="12" max="12" width="12.6640625" style="178" customWidth="1"/>
    <col min="13" max="13" width="8.6640625" style="178" customWidth="1"/>
    <col min="14" max="14" width="12.6640625" style="178" customWidth="1"/>
    <col min="15" max="15" width="14" style="7" bestFit="1" customWidth="1"/>
    <col min="16" max="16" width="4.5546875" style="178" customWidth="1"/>
    <col min="17" max="18" width="8.33203125" style="178" customWidth="1"/>
    <col min="19" max="19" width="12.6640625" style="178" customWidth="1"/>
    <col min="20" max="21" width="8.33203125" style="178" customWidth="1"/>
    <col min="22" max="22" width="12.6640625" style="178" customWidth="1"/>
    <col min="23" max="16384" width="9.109375" style="178"/>
  </cols>
  <sheetData>
    <row r="1" spans="1:22" ht="18" x14ac:dyDescent="0.25">
      <c r="A1" s="633" t="s">
        <v>221</v>
      </c>
      <c r="B1" s="633"/>
      <c r="C1" s="633"/>
      <c r="D1" s="633"/>
      <c r="E1" s="633"/>
      <c r="F1" s="633"/>
      <c r="G1" s="633"/>
      <c r="H1" s="633"/>
      <c r="I1" s="633"/>
      <c r="J1" s="633"/>
      <c r="K1" s="633"/>
      <c r="L1" s="633"/>
      <c r="M1" s="633"/>
      <c r="N1" s="633"/>
      <c r="O1" s="53" t="s">
        <v>20</v>
      </c>
      <c r="P1" s="9"/>
      <c r="Q1" s="9"/>
      <c r="R1" s="9"/>
      <c r="S1" s="9"/>
      <c r="T1" s="9"/>
      <c r="U1" s="9"/>
      <c r="V1" s="9"/>
    </row>
    <row r="2" spans="1:22" ht="15" x14ac:dyDescent="0.2">
      <c r="A2" s="634" t="s">
        <v>342</v>
      </c>
      <c r="B2" s="634"/>
      <c r="C2" s="634"/>
      <c r="D2" s="634"/>
      <c r="E2" s="634"/>
      <c r="F2" s="634"/>
      <c r="G2" s="634"/>
      <c r="H2" s="634"/>
      <c r="I2" s="634"/>
      <c r="J2" s="634"/>
      <c r="K2" s="634"/>
      <c r="L2" s="634"/>
      <c r="M2" s="634"/>
      <c r="N2" s="634"/>
      <c r="O2" s="53" t="s">
        <v>20</v>
      </c>
      <c r="P2" s="10"/>
      <c r="Q2" s="10"/>
      <c r="R2" s="10"/>
      <c r="S2" s="10"/>
      <c r="T2" s="10"/>
      <c r="U2" s="10"/>
      <c r="V2" s="10"/>
    </row>
    <row r="3" spans="1:22" ht="14.25" x14ac:dyDescent="0.2">
      <c r="A3" s="635" t="s">
        <v>343</v>
      </c>
      <c r="B3" s="635"/>
      <c r="C3" s="635"/>
      <c r="D3" s="635"/>
      <c r="E3" s="635"/>
      <c r="F3" s="635"/>
      <c r="G3" s="635"/>
      <c r="H3" s="635"/>
      <c r="I3" s="635"/>
      <c r="J3" s="635"/>
      <c r="K3" s="635"/>
      <c r="L3" s="635"/>
      <c r="M3" s="635"/>
      <c r="N3" s="635"/>
      <c r="O3" s="53" t="s">
        <v>20</v>
      </c>
      <c r="P3" s="221"/>
      <c r="Q3" s="221"/>
      <c r="R3" s="221"/>
      <c r="S3" s="221"/>
      <c r="T3" s="221"/>
      <c r="U3" s="221"/>
      <c r="V3" s="221"/>
    </row>
    <row r="4" spans="1:22" ht="14.25" x14ac:dyDescent="0.2">
      <c r="A4" s="637" t="s">
        <v>1</v>
      </c>
      <c r="B4" s="637"/>
      <c r="C4" s="637"/>
      <c r="D4" s="637"/>
      <c r="E4" s="637"/>
      <c r="F4" s="637"/>
      <c r="G4" s="637"/>
      <c r="H4" s="637"/>
      <c r="I4" s="637"/>
      <c r="J4" s="637"/>
      <c r="K4" s="637"/>
      <c r="L4" s="637"/>
      <c r="M4" s="637"/>
      <c r="N4" s="637"/>
      <c r="O4" s="53" t="s">
        <v>20</v>
      </c>
      <c r="P4" s="11"/>
      <c r="Q4" s="11"/>
      <c r="R4" s="11"/>
      <c r="S4" s="11"/>
      <c r="T4" s="11"/>
      <c r="U4" s="11"/>
      <c r="V4" s="11"/>
    </row>
    <row r="5" spans="1:22" ht="14.25" x14ac:dyDescent="0.2">
      <c r="A5" s="635"/>
      <c r="B5" s="635"/>
      <c r="C5" s="635"/>
      <c r="D5" s="635"/>
      <c r="E5" s="635"/>
      <c r="F5" s="635"/>
      <c r="G5" s="635"/>
      <c r="H5" s="635"/>
      <c r="I5" s="635"/>
      <c r="J5" s="635"/>
      <c r="K5" s="635"/>
      <c r="L5" s="635"/>
      <c r="M5" s="635"/>
      <c r="N5" s="635"/>
      <c r="O5" s="53" t="s">
        <v>20</v>
      </c>
      <c r="P5" s="11"/>
      <c r="Q5" s="11"/>
      <c r="R5" s="11"/>
      <c r="S5" s="11"/>
      <c r="T5" s="11"/>
      <c r="U5" s="11"/>
      <c r="V5" s="11"/>
    </row>
    <row r="6" spans="1:22" ht="15" thickBot="1" x14ac:dyDescent="0.25">
      <c r="A6" s="717"/>
      <c r="B6" s="717"/>
      <c r="C6" s="717"/>
      <c r="D6" s="717"/>
      <c r="E6" s="717"/>
      <c r="F6" s="717"/>
      <c r="G6" s="717"/>
      <c r="H6" s="717"/>
      <c r="I6" s="717"/>
      <c r="J6" s="717"/>
      <c r="K6" s="717"/>
      <c r="L6" s="717"/>
      <c r="M6" s="717"/>
      <c r="N6" s="717"/>
      <c r="O6" s="53" t="s">
        <v>20</v>
      </c>
      <c r="P6" s="11"/>
      <c r="Q6" s="11"/>
      <c r="R6" s="11"/>
      <c r="S6" s="11"/>
      <c r="T6" s="11"/>
      <c r="U6" s="11"/>
      <c r="V6" s="11"/>
    </row>
    <row r="7" spans="1:22" ht="33.75" customHeight="1" x14ac:dyDescent="0.25">
      <c r="A7" s="677" t="s">
        <v>222</v>
      </c>
      <c r="B7" s="719"/>
      <c r="C7" s="641" t="s">
        <v>223</v>
      </c>
      <c r="D7" s="641"/>
      <c r="E7" s="641" t="s">
        <v>207</v>
      </c>
      <c r="F7" s="641"/>
      <c r="G7" s="641" t="s">
        <v>13</v>
      </c>
      <c r="H7" s="641"/>
      <c r="I7" s="641" t="s">
        <v>22</v>
      </c>
      <c r="J7" s="641"/>
      <c r="K7" s="641" t="s">
        <v>23</v>
      </c>
      <c r="L7" s="641"/>
      <c r="M7" s="641" t="s">
        <v>18</v>
      </c>
      <c r="N7" s="642"/>
      <c r="O7" s="53" t="s">
        <v>20</v>
      </c>
    </row>
    <row r="8" spans="1:22" ht="41.4" x14ac:dyDescent="0.25">
      <c r="A8" s="678"/>
      <c r="B8" s="720"/>
      <c r="C8" s="222" t="s">
        <v>224</v>
      </c>
      <c r="D8" s="222" t="s">
        <v>225</v>
      </c>
      <c r="E8" s="222" t="s">
        <v>224</v>
      </c>
      <c r="F8" s="222" t="s">
        <v>225</v>
      </c>
      <c r="G8" s="222" t="s">
        <v>224</v>
      </c>
      <c r="H8" s="222" t="s">
        <v>225</v>
      </c>
      <c r="I8" s="222" t="s">
        <v>224</v>
      </c>
      <c r="J8" s="222" t="s">
        <v>225</v>
      </c>
      <c r="K8" s="222" t="s">
        <v>224</v>
      </c>
      <c r="L8" s="222" t="s">
        <v>225</v>
      </c>
      <c r="M8" s="222" t="s">
        <v>224</v>
      </c>
      <c r="N8" s="223" t="s">
        <v>225</v>
      </c>
      <c r="O8" s="53" t="s">
        <v>20</v>
      </c>
    </row>
    <row r="9" spans="1:22" ht="41.4" x14ac:dyDescent="0.25">
      <c r="A9" s="253" t="s">
        <v>226</v>
      </c>
      <c r="B9" s="254" t="s">
        <v>227</v>
      </c>
      <c r="C9" s="255"/>
      <c r="D9" s="255"/>
      <c r="E9" s="255"/>
      <c r="F9" s="255"/>
      <c r="G9" s="255"/>
      <c r="H9" s="255"/>
      <c r="I9" s="255"/>
      <c r="J9" s="255"/>
      <c r="K9" s="255"/>
      <c r="L9" s="255"/>
      <c r="M9" s="255"/>
      <c r="N9" s="256"/>
      <c r="O9" s="53" t="s">
        <v>20</v>
      </c>
    </row>
    <row r="10" spans="1:22" ht="27.6" x14ac:dyDescent="0.25">
      <c r="A10" s="257">
        <v>1.1000000000000001</v>
      </c>
      <c r="B10" s="258" t="s">
        <v>228</v>
      </c>
      <c r="C10" s="208">
        <v>0</v>
      </c>
      <c r="D10" s="259">
        <v>0</v>
      </c>
      <c r="E10" s="208">
        <v>0</v>
      </c>
      <c r="F10" s="208">
        <v>0</v>
      </c>
      <c r="G10" s="208">
        <v>0</v>
      </c>
      <c r="H10" s="208">
        <v>0</v>
      </c>
      <c r="I10" s="208">
        <v>0</v>
      </c>
      <c r="J10" s="208">
        <v>0</v>
      </c>
      <c r="K10" s="208">
        <v>0</v>
      </c>
      <c r="L10" s="208">
        <v>0</v>
      </c>
      <c r="M10" s="208">
        <f>G10+I10+K10</f>
        <v>0</v>
      </c>
      <c r="N10" s="205">
        <f t="shared" ref="N10:N12" si="0">H10+J10+L10</f>
        <v>0</v>
      </c>
      <c r="O10" s="53" t="s">
        <v>20</v>
      </c>
    </row>
    <row r="11" spans="1:22" ht="13.95" x14ac:dyDescent="0.25">
      <c r="A11" s="257">
        <v>1.2</v>
      </c>
      <c r="B11" s="260" t="s">
        <v>229</v>
      </c>
      <c r="C11" s="208">
        <v>0</v>
      </c>
      <c r="D11" s="208">
        <v>0</v>
      </c>
      <c r="E11" s="208">
        <v>0</v>
      </c>
      <c r="F11" s="208">
        <v>0</v>
      </c>
      <c r="G11" s="208">
        <v>0</v>
      </c>
      <c r="H11" s="208">
        <v>0</v>
      </c>
      <c r="I11" s="208">
        <v>0</v>
      </c>
      <c r="J11" s="208">
        <v>0</v>
      </c>
      <c r="K11" s="208">
        <v>0</v>
      </c>
      <c r="L11" s="208">
        <v>0</v>
      </c>
      <c r="M11" s="208">
        <f t="shared" ref="M11:M12" si="1">G11+I11+K11</f>
        <v>0</v>
      </c>
      <c r="N11" s="205">
        <f t="shared" si="0"/>
        <v>0</v>
      </c>
      <c r="O11" s="53" t="s">
        <v>20</v>
      </c>
    </row>
    <row r="12" spans="1:22" ht="13.95" x14ac:dyDescent="0.25">
      <c r="A12" s="257">
        <v>1.3</v>
      </c>
      <c r="B12" s="260" t="s">
        <v>230</v>
      </c>
      <c r="C12" s="208">
        <v>0</v>
      </c>
      <c r="D12" s="208">
        <v>0</v>
      </c>
      <c r="E12" s="208">
        <v>0</v>
      </c>
      <c r="F12" s="208">
        <v>0</v>
      </c>
      <c r="G12" s="208">
        <v>0</v>
      </c>
      <c r="H12" s="208">
        <v>0</v>
      </c>
      <c r="I12" s="208">
        <v>0</v>
      </c>
      <c r="J12" s="208">
        <v>0</v>
      </c>
      <c r="K12" s="208">
        <v>0</v>
      </c>
      <c r="L12" s="208">
        <v>0</v>
      </c>
      <c r="M12" s="208">
        <f t="shared" si="1"/>
        <v>0</v>
      </c>
      <c r="N12" s="205">
        <f t="shared" si="0"/>
        <v>0</v>
      </c>
      <c r="O12" s="53" t="s">
        <v>20</v>
      </c>
    </row>
    <row r="13" spans="1:22" ht="13.95" x14ac:dyDescent="0.25">
      <c r="A13" s="261"/>
      <c r="B13" s="262" t="s">
        <v>231</v>
      </c>
      <c r="C13" s="25">
        <f>SUM(C10:C12)</f>
        <v>0</v>
      </c>
      <c r="D13" s="25">
        <f t="shared" ref="D13:N13" si="2">SUM(D10:D12)</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6">
        <f t="shared" si="2"/>
        <v>0</v>
      </c>
      <c r="O13" s="53" t="s">
        <v>20</v>
      </c>
    </row>
    <row r="14" spans="1:22" ht="27.6" x14ac:dyDescent="0.25">
      <c r="A14" s="253" t="s">
        <v>232</v>
      </c>
      <c r="B14" s="254" t="s">
        <v>233</v>
      </c>
      <c r="C14" s="255"/>
      <c r="D14" s="255"/>
      <c r="E14" s="255"/>
      <c r="F14" s="255"/>
      <c r="G14" s="255"/>
      <c r="H14" s="255"/>
      <c r="I14" s="255"/>
      <c r="J14" s="255"/>
      <c r="K14" s="255"/>
      <c r="L14" s="255"/>
      <c r="M14" s="255"/>
      <c r="N14" s="256"/>
      <c r="O14" s="53" t="s">
        <v>20</v>
      </c>
    </row>
    <row r="15" spans="1:22" ht="13.95" x14ac:dyDescent="0.25">
      <c r="A15" s="257">
        <v>2.1</v>
      </c>
      <c r="B15" s="258" t="s">
        <v>234</v>
      </c>
      <c r="C15" s="208">
        <v>0</v>
      </c>
      <c r="D15" s="208">
        <v>48000</v>
      </c>
      <c r="E15" s="208">
        <v>0</v>
      </c>
      <c r="F15" s="208">
        <v>48294</v>
      </c>
      <c r="G15" s="208">
        <v>0</v>
      </c>
      <c r="H15" s="208">
        <v>48000</v>
      </c>
      <c r="I15" s="208">
        <v>0</v>
      </c>
      <c r="J15" s="208">
        <v>20000</v>
      </c>
      <c r="K15" s="208">
        <v>0</v>
      </c>
      <c r="L15" s="208">
        <v>0</v>
      </c>
      <c r="M15" s="208">
        <f>G15+I15+K15</f>
        <v>0</v>
      </c>
      <c r="N15" s="205">
        <f t="shared" ref="N15:N20" si="3">H15+J15+L15</f>
        <v>68000</v>
      </c>
      <c r="O15" s="53" t="s">
        <v>20</v>
      </c>
    </row>
    <row r="16" spans="1:22" ht="13.95" x14ac:dyDescent="0.25">
      <c r="A16" s="257">
        <v>2.2000000000000002</v>
      </c>
      <c r="B16" s="260" t="s">
        <v>235</v>
      </c>
      <c r="C16" s="208">
        <v>0</v>
      </c>
      <c r="D16" s="208">
        <v>27000</v>
      </c>
      <c r="E16" s="208">
        <v>0</v>
      </c>
      <c r="F16" s="208">
        <v>27165</v>
      </c>
      <c r="G16" s="208">
        <v>0</v>
      </c>
      <c r="H16" s="208">
        <v>27000</v>
      </c>
      <c r="I16" s="208">
        <v>0</v>
      </c>
      <c r="J16" s="208">
        <v>13000</v>
      </c>
      <c r="K16" s="208">
        <v>0</v>
      </c>
      <c r="L16" s="208">
        <v>0</v>
      </c>
      <c r="M16" s="208">
        <f t="shared" ref="M16:M20" si="4">G16+I16+K16</f>
        <v>0</v>
      </c>
      <c r="N16" s="205">
        <f t="shared" si="3"/>
        <v>40000</v>
      </c>
      <c r="O16" s="53" t="s">
        <v>20</v>
      </c>
    </row>
    <row r="17" spans="1:15" ht="13.95" x14ac:dyDescent="0.25">
      <c r="A17" s="257">
        <v>2.2999999999999998</v>
      </c>
      <c r="B17" s="260" t="s">
        <v>236</v>
      </c>
      <c r="C17" s="208">
        <v>0</v>
      </c>
      <c r="D17" s="208">
        <v>42000</v>
      </c>
      <c r="E17" s="208">
        <v>0</v>
      </c>
      <c r="F17" s="208">
        <v>42257</v>
      </c>
      <c r="G17" s="208">
        <v>0</v>
      </c>
      <c r="H17" s="208">
        <v>42000</v>
      </c>
      <c r="I17" s="208">
        <v>0</v>
      </c>
      <c r="J17" s="208">
        <v>44000</v>
      </c>
      <c r="K17" s="208">
        <v>0</v>
      </c>
      <c r="L17" s="208">
        <v>0</v>
      </c>
      <c r="M17" s="208">
        <f t="shared" si="4"/>
        <v>0</v>
      </c>
      <c r="N17" s="205">
        <f t="shared" si="3"/>
        <v>86000</v>
      </c>
      <c r="O17" s="53" t="s">
        <v>20</v>
      </c>
    </row>
    <row r="18" spans="1:15" ht="27.6" x14ac:dyDescent="0.25">
      <c r="A18" s="257">
        <v>2.4</v>
      </c>
      <c r="B18" s="258" t="s">
        <v>237</v>
      </c>
      <c r="C18" s="208">
        <v>0</v>
      </c>
      <c r="D18" s="208">
        <v>7000</v>
      </c>
      <c r="E18" s="208">
        <v>0</v>
      </c>
      <c r="F18" s="208">
        <v>7043</v>
      </c>
      <c r="G18" s="208">
        <v>0</v>
      </c>
      <c r="H18" s="208">
        <v>7000</v>
      </c>
      <c r="I18" s="208">
        <v>0</v>
      </c>
      <c r="J18" s="208">
        <v>2000</v>
      </c>
      <c r="K18" s="208">
        <v>0</v>
      </c>
      <c r="L18" s="208">
        <v>0</v>
      </c>
      <c r="M18" s="208">
        <f t="shared" si="4"/>
        <v>0</v>
      </c>
      <c r="N18" s="205">
        <f t="shared" si="3"/>
        <v>9000</v>
      </c>
      <c r="O18" s="53" t="s">
        <v>20</v>
      </c>
    </row>
    <row r="19" spans="1:15" ht="13.95" x14ac:dyDescent="0.25">
      <c r="A19" s="257">
        <v>2.5</v>
      </c>
      <c r="B19" s="260" t="s">
        <v>238</v>
      </c>
      <c r="C19" s="208">
        <v>0</v>
      </c>
      <c r="D19" s="208">
        <v>0</v>
      </c>
      <c r="E19" s="208">
        <v>0</v>
      </c>
      <c r="F19" s="208">
        <v>0</v>
      </c>
      <c r="G19" s="208">
        <v>0</v>
      </c>
      <c r="H19" s="208">
        <v>0</v>
      </c>
      <c r="I19" s="208">
        <v>0</v>
      </c>
      <c r="J19" s="208">
        <v>0</v>
      </c>
      <c r="K19" s="208">
        <v>0</v>
      </c>
      <c r="L19" s="208">
        <v>0</v>
      </c>
      <c r="M19" s="208">
        <f t="shared" si="4"/>
        <v>0</v>
      </c>
      <c r="N19" s="205">
        <f t="shared" si="3"/>
        <v>0</v>
      </c>
      <c r="O19" s="53" t="s">
        <v>20</v>
      </c>
    </row>
    <row r="20" spans="1:15" ht="13.95" x14ac:dyDescent="0.25">
      <c r="A20" s="257">
        <v>2.6</v>
      </c>
      <c r="B20" s="260" t="s">
        <v>441</v>
      </c>
      <c r="C20" s="208">
        <v>0</v>
      </c>
      <c r="D20" s="208">
        <v>0</v>
      </c>
      <c r="E20" s="208">
        <v>0</v>
      </c>
      <c r="F20" s="208">
        <v>0</v>
      </c>
      <c r="G20" s="208">
        <v>0</v>
      </c>
      <c r="H20" s="208">
        <v>0</v>
      </c>
      <c r="I20" s="208">
        <v>0</v>
      </c>
      <c r="J20" s="208">
        <v>0</v>
      </c>
      <c r="K20" s="208">
        <v>0</v>
      </c>
      <c r="L20" s="208">
        <v>0</v>
      </c>
      <c r="M20" s="208">
        <f t="shared" si="4"/>
        <v>0</v>
      </c>
      <c r="N20" s="205">
        <f t="shared" si="3"/>
        <v>0</v>
      </c>
      <c r="O20" s="53" t="s">
        <v>20</v>
      </c>
    </row>
    <row r="21" spans="1:15" ht="13.95" x14ac:dyDescent="0.25">
      <c r="A21" s="261"/>
      <c r="B21" s="262" t="s">
        <v>239</v>
      </c>
      <c r="C21" s="25">
        <f t="shared" ref="C21:M21" si="5">SUM(C15:C20)</f>
        <v>0</v>
      </c>
      <c r="D21" s="25">
        <f t="shared" si="5"/>
        <v>124000</v>
      </c>
      <c r="E21" s="25">
        <f t="shared" si="5"/>
        <v>0</v>
      </c>
      <c r="F21" s="25">
        <f t="shared" si="5"/>
        <v>124759</v>
      </c>
      <c r="G21" s="25">
        <f t="shared" si="5"/>
        <v>0</v>
      </c>
      <c r="H21" s="25">
        <f t="shared" si="5"/>
        <v>124000</v>
      </c>
      <c r="I21" s="25">
        <f t="shared" si="5"/>
        <v>0</v>
      </c>
      <c r="J21" s="25">
        <f t="shared" si="5"/>
        <v>79000</v>
      </c>
      <c r="K21" s="25">
        <f t="shared" si="5"/>
        <v>0</v>
      </c>
      <c r="L21" s="25">
        <f t="shared" si="5"/>
        <v>0</v>
      </c>
      <c r="M21" s="25">
        <f t="shared" si="5"/>
        <v>0</v>
      </c>
      <c r="N21" s="26">
        <f>SUM(N15:N20)</f>
        <v>203000</v>
      </c>
      <c r="O21" s="53" t="s">
        <v>20</v>
      </c>
    </row>
    <row r="22" spans="1:15" ht="41.4" x14ac:dyDescent="0.25">
      <c r="A22" s="253" t="s">
        <v>240</v>
      </c>
      <c r="B22" s="254" t="s">
        <v>241</v>
      </c>
      <c r="C22" s="255"/>
      <c r="D22" s="255"/>
      <c r="E22" s="255"/>
      <c r="F22" s="255"/>
      <c r="G22" s="255"/>
      <c r="H22" s="255"/>
      <c r="I22" s="255"/>
      <c r="J22" s="255"/>
      <c r="K22" s="255"/>
      <c r="L22" s="255"/>
      <c r="M22" s="255"/>
      <c r="N22" s="256"/>
      <c r="O22" s="53" t="s">
        <v>20</v>
      </c>
    </row>
    <row r="23" spans="1:15" ht="41.4" x14ac:dyDescent="0.25">
      <c r="A23" s="257">
        <v>3.1</v>
      </c>
      <c r="B23" s="258" t="s">
        <v>242</v>
      </c>
      <c r="C23" s="208">
        <v>0</v>
      </c>
      <c r="D23" s="208">
        <v>965500</v>
      </c>
      <c r="E23" s="208">
        <v>0</v>
      </c>
      <c r="F23" s="208">
        <v>971409</v>
      </c>
      <c r="G23" s="208">
        <v>0</v>
      </c>
      <c r="H23" s="208">
        <v>965500</v>
      </c>
      <c r="I23" s="208">
        <v>0</v>
      </c>
      <c r="J23" s="208">
        <v>109000</v>
      </c>
      <c r="K23" s="208">
        <v>0</v>
      </c>
      <c r="L23" s="290">
        <v>-505500</v>
      </c>
      <c r="M23" s="208">
        <f t="shared" ref="M23:N26" si="6">G23+I23+K23</f>
        <v>0</v>
      </c>
      <c r="N23" s="205">
        <f t="shared" si="6"/>
        <v>569000</v>
      </c>
      <c r="O23" s="53" t="s">
        <v>20</v>
      </c>
    </row>
    <row r="24" spans="1:15" ht="41.4" x14ac:dyDescent="0.25">
      <c r="A24" s="257">
        <v>3.2</v>
      </c>
      <c r="B24" s="258" t="s">
        <v>243</v>
      </c>
      <c r="C24" s="208">
        <v>0</v>
      </c>
      <c r="D24" s="208">
        <v>0</v>
      </c>
      <c r="E24" s="208">
        <v>0</v>
      </c>
      <c r="F24" s="208">
        <v>0</v>
      </c>
      <c r="G24" s="208">
        <v>0</v>
      </c>
      <c r="H24" s="208">
        <v>0</v>
      </c>
      <c r="I24" s="208">
        <v>0</v>
      </c>
      <c r="J24" s="208">
        <v>0</v>
      </c>
      <c r="K24" s="208">
        <v>0</v>
      </c>
      <c r="L24" s="290">
        <v>0</v>
      </c>
      <c r="M24" s="208">
        <f t="shared" si="6"/>
        <v>0</v>
      </c>
      <c r="N24" s="205">
        <f t="shared" si="6"/>
        <v>0</v>
      </c>
      <c r="O24" s="53" t="s">
        <v>20</v>
      </c>
    </row>
    <row r="25" spans="1:15" ht="41.4" x14ac:dyDescent="0.25">
      <c r="A25" s="257">
        <v>3.3</v>
      </c>
      <c r="B25" s="258" t="s">
        <v>244</v>
      </c>
      <c r="C25" s="208">
        <v>0</v>
      </c>
      <c r="D25" s="208">
        <v>73000</v>
      </c>
      <c r="E25" s="208">
        <v>0</v>
      </c>
      <c r="F25" s="208">
        <v>73447</v>
      </c>
      <c r="G25" s="208">
        <v>0</v>
      </c>
      <c r="H25" s="208">
        <v>73000</v>
      </c>
      <c r="I25" s="208">
        <v>0</v>
      </c>
      <c r="J25" s="208">
        <v>160000</v>
      </c>
      <c r="K25" s="208">
        <v>0</v>
      </c>
      <c r="L25" s="290">
        <v>0</v>
      </c>
      <c r="M25" s="208">
        <f t="shared" si="6"/>
        <v>0</v>
      </c>
      <c r="N25" s="205">
        <f t="shared" si="6"/>
        <v>233000</v>
      </c>
      <c r="O25" s="53" t="s">
        <v>20</v>
      </c>
    </row>
    <row r="26" spans="1:15" ht="27.6" x14ac:dyDescent="0.25">
      <c r="A26" s="257">
        <v>3.4</v>
      </c>
      <c r="B26" s="258" t="s">
        <v>245</v>
      </c>
      <c r="C26" s="208">
        <v>0</v>
      </c>
      <c r="D26" s="208">
        <v>0</v>
      </c>
      <c r="E26" s="208">
        <v>0</v>
      </c>
      <c r="F26" s="208">
        <v>0</v>
      </c>
      <c r="G26" s="208">
        <v>0</v>
      </c>
      <c r="H26" s="208">
        <v>0</v>
      </c>
      <c r="I26" s="208">
        <v>0</v>
      </c>
      <c r="J26" s="208">
        <v>0</v>
      </c>
      <c r="K26" s="208">
        <v>0</v>
      </c>
      <c r="L26" s="290">
        <v>0</v>
      </c>
      <c r="M26" s="208">
        <f t="shared" si="6"/>
        <v>0</v>
      </c>
      <c r="N26" s="205">
        <f t="shared" si="6"/>
        <v>0</v>
      </c>
      <c r="O26" s="53" t="s">
        <v>20</v>
      </c>
    </row>
    <row r="27" spans="1:15" x14ac:dyDescent="0.25">
      <c r="A27" s="261"/>
      <c r="B27" s="263" t="s">
        <v>246</v>
      </c>
      <c r="C27" s="25">
        <f>SUM(C23:C26)</f>
        <v>0</v>
      </c>
      <c r="D27" s="25">
        <f t="shared" ref="D27:N27" si="7">SUM(D23:D26)</f>
        <v>1038500</v>
      </c>
      <c r="E27" s="25">
        <f t="shared" si="7"/>
        <v>0</v>
      </c>
      <c r="F27" s="25">
        <f t="shared" si="7"/>
        <v>1044856</v>
      </c>
      <c r="G27" s="25">
        <f t="shared" si="7"/>
        <v>0</v>
      </c>
      <c r="H27" s="25">
        <f t="shared" si="7"/>
        <v>1038500</v>
      </c>
      <c r="I27" s="25">
        <f t="shared" si="7"/>
        <v>0</v>
      </c>
      <c r="J27" s="25">
        <f t="shared" si="7"/>
        <v>269000</v>
      </c>
      <c r="K27" s="25">
        <f t="shared" si="7"/>
        <v>0</v>
      </c>
      <c r="L27" s="306">
        <f t="shared" si="7"/>
        <v>-505500</v>
      </c>
      <c r="M27" s="25">
        <f t="shared" si="7"/>
        <v>0</v>
      </c>
      <c r="N27" s="26">
        <f t="shared" si="7"/>
        <v>802000</v>
      </c>
      <c r="O27" s="53" t="s">
        <v>20</v>
      </c>
    </row>
    <row r="28" spans="1:15" ht="14.4" thickBot="1" x14ac:dyDescent="0.3">
      <c r="A28" s="264"/>
      <c r="B28" s="265" t="s">
        <v>247</v>
      </c>
      <c r="C28" s="244">
        <f>C27+C21+C13</f>
        <v>0</v>
      </c>
      <c r="D28" s="244">
        <f t="shared" ref="D28:N28" si="8">D27+D21+D13</f>
        <v>1162500</v>
      </c>
      <c r="E28" s="244">
        <f t="shared" si="8"/>
        <v>0</v>
      </c>
      <c r="F28" s="244">
        <f t="shared" si="8"/>
        <v>1169615</v>
      </c>
      <c r="G28" s="244">
        <f t="shared" si="8"/>
        <v>0</v>
      </c>
      <c r="H28" s="244">
        <f t="shared" si="8"/>
        <v>1162500</v>
      </c>
      <c r="I28" s="244">
        <f t="shared" si="8"/>
        <v>0</v>
      </c>
      <c r="J28" s="244">
        <f t="shared" si="8"/>
        <v>348000</v>
      </c>
      <c r="K28" s="244">
        <f t="shared" si="8"/>
        <v>0</v>
      </c>
      <c r="L28" s="304">
        <f t="shared" si="8"/>
        <v>-505500</v>
      </c>
      <c r="M28" s="244">
        <f t="shared" si="8"/>
        <v>0</v>
      </c>
      <c r="N28" s="266">
        <f t="shared" si="8"/>
        <v>1005000</v>
      </c>
      <c r="O28" s="53" t="s">
        <v>20</v>
      </c>
    </row>
    <row r="29" spans="1:15" x14ac:dyDescent="0.25">
      <c r="O29" s="53" t="s">
        <v>20</v>
      </c>
    </row>
    <row r="30" spans="1:15" x14ac:dyDescent="0.25">
      <c r="A30" s="718" t="s">
        <v>248</v>
      </c>
      <c r="B30" s="718"/>
      <c r="C30" s="718"/>
      <c r="D30" s="718"/>
      <c r="E30" s="718"/>
      <c r="F30" s="718"/>
      <c r="G30" s="718"/>
      <c r="H30" s="718"/>
      <c r="I30" s="718"/>
      <c r="J30" s="718"/>
      <c r="K30" s="718"/>
      <c r="L30" s="718"/>
      <c r="M30" s="718"/>
      <c r="N30" s="718"/>
      <c r="O30" s="53" t="s">
        <v>20</v>
      </c>
    </row>
    <row r="31" spans="1:15" x14ac:dyDescent="0.25">
      <c r="O31" s="53" t="s">
        <v>21</v>
      </c>
    </row>
    <row r="32" spans="1:15" x14ac:dyDescent="0.25">
      <c r="A32" s="178" t="s">
        <v>249</v>
      </c>
    </row>
  </sheetData>
  <customSheetViews>
    <customSheetView guid="{5B2D5037-506A-47D5-AF28-C337BC9133BD}" scale="80" showPageBreaks="1" printArea="1" view="pageBreakPreview" topLeftCell="A22">
      <selection activeCell="J28" sqref="J28"/>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Objective&amp;R&amp;"Arial,Regular"State and Local Law Enforcement Assistance</oddFooter>
      </headerFooter>
    </customSheetView>
    <customSheetView guid="{08380F1E-0CB7-4B3B-924E-2A270EA8DD30}" scale="80" showPageBreaks="1" printArea="1" view="pageBreakPreview" topLeftCell="A7">
      <selection activeCell="J28" sqref="J28"/>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Objective&amp;R&amp;"Arial,Regular"State and Local Law Enforcement Assistance</oddFooter>
      </headerFooter>
    </customSheetView>
    <customSheetView guid="{D19943A8-2C2A-430A-A724-8C7C332697C8}" scale="80" showPageBreaks="1" printArea="1" view="pageBreakPreview" topLeftCell="A7">
      <selection activeCell="J28" sqref="J28"/>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Objective&amp;R&amp;"Arial,Regular"State and Local Law Enforcement Assistance</oddFooter>
      </headerFooter>
    </customSheetView>
    <customSheetView guid="{C6D68C6D-939C-4DFA-9385-A3F05DFB5EDA}" scale="80" showPageBreaks="1" printArea="1" view="pageBreakPreview" topLeftCell="A7">
      <selection activeCell="J28" sqref="J28"/>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Objective&amp;R&amp;"Arial,Regular"State and Local Law Enforcement Assistance</oddFooter>
      </headerFooter>
    </customSheetView>
  </customSheetViews>
  <mergeCells count="14">
    <mergeCell ref="M7:N7"/>
    <mergeCell ref="A30:N30"/>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5"/>
  <headerFooter>
    <oddHeader>&amp;L&amp;"Arial,Bold"&amp;12D. Resources by DOJ Strategic Goal and Strategic Objective</oddHeader>
    <oddFooter>&amp;C&amp;"Arial,Regular"Exhibit D - Resources by DOJ Strategic Goal and Strategic Objective&amp;R&amp;"Arial,Regular"State and Local Law Enforcement Assistance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view="pageBreakPreview" topLeftCell="B64" zoomScale="80" zoomScaleNormal="100" zoomScaleSheetLayoutView="80" workbookViewId="0">
      <selection activeCell="O68" sqref="O68"/>
    </sheetView>
  </sheetViews>
  <sheetFormatPr defaultColWidth="9.109375" defaultRowHeight="13.8" x14ac:dyDescent="0.25"/>
  <cols>
    <col min="1" max="1" width="102.33203125" style="178" customWidth="1"/>
    <col min="2" max="3" width="8.33203125" style="178" customWidth="1"/>
    <col min="4" max="4" width="13.6640625" style="178" customWidth="1"/>
    <col min="5" max="5" width="7.109375" style="178" customWidth="1"/>
    <col min="6" max="6" width="8.6640625" style="178" customWidth="1"/>
    <col min="7" max="7" width="12.6640625" style="178" customWidth="1"/>
    <col min="8" max="9" width="8.33203125" style="178" customWidth="1"/>
    <col min="10" max="10" width="12.6640625" style="178" customWidth="1"/>
    <col min="11" max="11" width="15.33203125" style="178" customWidth="1"/>
    <col min="12" max="12" width="16.44140625" style="178" customWidth="1"/>
    <col min="13" max="14" width="8.33203125" style="178" customWidth="1"/>
    <col min="15" max="15" width="15.33203125" style="178" customWidth="1"/>
    <col min="16" max="16" width="14" style="7" bestFit="1" customWidth="1"/>
    <col min="17" max="17" width="4.5546875" style="178" customWidth="1"/>
    <col min="18" max="19" width="8.33203125" style="178" customWidth="1"/>
    <col min="20" max="20" width="12.6640625" style="178" customWidth="1"/>
    <col min="21" max="22" width="8.33203125" style="178" customWidth="1"/>
    <col min="23" max="23" width="12.6640625" style="178" customWidth="1"/>
    <col min="24" max="16384" width="9.109375" style="178"/>
  </cols>
  <sheetData>
    <row r="1" spans="1:23" ht="18" x14ac:dyDescent="0.25">
      <c r="A1" s="681" t="s">
        <v>39</v>
      </c>
      <c r="B1" s="682"/>
      <c r="C1" s="682"/>
      <c r="D1" s="682"/>
      <c r="E1" s="682"/>
      <c r="F1" s="682"/>
      <c r="G1" s="682"/>
      <c r="H1" s="682"/>
      <c r="I1" s="682"/>
      <c r="J1" s="682"/>
      <c r="K1" s="682"/>
      <c r="L1" s="682"/>
      <c r="M1" s="682"/>
      <c r="N1" s="682"/>
      <c r="O1" s="683"/>
      <c r="P1" s="53" t="s">
        <v>20</v>
      </c>
      <c r="Q1" s="9"/>
      <c r="R1" s="9"/>
      <c r="S1" s="9"/>
      <c r="T1" s="9"/>
      <c r="U1" s="9"/>
      <c r="V1" s="9"/>
      <c r="W1" s="9"/>
    </row>
    <row r="2" spans="1:23" ht="18" x14ac:dyDescent="0.25">
      <c r="A2" s="736" t="s">
        <v>371</v>
      </c>
      <c r="B2" s="737"/>
      <c r="C2" s="737"/>
      <c r="D2" s="737"/>
      <c r="E2" s="737"/>
      <c r="F2" s="737"/>
      <c r="G2" s="737"/>
      <c r="H2" s="737"/>
      <c r="I2" s="737"/>
      <c r="J2" s="737"/>
      <c r="K2" s="737"/>
      <c r="L2" s="737"/>
      <c r="M2" s="737"/>
      <c r="N2" s="737"/>
      <c r="O2" s="738"/>
      <c r="P2" s="53" t="s">
        <v>20</v>
      </c>
      <c r="Q2" s="10"/>
      <c r="R2" s="10"/>
      <c r="S2" s="10"/>
      <c r="T2" s="10"/>
      <c r="U2" s="10"/>
      <c r="V2" s="10"/>
      <c r="W2" s="10"/>
    </row>
    <row r="3" spans="1:23" ht="18" x14ac:dyDescent="0.25">
      <c r="A3" s="736" t="s">
        <v>370</v>
      </c>
      <c r="B3" s="737"/>
      <c r="C3" s="737"/>
      <c r="D3" s="737"/>
      <c r="E3" s="737"/>
      <c r="F3" s="737"/>
      <c r="G3" s="737"/>
      <c r="H3" s="737"/>
      <c r="I3" s="737"/>
      <c r="J3" s="737"/>
      <c r="K3" s="737"/>
      <c r="L3" s="737"/>
      <c r="M3" s="737"/>
      <c r="N3" s="737"/>
      <c r="O3" s="738"/>
      <c r="P3" s="53" t="s">
        <v>20</v>
      </c>
      <c r="Q3" s="221"/>
      <c r="R3" s="221"/>
      <c r="S3" s="221"/>
      <c r="T3" s="221"/>
      <c r="U3" s="221"/>
      <c r="V3" s="221"/>
      <c r="W3" s="221"/>
    </row>
    <row r="4" spans="1:23" ht="18" x14ac:dyDescent="0.25">
      <c r="A4" s="736" t="s">
        <v>1</v>
      </c>
      <c r="B4" s="737"/>
      <c r="C4" s="737"/>
      <c r="D4" s="737"/>
      <c r="E4" s="737"/>
      <c r="F4" s="737"/>
      <c r="G4" s="737"/>
      <c r="H4" s="737"/>
      <c r="I4" s="737"/>
      <c r="J4" s="737"/>
      <c r="K4" s="737"/>
      <c r="L4" s="737"/>
      <c r="M4" s="737"/>
      <c r="N4" s="737"/>
      <c r="O4" s="738"/>
      <c r="P4" s="53" t="s">
        <v>20</v>
      </c>
      <c r="Q4" s="11"/>
      <c r="R4" s="11"/>
      <c r="S4" s="11"/>
      <c r="T4" s="11"/>
      <c r="U4" s="11"/>
      <c r="V4" s="11"/>
      <c r="W4" s="11"/>
    </row>
    <row r="5" spans="1:23" ht="18" x14ac:dyDescent="0.25">
      <c r="A5" s="428"/>
      <c r="B5" s="429"/>
      <c r="C5" s="429"/>
      <c r="D5" s="429"/>
      <c r="E5" s="429"/>
      <c r="F5" s="429"/>
      <c r="G5" s="429"/>
      <c r="H5" s="429"/>
      <c r="I5" s="429"/>
      <c r="J5" s="429"/>
      <c r="K5" s="429"/>
      <c r="L5" s="429"/>
      <c r="M5" s="429"/>
      <c r="N5" s="429"/>
      <c r="O5" s="430"/>
      <c r="P5" s="53" t="s">
        <v>20</v>
      </c>
      <c r="Q5" s="11"/>
      <c r="R5" s="11"/>
      <c r="S5" s="11"/>
      <c r="T5" s="11"/>
      <c r="U5" s="11"/>
      <c r="V5" s="11"/>
      <c r="W5" s="11"/>
    </row>
    <row r="6" spans="1:23" ht="18.75" thickBot="1" x14ac:dyDescent="0.3">
      <c r="A6" s="431"/>
      <c r="B6" s="397"/>
      <c r="C6" s="397"/>
      <c r="D6" s="397"/>
      <c r="E6" s="397"/>
      <c r="F6" s="397"/>
      <c r="G6" s="397"/>
      <c r="H6" s="397"/>
      <c r="I6" s="397"/>
      <c r="J6" s="397"/>
      <c r="K6" s="397"/>
      <c r="L6" s="397"/>
      <c r="M6" s="397"/>
      <c r="N6" s="397"/>
      <c r="O6" s="432"/>
      <c r="P6" s="53" t="s">
        <v>20</v>
      </c>
      <c r="Q6" s="11"/>
      <c r="R6" s="11"/>
      <c r="S6" s="11"/>
      <c r="T6" s="11"/>
      <c r="U6" s="11"/>
      <c r="V6" s="11"/>
      <c r="W6" s="11"/>
    </row>
    <row r="7" spans="1:23" ht="33.75" customHeight="1" x14ac:dyDescent="0.25">
      <c r="A7" s="739" t="s">
        <v>134</v>
      </c>
      <c r="B7" s="741" t="s">
        <v>159</v>
      </c>
      <c r="C7" s="741"/>
      <c r="D7" s="741"/>
      <c r="E7" s="741" t="s">
        <v>130</v>
      </c>
      <c r="F7" s="742"/>
      <c r="G7" s="743"/>
      <c r="H7" s="741" t="s">
        <v>449</v>
      </c>
      <c r="I7" s="741"/>
      <c r="J7" s="741"/>
      <c r="K7" s="398" t="s">
        <v>41</v>
      </c>
      <c r="L7" s="398" t="s">
        <v>139</v>
      </c>
      <c r="M7" s="741" t="s">
        <v>45</v>
      </c>
      <c r="N7" s="741"/>
      <c r="O7" s="744"/>
      <c r="P7" s="53" t="s">
        <v>20</v>
      </c>
    </row>
    <row r="8" spans="1:23" ht="52.2" x14ac:dyDescent="0.25">
      <c r="A8" s="740"/>
      <c r="B8" s="399" t="s">
        <v>3</v>
      </c>
      <c r="C8" s="399" t="s">
        <v>128</v>
      </c>
      <c r="D8" s="399" t="s">
        <v>4</v>
      </c>
      <c r="E8" s="399" t="s">
        <v>3</v>
      </c>
      <c r="F8" s="399" t="s">
        <v>128</v>
      </c>
      <c r="G8" s="399" t="s">
        <v>4</v>
      </c>
      <c r="H8" s="399" t="s">
        <v>3</v>
      </c>
      <c r="I8" s="399" t="s">
        <v>128</v>
      </c>
      <c r="J8" s="399" t="s">
        <v>4</v>
      </c>
      <c r="K8" s="399" t="s">
        <v>4</v>
      </c>
      <c r="L8" s="399" t="s">
        <v>4</v>
      </c>
      <c r="M8" s="399" t="s">
        <v>3</v>
      </c>
      <c r="N8" s="399" t="s">
        <v>128</v>
      </c>
      <c r="O8" s="400" t="s">
        <v>4</v>
      </c>
      <c r="P8" s="53" t="s">
        <v>20</v>
      </c>
    </row>
    <row r="9" spans="1:23" ht="18" x14ac:dyDescent="0.25">
      <c r="A9" s="440" t="s">
        <v>288</v>
      </c>
      <c r="B9" s="401">
        <v>0</v>
      </c>
      <c r="C9" s="401">
        <v>0</v>
      </c>
      <c r="D9" s="401">
        <v>10000</v>
      </c>
      <c r="E9" s="401">
        <v>0</v>
      </c>
      <c r="F9" s="401">
        <v>0</v>
      </c>
      <c r="G9" s="401">
        <v>0</v>
      </c>
      <c r="H9" s="401">
        <v>0</v>
      </c>
      <c r="I9" s="401">
        <v>0</v>
      </c>
      <c r="J9" s="402">
        <v>-200</v>
      </c>
      <c r="K9" s="401">
        <v>0</v>
      </c>
      <c r="L9" s="401">
        <v>0</v>
      </c>
      <c r="M9" s="401">
        <f t="shared" ref="M9:N66" si="0">B9+H9</f>
        <v>0</v>
      </c>
      <c r="N9" s="401">
        <f t="shared" si="0"/>
        <v>0</v>
      </c>
      <c r="O9" s="403">
        <f>D9+J9+K9+L9+G9</f>
        <v>9800</v>
      </c>
      <c r="P9" s="53" t="s">
        <v>20</v>
      </c>
    </row>
    <row r="10" spans="1:23" ht="18" x14ac:dyDescent="0.25">
      <c r="A10" s="441" t="s">
        <v>289</v>
      </c>
      <c r="B10" s="405">
        <v>0</v>
      </c>
      <c r="C10" s="405">
        <v>0</v>
      </c>
      <c r="D10" s="405">
        <v>24000</v>
      </c>
      <c r="E10" s="405">
        <v>0</v>
      </c>
      <c r="F10" s="405">
        <v>0</v>
      </c>
      <c r="G10" s="405">
        <v>0</v>
      </c>
      <c r="H10" s="405">
        <v>0</v>
      </c>
      <c r="I10" s="405">
        <v>0</v>
      </c>
      <c r="J10" s="406">
        <v>-480</v>
      </c>
      <c r="K10" s="406">
        <v>-1997</v>
      </c>
      <c r="L10" s="405">
        <v>2263</v>
      </c>
      <c r="M10" s="405">
        <f t="shared" si="0"/>
        <v>0</v>
      </c>
      <c r="N10" s="405">
        <f t="shared" si="0"/>
        <v>0</v>
      </c>
      <c r="O10" s="407">
        <f>D10+J10+K10+L10+G10</f>
        <v>23786</v>
      </c>
      <c r="P10" s="53" t="s">
        <v>20</v>
      </c>
    </row>
    <row r="11" spans="1:23" ht="18.75" x14ac:dyDescent="0.3">
      <c r="A11" s="441" t="s">
        <v>290</v>
      </c>
      <c r="B11" s="405">
        <v>0</v>
      </c>
      <c r="C11" s="405">
        <v>0</v>
      </c>
      <c r="D11" s="408">
        <v>1500</v>
      </c>
      <c r="E11" s="405">
        <v>0</v>
      </c>
      <c r="F11" s="405">
        <v>0</v>
      </c>
      <c r="G11" s="405">
        <v>0</v>
      </c>
      <c r="H11" s="405">
        <v>0</v>
      </c>
      <c r="I11" s="405">
        <v>0</v>
      </c>
      <c r="J11" s="406">
        <v>0</v>
      </c>
      <c r="K11" s="406"/>
      <c r="L11" s="405">
        <v>0</v>
      </c>
      <c r="M11" s="405">
        <f t="shared" si="0"/>
        <v>0</v>
      </c>
      <c r="N11" s="405">
        <f t="shared" si="0"/>
        <v>0</v>
      </c>
      <c r="O11" s="407">
        <f>+J11+K11+L11+G11</f>
        <v>0</v>
      </c>
      <c r="P11" s="53" t="s">
        <v>20</v>
      </c>
    </row>
    <row r="12" spans="1:23" ht="18" x14ac:dyDescent="0.25">
      <c r="A12" s="433" t="s">
        <v>291</v>
      </c>
      <c r="B12" s="405">
        <v>0</v>
      </c>
      <c r="C12" s="405">
        <v>0</v>
      </c>
      <c r="D12" s="405">
        <v>15000</v>
      </c>
      <c r="E12" s="405">
        <v>0</v>
      </c>
      <c r="F12" s="405">
        <v>0</v>
      </c>
      <c r="G12" s="405">
        <v>0</v>
      </c>
      <c r="H12" s="405">
        <v>0</v>
      </c>
      <c r="I12" s="405">
        <v>0</v>
      </c>
      <c r="J12" s="406">
        <v>-300</v>
      </c>
      <c r="K12" s="406">
        <v>-617</v>
      </c>
      <c r="L12" s="405">
        <v>1149</v>
      </c>
      <c r="M12" s="405">
        <f t="shared" si="0"/>
        <v>0</v>
      </c>
      <c r="N12" s="405">
        <f t="shared" si="0"/>
        <v>0</v>
      </c>
      <c r="O12" s="407">
        <f t="shared" ref="O12:O68" si="1">D12+J12+K12+L12+G12</f>
        <v>15232</v>
      </c>
      <c r="P12" s="53" t="s">
        <v>20</v>
      </c>
    </row>
    <row r="13" spans="1:23" ht="18" x14ac:dyDescent="0.25">
      <c r="A13" s="433" t="s">
        <v>369</v>
      </c>
      <c r="B13" s="405">
        <v>0</v>
      </c>
      <c r="C13" s="405">
        <v>0</v>
      </c>
      <c r="D13" s="405">
        <v>15000</v>
      </c>
      <c r="E13" s="405">
        <v>0</v>
      </c>
      <c r="F13" s="405">
        <v>0</v>
      </c>
      <c r="G13" s="405">
        <v>0</v>
      </c>
      <c r="H13" s="405">
        <v>0</v>
      </c>
      <c r="I13" s="405">
        <v>0</v>
      </c>
      <c r="J13" s="406">
        <v>-300</v>
      </c>
      <c r="K13" s="405">
        <v>0</v>
      </c>
      <c r="L13" s="405">
        <v>0</v>
      </c>
      <c r="M13" s="405">
        <f t="shared" si="0"/>
        <v>0</v>
      </c>
      <c r="N13" s="405">
        <f t="shared" si="0"/>
        <v>0</v>
      </c>
      <c r="O13" s="407">
        <f t="shared" si="1"/>
        <v>14700</v>
      </c>
      <c r="P13" s="53" t="s">
        <v>20</v>
      </c>
    </row>
    <row r="14" spans="1:23" ht="18" x14ac:dyDescent="0.25">
      <c r="A14" s="433" t="s">
        <v>279</v>
      </c>
      <c r="B14" s="405">
        <v>0</v>
      </c>
      <c r="C14" s="405">
        <v>0</v>
      </c>
      <c r="D14" s="405">
        <v>470000</v>
      </c>
      <c r="E14" s="405">
        <v>0</v>
      </c>
      <c r="F14" s="405">
        <v>0</v>
      </c>
      <c r="G14" s="405">
        <v>0</v>
      </c>
      <c r="H14" s="405">
        <v>0</v>
      </c>
      <c r="I14" s="405">
        <v>0</v>
      </c>
      <c r="J14" s="406">
        <v>-7400</v>
      </c>
      <c r="K14" s="405">
        <v>10841</v>
      </c>
      <c r="L14" s="405">
        <v>1364</v>
      </c>
      <c r="M14" s="405">
        <f t="shared" si="0"/>
        <v>0</v>
      </c>
      <c r="N14" s="405">
        <f t="shared" si="0"/>
        <v>0</v>
      </c>
      <c r="O14" s="407">
        <f t="shared" si="1"/>
        <v>474805</v>
      </c>
      <c r="P14" s="53" t="s">
        <v>20</v>
      </c>
    </row>
    <row r="15" spans="1:23" ht="18.75" x14ac:dyDescent="0.3">
      <c r="A15" s="433" t="s">
        <v>292</v>
      </c>
      <c r="B15" s="405">
        <v>0</v>
      </c>
      <c r="C15" s="405">
        <v>0</v>
      </c>
      <c r="D15" s="408">
        <v>6000</v>
      </c>
      <c r="E15" s="405">
        <v>0</v>
      </c>
      <c r="F15" s="405">
        <v>0</v>
      </c>
      <c r="G15" s="405">
        <v>0</v>
      </c>
      <c r="H15" s="405">
        <v>0</v>
      </c>
      <c r="I15" s="405">
        <v>0</v>
      </c>
      <c r="J15" s="406">
        <v>0</v>
      </c>
      <c r="K15" s="405">
        <v>3</v>
      </c>
      <c r="L15" s="405">
        <v>0</v>
      </c>
      <c r="M15" s="405">
        <f t="shared" si="0"/>
        <v>0</v>
      </c>
      <c r="N15" s="405">
        <f t="shared" si="0"/>
        <v>0</v>
      </c>
      <c r="O15" s="407">
        <f>J15+K15+L15+G15</f>
        <v>3</v>
      </c>
      <c r="P15" s="53" t="s">
        <v>20</v>
      </c>
    </row>
    <row r="16" spans="1:23" ht="18" x14ac:dyDescent="0.35">
      <c r="A16" s="433" t="s">
        <v>293</v>
      </c>
      <c r="B16" s="405">
        <v>0</v>
      </c>
      <c r="C16" s="405">
        <v>0</v>
      </c>
      <c r="D16" s="408">
        <v>2000</v>
      </c>
      <c r="E16" s="405">
        <v>0</v>
      </c>
      <c r="F16" s="405">
        <v>0</v>
      </c>
      <c r="G16" s="405">
        <v>0</v>
      </c>
      <c r="H16" s="405">
        <v>0</v>
      </c>
      <c r="I16" s="405">
        <v>0</v>
      </c>
      <c r="J16" s="406">
        <v>0</v>
      </c>
      <c r="K16" s="405">
        <v>0</v>
      </c>
      <c r="L16" s="405">
        <v>0</v>
      </c>
      <c r="M16" s="405">
        <f t="shared" si="0"/>
        <v>0</v>
      </c>
      <c r="N16" s="405">
        <f t="shared" si="0"/>
        <v>0</v>
      </c>
      <c r="O16" s="407">
        <f>J16+K16+L16+G16</f>
        <v>0</v>
      </c>
      <c r="P16" s="53" t="s">
        <v>20</v>
      </c>
    </row>
    <row r="17" spans="1:16" ht="18" x14ac:dyDescent="0.35">
      <c r="A17" s="433" t="s">
        <v>294</v>
      </c>
      <c r="B17" s="405">
        <v>0</v>
      </c>
      <c r="C17" s="405">
        <v>0</v>
      </c>
      <c r="D17" s="408">
        <v>4000</v>
      </c>
      <c r="E17" s="405">
        <v>0</v>
      </c>
      <c r="F17" s="405">
        <v>0</v>
      </c>
      <c r="G17" s="405">
        <v>0</v>
      </c>
      <c r="H17" s="405">
        <v>0</v>
      </c>
      <c r="I17" s="405">
        <v>0</v>
      </c>
      <c r="J17" s="406">
        <v>0</v>
      </c>
      <c r="K17" s="405">
        <v>0</v>
      </c>
      <c r="L17" s="405">
        <v>0</v>
      </c>
      <c r="M17" s="405">
        <f t="shared" si="0"/>
        <v>0</v>
      </c>
      <c r="N17" s="405">
        <f t="shared" si="0"/>
        <v>0</v>
      </c>
      <c r="O17" s="407">
        <f>J17+K17+L17+G17</f>
        <v>0</v>
      </c>
      <c r="P17" s="53" t="s">
        <v>20</v>
      </c>
    </row>
    <row r="18" spans="1:16" ht="18.75" x14ac:dyDescent="0.3">
      <c r="A18" s="433" t="s">
        <v>295</v>
      </c>
      <c r="B18" s="405">
        <v>0</v>
      </c>
      <c r="C18" s="405">
        <v>0</v>
      </c>
      <c r="D18" s="408">
        <v>4000</v>
      </c>
      <c r="E18" s="405">
        <v>0</v>
      </c>
      <c r="F18" s="405">
        <v>0</v>
      </c>
      <c r="G18" s="405">
        <v>0</v>
      </c>
      <c r="H18" s="405">
        <v>0</v>
      </c>
      <c r="I18" s="405">
        <v>0</v>
      </c>
      <c r="J18" s="406">
        <v>0</v>
      </c>
      <c r="K18" s="405">
        <v>0</v>
      </c>
      <c r="L18" s="405">
        <v>0</v>
      </c>
      <c r="M18" s="405">
        <f t="shared" si="0"/>
        <v>0</v>
      </c>
      <c r="N18" s="405">
        <f t="shared" si="0"/>
        <v>0</v>
      </c>
      <c r="O18" s="407">
        <f>+J18+K18+L18+G18</f>
        <v>0</v>
      </c>
      <c r="P18" s="53" t="s">
        <v>20</v>
      </c>
    </row>
    <row r="19" spans="1:16" ht="18.75" x14ac:dyDescent="0.3">
      <c r="A19" s="433" t="s">
        <v>296</v>
      </c>
      <c r="B19" s="405">
        <v>0</v>
      </c>
      <c r="C19" s="405">
        <v>0</v>
      </c>
      <c r="D19" s="408">
        <v>2000</v>
      </c>
      <c r="E19" s="405">
        <v>0</v>
      </c>
      <c r="F19" s="405">
        <v>0</v>
      </c>
      <c r="G19" s="405">
        <v>0</v>
      </c>
      <c r="H19" s="405">
        <v>0</v>
      </c>
      <c r="I19" s="405">
        <v>0</v>
      </c>
      <c r="J19" s="406">
        <v>0</v>
      </c>
      <c r="K19" s="405">
        <v>0</v>
      </c>
      <c r="L19" s="405">
        <v>0</v>
      </c>
      <c r="M19" s="405">
        <f t="shared" si="0"/>
        <v>0</v>
      </c>
      <c r="N19" s="405">
        <f t="shared" si="0"/>
        <v>0</v>
      </c>
      <c r="O19" s="407">
        <f>+J19+K19+L19+G19</f>
        <v>0</v>
      </c>
      <c r="P19" s="53" t="s">
        <v>20</v>
      </c>
    </row>
    <row r="20" spans="1:16" ht="18" x14ac:dyDescent="0.35">
      <c r="A20" s="433" t="s">
        <v>442</v>
      </c>
      <c r="B20" s="405">
        <v>0</v>
      </c>
      <c r="C20" s="405">
        <v>0</v>
      </c>
      <c r="D20" s="408">
        <v>100000</v>
      </c>
      <c r="E20" s="405">
        <v>0</v>
      </c>
      <c r="F20" s="405">
        <v>0</v>
      </c>
      <c r="G20" s="405">
        <v>0</v>
      </c>
      <c r="H20" s="405">
        <v>0</v>
      </c>
      <c r="I20" s="405">
        <v>0</v>
      </c>
      <c r="J20" s="406">
        <v>0</v>
      </c>
      <c r="K20" s="405">
        <v>0</v>
      </c>
      <c r="L20" s="405">
        <v>0</v>
      </c>
      <c r="M20" s="405">
        <f t="shared" si="0"/>
        <v>0</v>
      </c>
      <c r="N20" s="405">
        <f t="shared" si="0"/>
        <v>0</v>
      </c>
      <c r="O20" s="407">
        <f>J20+K20+L20+G20</f>
        <v>0</v>
      </c>
      <c r="P20" s="53" t="s">
        <v>20</v>
      </c>
    </row>
    <row r="21" spans="1:16" ht="17.399999999999999" x14ac:dyDescent="0.3">
      <c r="A21" s="433" t="s">
        <v>285</v>
      </c>
      <c r="B21" s="405">
        <v>0</v>
      </c>
      <c r="C21" s="405">
        <v>0</v>
      </c>
      <c r="D21" s="405">
        <v>3000</v>
      </c>
      <c r="E21" s="405">
        <v>0</v>
      </c>
      <c r="F21" s="405">
        <v>0</v>
      </c>
      <c r="G21" s="405">
        <v>0</v>
      </c>
      <c r="H21" s="405">
        <v>0</v>
      </c>
      <c r="I21" s="405">
        <v>0</v>
      </c>
      <c r="J21" s="406">
        <v>0</v>
      </c>
      <c r="K21" s="405">
        <v>251</v>
      </c>
      <c r="L21" s="405">
        <v>404</v>
      </c>
      <c r="M21" s="405">
        <f t="shared" si="0"/>
        <v>0</v>
      </c>
      <c r="N21" s="405">
        <f t="shared" si="0"/>
        <v>0</v>
      </c>
      <c r="O21" s="407">
        <f t="shared" si="1"/>
        <v>3655</v>
      </c>
      <c r="P21" s="53" t="s">
        <v>20</v>
      </c>
    </row>
    <row r="22" spans="1:16" ht="17.399999999999999" x14ac:dyDescent="0.3">
      <c r="A22" s="433" t="s">
        <v>368</v>
      </c>
      <c r="B22" s="405">
        <v>0</v>
      </c>
      <c r="C22" s="405">
        <v>0</v>
      </c>
      <c r="D22" s="405">
        <v>0</v>
      </c>
      <c r="E22" s="405">
        <v>0</v>
      </c>
      <c r="F22" s="405">
        <v>0</v>
      </c>
      <c r="G22" s="405">
        <v>0</v>
      </c>
      <c r="H22" s="405">
        <v>0</v>
      </c>
      <c r="I22" s="405">
        <v>0</v>
      </c>
      <c r="J22" s="406">
        <v>-60</v>
      </c>
      <c r="K22" s="405">
        <v>10</v>
      </c>
      <c r="L22" s="405">
        <v>24</v>
      </c>
      <c r="M22" s="405"/>
      <c r="N22" s="405"/>
      <c r="O22" s="407">
        <f t="shared" si="1"/>
        <v>-26</v>
      </c>
      <c r="P22" s="53" t="s">
        <v>20</v>
      </c>
    </row>
    <row r="23" spans="1:16" ht="17.399999999999999" x14ac:dyDescent="0.3">
      <c r="A23" s="433" t="s">
        <v>276</v>
      </c>
      <c r="B23" s="405">
        <v>0</v>
      </c>
      <c r="C23" s="405">
        <v>0</v>
      </c>
      <c r="D23" s="405">
        <v>10000</v>
      </c>
      <c r="E23" s="405">
        <v>0</v>
      </c>
      <c r="F23" s="405">
        <v>0</v>
      </c>
      <c r="G23" s="405">
        <v>0</v>
      </c>
      <c r="H23" s="405">
        <v>0</v>
      </c>
      <c r="I23" s="405">
        <v>0</v>
      </c>
      <c r="J23" s="406">
        <v>-200</v>
      </c>
      <c r="K23" s="405">
        <v>0</v>
      </c>
      <c r="L23" s="405">
        <v>0</v>
      </c>
      <c r="M23" s="405">
        <f t="shared" si="0"/>
        <v>0</v>
      </c>
      <c r="N23" s="405">
        <f t="shared" si="0"/>
        <v>0</v>
      </c>
      <c r="O23" s="407">
        <f t="shared" si="1"/>
        <v>9800</v>
      </c>
      <c r="P23" s="53" t="s">
        <v>20</v>
      </c>
    </row>
    <row r="24" spans="1:16" ht="17.399999999999999" x14ac:dyDescent="0.3">
      <c r="A24" s="433" t="s">
        <v>300</v>
      </c>
      <c r="B24" s="405">
        <v>0</v>
      </c>
      <c r="C24" s="405">
        <v>0</v>
      </c>
      <c r="D24" s="405">
        <v>4500</v>
      </c>
      <c r="E24" s="405">
        <v>0</v>
      </c>
      <c r="F24" s="405">
        <v>0</v>
      </c>
      <c r="G24" s="405">
        <v>0</v>
      </c>
      <c r="H24" s="405">
        <v>0</v>
      </c>
      <c r="I24" s="405">
        <v>0</v>
      </c>
      <c r="J24" s="406">
        <v>-90</v>
      </c>
      <c r="K24" s="405">
        <v>0</v>
      </c>
      <c r="L24" s="405">
        <v>0</v>
      </c>
      <c r="M24" s="405">
        <f t="shared" si="0"/>
        <v>0</v>
      </c>
      <c r="N24" s="405">
        <f t="shared" si="0"/>
        <v>0</v>
      </c>
      <c r="O24" s="407">
        <f t="shared" si="1"/>
        <v>4410</v>
      </c>
      <c r="P24" s="53" t="s">
        <v>20</v>
      </c>
    </row>
    <row r="25" spans="1:16" ht="17.399999999999999" x14ac:dyDescent="0.3">
      <c r="A25" s="433" t="s">
        <v>286</v>
      </c>
      <c r="B25" s="405">
        <v>0</v>
      </c>
      <c r="C25" s="405">
        <v>0</v>
      </c>
      <c r="D25" s="405">
        <v>125000</v>
      </c>
      <c r="E25" s="405">
        <v>0</v>
      </c>
      <c r="F25" s="405">
        <v>0</v>
      </c>
      <c r="G25" s="405">
        <v>0</v>
      </c>
      <c r="H25" s="405">
        <v>0</v>
      </c>
      <c r="I25" s="405">
        <v>0</v>
      </c>
      <c r="J25" s="406">
        <v>-2340</v>
      </c>
      <c r="K25" s="405">
        <v>63</v>
      </c>
      <c r="L25" s="405">
        <v>2939</v>
      </c>
      <c r="M25" s="405">
        <f t="shared" si="0"/>
        <v>0</v>
      </c>
      <c r="N25" s="405">
        <f t="shared" si="0"/>
        <v>0</v>
      </c>
      <c r="O25" s="407">
        <f t="shared" si="1"/>
        <v>125662</v>
      </c>
      <c r="P25" s="53" t="s">
        <v>20</v>
      </c>
    </row>
    <row r="26" spans="1:16" ht="17.399999999999999" x14ac:dyDescent="0.3">
      <c r="A26" s="433" t="s">
        <v>366</v>
      </c>
      <c r="B26" s="405">
        <v>0</v>
      </c>
      <c r="C26" s="405">
        <v>0</v>
      </c>
      <c r="D26" s="405">
        <v>0</v>
      </c>
      <c r="E26" s="405">
        <v>0</v>
      </c>
      <c r="F26" s="405">
        <v>0</v>
      </c>
      <c r="G26" s="405">
        <v>0</v>
      </c>
      <c r="H26" s="405">
        <v>0</v>
      </c>
      <c r="I26" s="405">
        <v>0</v>
      </c>
      <c r="J26" s="406">
        <v>-80</v>
      </c>
      <c r="K26" s="405">
        <v>0</v>
      </c>
      <c r="L26" s="405">
        <v>0</v>
      </c>
      <c r="M26" s="405">
        <f t="shared" si="0"/>
        <v>0</v>
      </c>
      <c r="N26" s="405">
        <f t="shared" si="0"/>
        <v>0</v>
      </c>
      <c r="O26" s="407">
        <f t="shared" si="1"/>
        <v>-80</v>
      </c>
      <c r="P26" s="53" t="s">
        <v>20</v>
      </c>
    </row>
    <row r="27" spans="1:16" ht="17.399999999999999" x14ac:dyDescent="0.3">
      <c r="A27" s="433" t="s">
        <v>304</v>
      </c>
      <c r="B27" s="405">
        <v>0</v>
      </c>
      <c r="C27" s="405">
        <v>0</v>
      </c>
      <c r="D27" s="405">
        <v>0</v>
      </c>
      <c r="E27" s="405">
        <v>0</v>
      </c>
      <c r="F27" s="405">
        <v>0</v>
      </c>
      <c r="G27" s="405">
        <v>0</v>
      </c>
      <c r="H27" s="405">
        <v>0</v>
      </c>
      <c r="I27" s="405">
        <v>0</v>
      </c>
      <c r="J27" s="406">
        <v>-80</v>
      </c>
      <c r="K27" s="405">
        <v>5288</v>
      </c>
      <c r="L27" s="405">
        <v>0</v>
      </c>
      <c r="M27" s="405">
        <f t="shared" si="0"/>
        <v>0</v>
      </c>
      <c r="N27" s="405">
        <f t="shared" si="0"/>
        <v>0</v>
      </c>
      <c r="O27" s="407">
        <f t="shared" si="1"/>
        <v>5208</v>
      </c>
      <c r="P27" s="53" t="s">
        <v>20</v>
      </c>
    </row>
    <row r="28" spans="1:16" ht="17.399999999999999" x14ac:dyDescent="0.3">
      <c r="A28" s="433" t="s">
        <v>306</v>
      </c>
      <c r="B28" s="405">
        <v>0</v>
      </c>
      <c r="C28" s="405">
        <v>0</v>
      </c>
      <c r="D28" s="405">
        <v>35000</v>
      </c>
      <c r="E28" s="405">
        <v>0</v>
      </c>
      <c r="F28" s="405">
        <v>0</v>
      </c>
      <c r="G28" s="405">
        <v>0</v>
      </c>
      <c r="H28" s="405">
        <v>0</v>
      </c>
      <c r="I28" s="405">
        <v>0</v>
      </c>
      <c r="J28" s="406">
        <v>-700</v>
      </c>
      <c r="K28" s="405">
        <v>1029</v>
      </c>
      <c r="L28" s="405">
        <v>1422</v>
      </c>
      <c r="M28" s="405">
        <f t="shared" si="0"/>
        <v>0</v>
      </c>
      <c r="N28" s="405">
        <f t="shared" si="0"/>
        <v>0</v>
      </c>
      <c r="O28" s="407">
        <f t="shared" si="1"/>
        <v>36751</v>
      </c>
      <c r="P28" s="53" t="s">
        <v>20</v>
      </c>
    </row>
    <row r="29" spans="1:16" ht="17.399999999999999" x14ac:dyDescent="0.3">
      <c r="A29" s="433" t="s">
        <v>365</v>
      </c>
      <c r="B29" s="405">
        <v>0</v>
      </c>
      <c r="C29" s="405">
        <v>0</v>
      </c>
      <c r="D29" s="405">
        <v>7000</v>
      </c>
      <c r="E29" s="405">
        <v>0</v>
      </c>
      <c r="F29" s="405">
        <v>0</v>
      </c>
      <c r="G29" s="405">
        <v>0</v>
      </c>
      <c r="H29" s="405">
        <v>0</v>
      </c>
      <c r="I29" s="405">
        <v>0</v>
      </c>
      <c r="J29" s="406">
        <v>-140</v>
      </c>
      <c r="K29" s="405">
        <v>6</v>
      </c>
      <c r="L29" s="405">
        <v>147</v>
      </c>
      <c r="M29" s="405">
        <f t="shared" si="0"/>
        <v>0</v>
      </c>
      <c r="N29" s="405">
        <f t="shared" si="0"/>
        <v>0</v>
      </c>
      <c r="O29" s="407">
        <f t="shared" si="1"/>
        <v>7013</v>
      </c>
      <c r="P29" s="53" t="s">
        <v>20</v>
      </c>
    </row>
    <row r="30" spans="1:16" ht="17.399999999999999" x14ac:dyDescent="0.3">
      <c r="A30" s="433" t="s">
        <v>309</v>
      </c>
      <c r="B30" s="405">
        <v>0</v>
      </c>
      <c r="C30" s="405">
        <v>0</v>
      </c>
      <c r="D30" s="405">
        <v>20000</v>
      </c>
      <c r="E30" s="405">
        <v>0</v>
      </c>
      <c r="F30" s="405">
        <v>0</v>
      </c>
      <c r="G30" s="405">
        <v>0</v>
      </c>
      <c r="H30" s="405">
        <v>0</v>
      </c>
      <c r="I30" s="405">
        <v>0</v>
      </c>
      <c r="J30" s="406">
        <v>-400</v>
      </c>
      <c r="K30" s="405">
        <v>34</v>
      </c>
      <c r="L30" s="405">
        <v>309</v>
      </c>
      <c r="M30" s="405">
        <f t="shared" si="0"/>
        <v>0</v>
      </c>
      <c r="N30" s="405">
        <f t="shared" si="0"/>
        <v>0</v>
      </c>
      <c r="O30" s="407">
        <f t="shared" si="1"/>
        <v>19943</v>
      </c>
      <c r="P30" s="53" t="s">
        <v>20</v>
      </c>
    </row>
    <row r="31" spans="1:16" ht="17.399999999999999" x14ac:dyDescent="0.3">
      <c r="A31" s="433" t="s">
        <v>310</v>
      </c>
      <c r="B31" s="405">
        <v>0</v>
      </c>
      <c r="C31" s="405">
        <v>0</v>
      </c>
      <c r="D31" s="405">
        <v>38000</v>
      </c>
      <c r="E31" s="405">
        <v>0</v>
      </c>
      <c r="F31" s="405">
        <v>0</v>
      </c>
      <c r="G31" s="405">
        <v>0</v>
      </c>
      <c r="H31" s="405">
        <v>0</v>
      </c>
      <c r="I31" s="405">
        <v>0</v>
      </c>
      <c r="J31" s="406">
        <v>-760</v>
      </c>
      <c r="K31" s="405">
        <f>215+20</f>
        <v>235</v>
      </c>
      <c r="L31" s="405">
        <v>0</v>
      </c>
      <c r="M31" s="405">
        <f t="shared" si="0"/>
        <v>0</v>
      </c>
      <c r="N31" s="405">
        <f t="shared" si="0"/>
        <v>0</v>
      </c>
      <c r="O31" s="407">
        <f t="shared" si="1"/>
        <v>37475</v>
      </c>
      <c r="P31" s="53" t="s">
        <v>20</v>
      </c>
    </row>
    <row r="32" spans="1:16" ht="17.399999999999999" x14ac:dyDescent="0.3">
      <c r="A32" s="433" t="s">
        <v>364</v>
      </c>
      <c r="B32" s="405">
        <v>0</v>
      </c>
      <c r="C32" s="405">
        <v>0</v>
      </c>
      <c r="D32" s="405">
        <v>0</v>
      </c>
      <c r="E32" s="405">
        <v>0</v>
      </c>
      <c r="F32" s="405">
        <v>0</v>
      </c>
      <c r="G32" s="405">
        <v>0</v>
      </c>
      <c r="H32" s="405">
        <v>0</v>
      </c>
      <c r="I32" s="405">
        <v>0</v>
      </c>
      <c r="J32" s="406">
        <v>0</v>
      </c>
      <c r="K32" s="405">
        <v>0</v>
      </c>
      <c r="L32" s="405">
        <v>184</v>
      </c>
      <c r="M32" s="405">
        <v>0</v>
      </c>
      <c r="N32" s="405">
        <v>0</v>
      </c>
      <c r="O32" s="407">
        <f t="shared" si="1"/>
        <v>184</v>
      </c>
      <c r="P32" s="53" t="s">
        <v>20</v>
      </c>
    </row>
    <row r="33" spans="1:16" ht="17.399999999999999" x14ac:dyDescent="0.3">
      <c r="A33" s="433" t="s">
        <v>311</v>
      </c>
      <c r="B33" s="405">
        <v>0</v>
      </c>
      <c r="C33" s="405">
        <v>0</v>
      </c>
      <c r="D33" s="405">
        <v>4000</v>
      </c>
      <c r="E33" s="405">
        <v>0</v>
      </c>
      <c r="F33" s="405">
        <v>0</v>
      </c>
      <c r="G33" s="405">
        <v>0</v>
      </c>
      <c r="H33" s="405">
        <v>0</v>
      </c>
      <c r="I33" s="405">
        <v>0</v>
      </c>
      <c r="J33" s="406">
        <v>-80</v>
      </c>
      <c r="K33" s="405">
        <v>63</v>
      </c>
      <c r="L33" s="405">
        <v>55</v>
      </c>
      <c r="M33" s="405">
        <f t="shared" si="0"/>
        <v>0</v>
      </c>
      <c r="N33" s="405">
        <f t="shared" si="0"/>
        <v>0</v>
      </c>
      <c r="O33" s="407">
        <f t="shared" si="1"/>
        <v>4038</v>
      </c>
      <c r="P33" s="53" t="s">
        <v>20</v>
      </c>
    </row>
    <row r="34" spans="1:16" ht="17.399999999999999" x14ac:dyDescent="0.3">
      <c r="A34" s="433" t="s">
        <v>312</v>
      </c>
      <c r="B34" s="405">
        <v>0</v>
      </c>
      <c r="C34" s="405">
        <v>0</v>
      </c>
      <c r="D34" s="405">
        <v>9000</v>
      </c>
      <c r="E34" s="405">
        <v>0</v>
      </c>
      <c r="F34" s="405">
        <v>0</v>
      </c>
      <c r="G34" s="405">
        <v>0</v>
      </c>
      <c r="H34" s="405">
        <v>0</v>
      </c>
      <c r="I34" s="405">
        <v>0</v>
      </c>
      <c r="J34" s="406">
        <v>-180</v>
      </c>
      <c r="K34" s="405">
        <v>336</v>
      </c>
      <c r="L34" s="405">
        <v>494</v>
      </c>
      <c r="M34" s="405">
        <f t="shared" si="0"/>
        <v>0</v>
      </c>
      <c r="N34" s="405">
        <f t="shared" si="0"/>
        <v>0</v>
      </c>
      <c r="O34" s="407">
        <f t="shared" si="1"/>
        <v>9650</v>
      </c>
      <c r="P34" s="53" t="s">
        <v>20</v>
      </c>
    </row>
    <row r="35" spans="1:16" ht="17.399999999999999" x14ac:dyDescent="0.3">
      <c r="A35" s="433" t="s">
        <v>313</v>
      </c>
      <c r="B35" s="405">
        <v>0</v>
      </c>
      <c r="C35" s="405">
        <v>0</v>
      </c>
      <c r="D35" s="405">
        <v>1000</v>
      </c>
      <c r="E35" s="405">
        <v>0</v>
      </c>
      <c r="F35" s="405">
        <v>0</v>
      </c>
      <c r="G35" s="405">
        <v>0</v>
      </c>
      <c r="H35" s="405">
        <v>0</v>
      </c>
      <c r="I35" s="405">
        <v>0</v>
      </c>
      <c r="J35" s="406">
        <v>-20</v>
      </c>
      <c r="K35" s="405">
        <v>0</v>
      </c>
      <c r="L35" s="405">
        <v>0</v>
      </c>
      <c r="M35" s="405">
        <f t="shared" si="0"/>
        <v>0</v>
      </c>
      <c r="N35" s="405">
        <f t="shared" si="0"/>
        <v>0</v>
      </c>
      <c r="O35" s="407">
        <f t="shared" si="1"/>
        <v>980</v>
      </c>
      <c r="P35" s="53" t="s">
        <v>20</v>
      </c>
    </row>
    <row r="36" spans="1:16" ht="17.399999999999999" x14ac:dyDescent="0.3">
      <c r="A36" s="433" t="s">
        <v>278</v>
      </c>
      <c r="B36" s="405">
        <v>0</v>
      </c>
      <c r="C36" s="405">
        <v>0</v>
      </c>
      <c r="D36" s="405">
        <v>6000</v>
      </c>
      <c r="E36" s="405">
        <v>0</v>
      </c>
      <c r="F36" s="405">
        <v>0</v>
      </c>
      <c r="G36" s="405">
        <v>0</v>
      </c>
      <c r="H36" s="405">
        <v>0</v>
      </c>
      <c r="I36" s="405">
        <v>0</v>
      </c>
      <c r="J36" s="406">
        <v>-120</v>
      </c>
      <c r="K36" s="405">
        <v>725</v>
      </c>
      <c r="L36" s="405">
        <v>256</v>
      </c>
      <c r="M36" s="405">
        <f t="shared" si="0"/>
        <v>0</v>
      </c>
      <c r="N36" s="405">
        <f t="shared" si="0"/>
        <v>0</v>
      </c>
      <c r="O36" s="407">
        <f t="shared" si="1"/>
        <v>6861</v>
      </c>
      <c r="P36" s="53" t="s">
        <v>20</v>
      </c>
    </row>
    <row r="37" spans="1:16" ht="17.399999999999999" x14ac:dyDescent="0.3">
      <c r="A37" s="433" t="s">
        <v>314</v>
      </c>
      <c r="B37" s="405">
        <v>0</v>
      </c>
      <c r="C37" s="405">
        <v>0</v>
      </c>
      <c r="D37" s="405">
        <v>5000</v>
      </c>
      <c r="E37" s="405">
        <v>0</v>
      </c>
      <c r="F37" s="405">
        <v>0</v>
      </c>
      <c r="G37" s="405">
        <v>0</v>
      </c>
      <c r="H37" s="405">
        <v>0</v>
      </c>
      <c r="I37" s="405">
        <v>0</v>
      </c>
      <c r="J37" s="406">
        <v>-100</v>
      </c>
      <c r="K37" s="405">
        <v>5948</v>
      </c>
      <c r="L37" s="405">
        <v>0</v>
      </c>
      <c r="M37" s="405">
        <f t="shared" si="0"/>
        <v>0</v>
      </c>
      <c r="N37" s="405">
        <f t="shared" si="0"/>
        <v>0</v>
      </c>
      <c r="O37" s="407">
        <f t="shared" si="1"/>
        <v>10848</v>
      </c>
      <c r="P37" s="53" t="s">
        <v>20</v>
      </c>
    </row>
    <row r="38" spans="1:16" ht="18" x14ac:dyDescent="0.25">
      <c r="A38" s="433" t="s">
        <v>443</v>
      </c>
      <c r="B38" s="405">
        <v>0</v>
      </c>
      <c r="C38" s="405">
        <v>0</v>
      </c>
      <c r="D38" s="405">
        <v>0</v>
      </c>
      <c r="E38" s="405">
        <v>0</v>
      </c>
      <c r="F38" s="405">
        <v>0</v>
      </c>
      <c r="G38" s="405">
        <v>0</v>
      </c>
      <c r="H38" s="405">
        <v>0</v>
      </c>
      <c r="I38" s="405">
        <v>0</v>
      </c>
      <c r="J38" s="406">
        <v>0</v>
      </c>
      <c r="K38" s="405">
        <v>0</v>
      </c>
      <c r="L38" s="405">
        <v>234</v>
      </c>
      <c r="M38" s="405">
        <v>0</v>
      </c>
      <c r="N38" s="405">
        <v>0</v>
      </c>
      <c r="O38" s="407">
        <f t="shared" si="1"/>
        <v>234</v>
      </c>
      <c r="P38" s="53" t="s">
        <v>20</v>
      </c>
    </row>
    <row r="39" spans="1:16" ht="18" x14ac:dyDescent="0.25">
      <c r="A39" s="433" t="s">
        <v>315</v>
      </c>
      <c r="B39" s="405">
        <v>0</v>
      </c>
      <c r="C39" s="405">
        <v>0</v>
      </c>
      <c r="D39" s="405">
        <v>1000</v>
      </c>
      <c r="E39" s="405">
        <v>0</v>
      </c>
      <c r="F39" s="405">
        <v>0</v>
      </c>
      <c r="G39" s="405">
        <v>0</v>
      </c>
      <c r="H39" s="405">
        <v>0</v>
      </c>
      <c r="I39" s="405">
        <v>0</v>
      </c>
      <c r="J39" s="406">
        <v>-20</v>
      </c>
      <c r="K39" s="405">
        <v>7</v>
      </c>
      <c r="L39" s="405">
        <v>1322</v>
      </c>
      <c r="M39" s="405">
        <f t="shared" si="0"/>
        <v>0</v>
      </c>
      <c r="N39" s="405">
        <f t="shared" si="0"/>
        <v>0</v>
      </c>
      <c r="O39" s="407">
        <f t="shared" si="1"/>
        <v>2309</v>
      </c>
      <c r="P39" s="53" t="s">
        <v>20</v>
      </c>
    </row>
    <row r="40" spans="1:16" ht="18" x14ac:dyDescent="0.25">
      <c r="A40" s="433" t="s">
        <v>316</v>
      </c>
      <c r="B40" s="405">
        <v>0</v>
      </c>
      <c r="C40" s="405">
        <v>0</v>
      </c>
      <c r="D40" s="405">
        <v>12000</v>
      </c>
      <c r="E40" s="405">
        <v>0</v>
      </c>
      <c r="F40" s="405">
        <v>0</v>
      </c>
      <c r="G40" s="405">
        <v>0</v>
      </c>
      <c r="H40" s="405">
        <v>0</v>
      </c>
      <c r="I40" s="405">
        <v>0</v>
      </c>
      <c r="J40" s="406">
        <v>-240</v>
      </c>
      <c r="K40" s="405">
        <v>1983</v>
      </c>
      <c r="L40" s="405">
        <v>284</v>
      </c>
      <c r="M40" s="405">
        <f t="shared" si="0"/>
        <v>0</v>
      </c>
      <c r="N40" s="405">
        <f t="shared" si="0"/>
        <v>0</v>
      </c>
      <c r="O40" s="407">
        <f t="shared" si="1"/>
        <v>14027</v>
      </c>
      <c r="P40" s="53" t="s">
        <v>20</v>
      </c>
    </row>
    <row r="41" spans="1:16" ht="18" x14ac:dyDescent="0.25">
      <c r="A41" s="433" t="s">
        <v>317</v>
      </c>
      <c r="B41" s="405">
        <v>0</v>
      </c>
      <c r="C41" s="405">
        <v>0</v>
      </c>
      <c r="D41" s="405">
        <v>7000</v>
      </c>
      <c r="E41" s="405">
        <v>0</v>
      </c>
      <c r="F41" s="405">
        <v>0</v>
      </c>
      <c r="G41" s="405">
        <v>0</v>
      </c>
      <c r="H41" s="405">
        <v>0</v>
      </c>
      <c r="I41" s="405">
        <v>0</v>
      </c>
      <c r="J41" s="406">
        <v>-140</v>
      </c>
      <c r="K41" s="405">
        <v>2</v>
      </c>
      <c r="L41" s="405">
        <v>438</v>
      </c>
      <c r="M41" s="405">
        <f t="shared" si="0"/>
        <v>0</v>
      </c>
      <c r="N41" s="405">
        <f t="shared" si="0"/>
        <v>0</v>
      </c>
      <c r="O41" s="407">
        <f t="shared" si="1"/>
        <v>7300</v>
      </c>
      <c r="P41" s="53" t="s">
        <v>20</v>
      </c>
    </row>
    <row r="42" spans="1:16" ht="18" x14ac:dyDescent="0.25">
      <c r="A42" s="433" t="s">
        <v>287</v>
      </c>
      <c r="B42" s="405">
        <v>0</v>
      </c>
      <c r="C42" s="405">
        <v>0</v>
      </c>
      <c r="D42" s="405">
        <v>12500</v>
      </c>
      <c r="E42" s="405">
        <v>0</v>
      </c>
      <c r="F42" s="405">
        <v>0</v>
      </c>
      <c r="G42" s="405">
        <v>0</v>
      </c>
      <c r="H42" s="405">
        <v>0</v>
      </c>
      <c r="I42" s="405">
        <v>0</v>
      </c>
      <c r="J42" s="406">
        <v>-250</v>
      </c>
      <c r="K42" s="405">
        <v>735</v>
      </c>
      <c r="L42" s="405">
        <v>886</v>
      </c>
      <c r="M42" s="405">
        <f t="shared" si="0"/>
        <v>0</v>
      </c>
      <c r="N42" s="405">
        <f t="shared" si="0"/>
        <v>0</v>
      </c>
      <c r="O42" s="407">
        <f t="shared" si="1"/>
        <v>13871</v>
      </c>
      <c r="P42" s="53" t="s">
        <v>20</v>
      </c>
    </row>
    <row r="43" spans="1:16" ht="18" x14ac:dyDescent="0.25">
      <c r="A43" s="433" t="s">
        <v>320</v>
      </c>
      <c r="B43" s="405">
        <v>0</v>
      </c>
      <c r="C43" s="405">
        <v>0</v>
      </c>
      <c r="D43" s="405">
        <v>10000</v>
      </c>
      <c r="E43" s="405">
        <v>0</v>
      </c>
      <c r="F43" s="405">
        <v>0</v>
      </c>
      <c r="G43" s="405">
        <v>0</v>
      </c>
      <c r="H43" s="405">
        <v>0</v>
      </c>
      <c r="I43" s="405">
        <v>0</v>
      </c>
      <c r="J43" s="406">
        <v>-200</v>
      </c>
      <c r="K43" s="405">
        <v>555</v>
      </c>
      <c r="L43" s="405">
        <v>184</v>
      </c>
      <c r="M43" s="405">
        <f t="shared" si="0"/>
        <v>0</v>
      </c>
      <c r="N43" s="405">
        <f t="shared" si="0"/>
        <v>0</v>
      </c>
      <c r="O43" s="407">
        <f t="shared" si="1"/>
        <v>10539</v>
      </c>
      <c r="P43" s="53" t="s">
        <v>20</v>
      </c>
    </row>
    <row r="44" spans="1:16" ht="18" x14ac:dyDescent="0.25">
      <c r="A44" s="433" t="s">
        <v>321</v>
      </c>
      <c r="B44" s="405">
        <v>0</v>
      </c>
      <c r="C44" s="405">
        <v>0</v>
      </c>
      <c r="D44" s="405">
        <v>63000</v>
      </c>
      <c r="E44" s="405">
        <v>0</v>
      </c>
      <c r="F44" s="405">
        <v>0</v>
      </c>
      <c r="G44" s="405">
        <v>0</v>
      </c>
      <c r="H44" s="405">
        <v>0</v>
      </c>
      <c r="I44" s="405">
        <v>0</v>
      </c>
      <c r="J44" s="406">
        <v>-1260</v>
      </c>
      <c r="K44" s="405">
        <v>23</v>
      </c>
      <c r="L44" s="405">
        <v>0</v>
      </c>
      <c r="M44" s="405">
        <f t="shared" si="0"/>
        <v>0</v>
      </c>
      <c r="N44" s="405">
        <f t="shared" si="0"/>
        <v>0</v>
      </c>
      <c r="O44" s="407">
        <f t="shared" si="1"/>
        <v>61763</v>
      </c>
      <c r="P44" s="53" t="s">
        <v>20</v>
      </c>
    </row>
    <row r="45" spans="1:16" ht="18" x14ac:dyDescent="0.25">
      <c r="A45" s="433" t="s">
        <v>363</v>
      </c>
      <c r="B45" s="405">
        <v>0</v>
      </c>
      <c r="C45" s="405">
        <v>0</v>
      </c>
      <c r="D45" s="405">
        <v>0</v>
      </c>
      <c r="E45" s="405">
        <v>0</v>
      </c>
      <c r="F45" s="405">
        <v>0</v>
      </c>
      <c r="G45" s="405">
        <v>0</v>
      </c>
      <c r="H45" s="405">
        <v>0</v>
      </c>
      <c r="I45" s="405">
        <v>0</v>
      </c>
      <c r="J45" s="405">
        <v>0</v>
      </c>
      <c r="K45" s="405">
        <v>2989</v>
      </c>
      <c r="L45" s="405">
        <v>736</v>
      </c>
      <c r="M45" s="405">
        <v>0</v>
      </c>
      <c r="N45" s="405">
        <v>0</v>
      </c>
      <c r="O45" s="407">
        <f t="shared" si="1"/>
        <v>3725</v>
      </c>
      <c r="P45" s="53" t="s">
        <v>20</v>
      </c>
    </row>
    <row r="46" spans="1:16" ht="18" x14ac:dyDescent="0.25">
      <c r="A46" s="433" t="s">
        <v>362</v>
      </c>
      <c r="B46" s="405">
        <v>0</v>
      </c>
      <c r="C46" s="405">
        <v>0</v>
      </c>
      <c r="D46" s="405">
        <v>0</v>
      </c>
      <c r="E46" s="405">
        <v>0</v>
      </c>
      <c r="F46" s="405">
        <v>0</v>
      </c>
      <c r="G46" s="405">
        <v>0</v>
      </c>
      <c r="H46" s="405">
        <v>0</v>
      </c>
      <c r="I46" s="405">
        <v>0</v>
      </c>
      <c r="J46" s="405">
        <v>0</v>
      </c>
      <c r="K46" s="405">
        <v>7</v>
      </c>
      <c r="L46" s="405">
        <v>1</v>
      </c>
      <c r="M46" s="405">
        <v>0</v>
      </c>
      <c r="N46" s="405">
        <v>0</v>
      </c>
      <c r="O46" s="407">
        <f t="shared" si="1"/>
        <v>8</v>
      </c>
      <c r="P46" s="53" t="s">
        <v>20</v>
      </c>
    </row>
    <row r="47" spans="1:16" ht="18" x14ac:dyDescent="0.25">
      <c r="A47" s="433" t="s">
        <v>361</v>
      </c>
      <c r="B47" s="405">
        <v>0</v>
      </c>
      <c r="C47" s="405">
        <v>0</v>
      </c>
      <c r="D47" s="405">
        <v>0</v>
      </c>
      <c r="E47" s="405">
        <v>0</v>
      </c>
      <c r="F47" s="405">
        <v>0</v>
      </c>
      <c r="G47" s="405">
        <v>0</v>
      </c>
      <c r="H47" s="405">
        <v>0</v>
      </c>
      <c r="I47" s="405">
        <v>0</v>
      </c>
      <c r="J47" s="405">
        <v>0</v>
      </c>
      <c r="K47" s="405">
        <v>92</v>
      </c>
      <c r="L47" s="405">
        <v>384</v>
      </c>
      <c r="M47" s="405">
        <v>0</v>
      </c>
      <c r="N47" s="405">
        <v>0</v>
      </c>
      <c r="O47" s="407">
        <f t="shared" si="1"/>
        <v>476</v>
      </c>
      <c r="P47" s="53" t="s">
        <v>20</v>
      </c>
    </row>
    <row r="48" spans="1:16" ht="18" x14ac:dyDescent="0.25">
      <c r="A48" s="433" t="s">
        <v>360</v>
      </c>
      <c r="B48" s="405">
        <v>0</v>
      </c>
      <c r="C48" s="405">
        <v>0</v>
      </c>
      <c r="D48" s="405">
        <v>0</v>
      </c>
      <c r="E48" s="405">
        <v>0</v>
      </c>
      <c r="F48" s="405">
        <v>0</v>
      </c>
      <c r="G48" s="405">
        <v>0</v>
      </c>
      <c r="H48" s="405">
        <v>0</v>
      </c>
      <c r="I48" s="405">
        <v>0</v>
      </c>
      <c r="J48" s="405">
        <v>0</v>
      </c>
      <c r="K48" s="405">
        <v>0</v>
      </c>
      <c r="L48" s="405">
        <v>4</v>
      </c>
      <c r="M48" s="405">
        <v>0</v>
      </c>
      <c r="N48" s="405">
        <v>0</v>
      </c>
      <c r="O48" s="407">
        <f t="shared" si="1"/>
        <v>4</v>
      </c>
      <c r="P48" s="53" t="s">
        <v>20</v>
      </c>
    </row>
    <row r="49" spans="1:16" ht="18" x14ac:dyDescent="0.25">
      <c r="A49" s="433" t="s">
        <v>359</v>
      </c>
      <c r="B49" s="405">
        <v>0</v>
      </c>
      <c r="C49" s="405">
        <v>0</v>
      </c>
      <c r="D49" s="405">
        <v>0</v>
      </c>
      <c r="E49" s="405">
        <v>0</v>
      </c>
      <c r="F49" s="405">
        <v>0</v>
      </c>
      <c r="G49" s="405">
        <v>0</v>
      </c>
      <c r="H49" s="405">
        <v>0</v>
      </c>
      <c r="I49" s="405">
        <v>0</v>
      </c>
      <c r="J49" s="405">
        <v>0</v>
      </c>
      <c r="K49" s="405">
        <v>0</v>
      </c>
      <c r="L49" s="405">
        <v>5</v>
      </c>
      <c r="M49" s="405">
        <v>0</v>
      </c>
      <c r="N49" s="405">
        <v>0</v>
      </c>
      <c r="O49" s="407">
        <f t="shared" si="1"/>
        <v>5</v>
      </c>
      <c r="P49" s="53" t="s">
        <v>20</v>
      </c>
    </row>
    <row r="50" spans="1:16" ht="18" x14ac:dyDescent="0.25">
      <c r="A50" s="433" t="s">
        <v>358</v>
      </c>
      <c r="B50" s="405">
        <v>0</v>
      </c>
      <c r="C50" s="405">
        <v>0</v>
      </c>
      <c r="D50" s="405">
        <v>0</v>
      </c>
      <c r="E50" s="405">
        <v>0</v>
      </c>
      <c r="F50" s="405">
        <v>0</v>
      </c>
      <c r="G50" s="405">
        <v>0</v>
      </c>
      <c r="H50" s="405">
        <v>0</v>
      </c>
      <c r="I50" s="405">
        <v>0</v>
      </c>
      <c r="J50" s="405">
        <v>0</v>
      </c>
      <c r="K50" s="405">
        <v>8733</v>
      </c>
      <c r="L50" s="405">
        <v>4</v>
      </c>
      <c r="M50" s="405">
        <v>0</v>
      </c>
      <c r="N50" s="405">
        <v>0</v>
      </c>
      <c r="O50" s="407">
        <f t="shared" si="1"/>
        <v>8737</v>
      </c>
      <c r="P50" s="53" t="s">
        <v>20</v>
      </c>
    </row>
    <row r="51" spans="1:16" ht="18.75" x14ac:dyDescent="0.3">
      <c r="A51" s="433" t="s">
        <v>326</v>
      </c>
      <c r="B51" s="405">
        <v>0</v>
      </c>
      <c r="C51" s="405">
        <v>0</v>
      </c>
      <c r="D51" s="408">
        <v>4000</v>
      </c>
      <c r="E51" s="405">
        <v>0</v>
      </c>
      <c r="F51" s="405">
        <v>0</v>
      </c>
      <c r="G51" s="405">
        <v>0</v>
      </c>
      <c r="H51" s="405">
        <v>0</v>
      </c>
      <c r="I51" s="405">
        <v>0</v>
      </c>
      <c r="J51" s="406">
        <v>0</v>
      </c>
      <c r="K51" s="405">
        <v>0</v>
      </c>
      <c r="L51" s="405">
        <v>0</v>
      </c>
      <c r="M51" s="405">
        <f t="shared" si="0"/>
        <v>0</v>
      </c>
      <c r="N51" s="405">
        <f t="shared" si="0"/>
        <v>0</v>
      </c>
      <c r="O51" s="407">
        <f>+J51+K51+L51+G51</f>
        <v>0</v>
      </c>
      <c r="P51" s="53" t="s">
        <v>20</v>
      </c>
    </row>
    <row r="52" spans="1:16" ht="18" x14ac:dyDescent="0.25">
      <c r="A52" s="433" t="s">
        <v>328</v>
      </c>
      <c r="B52" s="405">
        <v>0</v>
      </c>
      <c r="C52" s="405">
        <v>0</v>
      </c>
      <c r="D52" s="405">
        <v>5000</v>
      </c>
      <c r="E52" s="405">
        <v>0</v>
      </c>
      <c r="F52" s="405">
        <v>0</v>
      </c>
      <c r="G52" s="405">
        <v>0</v>
      </c>
      <c r="H52" s="405">
        <v>0</v>
      </c>
      <c r="I52" s="405">
        <v>0</v>
      </c>
      <c r="J52" s="406">
        <v>-100</v>
      </c>
      <c r="K52" s="405">
        <v>45</v>
      </c>
      <c r="L52" s="405">
        <v>444</v>
      </c>
      <c r="M52" s="405">
        <f t="shared" si="0"/>
        <v>0</v>
      </c>
      <c r="N52" s="405">
        <f t="shared" si="0"/>
        <v>0</v>
      </c>
      <c r="O52" s="407">
        <f t="shared" si="1"/>
        <v>5389</v>
      </c>
      <c r="P52" s="53" t="s">
        <v>20</v>
      </c>
    </row>
    <row r="53" spans="1:16" ht="18" x14ac:dyDescent="0.25">
      <c r="A53" s="433" t="s">
        <v>334</v>
      </c>
      <c r="B53" s="405">
        <v>0</v>
      </c>
      <c r="C53" s="405">
        <v>0</v>
      </c>
      <c r="D53" s="405">
        <v>240000</v>
      </c>
      <c r="E53" s="405">
        <v>0</v>
      </c>
      <c r="F53" s="405">
        <v>0</v>
      </c>
      <c r="G53" s="405">
        <v>0</v>
      </c>
      <c r="H53" s="405">
        <v>0</v>
      </c>
      <c r="I53" s="405">
        <v>0</v>
      </c>
      <c r="J53" s="406">
        <v>-4800</v>
      </c>
      <c r="K53" s="405">
        <v>0</v>
      </c>
      <c r="L53" s="405">
        <v>902</v>
      </c>
      <c r="M53" s="405">
        <f t="shared" si="0"/>
        <v>0</v>
      </c>
      <c r="N53" s="405">
        <f t="shared" si="0"/>
        <v>0</v>
      </c>
      <c r="O53" s="407">
        <f t="shared" si="1"/>
        <v>236102</v>
      </c>
      <c r="P53" s="53" t="s">
        <v>20</v>
      </c>
    </row>
    <row r="54" spans="1:16" ht="18" x14ac:dyDescent="0.25">
      <c r="A54" s="433" t="s">
        <v>357</v>
      </c>
      <c r="B54" s="405">
        <v>0</v>
      </c>
      <c r="C54" s="405">
        <v>0</v>
      </c>
      <c r="D54" s="405">
        <v>0</v>
      </c>
      <c r="E54" s="405">
        <v>0</v>
      </c>
      <c r="F54" s="405">
        <v>0</v>
      </c>
      <c r="G54" s="405">
        <v>0</v>
      </c>
      <c r="H54" s="405">
        <v>0</v>
      </c>
      <c r="I54" s="405">
        <v>0</v>
      </c>
      <c r="J54" s="406">
        <v>0</v>
      </c>
      <c r="K54" s="405">
        <v>1026</v>
      </c>
      <c r="L54" s="405">
        <v>0</v>
      </c>
      <c r="M54" s="405">
        <v>0</v>
      </c>
      <c r="N54" s="405">
        <v>0</v>
      </c>
      <c r="O54" s="407">
        <f t="shared" si="1"/>
        <v>1026</v>
      </c>
      <c r="P54" s="53" t="s">
        <v>20</v>
      </c>
    </row>
    <row r="55" spans="1:16" ht="17.399999999999999" x14ac:dyDescent="0.3">
      <c r="A55" s="433" t="s">
        <v>356</v>
      </c>
      <c r="B55" s="405">
        <v>0</v>
      </c>
      <c r="C55" s="405">
        <v>0</v>
      </c>
      <c r="D55" s="405">
        <v>0</v>
      </c>
      <c r="E55" s="405">
        <v>0</v>
      </c>
      <c r="F55" s="405">
        <v>0</v>
      </c>
      <c r="G55" s="405">
        <v>0</v>
      </c>
      <c r="H55" s="405">
        <v>0</v>
      </c>
      <c r="I55" s="405">
        <v>0</v>
      </c>
      <c r="J55" s="406">
        <v>0</v>
      </c>
      <c r="K55" s="405">
        <v>4297</v>
      </c>
      <c r="L55" s="405">
        <v>0</v>
      </c>
      <c r="M55" s="405">
        <v>0</v>
      </c>
      <c r="N55" s="405">
        <v>0</v>
      </c>
      <c r="O55" s="407">
        <f t="shared" si="1"/>
        <v>4297</v>
      </c>
      <c r="P55" s="53" t="s">
        <v>20</v>
      </c>
    </row>
    <row r="56" spans="1:16" ht="17.399999999999999" x14ac:dyDescent="0.3">
      <c r="A56" s="433" t="s">
        <v>355</v>
      </c>
      <c r="B56" s="405">
        <v>0</v>
      </c>
      <c r="C56" s="405">
        <v>0</v>
      </c>
      <c r="D56" s="405">
        <v>0</v>
      </c>
      <c r="E56" s="405">
        <v>0</v>
      </c>
      <c r="F56" s="405">
        <v>0</v>
      </c>
      <c r="G56" s="405">
        <v>0</v>
      </c>
      <c r="H56" s="405">
        <v>0</v>
      </c>
      <c r="I56" s="405">
        <v>0</v>
      </c>
      <c r="J56" s="406">
        <v>0</v>
      </c>
      <c r="K56" s="405">
        <v>44</v>
      </c>
      <c r="L56" s="405">
        <v>0</v>
      </c>
      <c r="M56" s="405">
        <v>0</v>
      </c>
      <c r="N56" s="405">
        <v>0</v>
      </c>
      <c r="O56" s="407">
        <f t="shared" si="1"/>
        <v>44</v>
      </c>
      <c r="P56" s="53" t="s">
        <v>20</v>
      </c>
    </row>
    <row r="57" spans="1:16" ht="17.399999999999999" x14ac:dyDescent="0.3">
      <c r="A57" s="433" t="s">
        <v>354</v>
      </c>
      <c r="B57" s="405">
        <v>0</v>
      </c>
      <c r="C57" s="405">
        <v>0</v>
      </c>
      <c r="D57" s="405">
        <v>0</v>
      </c>
      <c r="E57" s="405">
        <v>0</v>
      </c>
      <c r="F57" s="405">
        <v>0</v>
      </c>
      <c r="G57" s="405">
        <v>0</v>
      </c>
      <c r="H57" s="405">
        <v>0</v>
      </c>
      <c r="I57" s="405">
        <v>0</v>
      </c>
      <c r="J57" s="406">
        <v>0</v>
      </c>
      <c r="K57" s="406">
        <v>-107</v>
      </c>
      <c r="L57" s="405">
        <v>0</v>
      </c>
      <c r="M57" s="405">
        <v>0</v>
      </c>
      <c r="N57" s="405">
        <v>0</v>
      </c>
      <c r="O57" s="407">
        <f t="shared" si="1"/>
        <v>-107</v>
      </c>
      <c r="P57" s="53" t="s">
        <v>20</v>
      </c>
    </row>
    <row r="58" spans="1:16" ht="17.399999999999999" x14ac:dyDescent="0.3">
      <c r="A58" s="433" t="s">
        <v>353</v>
      </c>
      <c r="B58" s="405">
        <v>0</v>
      </c>
      <c r="C58" s="405">
        <v>0</v>
      </c>
      <c r="D58" s="405">
        <v>0</v>
      </c>
      <c r="E58" s="405">
        <v>0</v>
      </c>
      <c r="F58" s="405">
        <v>0</v>
      </c>
      <c r="G58" s="405">
        <v>0</v>
      </c>
      <c r="H58" s="405">
        <v>0</v>
      </c>
      <c r="I58" s="405">
        <v>0</v>
      </c>
      <c r="J58" s="406">
        <v>0</v>
      </c>
      <c r="K58" s="405">
        <v>59</v>
      </c>
      <c r="L58" s="405">
        <v>0</v>
      </c>
      <c r="M58" s="405">
        <v>0</v>
      </c>
      <c r="N58" s="405">
        <v>0</v>
      </c>
      <c r="O58" s="407">
        <f t="shared" si="1"/>
        <v>59</v>
      </c>
      <c r="P58" s="53" t="s">
        <v>20</v>
      </c>
    </row>
    <row r="59" spans="1:16" ht="17.399999999999999" x14ac:dyDescent="0.3">
      <c r="A59" s="433" t="s">
        <v>352</v>
      </c>
      <c r="B59" s="405">
        <v>0</v>
      </c>
      <c r="C59" s="405">
        <v>0</v>
      </c>
      <c r="D59" s="405">
        <v>0</v>
      </c>
      <c r="E59" s="405">
        <v>0</v>
      </c>
      <c r="F59" s="405">
        <v>0</v>
      </c>
      <c r="G59" s="405">
        <v>0</v>
      </c>
      <c r="H59" s="405">
        <v>0</v>
      </c>
      <c r="I59" s="405">
        <v>0</v>
      </c>
      <c r="J59" s="406">
        <v>0</v>
      </c>
      <c r="K59" s="405">
        <v>31</v>
      </c>
      <c r="L59" s="405">
        <v>0</v>
      </c>
      <c r="M59" s="405">
        <v>0</v>
      </c>
      <c r="N59" s="405">
        <v>0</v>
      </c>
      <c r="O59" s="407">
        <f t="shared" si="1"/>
        <v>31</v>
      </c>
      <c r="P59" s="53" t="s">
        <v>20</v>
      </c>
    </row>
    <row r="60" spans="1:16" ht="17.399999999999999" x14ac:dyDescent="0.3">
      <c r="A60" s="433" t="s">
        <v>351</v>
      </c>
      <c r="B60" s="405">
        <v>0</v>
      </c>
      <c r="C60" s="405">
        <v>0</v>
      </c>
      <c r="D60" s="405">
        <v>0</v>
      </c>
      <c r="E60" s="405">
        <v>0</v>
      </c>
      <c r="F60" s="405">
        <v>0</v>
      </c>
      <c r="G60" s="405">
        <v>0</v>
      </c>
      <c r="H60" s="405">
        <v>0</v>
      </c>
      <c r="I60" s="405">
        <v>0</v>
      </c>
      <c r="J60" s="406">
        <v>0</v>
      </c>
      <c r="K60" s="405">
        <v>0</v>
      </c>
      <c r="L60" s="405">
        <v>0</v>
      </c>
      <c r="M60" s="405">
        <v>0</v>
      </c>
      <c r="N60" s="405">
        <v>0</v>
      </c>
      <c r="O60" s="407">
        <f t="shared" si="1"/>
        <v>0</v>
      </c>
      <c r="P60" s="53" t="s">
        <v>20</v>
      </c>
    </row>
    <row r="61" spans="1:16" ht="17.399999999999999" x14ac:dyDescent="0.3">
      <c r="A61" s="433" t="s">
        <v>350</v>
      </c>
      <c r="B61" s="405">
        <v>0</v>
      </c>
      <c r="C61" s="405">
        <v>0</v>
      </c>
      <c r="D61" s="405">
        <v>0</v>
      </c>
      <c r="E61" s="405">
        <v>0</v>
      </c>
      <c r="F61" s="405">
        <v>0</v>
      </c>
      <c r="G61" s="405">
        <v>0</v>
      </c>
      <c r="H61" s="405">
        <v>0</v>
      </c>
      <c r="I61" s="405">
        <v>0</v>
      </c>
      <c r="J61" s="406">
        <v>0</v>
      </c>
      <c r="K61" s="405">
        <v>38</v>
      </c>
      <c r="L61" s="405">
        <v>0</v>
      </c>
      <c r="M61" s="405">
        <v>0</v>
      </c>
      <c r="N61" s="405">
        <v>0</v>
      </c>
      <c r="O61" s="407">
        <f t="shared" si="1"/>
        <v>38</v>
      </c>
      <c r="P61" s="53" t="s">
        <v>20</v>
      </c>
    </row>
    <row r="62" spans="1:16" ht="17.399999999999999" x14ac:dyDescent="0.3">
      <c r="A62" s="433" t="s">
        <v>349</v>
      </c>
      <c r="B62" s="405">
        <v>0</v>
      </c>
      <c r="C62" s="405">
        <v>0</v>
      </c>
      <c r="D62" s="405">
        <v>0</v>
      </c>
      <c r="E62" s="405">
        <v>0</v>
      </c>
      <c r="F62" s="405">
        <v>0</v>
      </c>
      <c r="G62" s="405">
        <v>0</v>
      </c>
      <c r="H62" s="405">
        <v>0</v>
      </c>
      <c r="I62" s="405">
        <v>0</v>
      </c>
      <c r="J62" s="406">
        <v>0</v>
      </c>
      <c r="K62" s="405">
        <v>82</v>
      </c>
      <c r="L62" s="405">
        <v>0</v>
      </c>
      <c r="M62" s="405">
        <v>0</v>
      </c>
      <c r="N62" s="405">
        <v>0</v>
      </c>
      <c r="O62" s="407">
        <f t="shared" si="1"/>
        <v>82</v>
      </c>
      <c r="P62" s="53" t="s">
        <v>20</v>
      </c>
    </row>
    <row r="63" spans="1:16" ht="17.399999999999999" x14ac:dyDescent="0.3">
      <c r="A63" s="433" t="s">
        <v>348</v>
      </c>
      <c r="B63" s="405">
        <v>0</v>
      </c>
      <c r="C63" s="405">
        <v>0</v>
      </c>
      <c r="D63" s="405">
        <v>0</v>
      </c>
      <c r="E63" s="405">
        <v>0</v>
      </c>
      <c r="F63" s="405">
        <v>0</v>
      </c>
      <c r="G63" s="405">
        <v>0</v>
      </c>
      <c r="H63" s="405">
        <v>0</v>
      </c>
      <c r="I63" s="405">
        <v>0</v>
      </c>
      <c r="J63" s="406">
        <v>0</v>
      </c>
      <c r="K63" s="405">
        <v>1741</v>
      </c>
      <c r="L63" s="405">
        <v>0</v>
      </c>
      <c r="M63" s="405">
        <v>0</v>
      </c>
      <c r="N63" s="405">
        <v>0</v>
      </c>
      <c r="O63" s="407">
        <f t="shared" si="1"/>
        <v>1741</v>
      </c>
      <c r="P63" s="53" t="s">
        <v>20</v>
      </c>
    </row>
    <row r="64" spans="1:16" ht="17.399999999999999" x14ac:dyDescent="0.3">
      <c r="A64" s="433" t="s">
        <v>347</v>
      </c>
      <c r="B64" s="405">
        <v>0</v>
      </c>
      <c r="C64" s="405">
        <v>0</v>
      </c>
      <c r="D64" s="405">
        <v>0</v>
      </c>
      <c r="E64" s="405">
        <v>0</v>
      </c>
      <c r="F64" s="405">
        <v>0</v>
      </c>
      <c r="G64" s="405">
        <v>0</v>
      </c>
      <c r="H64" s="405">
        <v>0</v>
      </c>
      <c r="I64" s="405">
        <v>0</v>
      </c>
      <c r="J64" s="406">
        <v>0</v>
      </c>
      <c r="K64" s="405">
        <v>4494</v>
      </c>
      <c r="L64" s="405">
        <v>2175</v>
      </c>
      <c r="M64" s="405">
        <v>0</v>
      </c>
      <c r="N64" s="405">
        <v>0</v>
      </c>
      <c r="O64" s="407">
        <f t="shared" si="1"/>
        <v>6669</v>
      </c>
      <c r="P64" s="53" t="s">
        <v>20</v>
      </c>
    </row>
    <row r="65" spans="1:16" ht="17.399999999999999" x14ac:dyDescent="0.3">
      <c r="A65" s="433" t="s">
        <v>346</v>
      </c>
      <c r="B65" s="405">
        <v>0</v>
      </c>
      <c r="C65" s="405">
        <v>0</v>
      </c>
      <c r="D65" s="405">
        <v>0</v>
      </c>
      <c r="E65" s="405">
        <v>0</v>
      </c>
      <c r="F65" s="405">
        <v>0</v>
      </c>
      <c r="G65" s="405">
        <v>0</v>
      </c>
      <c r="H65" s="405">
        <v>0</v>
      </c>
      <c r="I65" s="405">
        <v>0</v>
      </c>
      <c r="J65" s="406">
        <v>0</v>
      </c>
      <c r="K65" s="405">
        <v>446</v>
      </c>
      <c r="L65" s="405">
        <v>4165</v>
      </c>
      <c r="M65" s="405">
        <v>0</v>
      </c>
      <c r="N65" s="405">
        <v>0</v>
      </c>
      <c r="O65" s="407">
        <f t="shared" si="1"/>
        <v>4611</v>
      </c>
      <c r="P65" s="53" t="s">
        <v>20</v>
      </c>
    </row>
    <row r="66" spans="1:16" ht="17.399999999999999" x14ac:dyDescent="0.3">
      <c r="A66" s="433" t="s">
        <v>329</v>
      </c>
      <c r="B66" s="405">
        <v>0</v>
      </c>
      <c r="C66" s="405">
        <v>0</v>
      </c>
      <c r="D66" s="405">
        <v>10500</v>
      </c>
      <c r="E66" s="405">
        <v>0</v>
      </c>
      <c r="F66" s="405">
        <v>0</v>
      </c>
      <c r="G66" s="405">
        <v>0</v>
      </c>
      <c r="H66" s="405">
        <v>0</v>
      </c>
      <c r="I66" s="405">
        <v>0</v>
      </c>
      <c r="J66" s="406">
        <f>-210-611</f>
        <v>-821</v>
      </c>
      <c r="K66" s="405">
        <v>586</v>
      </c>
      <c r="L66" s="405">
        <v>1264</v>
      </c>
      <c r="M66" s="405">
        <f t="shared" si="0"/>
        <v>0</v>
      </c>
      <c r="N66" s="405">
        <f t="shared" si="0"/>
        <v>0</v>
      </c>
      <c r="O66" s="407">
        <f t="shared" si="1"/>
        <v>11529</v>
      </c>
      <c r="P66" s="53" t="s">
        <v>20</v>
      </c>
    </row>
    <row r="67" spans="1:16" ht="17.399999999999999" x14ac:dyDescent="0.3">
      <c r="A67" s="433" t="s">
        <v>201</v>
      </c>
      <c r="B67" s="405">
        <v>0</v>
      </c>
      <c r="C67" s="405">
        <v>0</v>
      </c>
      <c r="D67" s="405">
        <v>0</v>
      </c>
      <c r="E67" s="405">
        <v>0</v>
      </c>
      <c r="F67" s="405">
        <v>0</v>
      </c>
      <c r="G67" s="405">
        <v>0</v>
      </c>
      <c r="H67" s="405">
        <v>0</v>
      </c>
      <c r="I67" s="405">
        <v>0</v>
      </c>
      <c r="J67" s="411">
        <v>-1500</v>
      </c>
      <c r="K67" s="410">
        <v>0</v>
      </c>
      <c r="L67" s="410">
        <v>0</v>
      </c>
      <c r="M67" s="410">
        <v>0</v>
      </c>
      <c r="N67" s="410">
        <v>0</v>
      </c>
      <c r="O67" s="412">
        <f t="shared" si="1"/>
        <v>-1500</v>
      </c>
      <c r="P67" s="53" t="s">
        <v>20</v>
      </c>
    </row>
    <row r="68" spans="1:16" ht="17.399999999999999" x14ac:dyDescent="0.3">
      <c r="A68" s="433" t="s">
        <v>467</v>
      </c>
      <c r="B68" s="405">
        <v>0</v>
      </c>
      <c r="C68" s="405">
        <v>0</v>
      </c>
      <c r="D68" s="405">
        <v>0</v>
      </c>
      <c r="E68" s="405">
        <v>0</v>
      </c>
      <c r="F68" s="405">
        <v>0</v>
      </c>
      <c r="G68" s="405">
        <v>0</v>
      </c>
      <c r="H68" s="405">
        <v>0</v>
      </c>
      <c r="I68" s="405">
        <v>0</v>
      </c>
      <c r="J68" s="411">
        <v>0</v>
      </c>
      <c r="K68" s="410">
        <v>0</v>
      </c>
      <c r="L68" s="410">
        <v>1983</v>
      </c>
      <c r="M68" s="410">
        <v>0</v>
      </c>
      <c r="N68" s="410">
        <v>0</v>
      </c>
      <c r="O68" s="412">
        <f t="shared" si="1"/>
        <v>1983</v>
      </c>
      <c r="P68" s="53"/>
    </row>
    <row r="69" spans="1:16" ht="17.399999999999999" x14ac:dyDescent="0.3">
      <c r="A69" s="433" t="s">
        <v>345</v>
      </c>
      <c r="B69" s="405">
        <v>0</v>
      </c>
      <c r="C69" s="405">
        <v>0</v>
      </c>
      <c r="D69" s="405">
        <v>0</v>
      </c>
      <c r="E69" s="405">
        <v>0</v>
      </c>
      <c r="F69" s="405">
        <v>0</v>
      </c>
      <c r="G69" s="405">
        <v>0</v>
      </c>
      <c r="H69" s="405">
        <v>0</v>
      </c>
      <c r="I69" s="405">
        <v>0</v>
      </c>
      <c r="J69" s="411">
        <v>1250</v>
      </c>
      <c r="K69" s="410">
        <v>0</v>
      </c>
      <c r="L69" s="410">
        <v>0</v>
      </c>
      <c r="M69" s="410">
        <v>0</v>
      </c>
      <c r="N69" s="410">
        <v>0</v>
      </c>
      <c r="O69" s="412">
        <f t="shared" ref="O69:O70" si="2">D69+J69+K69+L69+G69</f>
        <v>1250</v>
      </c>
      <c r="P69" s="53" t="s">
        <v>20</v>
      </c>
    </row>
    <row r="70" spans="1:16" ht="17.399999999999999" x14ac:dyDescent="0.3">
      <c r="A70" s="409" t="s">
        <v>344</v>
      </c>
      <c r="B70" s="410">
        <v>0</v>
      </c>
      <c r="C70" s="410">
        <v>0</v>
      </c>
      <c r="D70" s="410">
        <v>0</v>
      </c>
      <c r="E70" s="410">
        <v>0</v>
      </c>
      <c r="F70" s="410">
        <v>0</v>
      </c>
      <c r="G70" s="411">
        <v>-38009</v>
      </c>
      <c r="H70" s="410">
        <v>0</v>
      </c>
      <c r="I70" s="410">
        <v>0</v>
      </c>
      <c r="J70" s="411">
        <v>0</v>
      </c>
      <c r="K70" s="410">
        <v>0</v>
      </c>
      <c r="L70" s="410">
        <v>0</v>
      </c>
      <c r="M70" s="410">
        <v>0</v>
      </c>
      <c r="N70" s="410">
        <v>0</v>
      </c>
      <c r="O70" s="412">
        <f t="shared" si="2"/>
        <v>-38009</v>
      </c>
      <c r="P70" s="53" t="s">
        <v>20</v>
      </c>
    </row>
    <row r="71" spans="1:16" ht="17.399999999999999" x14ac:dyDescent="0.3">
      <c r="A71" s="413" t="s">
        <v>131</v>
      </c>
      <c r="B71" s="414">
        <f>SUM(B9:B66)</f>
        <v>0</v>
      </c>
      <c r="C71" s="414">
        <f>SUM(C9:C66)</f>
        <v>0</v>
      </c>
      <c r="D71" s="414">
        <f>D9+D10+D12+D13+D14+D21+D23+D24+D25+D28+D29+D30+D31+D33+D34+D35+D36+D37+D39+D40+D41+D42+D43+D44+D52+D53+D66</f>
        <v>1162500</v>
      </c>
      <c r="E71" s="414">
        <f>SUM(E9:E66)</f>
        <v>0</v>
      </c>
      <c r="F71" s="414">
        <f>SUM(F9:F66)</f>
        <v>0</v>
      </c>
      <c r="G71" s="415">
        <f>G9+G10+G12+G13+G14+G21+G23+G24+G25+G28+G29+G30+G31+G33+G34+G35+G36+G37+G39+G40+G41+G42+G43+G44+G52+G53+G66+G70</f>
        <v>-38009</v>
      </c>
      <c r="H71" s="414">
        <f>SUM(H9:H66)</f>
        <v>0</v>
      </c>
      <c r="I71" s="414">
        <f>SUM(I9:I66)</f>
        <v>0</v>
      </c>
      <c r="J71" s="415">
        <f>SUM(J9:J70)</f>
        <v>-22111</v>
      </c>
      <c r="K71" s="414">
        <f>SUM(K9:K66)</f>
        <v>50126</v>
      </c>
      <c r="L71" s="414">
        <f>SUM(L9:L70)</f>
        <v>26425</v>
      </c>
      <c r="M71" s="414">
        <f>SUM(M9:M66)</f>
        <v>0</v>
      </c>
      <c r="N71" s="414">
        <f>SUM(N9:N66)</f>
        <v>0</v>
      </c>
      <c r="O71" s="416">
        <f>SUM(O9:O70)</f>
        <v>1178931</v>
      </c>
      <c r="P71" s="53" t="s">
        <v>20</v>
      </c>
    </row>
    <row r="72" spans="1:16" ht="17.399999999999999" x14ac:dyDescent="0.3">
      <c r="A72" s="417" t="s">
        <v>26</v>
      </c>
      <c r="B72" s="418"/>
      <c r="C72" s="418">
        <v>0</v>
      </c>
      <c r="D72" s="418"/>
      <c r="E72" s="418"/>
      <c r="F72" s="418">
        <v>0</v>
      </c>
      <c r="G72" s="418"/>
      <c r="H72" s="418"/>
      <c r="I72" s="418">
        <v>0</v>
      </c>
      <c r="J72" s="418"/>
      <c r="K72" s="418"/>
      <c r="L72" s="418"/>
      <c r="M72" s="418"/>
      <c r="N72" s="418">
        <f>C72+I72+F72</f>
        <v>0</v>
      </c>
      <c r="O72" s="419"/>
      <c r="P72" s="53" t="s">
        <v>20</v>
      </c>
    </row>
    <row r="73" spans="1:16" ht="17.399999999999999" x14ac:dyDescent="0.3">
      <c r="A73" s="404" t="s">
        <v>132</v>
      </c>
      <c r="B73" s="405"/>
      <c r="C73" s="405">
        <f>C71+C72</f>
        <v>0</v>
      </c>
      <c r="D73" s="405"/>
      <c r="E73" s="405"/>
      <c r="F73" s="405">
        <f>F71+F72</f>
        <v>0</v>
      </c>
      <c r="G73" s="405"/>
      <c r="H73" s="405"/>
      <c r="I73" s="405">
        <f>I71+I72</f>
        <v>0</v>
      </c>
      <c r="J73" s="405"/>
      <c r="K73" s="405"/>
      <c r="L73" s="405"/>
      <c r="M73" s="405"/>
      <c r="N73" s="418">
        <f>N71+N72</f>
        <v>0</v>
      </c>
      <c r="O73" s="407"/>
      <c r="P73" s="53" t="s">
        <v>20</v>
      </c>
    </row>
    <row r="74" spans="1:16" ht="17.399999999999999" x14ac:dyDescent="0.3">
      <c r="A74" s="404"/>
      <c r="B74" s="405"/>
      <c r="C74" s="405"/>
      <c r="D74" s="405"/>
      <c r="E74" s="405"/>
      <c r="F74" s="405"/>
      <c r="G74" s="405"/>
      <c r="H74" s="405"/>
      <c r="I74" s="405"/>
      <c r="J74" s="405"/>
      <c r="K74" s="405"/>
      <c r="L74" s="405"/>
      <c r="M74" s="405"/>
      <c r="N74" s="405"/>
      <c r="O74" s="407"/>
      <c r="P74" s="53" t="s">
        <v>20</v>
      </c>
    </row>
    <row r="75" spans="1:16" ht="17.399999999999999" x14ac:dyDescent="0.3">
      <c r="A75" s="404" t="s">
        <v>27</v>
      </c>
      <c r="B75" s="405"/>
      <c r="C75" s="405"/>
      <c r="D75" s="405"/>
      <c r="E75" s="405"/>
      <c r="F75" s="405"/>
      <c r="G75" s="405"/>
      <c r="H75" s="405"/>
      <c r="I75" s="405"/>
      <c r="J75" s="405"/>
      <c r="K75" s="405"/>
      <c r="L75" s="405"/>
      <c r="M75" s="405"/>
      <c r="N75" s="405"/>
      <c r="O75" s="407"/>
      <c r="P75" s="53" t="s">
        <v>20</v>
      </c>
    </row>
    <row r="76" spans="1:16" ht="17.399999999999999" x14ac:dyDescent="0.3">
      <c r="A76" s="420" t="s">
        <v>28</v>
      </c>
      <c r="B76" s="405"/>
      <c r="C76" s="405">
        <v>0</v>
      </c>
      <c r="D76" s="405"/>
      <c r="E76" s="405"/>
      <c r="F76" s="405">
        <v>0</v>
      </c>
      <c r="G76" s="405"/>
      <c r="H76" s="405"/>
      <c r="I76" s="405">
        <v>0</v>
      </c>
      <c r="J76" s="405"/>
      <c r="K76" s="405"/>
      <c r="L76" s="405"/>
      <c r="M76" s="405"/>
      <c r="N76" s="405">
        <f>C76+I76+F76</f>
        <v>0</v>
      </c>
      <c r="O76" s="407"/>
      <c r="P76" s="53" t="s">
        <v>20</v>
      </c>
    </row>
    <row r="77" spans="1:16" ht="17.399999999999999" x14ac:dyDescent="0.3">
      <c r="A77" s="421" t="s">
        <v>29</v>
      </c>
      <c r="B77" s="422"/>
      <c r="C77" s="422">
        <v>0</v>
      </c>
      <c r="D77" s="422"/>
      <c r="E77" s="422"/>
      <c r="F77" s="422">
        <v>0</v>
      </c>
      <c r="G77" s="422"/>
      <c r="H77" s="422"/>
      <c r="I77" s="422">
        <v>0</v>
      </c>
      <c r="J77" s="422"/>
      <c r="K77" s="422"/>
      <c r="L77" s="422"/>
      <c r="M77" s="422"/>
      <c r="N77" s="405">
        <f>C77+I77+F76</f>
        <v>0</v>
      </c>
      <c r="O77" s="423"/>
      <c r="P77" s="53" t="s">
        <v>20</v>
      </c>
    </row>
    <row r="78" spans="1:16" ht="18" thickBot="1" x14ac:dyDescent="0.35">
      <c r="A78" s="424" t="s">
        <v>133</v>
      </c>
      <c r="B78" s="425"/>
      <c r="C78" s="425">
        <f>C73+C76+C77</f>
        <v>0</v>
      </c>
      <c r="D78" s="425"/>
      <c r="E78" s="425"/>
      <c r="F78" s="425">
        <f>F73+F76+F77</f>
        <v>0</v>
      </c>
      <c r="G78" s="425"/>
      <c r="H78" s="425"/>
      <c r="I78" s="425">
        <f>I73+I76+I77</f>
        <v>0</v>
      </c>
      <c r="J78" s="425"/>
      <c r="K78" s="425"/>
      <c r="L78" s="425"/>
      <c r="M78" s="425"/>
      <c r="N78" s="425">
        <f>SUM(N73,N76:N77)</f>
        <v>0</v>
      </c>
      <c r="O78" s="426"/>
      <c r="P78" s="53" t="s">
        <v>20</v>
      </c>
    </row>
    <row r="79" spans="1:16" x14ac:dyDescent="0.25">
      <c r="P79" s="53" t="s">
        <v>20</v>
      </c>
    </row>
    <row r="80" spans="1:16" x14ac:dyDescent="0.25">
      <c r="A80" s="8" t="s">
        <v>445</v>
      </c>
      <c r="P80" s="53" t="s">
        <v>20</v>
      </c>
    </row>
    <row r="81" spans="1:16" x14ac:dyDescent="0.25">
      <c r="A81" s="668" t="s">
        <v>482</v>
      </c>
      <c r="B81" s="668"/>
      <c r="C81" s="668"/>
      <c r="D81" s="668"/>
      <c r="E81" s="668"/>
      <c r="F81" s="668"/>
      <c r="G81" s="668"/>
      <c r="H81" s="668"/>
      <c r="I81" s="668"/>
      <c r="J81" s="668"/>
      <c r="K81" s="668"/>
      <c r="L81" s="668"/>
      <c r="M81" s="668"/>
      <c r="N81" s="668"/>
      <c r="O81" s="668"/>
      <c r="P81" s="53" t="s">
        <v>20</v>
      </c>
    </row>
    <row r="82" spans="1:16" x14ac:dyDescent="0.25">
      <c r="A82" s="721"/>
      <c r="B82" s="721"/>
      <c r="C82" s="721"/>
      <c r="D82" s="721"/>
      <c r="E82" s="721"/>
      <c r="F82" s="721"/>
      <c r="G82" s="721"/>
      <c r="H82" s="721"/>
      <c r="I82" s="721"/>
      <c r="J82" s="721"/>
      <c r="K82" s="721"/>
      <c r="L82" s="721"/>
      <c r="M82" s="721"/>
      <c r="N82" s="721"/>
      <c r="O82" s="721"/>
      <c r="P82" s="53" t="s">
        <v>20</v>
      </c>
    </row>
    <row r="83" spans="1:16" x14ac:dyDescent="0.25">
      <c r="A83" s="8" t="s">
        <v>151</v>
      </c>
      <c r="P83" s="53" t="s">
        <v>20</v>
      </c>
    </row>
    <row r="84" spans="1:16" x14ac:dyDescent="0.25">
      <c r="A84" s="668" t="s">
        <v>480</v>
      </c>
      <c r="B84" s="668"/>
      <c r="C84" s="668"/>
      <c r="D84" s="668"/>
      <c r="E84" s="668"/>
      <c r="F84" s="668"/>
      <c r="G84" s="668"/>
      <c r="H84" s="668"/>
      <c r="I84" s="668"/>
      <c r="J84" s="668"/>
      <c r="K84" s="668"/>
      <c r="L84" s="668"/>
      <c r="M84" s="668"/>
      <c r="N84" s="668"/>
      <c r="O84" s="668"/>
      <c r="P84" s="53" t="s">
        <v>20</v>
      </c>
    </row>
    <row r="85" spans="1:16" x14ac:dyDescent="0.25">
      <c r="A85" s="721"/>
      <c r="B85" s="721"/>
      <c r="C85" s="721"/>
      <c r="D85" s="721"/>
      <c r="E85" s="721"/>
      <c r="F85" s="721"/>
      <c r="G85" s="721"/>
      <c r="H85" s="721"/>
      <c r="I85" s="721"/>
      <c r="J85" s="721"/>
      <c r="K85" s="721"/>
      <c r="L85" s="721"/>
      <c r="M85" s="721"/>
      <c r="N85" s="721"/>
      <c r="O85" s="721"/>
      <c r="P85" s="53" t="s">
        <v>20</v>
      </c>
    </row>
    <row r="86" spans="1:16" x14ac:dyDescent="0.25">
      <c r="A86" s="8" t="s">
        <v>152</v>
      </c>
      <c r="P86" s="53" t="s">
        <v>20</v>
      </c>
    </row>
    <row r="87" spans="1:16" x14ac:dyDescent="0.25">
      <c r="A87" s="668" t="s">
        <v>481</v>
      </c>
      <c r="B87" s="668"/>
      <c r="C87" s="668"/>
      <c r="D87" s="668"/>
      <c r="E87" s="668"/>
      <c r="F87" s="668"/>
      <c r="G87" s="668"/>
      <c r="H87" s="668"/>
      <c r="I87" s="668"/>
      <c r="J87" s="668"/>
      <c r="K87" s="668"/>
      <c r="L87" s="668"/>
      <c r="M87" s="668"/>
      <c r="N87" s="668"/>
      <c r="O87" s="668"/>
      <c r="P87" s="53" t="s">
        <v>20</v>
      </c>
    </row>
    <row r="88" spans="1:16" x14ac:dyDescent="0.25">
      <c r="A88" s="721"/>
      <c r="B88" s="721"/>
      <c r="C88" s="721"/>
      <c r="D88" s="721"/>
      <c r="E88" s="721"/>
      <c r="F88" s="721"/>
      <c r="G88" s="721"/>
      <c r="H88" s="721"/>
      <c r="I88" s="721"/>
      <c r="J88" s="721"/>
      <c r="K88" s="721"/>
      <c r="L88" s="721"/>
      <c r="M88" s="721"/>
      <c r="N88" s="721"/>
      <c r="O88" s="721"/>
      <c r="P88" s="53" t="s">
        <v>20</v>
      </c>
    </row>
    <row r="89" spans="1:16" x14ac:dyDescent="0.25">
      <c r="A89" s="178" t="s">
        <v>448</v>
      </c>
      <c r="P89" s="53" t="s">
        <v>20</v>
      </c>
    </row>
    <row r="90" spans="1:16" ht="17.399999999999999" x14ac:dyDescent="0.3">
      <c r="A90" s="427"/>
      <c r="B90" s="427"/>
      <c r="C90" s="427"/>
      <c r="D90" s="427"/>
      <c r="E90" s="427"/>
      <c r="F90" s="427"/>
      <c r="G90" s="427"/>
      <c r="H90" s="427"/>
      <c r="I90" s="427"/>
      <c r="J90" s="427"/>
      <c r="K90" s="427"/>
      <c r="L90" s="427"/>
      <c r="M90" s="427"/>
      <c r="N90" s="427"/>
      <c r="O90" s="427"/>
      <c r="P90" s="7" t="s">
        <v>21</v>
      </c>
    </row>
  </sheetData>
  <customSheetViews>
    <customSheetView guid="{5B2D5037-506A-47D5-AF28-C337BC9133BD}" scale="80" showPageBreaks="1" printArea="1" view="pageBreakPreview" topLeftCell="B64">
      <selection activeCell="O68" sqref="O68"/>
      <pageMargins left="0.7" right="0.7" top="0.64" bottom="0.61" header="0.3" footer="0.3"/>
      <printOptions horizontalCentered="1"/>
      <pageSetup scale="30" orientation="landscape" r:id="rId1"/>
      <headerFooter>
        <oddHeader>&amp;L&amp;"Arial,Bold"&amp;12F. Crosswalk of 2012 Availability</oddHeader>
        <oddFooter>&amp;C&amp;"Arial,Regular"Exhibit F - Crosswalk of 2012 Availability&amp;R&amp;"Arial,Regular"State and Local Law Enforcement Assistance</oddFooter>
      </headerFooter>
    </customSheetView>
    <customSheetView guid="{08380F1E-0CB7-4B3B-924E-2A270EA8DD30}" scale="80" showPageBreaks="1" printArea="1" view="pageBreakPreview" topLeftCell="B46">
      <selection activeCell="O68" sqref="O68"/>
      <pageMargins left="0.7" right="0.7" top="0.64" bottom="0.61" header="0.3" footer="0.3"/>
      <printOptions horizontalCentered="1"/>
      <pageSetup scale="30" orientation="landscape" r:id="rId2"/>
      <headerFooter>
        <oddHeader>&amp;L&amp;"Arial,Bold"&amp;12F. Crosswalk of 2012 Availability</oddHeader>
        <oddFooter>&amp;C&amp;"Arial,Regular"Exhibit F - Crosswalk of 2012 Availability&amp;R&amp;"Arial,Regular"State and Local Law Enforcement Assistance</oddFooter>
      </headerFooter>
    </customSheetView>
    <customSheetView guid="{D19943A8-2C2A-430A-A724-8C7C332697C8}" scale="80" showPageBreaks="1" printArea="1" view="pageBreakPreview">
      <selection activeCell="D71" sqref="D71:L71"/>
      <pageMargins left="0.7" right="0.7" top="0.64" bottom="0.61" header="0.3" footer="0.3"/>
      <printOptions horizontalCentered="1"/>
      <pageSetup scale="30" orientation="landscape" r:id="rId3"/>
      <headerFooter>
        <oddHeader>&amp;L&amp;"Arial,Bold"&amp;12F. Crosswalk of 2012 Availability</oddHeader>
        <oddFooter>&amp;C&amp;"Arial,Regular"Exhibit F - Crosswalk of 2012 Availability&amp;R&amp;"Arial,Regular"State and Local Law Enforcement Assistance</oddFooter>
      </headerFooter>
    </customSheetView>
    <customSheetView guid="{C6D68C6D-939C-4DFA-9385-A3F05DFB5EDA}" scale="80" showPageBreaks="1" printArea="1" view="pageBreakPreview" topLeftCell="B46">
      <selection activeCell="O68" sqref="O68"/>
      <pageMargins left="0.7" right="0.7" top="0.64" bottom="0.61" header="0.3" footer="0.3"/>
      <printOptions horizontalCentered="1"/>
      <pageSetup scale="30" orientation="landscape" r:id="rId4"/>
      <headerFooter>
        <oddHeader>&amp;L&amp;"Arial,Bold"&amp;12F. Crosswalk of 2012 Availability</oddHeader>
        <oddFooter>&amp;C&amp;"Arial,Regular"Exhibit F - Crosswalk of 2012 Availability&amp;R&amp;"Arial,Regular"State and Local Law Enforcement Assistance</oddFooter>
      </headerFooter>
    </customSheetView>
  </customSheetViews>
  <mergeCells count="15">
    <mergeCell ref="A88:O88"/>
    <mergeCell ref="A1:O1"/>
    <mergeCell ref="A2:O2"/>
    <mergeCell ref="A3:O3"/>
    <mergeCell ref="A4:O4"/>
    <mergeCell ref="A7:A8"/>
    <mergeCell ref="B7:D7"/>
    <mergeCell ref="E7:G7"/>
    <mergeCell ref="H7:J7"/>
    <mergeCell ref="M7:O7"/>
    <mergeCell ref="A81:O81"/>
    <mergeCell ref="A82:O82"/>
    <mergeCell ref="A84:O84"/>
    <mergeCell ref="A85:O85"/>
    <mergeCell ref="A87:O87"/>
  </mergeCells>
  <printOptions horizontalCentered="1"/>
  <pageMargins left="0.7" right="0.7" top="0.64" bottom="0.61" header="0.3" footer="0.3"/>
  <pageSetup scale="30" orientation="landscape" r:id="rId5"/>
  <headerFooter>
    <oddHeader>&amp;L&amp;"Arial,Bold"&amp;12F. Crosswalk of 2012 Availability</oddHeader>
    <oddFooter>&amp;C&amp;"Arial,Regular"Exhibit F - Crosswalk of 2012 Availability&amp;R&amp;"Arial,Regular"State and Local Law Enforcement Assistance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view="pageBreakPreview" topLeftCell="A55" zoomScale="80" zoomScaleNormal="100" zoomScaleSheetLayoutView="80" workbookViewId="0">
      <selection activeCell="A62" sqref="A62:XFD62"/>
    </sheetView>
  </sheetViews>
  <sheetFormatPr defaultColWidth="9.109375" defaultRowHeight="13.8" x14ac:dyDescent="0.25"/>
  <cols>
    <col min="1" max="1" width="83.109375" style="178" customWidth="1"/>
    <col min="2" max="3" width="9.6640625" style="199" customWidth="1"/>
    <col min="4" max="4" width="18.109375" style="178" customWidth="1"/>
    <col min="5" max="5" width="15" style="178" customWidth="1"/>
    <col min="6" max="7" width="9.6640625" style="199" customWidth="1"/>
    <col min="8" max="10" width="12.6640625" style="178" customWidth="1"/>
    <col min="11" max="12" width="9.6640625" style="199" customWidth="1"/>
    <col min="13" max="13" width="16.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272</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451"/>
      <c r="C5" s="451"/>
      <c r="D5" s="11"/>
      <c r="E5" s="11"/>
      <c r="F5" s="451"/>
      <c r="G5" s="451"/>
      <c r="H5" s="11"/>
      <c r="I5" s="11"/>
      <c r="J5" s="11"/>
      <c r="K5" s="451"/>
      <c r="L5" s="451"/>
      <c r="M5" s="11"/>
      <c r="N5" s="53" t="s">
        <v>20</v>
      </c>
      <c r="O5" s="11"/>
      <c r="P5" s="11"/>
      <c r="Q5" s="11"/>
      <c r="R5" s="11"/>
      <c r="S5" s="11"/>
      <c r="T5" s="11"/>
      <c r="U5" s="11"/>
    </row>
    <row r="6" spans="1:21" ht="15" thickBot="1" x14ac:dyDescent="0.25">
      <c r="A6" s="52"/>
      <c r="B6" s="452"/>
      <c r="C6" s="452"/>
      <c r="D6" s="52"/>
      <c r="E6" s="52"/>
      <c r="F6" s="452"/>
      <c r="G6" s="452"/>
      <c r="H6" s="52"/>
      <c r="I6" s="52"/>
      <c r="J6" s="52"/>
      <c r="K6" s="452"/>
      <c r="L6" s="452"/>
      <c r="M6" s="52"/>
      <c r="N6" s="53" t="s">
        <v>20</v>
      </c>
      <c r="O6" s="11"/>
      <c r="P6" s="11"/>
      <c r="Q6" s="11"/>
      <c r="R6" s="11"/>
      <c r="S6" s="11"/>
      <c r="T6" s="11"/>
      <c r="U6" s="11"/>
    </row>
    <row r="7" spans="1:21" ht="33.75" customHeight="1" x14ac:dyDescent="0.25">
      <c r="A7" s="638" t="s">
        <v>134</v>
      </c>
      <c r="B7" s="641" t="s">
        <v>451</v>
      </c>
      <c r="C7" s="641"/>
      <c r="D7" s="641"/>
      <c r="E7" s="192" t="s">
        <v>138</v>
      </c>
      <c r="F7" s="641" t="s">
        <v>40</v>
      </c>
      <c r="G7" s="641"/>
      <c r="H7" s="641"/>
      <c r="I7" s="192" t="s">
        <v>41</v>
      </c>
      <c r="J7" s="192" t="s">
        <v>139</v>
      </c>
      <c r="K7" s="641" t="s">
        <v>43</v>
      </c>
      <c r="L7" s="641"/>
      <c r="M7" s="642"/>
      <c r="N7" s="53" t="s">
        <v>20</v>
      </c>
    </row>
    <row r="8" spans="1:21" ht="33.75" customHeight="1" x14ac:dyDescent="0.25">
      <c r="A8" s="694"/>
      <c r="B8" s="453"/>
      <c r="C8" s="453"/>
      <c r="D8" s="316"/>
      <c r="E8" s="316"/>
      <c r="F8" s="453"/>
      <c r="G8" s="453"/>
      <c r="H8" s="316"/>
      <c r="I8" s="316"/>
      <c r="J8" s="316"/>
      <c r="K8" s="453"/>
      <c r="L8" s="453"/>
      <c r="M8" s="315"/>
      <c r="N8" s="53" t="s">
        <v>20</v>
      </c>
    </row>
    <row r="9" spans="1:21" ht="27.6" x14ac:dyDescent="0.25">
      <c r="A9" s="639"/>
      <c r="B9" s="454" t="s">
        <v>3</v>
      </c>
      <c r="C9" s="454" t="s">
        <v>129</v>
      </c>
      <c r="D9" s="222" t="s">
        <v>4</v>
      </c>
      <c r="E9" s="222" t="s">
        <v>4</v>
      </c>
      <c r="F9" s="454" t="s">
        <v>3</v>
      </c>
      <c r="G9" s="454" t="s">
        <v>129</v>
      </c>
      <c r="H9" s="222" t="s">
        <v>4</v>
      </c>
      <c r="I9" s="222" t="s">
        <v>4</v>
      </c>
      <c r="J9" s="222" t="s">
        <v>4</v>
      </c>
      <c r="K9" s="454" t="s">
        <v>3</v>
      </c>
      <c r="L9" s="454" t="s">
        <v>129</v>
      </c>
      <c r="M9" s="223" t="s">
        <v>4</v>
      </c>
      <c r="N9" s="53" t="s">
        <v>20</v>
      </c>
    </row>
    <row r="10" spans="1:21" ht="14.4" customHeight="1" x14ac:dyDescent="0.25">
      <c r="A10" s="442" t="s">
        <v>288</v>
      </c>
      <c r="B10" s="312">
        <v>0</v>
      </c>
      <c r="C10" s="312">
        <v>0</v>
      </c>
      <c r="D10" s="445">
        <v>10061</v>
      </c>
      <c r="E10" s="445">
        <v>0</v>
      </c>
      <c r="F10" s="312">
        <v>0</v>
      </c>
      <c r="G10" s="312">
        <v>0</v>
      </c>
      <c r="H10" s="445">
        <v>0</v>
      </c>
      <c r="I10" s="445">
        <v>0</v>
      </c>
      <c r="J10" s="447">
        <v>0</v>
      </c>
      <c r="K10" s="312">
        <v>0</v>
      </c>
      <c r="L10" s="312">
        <v>0</v>
      </c>
      <c r="M10" s="445">
        <f>D10+I10+J10</f>
        <v>10061</v>
      </c>
      <c r="N10" s="53" t="s">
        <v>20</v>
      </c>
    </row>
    <row r="11" spans="1:21" ht="13.95" x14ac:dyDescent="0.25">
      <c r="A11" s="443" t="s">
        <v>289</v>
      </c>
      <c r="B11" s="208">
        <v>0</v>
      </c>
      <c r="C11" s="208">
        <v>0</v>
      </c>
      <c r="D11" s="446">
        <v>24147</v>
      </c>
      <c r="E11" s="446">
        <v>0</v>
      </c>
      <c r="F11" s="208">
        <v>0</v>
      </c>
      <c r="G11" s="208">
        <v>0</v>
      </c>
      <c r="H11" s="446">
        <v>0</v>
      </c>
      <c r="I11" s="447">
        <v>-1949</v>
      </c>
      <c r="J11" s="447">
        <v>0</v>
      </c>
      <c r="K11" s="208">
        <v>0</v>
      </c>
      <c r="L11" s="208">
        <v>0</v>
      </c>
      <c r="M11" s="447">
        <f t="shared" ref="M11:M57" si="0">D11+I11+J11</f>
        <v>22198</v>
      </c>
      <c r="N11" s="53" t="s">
        <v>20</v>
      </c>
    </row>
    <row r="12" spans="1:21" ht="13.95" x14ac:dyDescent="0.25">
      <c r="A12" s="443" t="s">
        <v>291</v>
      </c>
      <c r="B12" s="208">
        <v>0</v>
      </c>
      <c r="C12" s="208">
        <v>0</v>
      </c>
      <c r="D12" s="447">
        <v>15092</v>
      </c>
      <c r="E12" s="447">
        <v>0</v>
      </c>
      <c r="F12" s="208">
        <v>0</v>
      </c>
      <c r="G12" s="208">
        <v>0</v>
      </c>
      <c r="H12" s="447">
        <v>0</v>
      </c>
      <c r="I12" s="447">
        <v>0</v>
      </c>
      <c r="J12" s="447">
        <v>158</v>
      </c>
      <c r="K12" s="208">
        <v>0</v>
      </c>
      <c r="L12" s="208">
        <v>0</v>
      </c>
      <c r="M12" s="447">
        <f t="shared" si="0"/>
        <v>15250</v>
      </c>
      <c r="N12" s="53" t="s">
        <v>20</v>
      </c>
    </row>
    <row r="13" spans="1:21" ht="13.95" x14ac:dyDescent="0.25">
      <c r="A13" s="443" t="s">
        <v>369</v>
      </c>
      <c r="B13" s="208">
        <v>0</v>
      </c>
      <c r="C13" s="208">
        <v>0</v>
      </c>
      <c r="D13" s="447">
        <v>15092</v>
      </c>
      <c r="E13" s="447">
        <v>0</v>
      </c>
      <c r="F13" s="208">
        <v>0</v>
      </c>
      <c r="G13" s="208">
        <v>0</v>
      </c>
      <c r="H13" s="447">
        <v>0</v>
      </c>
      <c r="I13" s="447">
        <v>0</v>
      </c>
      <c r="J13" s="447">
        <v>0</v>
      </c>
      <c r="K13" s="208">
        <v>0</v>
      </c>
      <c r="L13" s="208">
        <v>0</v>
      </c>
      <c r="M13" s="447">
        <f t="shared" si="0"/>
        <v>15092</v>
      </c>
      <c r="N13" s="53" t="s">
        <v>20</v>
      </c>
    </row>
    <row r="14" spans="1:21" ht="13.95" x14ac:dyDescent="0.25">
      <c r="A14" s="443" t="s">
        <v>279</v>
      </c>
      <c r="B14" s="208">
        <v>0</v>
      </c>
      <c r="C14" s="208">
        <v>0</v>
      </c>
      <c r="D14" s="447">
        <v>372264</v>
      </c>
      <c r="E14" s="447">
        <v>0</v>
      </c>
      <c r="F14" s="208">
        <v>0</v>
      </c>
      <c r="G14" s="208">
        <v>0</v>
      </c>
      <c r="H14" s="447">
        <v>0</v>
      </c>
      <c r="I14" s="447">
        <v>9964</v>
      </c>
      <c r="J14" s="447">
        <v>980</v>
      </c>
      <c r="K14" s="208">
        <v>0</v>
      </c>
      <c r="L14" s="208">
        <v>0</v>
      </c>
      <c r="M14" s="447">
        <f t="shared" si="0"/>
        <v>383208</v>
      </c>
      <c r="N14" s="53" t="s">
        <v>20</v>
      </c>
    </row>
    <row r="15" spans="1:21" ht="13.95" x14ac:dyDescent="0.25">
      <c r="A15" s="443" t="s">
        <v>294</v>
      </c>
      <c r="B15" s="208">
        <v>0</v>
      </c>
      <c r="C15" s="208">
        <v>0</v>
      </c>
      <c r="D15" s="447">
        <v>0</v>
      </c>
      <c r="E15" s="447">
        <v>0</v>
      </c>
      <c r="F15" s="208">
        <v>0</v>
      </c>
      <c r="G15" s="208">
        <v>0</v>
      </c>
      <c r="H15" s="447">
        <v>0</v>
      </c>
      <c r="I15" s="447">
        <v>61</v>
      </c>
      <c r="J15" s="447">
        <v>0</v>
      </c>
      <c r="K15" s="208">
        <v>0</v>
      </c>
      <c r="L15" s="208">
        <v>0</v>
      </c>
      <c r="M15" s="447">
        <f t="shared" si="0"/>
        <v>61</v>
      </c>
      <c r="N15" s="53" t="s">
        <v>20</v>
      </c>
    </row>
    <row r="16" spans="1:21" ht="13.95" x14ac:dyDescent="0.25">
      <c r="A16" s="443" t="s">
        <v>296</v>
      </c>
      <c r="B16" s="208">
        <v>0</v>
      </c>
      <c r="C16" s="208">
        <v>0</v>
      </c>
      <c r="D16" s="447">
        <v>0</v>
      </c>
      <c r="E16" s="447">
        <v>0</v>
      </c>
      <c r="F16" s="208">
        <v>0</v>
      </c>
      <c r="G16" s="208">
        <v>0</v>
      </c>
      <c r="H16" s="447">
        <v>0</v>
      </c>
      <c r="I16" s="447">
        <v>100</v>
      </c>
      <c r="J16" s="447">
        <v>0</v>
      </c>
      <c r="K16" s="208">
        <v>0</v>
      </c>
      <c r="L16" s="208">
        <v>0</v>
      </c>
      <c r="M16" s="447">
        <f t="shared" si="0"/>
        <v>100</v>
      </c>
      <c r="N16" s="53" t="s">
        <v>20</v>
      </c>
    </row>
    <row r="17" spans="1:16" ht="13.95" x14ac:dyDescent="0.25">
      <c r="A17" s="443" t="s">
        <v>442</v>
      </c>
      <c r="B17" s="208">
        <v>0</v>
      </c>
      <c r="C17" s="208">
        <v>0</v>
      </c>
      <c r="D17" s="447">
        <v>100612</v>
      </c>
      <c r="E17" s="447">
        <v>0</v>
      </c>
      <c r="F17" s="208">
        <v>0</v>
      </c>
      <c r="G17" s="208">
        <v>0</v>
      </c>
      <c r="H17" s="447">
        <v>0</v>
      </c>
      <c r="I17" s="447">
        <v>3</v>
      </c>
      <c r="J17" s="447">
        <v>0</v>
      </c>
      <c r="K17" s="208">
        <v>0</v>
      </c>
      <c r="L17" s="208">
        <v>0</v>
      </c>
      <c r="M17" s="447">
        <f t="shared" si="0"/>
        <v>100615</v>
      </c>
      <c r="N17" s="53" t="s">
        <v>20</v>
      </c>
    </row>
    <row r="18" spans="1:16" ht="13.95" x14ac:dyDescent="0.25">
      <c r="A18" s="443" t="s">
        <v>285</v>
      </c>
      <c r="B18" s="208">
        <v>0</v>
      </c>
      <c r="C18" s="208">
        <v>0</v>
      </c>
      <c r="D18" s="447">
        <v>3018</v>
      </c>
      <c r="E18" s="447">
        <v>0</v>
      </c>
      <c r="F18" s="208">
        <v>0</v>
      </c>
      <c r="G18" s="208">
        <v>0</v>
      </c>
      <c r="H18" s="447">
        <v>0</v>
      </c>
      <c r="I18" s="447">
        <v>1</v>
      </c>
      <c r="J18" s="447">
        <v>44</v>
      </c>
      <c r="K18" s="208">
        <v>0</v>
      </c>
      <c r="L18" s="208">
        <v>0</v>
      </c>
      <c r="M18" s="447">
        <f t="shared" si="0"/>
        <v>3063</v>
      </c>
      <c r="N18" s="53" t="s">
        <v>20</v>
      </c>
    </row>
    <row r="19" spans="1:16" ht="13.95" x14ac:dyDescent="0.25">
      <c r="A19" s="443" t="s">
        <v>276</v>
      </c>
      <c r="B19" s="208">
        <v>0</v>
      </c>
      <c r="C19" s="208">
        <v>0</v>
      </c>
      <c r="D19" s="447">
        <v>10061</v>
      </c>
      <c r="E19" s="447">
        <v>0</v>
      </c>
      <c r="F19" s="208">
        <v>0</v>
      </c>
      <c r="G19" s="208">
        <v>0</v>
      </c>
      <c r="H19" s="447">
        <v>0</v>
      </c>
      <c r="I19" s="447">
        <v>0</v>
      </c>
      <c r="J19" s="447">
        <v>0</v>
      </c>
      <c r="K19" s="208">
        <v>0</v>
      </c>
      <c r="L19" s="208">
        <v>0</v>
      </c>
      <c r="M19" s="447">
        <f t="shared" si="0"/>
        <v>10061</v>
      </c>
      <c r="N19" s="53" t="s">
        <v>20</v>
      </c>
    </row>
    <row r="20" spans="1:16" ht="13.95" x14ac:dyDescent="0.25">
      <c r="A20" s="443" t="s">
        <v>388</v>
      </c>
      <c r="B20" s="208">
        <v>0</v>
      </c>
      <c r="C20" s="208">
        <v>0</v>
      </c>
      <c r="D20" s="447">
        <v>4528</v>
      </c>
      <c r="E20" s="447">
        <v>0</v>
      </c>
      <c r="F20" s="208">
        <v>0</v>
      </c>
      <c r="G20" s="208">
        <v>0</v>
      </c>
      <c r="H20" s="447">
        <v>0</v>
      </c>
      <c r="I20" s="447">
        <v>0</v>
      </c>
      <c r="J20" s="447">
        <v>0</v>
      </c>
      <c r="K20" s="208">
        <v>0</v>
      </c>
      <c r="L20" s="208">
        <v>0</v>
      </c>
      <c r="M20" s="447">
        <f t="shared" si="0"/>
        <v>4528</v>
      </c>
      <c r="N20" s="53" t="s">
        <v>20</v>
      </c>
      <c r="O20" s="278"/>
      <c r="P20" s="278"/>
    </row>
    <row r="21" spans="1:16" ht="13.95" x14ac:dyDescent="0.25">
      <c r="A21" s="443" t="s">
        <v>286</v>
      </c>
      <c r="B21" s="208">
        <v>0</v>
      </c>
      <c r="C21" s="208">
        <v>0</v>
      </c>
      <c r="D21" s="447">
        <v>125765</v>
      </c>
      <c r="E21" s="447">
        <v>0</v>
      </c>
      <c r="F21" s="208">
        <v>0</v>
      </c>
      <c r="G21" s="208">
        <v>0</v>
      </c>
      <c r="H21" s="447">
        <v>0</v>
      </c>
      <c r="I21" s="447">
        <v>107</v>
      </c>
      <c r="J21" s="447">
        <v>308</v>
      </c>
      <c r="K21" s="208">
        <v>0</v>
      </c>
      <c r="L21" s="208">
        <v>0</v>
      </c>
      <c r="M21" s="447">
        <f t="shared" si="0"/>
        <v>126180</v>
      </c>
      <c r="N21" s="53" t="s">
        <v>20</v>
      </c>
    </row>
    <row r="22" spans="1:16" ht="13.95" x14ac:dyDescent="0.25">
      <c r="A22" s="443" t="s">
        <v>306</v>
      </c>
      <c r="B22" s="208">
        <v>0</v>
      </c>
      <c r="C22" s="208">
        <v>0</v>
      </c>
      <c r="D22" s="447">
        <v>35214</v>
      </c>
      <c r="E22" s="447">
        <v>0</v>
      </c>
      <c r="F22" s="208">
        <v>0</v>
      </c>
      <c r="G22" s="208">
        <v>0</v>
      </c>
      <c r="H22" s="447">
        <v>0</v>
      </c>
      <c r="I22" s="447">
        <v>1040</v>
      </c>
      <c r="J22" s="447">
        <v>414</v>
      </c>
      <c r="K22" s="208">
        <v>0</v>
      </c>
      <c r="L22" s="208">
        <v>0</v>
      </c>
      <c r="M22" s="447">
        <f t="shared" si="0"/>
        <v>36668</v>
      </c>
      <c r="N22" s="53" t="s">
        <v>20</v>
      </c>
    </row>
    <row r="23" spans="1:16" ht="13.95" x14ac:dyDescent="0.25">
      <c r="A23" s="443" t="s">
        <v>365</v>
      </c>
      <c r="B23" s="208">
        <v>0</v>
      </c>
      <c r="C23" s="208">
        <v>0</v>
      </c>
      <c r="D23" s="447">
        <v>7043</v>
      </c>
      <c r="E23" s="447">
        <v>0</v>
      </c>
      <c r="F23" s="208">
        <v>0</v>
      </c>
      <c r="G23" s="208">
        <v>0</v>
      </c>
      <c r="H23" s="447">
        <v>0</v>
      </c>
      <c r="I23" s="447">
        <v>153</v>
      </c>
      <c r="J23" s="447">
        <v>0</v>
      </c>
      <c r="K23" s="208">
        <v>0</v>
      </c>
      <c r="L23" s="208">
        <v>0</v>
      </c>
      <c r="M23" s="447">
        <f t="shared" si="0"/>
        <v>7196</v>
      </c>
      <c r="N23" s="53" t="s">
        <v>20</v>
      </c>
    </row>
    <row r="24" spans="1:16" ht="13.95" x14ac:dyDescent="0.25">
      <c r="A24" s="443" t="s">
        <v>309</v>
      </c>
      <c r="B24" s="208">
        <v>0</v>
      </c>
      <c r="C24" s="208">
        <v>0</v>
      </c>
      <c r="D24" s="447">
        <v>20122</v>
      </c>
      <c r="E24" s="447">
        <v>0</v>
      </c>
      <c r="F24" s="208">
        <v>0</v>
      </c>
      <c r="G24" s="208">
        <v>0</v>
      </c>
      <c r="H24" s="447">
        <v>0</v>
      </c>
      <c r="I24" s="447">
        <v>554</v>
      </c>
      <c r="J24" s="447">
        <v>3</v>
      </c>
      <c r="K24" s="208">
        <v>0</v>
      </c>
      <c r="L24" s="208">
        <v>0</v>
      </c>
      <c r="M24" s="447">
        <f t="shared" si="0"/>
        <v>20679</v>
      </c>
      <c r="N24" s="53" t="s">
        <v>20</v>
      </c>
    </row>
    <row r="25" spans="1:16" ht="13.95" x14ac:dyDescent="0.25">
      <c r="A25" s="443" t="s">
        <v>310</v>
      </c>
      <c r="B25" s="208">
        <v>0</v>
      </c>
      <c r="C25" s="208">
        <v>0</v>
      </c>
      <c r="D25" s="447">
        <v>38233</v>
      </c>
      <c r="E25" s="447">
        <v>0</v>
      </c>
      <c r="F25" s="208">
        <v>0</v>
      </c>
      <c r="G25" s="208">
        <v>0</v>
      </c>
      <c r="H25" s="447">
        <v>0</v>
      </c>
      <c r="I25" s="447">
        <v>0</v>
      </c>
      <c r="J25" s="447">
        <v>0</v>
      </c>
      <c r="K25" s="208">
        <v>0</v>
      </c>
      <c r="L25" s="208">
        <v>0</v>
      </c>
      <c r="M25" s="447">
        <f t="shared" si="0"/>
        <v>38233</v>
      </c>
      <c r="N25" s="53" t="s">
        <v>20</v>
      </c>
    </row>
    <row r="26" spans="1:16" ht="13.95" x14ac:dyDescent="0.25">
      <c r="A26" s="443" t="s">
        <v>311</v>
      </c>
      <c r="B26" s="208">
        <v>0</v>
      </c>
      <c r="C26" s="208">
        <v>0</v>
      </c>
      <c r="D26" s="447">
        <v>4024</v>
      </c>
      <c r="E26" s="447">
        <v>0</v>
      </c>
      <c r="F26" s="208">
        <v>0</v>
      </c>
      <c r="G26" s="208">
        <v>0</v>
      </c>
      <c r="H26" s="447">
        <v>0</v>
      </c>
      <c r="I26" s="447">
        <v>0</v>
      </c>
      <c r="J26" s="447">
        <v>16</v>
      </c>
      <c r="K26" s="208">
        <v>0</v>
      </c>
      <c r="L26" s="208">
        <v>0</v>
      </c>
      <c r="M26" s="447">
        <f t="shared" si="0"/>
        <v>4040</v>
      </c>
      <c r="N26" s="53" t="s">
        <v>20</v>
      </c>
    </row>
    <row r="27" spans="1:16" ht="13.95" x14ac:dyDescent="0.25">
      <c r="A27" s="443" t="s">
        <v>312</v>
      </c>
      <c r="B27" s="208">
        <v>0</v>
      </c>
      <c r="C27" s="208">
        <v>0</v>
      </c>
      <c r="D27" s="447">
        <v>9055</v>
      </c>
      <c r="E27" s="447">
        <v>0</v>
      </c>
      <c r="F27" s="208">
        <v>0</v>
      </c>
      <c r="G27" s="208">
        <v>0</v>
      </c>
      <c r="H27" s="447">
        <v>0</v>
      </c>
      <c r="I27" s="447">
        <v>0</v>
      </c>
      <c r="J27" s="447">
        <v>88</v>
      </c>
      <c r="K27" s="208">
        <v>0</v>
      </c>
      <c r="L27" s="208">
        <v>0</v>
      </c>
      <c r="M27" s="447">
        <f t="shared" si="0"/>
        <v>9143</v>
      </c>
      <c r="N27" s="53" t="s">
        <v>20</v>
      </c>
    </row>
    <row r="28" spans="1:16" ht="13.95" x14ac:dyDescent="0.25">
      <c r="A28" s="443" t="s">
        <v>313</v>
      </c>
      <c r="B28" s="208">
        <v>0</v>
      </c>
      <c r="C28" s="208">
        <v>0</v>
      </c>
      <c r="D28" s="447">
        <v>1006</v>
      </c>
      <c r="E28" s="447">
        <v>0</v>
      </c>
      <c r="F28" s="208">
        <v>0</v>
      </c>
      <c r="G28" s="208">
        <v>0</v>
      </c>
      <c r="H28" s="447">
        <v>0</v>
      </c>
      <c r="I28" s="447">
        <v>0</v>
      </c>
      <c r="J28" s="447">
        <v>0</v>
      </c>
      <c r="K28" s="208">
        <v>0</v>
      </c>
      <c r="L28" s="208">
        <v>0</v>
      </c>
      <c r="M28" s="447">
        <f t="shared" si="0"/>
        <v>1006</v>
      </c>
      <c r="N28" s="53" t="s">
        <v>20</v>
      </c>
    </row>
    <row r="29" spans="1:16" ht="13.95" x14ac:dyDescent="0.25">
      <c r="A29" s="443" t="s">
        <v>278</v>
      </c>
      <c r="B29" s="208">
        <v>0</v>
      </c>
      <c r="C29" s="208">
        <v>0</v>
      </c>
      <c r="D29" s="447">
        <v>6037</v>
      </c>
      <c r="E29" s="447">
        <v>0</v>
      </c>
      <c r="F29" s="208">
        <v>0</v>
      </c>
      <c r="G29" s="208">
        <v>0</v>
      </c>
      <c r="H29" s="447">
        <v>0</v>
      </c>
      <c r="I29" s="447">
        <v>0</v>
      </c>
      <c r="J29" s="447">
        <v>148</v>
      </c>
      <c r="K29" s="208">
        <v>0</v>
      </c>
      <c r="L29" s="208">
        <v>0</v>
      </c>
      <c r="M29" s="447">
        <f t="shared" si="0"/>
        <v>6185</v>
      </c>
      <c r="N29" s="53" t="s">
        <v>20</v>
      </c>
    </row>
    <row r="30" spans="1:16" ht="13.95" x14ac:dyDescent="0.25">
      <c r="A30" s="443" t="s">
        <v>314</v>
      </c>
      <c r="B30" s="208">
        <v>0</v>
      </c>
      <c r="C30" s="208">
        <v>0</v>
      </c>
      <c r="D30" s="447">
        <v>5031</v>
      </c>
      <c r="E30" s="447">
        <v>0</v>
      </c>
      <c r="F30" s="208">
        <v>0</v>
      </c>
      <c r="G30" s="208">
        <v>0</v>
      </c>
      <c r="H30" s="447">
        <v>0</v>
      </c>
      <c r="I30" s="447">
        <v>0</v>
      </c>
      <c r="J30" s="447">
        <v>2</v>
      </c>
      <c r="K30" s="208">
        <v>0</v>
      </c>
      <c r="L30" s="208">
        <v>0</v>
      </c>
      <c r="M30" s="447">
        <f t="shared" si="0"/>
        <v>5033</v>
      </c>
      <c r="N30" s="53" t="s">
        <v>20</v>
      </c>
    </row>
    <row r="31" spans="1:16" ht="13.95" x14ac:dyDescent="0.25">
      <c r="A31" s="443" t="s">
        <v>315</v>
      </c>
      <c r="B31" s="208">
        <v>0</v>
      </c>
      <c r="C31" s="208">
        <v>0</v>
      </c>
      <c r="D31" s="447">
        <v>1006</v>
      </c>
      <c r="E31" s="447">
        <v>0</v>
      </c>
      <c r="F31" s="208">
        <v>0</v>
      </c>
      <c r="G31" s="208">
        <v>0</v>
      </c>
      <c r="H31" s="447">
        <v>0</v>
      </c>
      <c r="I31" s="447">
        <v>0</v>
      </c>
      <c r="J31" s="447">
        <v>0</v>
      </c>
      <c r="K31" s="208">
        <v>0</v>
      </c>
      <c r="L31" s="208">
        <v>0</v>
      </c>
      <c r="M31" s="447">
        <f t="shared" si="0"/>
        <v>1006</v>
      </c>
      <c r="N31" s="53" t="s">
        <v>20</v>
      </c>
    </row>
    <row r="32" spans="1:16" ht="13.95" x14ac:dyDescent="0.25">
      <c r="A32" s="443" t="s">
        <v>316</v>
      </c>
      <c r="B32" s="208">
        <v>0</v>
      </c>
      <c r="C32" s="208">
        <v>0</v>
      </c>
      <c r="D32" s="447">
        <v>12073</v>
      </c>
      <c r="E32" s="447">
        <v>0</v>
      </c>
      <c r="F32" s="208">
        <v>0</v>
      </c>
      <c r="G32" s="208">
        <v>0</v>
      </c>
      <c r="H32" s="447">
        <v>0</v>
      </c>
      <c r="I32" s="447">
        <v>0</v>
      </c>
      <c r="J32" s="447">
        <v>134</v>
      </c>
      <c r="K32" s="208">
        <v>0</v>
      </c>
      <c r="L32" s="208">
        <v>0</v>
      </c>
      <c r="M32" s="447">
        <f t="shared" si="0"/>
        <v>12207</v>
      </c>
      <c r="N32" s="53" t="s">
        <v>20</v>
      </c>
    </row>
    <row r="33" spans="1:14" ht="13.95" x14ac:dyDescent="0.25">
      <c r="A33" s="443" t="s">
        <v>317</v>
      </c>
      <c r="B33" s="208">
        <v>0</v>
      </c>
      <c r="C33" s="208">
        <v>0</v>
      </c>
      <c r="D33" s="447">
        <v>7043</v>
      </c>
      <c r="E33" s="447">
        <v>0</v>
      </c>
      <c r="F33" s="208">
        <v>0</v>
      </c>
      <c r="G33" s="208">
        <v>0</v>
      </c>
      <c r="H33" s="447">
        <v>0</v>
      </c>
      <c r="I33" s="447">
        <v>0</v>
      </c>
      <c r="J33" s="447">
        <v>4</v>
      </c>
      <c r="K33" s="208">
        <v>0</v>
      </c>
      <c r="L33" s="208">
        <v>0</v>
      </c>
      <c r="M33" s="447">
        <f t="shared" si="0"/>
        <v>7047</v>
      </c>
      <c r="N33" s="53" t="s">
        <v>20</v>
      </c>
    </row>
    <row r="34" spans="1:14" ht="13.95" x14ac:dyDescent="0.25">
      <c r="A34" s="443" t="s">
        <v>287</v>
      </c>
      <c r="B34" s="208">
        <v>0</v>
      </c>
      <c r="C34" s="208">
        <v>0</v>
      </c>
      <c r="D34" s="447">
        <v>12577</v>
      </c>
      <c r="E34" s="447">
        <v>0</v>
      </c>
      <c r="F34" s="208">
        <v>0</v>
      </c>
      <c r="G34" s="208">
        <v>0</v>
      </c>
      <c r="H34" s="447">
        <v>0</v>
      </c>
      <c r="I34" s="447">
        <v>445</v>
      </c>
      <c r="J34" s="447">
        <v>0</v>
      </c>
      <c r="K34" s="208">
        <v>0</v>
      </c>
      <c r="L34" s="208">
        <v>0</v>
      </c>
      <c r="M34" s="447">
        <f t="shared" si="0"/>
        <v>13022</v>
      </c>
      <c r="N34" s="53" t="s">
        <v>20</v>
      </c>
    </row>
    <row r="35" spans="1:14" ht="13.95" x14ac:dyDescent="0.25">
      <c r="A35" s="443" t="s">
        <v>320</v>
      </c>
      <c r="B35" s="208">
        <v>0</v>
      </c>
      <c r="C35" s="208">
        <v>0</v>
      </c>
      <c r="D35" s="447">
        <v>10061</v>
      </c>
      <c r="E35" s="447">
        <v>0</v>
      </c>
      <c r="F35" s="208">
        <v>0</v>
      </c>
      <c r="G35" s="208">
        <v>0</v>
      </c>
      <c r="H35" s="447">
        <v>0</v>
      </c>
      <c r="I35" s="447">
        <v>621</v>
      </c>
      <c r="J35" s="447">
        <v>0</v>
      </c>
      <c r="K35" s="208">
        <v>0</v>
      </c>
      <c r="L35" s="208">
        <v>0</v>
      </c>
      <c r="M35" s="447">
        <f t="shared" si="0"/>
        <v>10682</v>
      </c>
      <c r="N35" s="53" t="s">
        <v>20</v>
      </c>
    </row>
    <row r="36" spans="1:14" ht="13.95" x14ac:dyDescent="0.25">
      <c r="A36" s="443" t="s">
        <v>321</v>
      </c>
      <c r="B36" s="208">
        <v>0</v>
      </c>
      <c r="C36" s="208">
        <v>0</v>
      </c>
      <c r="D36" s="447">
        <v>63386</v>
      </c>
      <c r="E36" s="447">
        <v>0</v>
      </c>
      <c r="F36" s="208">
        <v>0</v>
      </c>
      <c r="G36" s="208">
        <v>0</v>
      </c>
      <c r="H36" s="447">
        <v>0</v>
      </c>
      <c r="I36" s="447">
        <f>568+5591</f>
        <v>6159</v>
      </c>
      <c r="J36" s="447">
        <v>695</v>
      </c>
      <c r="K36" s="208">
        <v>0</v>
      </c>
      <c r="L36" s="208">
        <v>0</v>
      </c>
      <c r="M36" s="447">
        <f t="shared" si="0"/>
        <v>70240</v>
      </c>
      <c r="N36" s="53" t="s">
        <v>20</v>
      </c>
    </row>
    <row r="37" spans="1:14" ht="13.95" x14ac:dyDescent="0.25">
      <c r="A37" s="443" t="s">
        <v>328</v>
      </c>
      <c r="B37" s="208">
        <v>0</v>
      </c>
      <c r="C37" s="208">
        <v>0</v>
      </c>
      <c r="D37" s="447">
        <v>5031</v>
      </c>
      <c r="E37" s="447">
        <v>0</v>
      </c>
      <c r="F37" s="208">
        <v>0</v>
      </c>
      <c r="G37" s="208">
        <v>0</v>
      </c>
      <c r="H37" s="447">
        <v>0</v>
      </c>
      <c r="I37" s="447">
        <v>266</v>
      </c>
      <c r="J37" s="447">
        <v>21</v>
      </c>
      <c r="K37" s="208">
        <v>0</v>
      </c>
      <c r="L37" s="208">
        <v>0</v>
      </c>
      <c r="M37" s="447">
        <f t="shared" si="0"/>
        <v>5318</v>
      </c>
      <c r="N37" s="53" t="s">
        <v>20</v>
      </c>
    </row>
    <row r="38" spans="1:14" ht="13.95" x14ac:dyDescent="0.25">
      <c r="A38" s="443" t="s">
        <v>334</v>
      </c>
      <c r="B38" s="208">
        <v>0</v>
      </c>
      <c r="C38" s="208">
        <v>0</v>
      </c>
      <c r="D38" s="447">
        <v>241469</v>
      </c>
      <c r="E38" s="447">
        <v>0</v>
      </c>
      <c r="F38" s="208">
        <v>0</v>
      </c>
      <c r="G38" s="208">
        <v>0</v>
      </c>
      <c r="H38" s="447">
        <v>0</v>
      </c>
      <c r="I38" s="447">
        <v>0</v>
      </c>
      <c r="J38" s="447">
        <v>1355</v>
      </c>
      <c r="K38" s="208">
        <v>0</v>
      </c>
      <c r="L38" s="208">
        <v>0</v>
      </c>
      <c r="M38" s="447">
        <f t="shared" si="0"/>
        <v>242824</v>
      </c>
      <c r="N38" s="53" t="s">
        <v>20</v>
      </c>
    </row>
    <row r="39" spans="1:14" ht="13.95" x14ac:dyDescent="0.25">
      <c r="A39" s="443" t="s">
        <v>387</v>
      </c>
      <c r="B39" s="208">
        <v>0</v>
      </c>
      <c r="C39" s="208">
        <v>0</v>
      </c>
      <c r="D39" s="447">
        <v>0</v>
      </c>
      <c r="E39" s="447">
        <v>0</v>
      </c>
      <c r="F39" s="208">
        <v>0</v>
      </c>
      <c r="G39" s="208">
        <v>0</v>
      </c>
      <c r="H39" s="447">
        <v>0</v>
      </c>
      <c r="I39" s="447">
        <v>2006</v>
      </c>
      <c r="J39" s="447">
        <v>0</v>
      </c>
      <c r="K39" s="208">
        <v>0</v>
      </c>
      <c r="L39" s="208">
        <v>0</v>
      </c>
      <c r="M39" s="447">
        <f t="shared" si="0"/>
        <v>2006</v>
      </c>
      <c r="N39" s="53" t="s">
        <v>20</v>
      </c>
    </row>
    <row r="40" spans="1:14" ht="13.95" x14ac:dyDescent="0.25">
      <c r="A40" s="443" t="s">
        <v>386</v>
      </c>
      <c r="B40" s="208">
        <v>0</v>
      </c>
      <c r="C40" s="208">
        <v>0</v>
      </c>
      <c r="D40" s="447">
        <v>0</v>
      </c>
      <c r="E40" s="447">
        <v>0</v>
      </c>
      <c r="F40" s="208">
        <v>0</v>
      </c>
      <c r="G40" s="208">
        <v>0</v>
      </c>
      <c r="H40" s="447">
        <v>0</v>
      </c>
      <c r="I40" s="447">
        <v>59</v>
      </c>
      <c r="J40" s="447">
        <v>0</v>
      </c>
      <c r="K40" s="208">
        <v>0</v>
      </c>
      <c r="L40" s="208">
        <v>0</v>
      </c>
      <c r="M40" s="447">
        <f t="shared" si="0"/>
        <v>59</v>
      </c>
      <c r="N40" s="53" t="s">
        <v>20</v>
      </c>
    </row>
    <row r="41" spans="1:14" ht="13.95" x14ac:dyDescent="0.25">
      <c r="A41" s="443" t="s">
        <v>385</v>
      </c>
      <c r="B41" s="208">
        <v>0</v>
      </c>
      <c r="C41" s="208">
        <v>0</v>
      </c>
      <c r="D41" s="447">
        <v>0</v>
      </c>
      <c r="E41" s="447">
        <v>0</v>
      </c>
      <c r="F41" s="208">
        <v>0</v>
      </c>
      <c r="G41" s="208">
        <v>0</v>
      </c>
      <c r="H41" s="447">
        <v>0</v>
      </c>
      <c r="I41" s="447">
        <v>996</v>
      </c>
      <c r="J41" s="447">
        <v>0</v>
      </c>
      <c r="K41" s="208">
        <v>0</v>
      </c>
      <c r="L41" s="208">
        <v>0</v>
      </c>
      <c r="M41" s="447">
        <f t="shared" si="0"/>
        <v>996</v>
      </c>
      <c r="N41" s="53" t="s">
        <v>20</v>
      </c>
    </row>
    <row r="42" spans="1:14" ht="13.95" x14ac:dyDescent="0.25">
      <c r="A42" s="443" t="s">
        <v>384</v>
      </c>
      <c r="B42" s="208">
        <v>0</v>
      </c>
      <c r="C42" s="208">
        <v>0</v>
      </c>
      <c r="D42" s="447">
        <v>0</v>
      </c>
      <c r="E42" s="447">
        <v>0</v>
      </c>
      <c r="F42" s="208">
        <v>0</v>
      </c>
      <c r="G42" s="208">
        <v>0</v>
      </c>
      <c r="H42" s="447">
        <v>0</v>
      </c>
      <c r="I42" s="447">
        <v>92</v>
      </c>
      <c r="J42" s="447">
        <v>105</v>
      </c>
      <c r="K42" s="208">
        <v>0</v>
      </c>
      <c r="L42" s="208">
        <v>0</v>
      </c>
      <c r="M42" s="447">
        <f t="shared" si="0"/>
        <v>197</v>
      </c>
      <c r="N42" s="53" t="s">
        <v>20</v>
      </c>
    </row>
    <row r="43" spans="1:14" ht="13.95" x14ac:dyDescent="0.25">
      <c r="A43" s="443" t="s">
        <v>383</v>
      </c>
      <c r="B43" s="208">
        <v>0</v>
      </c>
      <c r="C43" s="208">
        <v>0</v>
      </c>
      <c r="D43" s="447">
        <v>0</v>
      </c>
      <c r="E43" s="447">
        <v>0</v>
      </c>
      <c r="F43" s="208">
        <v>0</v>
      </c>
      <c r="G43" s="208">
        <v>0</v>
      </c>
      <c r="H43" s="447">
        <v>0</v>
      </c>
      <c r="I43" s="447">
        <v>3038</v>
      </c>
      <c r="J43" s="447">
        <v>485</v>
      </c>
      <c r="K43" s="208">
        <v>0</v>
      </c>
      <c r="L43" s="208">
        <v>0</v>
      </c>
      <c r="M43" s="447">
        <f t="shared" si="0"/>
        <v>3523</v>
      </c>
      <c r="N43" s="53" t="s">
        <v>20</v>
      </c>
    </row>
    <row r="44" spans="1:14" ht="13.95" x14ac:dyDescent="0.25">
      <c r="A44" s="443" t="s">
        <v>382</v>
      </c>
      <c r="B44" s="208">
        <v>0</v>
      </c>
      <c r="C44" s="208">
        <v>0</v>
      </c>
      <c r="D44" s="447">
        <v>0</v>
      </c>
      <c r="E44" s="447">
        <v>0</v>
      </c>
      <c r="F44" s="208">
        <v>0</v>
      </c>
      <c r="G44" s="208">
        <v>0</v>
      </c>
      <c r="H44" s="447">
        <v>0</v>
      </c>
      <c r="I44" s="447">
        <v>1948</v>
      </c>
      <c r="J44" s="447">
        <v>2423</v>
      </c>
      <c r="K44" s="208">
        <v>0</v>
      </c>
      <c r="L44" s="208">
        <v>0</v>
      </c>
      <c r="M44" s="447">
        <f t="shared" si="0"/>
        <v>4371</v>
      </c>
      <c r="N44" s="53" t="s">
        <v>20</v>
      </c>
    </row>
    <row r="45" spans="1:14" ht="13.95" x14ac:dyDescent="0.25">
      <c r="A45" s="443" t="s">
        <v>381</v>
      </c>
      <c r="B45" s="208">
        <v>0</v>
      </c>
      <c r="C45" s="208">
        <v>0</v>
      </c>
      <c r="D45" s="447">
        <v>0</v>
      </c>
      <c r="E45" s="447">
        <v>0</v>
      </c>
      <c r="F45" s="208">
        <v>0</v>
      </c>
      <c r="G45" s="208">
        <v>0</v>
      </c>
      <c r="H45" s="447">
        <v>0</v>
      </c>
      <c r="I45" s="447">
        <v>29</v>
      </c>
      <c r="J45" s="447">
        <v>153</v>
      </c>
      <c r="K45" s="208">
        <v>0</v>
      </c>
      <c r="L45" s="208">
        <v>0</v>
      </c>
      <c r="M45" s="447">
        <f t="shared" si="0"/>
        <v>182</v>
      </c>
      <c r="N45" s="53" t="s">
        <v>20</v>
      </c>
    </row>
    <row r="46" spans="1:14" ht="13.95" x14ac:dyDescent="0.25">
      <c r="A46" s="443" t="s">
        <v>310</v>
      </c>
      <c r="B46" s="208">
        <v>0</v>
      </c>
      <c r="C46" s="208">
        <v>0</v>
      </c>
      <c r="D46" s="447">
        <v>0</v>
      </c>
      <c r="E46" s="447">
        <v>0</v>
      </c>
      <c r="F46" s="208">
        <v>0</v>
      </c>
      <c r="G46" s="208">
        <v>0</v>
      </c>
      <c r="H46" s="447">
        <v>0</v>
      </c>
      <c r="I46" s="447">
        <v>-6</v>
      </c>
      <c r="J46" s="447">
        <v>12</v>
      </c>
      <c r="K46" s="208">
        <v>0</v>
      </c>
      <c r="L46" s="208">
        <v>0</v>
      </c>
      <c r="M46" s="447">
        <f t="shared" si="0"/>
        <v>6</v>
      </c>
      <c r="N46" s="53" t="s">
        <v>20</v>
      </c>
    </row>
    <row r="47" spans="1:14" ht="13.95" x14ac:dyDescent="0.25">
      <c r="A47" s="443" t="s">
        <v>329</v>
      </c>
      <c r="B47" s="208">
        <v>0</v>
      </c>
      <c r="C47" s="208">
        <v>0</v>
      </c>
      <c r="D47" s="447">
        <v>10564</v>
      </c>
      <c r="E47" s="447">
        <v>0</v>
      </c>
      <c r="F47" s="208">
        <v>0</v>
      </c>
      <c r="G47" s="208">
        <v>0</v>
      </c>
      <c r="H47" s="447">
        <v>0</v>
      </c>
      <c r="I47" s="447">
        <v>558</v>
      </c>
      <c r="J47" s="447">
        <v>432</v>
      </c>
      <c r="K47" s="208">
        <v>0</v>
      </c>
      <c r="L47" s="208">
        <v>0</v>
      </c>
      <c r="M47" s="447">
        <f t="shared" si="0"/>
        <v>11554</v>
      </c>
      <c r="N47" s="53" t="s">
        <v>20</v>
      </c>
    </row>
    <row r="48" spans="1:14" ht="13.95" x14ac:dyDescent="0.25">
      <c r="A48" s="443" t="s">
        <v>380</v>
      </c>
      <c r="B48" s="208">
        <v>0</v>
      </c>
      <c r="C48" s="208">
        <v>0</v>
      </c>
      <c r="D48" s="447">
        <v>0</v>
      </c>
      <c r="E48" s="447">
        <v>0</v>
      </c>
      <c r="F48" s="208">
        <v>0</v>
      </c>
      <c r="G48" s="208">
        <v>0</v>
      </c>
      <c r="H48" s="447">
        <v>0</v>
      </c>
      <c r="I48" s="447">
        <v>-598</v>
      </c>
      <c r="J48" s="447">
        <v>0</v>
      </c>
      <c r="K48" s="208">
        <v>0</v>
      </c>
      <c r="L48" s="208">
        <v>0</v>
      </c>
      <c r="M48" s="447">
        <f t="shared" si="0"/>
        <v>-598</v>
      </c>
      <c r="N48" s="53" t="s">
        <v>20</v>
      </c>
    </row>
    <row r="49" spans="1:14" ht="13.95" x14ac:dyDescent="0.25">
      <c r="A49" s="443" t="s">
        <v>379</v>
      </c>
      <c r="B49" s="208">
        <v>0</v>
      </c>
      <c r="C49" s="208">
        <v>0</v>
      </c>
      <c r="D49" s="447">
        <v>0</v>
      </c>
      <c r="E49" s="447">
        <v>0</v>
      </c>
      <c r="F49" s="208">
        <v>0</v>
      </c>
      <c r="G49" s="208">
        <v>0</v>
      </c>
      <c r="H49" s="447">
        <v>0</v>
      </c>
      <c r="I49" s="447">
        <v>0</v>
      </c>
      <c r="J49" s="447">
        <v>105</v>
      </c>
      <c r="K49" s="208">
        <v>0</v>
      </c>
      <c r="L49" s="208">
        <v>0</v>
      </c>
      <c r="M49" s="447">
        <f t="shared" si="0"/>
        <v>105</v>
      </c>
      <c r="N49" s="53" t="s">
        <v>20</v>
      </c>
    </row>
    <row r="50" spans="1:14" ht="13.95" x14ac:dyDescent="0.25">
      <c r="A50" s="443" t="s">
        <v>378</v>
      </c>
      <c r="B50" s="208">
        <v>0</v>
      </c>
      <c r="C50" s="208">
        <v>0</v>
      </c>
      <c r="D50" s="447">
        <v>0</v>
      </c>
      <c r="E50" s="447">
        <v>0</v>
      </c>
      <c r="F50" s="208">
        <v>0</v>
      </c>
      <c r="G50" s="208">
        <v>0</v>
      </c>
      <c r="H50" s="447">
        <v>0</v>
      </c>
      <c r="I50" s="447">
        <v>82</v>
      </c>
      <c r="J50" s="447">
        <v>0</v>
      </c>
      <c r="K50" s="208">
        <v>0</v>
      </c>
      <c r="L50" s="208">
        <v>0</v>
      </c>
      <c r="M50" s="447">
        <f t="shared" si="0"/>
        <v>82</v>
      </c>
      <c r="N50" s="53" t="s">
        <v>20</v>
      </c>
    </row>
    <row r="51" spans="1:14" ht="13.95" x14ac:dyDescent="0.25">
      <c r="A51" s="443" t="s">
        <v>377</v>
      </c>
      <c r="B51" s="208">
        <v>0</v>
      </c>
      <c r="C51" s="208">
        <v>0</v>
      </c>
      <c r="D51" s="447">
        <v>0</v>
      </c>
      <c r="E51" s="447">
        <v>0</v>
      </c>
      <c r="F51" s="208">
        <v>0</v>
      </c>
      <c r="G51" s="208">
        <v>0</v>
      </c>
      <c r="H51" s="447">
        <v>0</v>
      </c>
      <c r="I51" s="447">
        <v>27</v>
      </c>
      <c r="J51" s="447">
        <v>0</v>
      </c>
      <c r="K51" s="208">
        <v>0</v>
      </c>
      <c r="L51" s="208">
        <v>0</v>
      </c>
      <c r="M51" s="447">
        <f t="shared" si="0"/>
        <v>27</v>
      </c>
      <c r="N51" s="53" t="s">
        <v>20</v>
      </c>
    </row>
    <row r="52" spans="1:14" ht="13.95" x14ac:dyDescent="0.25">
      <c r="A52" s="443" t="s">
        <v>444</v>
      </c>
      <c r="B52" s="208">
        <v>0</v>
      </c>
      <c r="C52" s="208">
        <v>0</v>
      </c>
      <c r="D52" s="447">
        <v>0</v>
      </c>
      <c r="E52" s="447">
        <v>0</v>
      </c>
      <c r="F52" s="208">
        <v>0</v>
      </c>
      <c r="G52" s="208">
        <v>0</v>
      </c>
      <c r="H52" s="447">
        <v>0</v>
      </c>
      <c r="I52" s="447">
        <v>15</v>
      </c>
      <c r="J52" s="447">
        <v>19</v>
      </c>
      <c r="K52" s="208">
        <v>0</v>
      </c>
      <c r="L52" s="208">
        <v>0</v>
      </c>
      <c r="M52" s="447">
        <f t="shared" si="0"/>
        <v>34</v>
      </c>
      <c r="N52" s="53" t="s">
        <v>20</v>
      </c>
    </row>
    <row r="53" spans="1:14" ht="13.95" x14ac:dyDescent="0.25">
      <c r="A53" s="443" t="s">
        <v>376</v>
      </c>
      <c r="B53" s="208">
        <v>0</v>
      </c>
      <c r="C53" s="208">
        <v>0</v>
      </c>
      <c r="D53" s="447">
        <v>0</v>
      </c>
      <c r="E53" s="447">
        <v>0</v>
      </c>
      <c r="F53" s="208">
        <v>0</v>
      </c>
      <c r="G53" s="208">
        <v>0</v>
      </c>
      <c r="H53" s="447">
        <v>0</v>
      </c>
      <c r="I53" s="447">
        <v>46</v>
      </c>
      <c r="J53" s="447">
        <v>0</v>
      </c>
      <c r="K53" s="208">
        <v>0</v>
      </c>
      <c r="L53" s="208">
        <v>0</v>
      </c>
      <c r="M53" s="447">
        <f t="shared" si="0"/>
        <v>46</v>
      </c>
      <c r="N53" s="53" t="s">
        <v>20</v>
      </c>
    </row>
    <row r="54" spans="1:14" ht="13.95" x14ac:dyDescent="0.25">
      <c r="A54" s="443" t="s">
        <v>375</v>
      </c>
      <c r="B54" s="208">
        <v>0</v>
      </c>
      <c r="C54" s="208">
        <v>0</v>
      </c>
      <c r="D54" s="447">
        <v>0</v>
      </c>
      <c r="E54" s="447">
        <v>0</v>
      </c>
      <c r="F54" s="208">
        <v>0</v>
      </c>
      <c r="G54" s="208">
        <v>0</v>
      </c>
      <c r="H54" s="447">
        <v>0</v>
      </c>
      <c r="I54" s="447">
        <v>1048</v>
      </c>
      <c r="J54" s="447">
        <v>0</v>
      </c>
      <c r="K54" s="208">
        <v>0</v>
      </c>
      <c r="L54" s="208">
        <v>0</v>
      </c>
      <c r="M54" s="447">
        <f t="shared" si="0"/>
        <v>1048</v>
      </c>
      <c r="N54" s="53" t="s">
        <v>20</v>
      </c>
    </row>
    <row r="55" spans="1:14" ht="13.95" x14ac:dyDescent="0.25">
      <c r="A55" s="443" t="s">
        <v>374</v>
      </c>
      <c r="B55" s="208">
        <v>0</v>
      </c>
      <c r="C55" s="208">
        <v>0</v>
      </c>
      <c r="D55" s="447">
        <v>0</v>
      </c>
      <c r="E55" s="447">
        <v>0</v>
      </c>
      <c r="F55" s="208">
        <v>0</v>
      </c>
      <c r="G55" s="208">
        <v>0</v>
      </c>
      <c r="H55" s="447">
        <v>0</v>
      </c>
      <c r="I55" s="447">
        <v>15</v>
      </c>
      <c r="J55" s="447">
        <v>0</v>
      </c>
      <c r="K55" s="208">
        <v>0</v>
      </c>
      <c r="L55" s="208">
        <v>0</v>
      </c>
      <c r="M55" s="447">
        <f t="shared" si="0"/>
        <v>15</v>
      </c>
      <c r="N55" s="53" t="s">
        <v>20</v>
      </c>
    </row>
    <row r="56" spans="1:14" ht="13.95" x14ac:dyDescent="0.25">
      <c r="A56" s="443" t="s">
        <v>373</v>
      </c>
      <c r="B56" s="208">
        <v>0</v>
      </c>
      <c r="C56" s="208">
        <v>0</v>
      </c>
      <c r="D56" s="447">
        <v>0</v>
      </c>
      <c r="E56" s="447">
        <v>0</v>
      </c>
      <c r="F56" s="208">
        <v>0</v>
      </c>
      <c r="G56" s="208">
        <v>0</v>
      </c>
      <c r="H56" s="447">
        <v>0</v>
      </c>
      <c r="I56" s="447">
        <v>-124</v>
      </c>
      <c r="J56" s="447">
        <v>0</v>
      </c>
      <c r="K56" s="208">
        <v>0</v>
      </c>
      <c r="L56" s="208">
        <v>0</v>
      </c>
      <c r="M56" s="447">
        <f t="shared" si="0"/>
        <v>-124</v>
      </c>
      <c r="N56" s="53" t="s">
        <v>20</v>
      </c>
    </row>
    <row r="57" spans="1:14" ht="13.95" x14ac:dyDescent="0.25">
      <c r="A57" s="443" t="s">
        <v>346</v>
      </c>
      <c r="B57" s="208">
        <v>0</v>
      </c>
      <c r="C57" s="208">
        <v>0</v>
      </c>
      <c r="D57" s="447">
        <v>0</v>
      </c>
      <c r="E57" s="447">
        <v>0</v>
      </c>
      <c r="F57" s="208">
        <v>0</v>
      </c>
      <c r="G57" s="208">
        <v>0</v>
      </c>
      <c r="H57" s="447">
        <v>0</v>
      </c>
      <c r="I57" s="447">
        <v>-1</v>
      </c>
      <c r="J57" s="447">
        <f>907+1006</f>
        <v>1913</v>
      </c>
      <c r="K57" s="208">
        <v>0</v>
      </c>
      <c r="L57" s="208">
        <v>0</v>
      </c>
      <c r="M57" s="447">
        <f t="shared" si="0"/>
        <v>1912</v>
      </c>
      <c r="N57" s="53" t="s">
        <v>20</v>
      </c>
    </row>
    <row r="58" spans="1:14" ht="13.95" x14ac:dyDescent="0.25">
      <c r="A58" s="444" t="s">
        <v>372</v>
      </c>
      <c r="B58" s="490">
        <v>0</v>
      </c>
      <c r="C58" s="490">
        <v>0</v>
      </c>
      <c r="D58" s="491">
        <v>0</v>
      </c>
      <c r="E58" s="491">
        <v>0</v>
      </c>
      <c r="F58" s="490">
        <v>0</v>
      </c>
      <c r="G58" s="490">
        <v>0</v>
      </c>
      <c r="H58" s="491">
        <v>-3171</v>
      </c>
      <c r="I58" s="491">
        <v>0</v>
      </c>
      <c r="J58" s="491">
        <v>0</v>
      </c>
      <c r="K58" s="490">
        <v>0</v>
      </c>
      <c r="L58" s="490">
        <v>0</v>
      </c>
      <c r="M58" s="492">
        <f>D58+I58+J58+H58</f>
        <v>-3171</v>
      </c>
      <c r="N58" s="53" t="s">
        <v>20</v>
      </c>
    </row>
    <row r="59" spans="1:14" ht="13.95" x14ac:dyDescent="0.25">
      <c r="A59" s="444" t="s">
        <v>139</v>
      </c>
      <c r="B59" s="490">
        <v>0</v>
      </c>
      <c r="C59" s="490">
        <v>0</v>
      </c>
      <c r="D59" s="493">
        <v>0</v>
      </c>
      <c r="E59" s="493">
        <v>0</v>
      </c>
      <c r="F59" s="490">
        <v>0</v>
      </c>
      <c r="G59" s="490">
        <v>0</v>
      </c>
      <c r="H59" s="493">
        <v>0</v>
      </c>
      <c r="I59" s="493">
        <v>0</v>
      </c>
      <c r="J59" s="493">
        <v>31983</v>
      </c>
      <c r="K59" s="490">
        <v>0</v>
      </c>
      <c r="L59" s="490">
        <v>0</v>
      </c>
      <c r="M59" s="494">
        <f>D59+I59+J59+H59</f>
        <v>31983</v>
      </c>
      <c r="N59" s="53"/>
    </row>
    <row r="60" spans="1:14" ht="13.95" x14ac:dyDescent="0.25">
      <c r="A60" s="16" t="s">
        <v>131</v>
      </c>
      <c r="B60" s="143">
        <f>SUM(B37:B47)</f>
        <v>0</v>
      </c>
      <c r="C60" s="143">
        <f>SUM(C37:C47)</f>
        <v>0</v>
      </c>
      <c r="D60" s="314">
        <f>SUM(D10:D47)</f>
        <v>1169615</v>
      </c>
      <c r="E60" s="143">
        <f>SUM(E37:E47)</f>
        <v>0</v>
      </c>
      <c r="F60" s="143">
        <f>SUM(F37:F47)</f>
        <v>0</v>
      </c>
      <c r="G60" s="143">
        <f>SUM(G37:G47)</f>
        <v>0</v>
      </c>
      <c r="H60" s="384">
        <f>SUM(H37:H58)</f>
        <v>-3171</v>
      </c>
      <c r="I60" s="143">
        <f>SUM(I10:I59)</f>
        <v>26755</v>
      </c>
      <c r="J60" s="314">
        <f>SUM(J10:J59)</f>
        <v>42000</v>
      </c>
      <c r="K60" s="143">
        <f>SUM(K37:K47)</f>
        <v>0</v>
      </c>
      <c r="L60" s="373">
        <f>SUM(L37:L47)</f>
        <v>0</v>
      </c>
      <c r="M60" s="144">
        <f>SUM(M10:M59)</f>
        <v>1235199</v>
      </c>
      <c r="N60" s="53" t="s">
        <v>20</v>
      </c>
    </row>
    <row r="61" spans="1:14" ht="13.95" x14ac:dyDescent="0.25">
      <c r="A61" s="272" t="s">
        <v>130</v>
      </c>
      <c r="B61" s="225"/>
      <c r="C61" s="225"/>
      <c r="D61" s="313">
        <v>-42000</v>
      </c>
      <c r="E61" s="225"/>
      <c r="F61" s="225"/>
      <c r="G61" s="225"/>
      <c r="H61" s="374"/>
      <c r="I61" s="225"/>
      <c r="J61" s="312"/>
      <c r="K61" s="225"/>
      <c r="L61" s="225"/>
      <c r="M61" s="293">
        <f>D61+E61+H61+I61+J61</f>
        <v>-42000</v>
      </c>
      <c r="N61" s="53" t="s">
        <v>20</v>
      </c>
    </row>
    <row r="62" spans="1:14" ht="13.95" x14ac:dyDescent="0.25">
      <c r="A62" s="273" t="s">
        <v>150</v>
      </c>
      <c r="B62" s="230"/>
      <c r="C62" s="230"/>
      <c r="D62" s="311">
        <f>SUM(D60:D61)</f>
        <v>1127615</v>
      </c>
      <c r="E62" s="230"/>
      <c r="F62" s="230"/>
      <c r="G62" s="230"/>
      <c r="H62" s="375"/>
      <c r="I62" s="230"/>
      <c r="J62" s="311"/>
      <c r="K62" s="230"/>
      <c r="L62" s="230"/>
      <c r="M62" s="231">
        <f>SUM(M60:M61)</f>
        <v>1193199</v>
      </c>
      <c r="N62" s="53" t="s">
        <v>20</v>
      </c>
    </row>
    <row r="63" spans="1:14" ht="13.95" x14ac:dyDescent="0.25">
      <c r="A63" s="198" t="s">
        <v>26</v>
      </c>
      <c r="B63" s="234"/>
      <c r="C63" s="234">
        <v>0</v>
      </c>
      <c r="D63" s="380"/>
      <c r="E63" s="234"/>
      <c r="F63" s="234"/>
      <c r="G63" s="234">
        <v>0</v>
      </c>
      <c r="H63" s="376"/>
      <c r="I63" s="234">
        <v>0</v>
      </c>
      <c r="J63" s="310"/>
      <c r="K63" s="234"/>
      <c r="L63" s="234">
        <f t="shared" ref="L63" si="1">C63+G63</f>
        <v>0</v>
      </c>
      <c r="M63" s="235"/>
      <c r="N63" s="53" t="s">
        <v>20</v>
      </c>
    </row>
    <row r="64" spans="1:14" ht="13.95" x14ac:dyDescent="0.25">
      <c r="A64" s="195" t="s">
        <v>132</v>
      </c>
      <c r="B64" s="208"/>
      <c r="C64" s="208">
        <f>C60+C63</f>
        <v>0</v>
      </c>
      <c r="D64" s="381"/>
      <c r="E64" s="208"/>
      <c r="F64" s="208"/>
      <c r="G64" s="208">
        <f>G60+G63</f>
        <v>0</v>
      </c>
      <c r="H64" s="377"/>
      <c r="I64" s="208">
        <f>I60+I63</f>
        <v>26755</v>
      </c>
      <c r="J64" s="309"/>
      <c r="K64" s="208"/>
      <c r="L64" s="208">
        <f>L60+L63</f>
        <v>0</v>
      </c>
      <c r="M64" s="205"/>
      <c r="N64" s="53" t="s">
        <v>20</v>
      </c>
    </row>
    <row r="65" spans="1:14" ht="13.95" x14ac:dyDescent="0.25">
      <c r="A65" s="195"/>
      <c r="B65" s="208"/>
      <c r="C65" s="208"/>
      <c r="D65" s="381"/>
      <c r="E65" s="208"/>
      <c r="F65" s="208"/>
      <c r="G65" s="208"/>
      <c r="H65" s="377"/>
      <c r="I65" s="208"/>
      <c r="J65" s="309"/>
      <c r="K65" s="208"/>
      <c r="L65" s="208"/>
      <c r="M65" s="205"/>
      <c r="N65" s="53" t="s">
        <v>20</v>
      </c>
    </row>
    <row r="66" spans="1:14" ht="13.95" x14ac:dyDescent="0.25">
      <c r="A66" s="195" t="s">
        <v>27</v>
      </c>
      <c r="B66" s="208"/>
      <c r="C66" s="208"/>
      <c r="D66" s="381"/>
      <c r="E66" s="208"/>
      <c r="F66" s="208"/>
      <c r="G66" s="208"/>
      <c r="H66" s="377"/>
      <c r="I66" s="208"/>
      <c r="J66" s="309"/>
      <c r="K66" s="208"/>
      <c r="L66" s="208"/>
      <c r="M66" s="205"/>
      <c r="N66" s="53" t="s">
        <v>20</v>
      </c>
    </row>
    <row r="67" spans="1:14" x14ac:dyDescent="0.25">
      <c r="A67" s="236" t="s">
        <v>28</v>
      </c>
      <c r="B67" s="208"/>
      <c r="C67" s="208">
        <v>0</v>
      </c>
      <c r="D67" s="381"/>
      <c r="E67" s="208"/>
      <c r="F67" s="208"/>
      <c r="G67" s="208">
        <v>0</v>
      </c>
      <c r="H67" s="377"/>
      <c r="I67" s="208">
        <v>0</v>
      </c>
      <c r="J67" s="309"/>
      <c r="K67" s="208"/>
      <c r="L67" s="208">
        <f t="shared" ref="L67:L68" si="2">C67+G67</f>
        <v>0</v>
      </c>
      <c r="M67" s="205"/>
      <c r="N67" s="53" t="s">
        <v>20</v>
      </c>
    </row>
    <row r="68" spans="1:14" x14ac:dyDescent="0.25">
      <c r="A68" s="237" t="s">
        <v>29</v>
      </c>
      <c r="B68" s="238"/>
      <c r="C68" s="238">
        <v>0</v>
      </c>
      <c r="D68" s="382"/>
      <c r="E68" s="238"/>
      <c r="F68" s="238"/>
      <c r="G68" s="238">
        <v>0</v>
      </c>
      <c r="H68" s="378"/>
      <c r="I68" s="238">
        <v>0</v>
      </c>
      <c r="J68" s="308"/>
      <c r="K68" s="238"/>
      <c r="L68" s="238">
        <f t="shared" si="2"/>
        <v>0</v>
      </c>
      <c r="M68" s="239"/>
      <c r="N68" s="53" t="s">
        <v>20</v>
      </c>
    </row>
    <row r="69" spans="1:14" ht="14.4" thickBot="1" x14ac:dyDescent="0.3">
      <c r="A69" s="240" t="s">
        <v>133</v>
      </c>
      <c r="B69" s="241"/>
      <c r="C69" s="241">
        <f>C64+C67+C68</f>
        <v>0</v>
      </c>
      <c r="D69" s="383"/>
      <c r="E69" s="241"/>
      <c r="F69" s="241"/>
      <c r="G69" s="241">
        <f>G64+G67+G68</f>
        <v>0</v>
      </c>
      <c r="H69" s="379"/>
      <c r="I69" s="241">
        <f>I64+I67+I68</f>
        <v>26755</v>
      </c>
      <c r="J69" s="307"/>
      <c r="K69" s="241"/>
      <c r="L69" s="241">
        <f>SUM(L64,L67:L68)</f>
        <v>0</v>
      </c>
      <c r="M69" s="242"/>
      <c r="N69" s="53" t="s">
        <v>20</v>
      </c>
    </row>
    <row r="70" spans="1:14" x14ac:dyDescent="0.25">
      <c r="A70" s="668" t="s">
        <v>450</v>
      </c>
      <c r="B70" s="668"/>
      <c r="C70" s="668"/>
      <c r="D70" s="668"/>
      <c r="E70" s="668"/>
      <c r="F70" s="668"/>
      <c r="G70" s="668"/>
      <c r="H70" s="668"/>
      <c r="I70" s="668"/>
      <c r="J70" s="668"/>
      <c r="K70" s="668"/>
      <c r="L70" s="668"/>
      <c r="M70" s="668"/>
      <c r="N70" s="53" t="s">
        <v>20</v>
      </c>
    </row>
    <row r="71" spans="1:14" x14ac:dyDescent="0.25">
      <c r="N71" s="53"/>
    </row>
    <row r="72" spans="1:14" x14ac:dyDescent="0.25">
      <c r="A72" s="8" t="s">
        <v>40</v>
      </c>
      <c r="N72" s="53" t="s">
        <v>20</v>
      </c>
    </row>
    <row r="73" spans="1:14" x14ac:dyDescent="0.25">
      <c r="A73" s="668" t="s">
        <v>425</v>
      </c>
      <c r="B73" s="668"/>
      <c r="C73" s="668"/>
      <c r="D73" s="668"/>
      <c r="E73" s="668"/>
      <c r="F73" s="668"/>
      <c r="G73" s="668"/>
      <c r="H73" s="668"/>
      <c r="I73" s="668"/>
      <c r="J73" s="668"/>
      <c r="K73" s="668"/>
      <c r="L73" s="668"/>
      <c r="M73" s="668"/>
      <c r="N73" s="53" t="s">
        <v>20</v>
      </c>
    </row>
    <row r="74" spans="1:14" x14ac:dyDescent="0.25">
      <c r="A74" s="721"/>
      <c r="B74" s="721"/>
      <c r="C74" s="721"/>
      <c r="D74" s="721"/>
      <c r="E74" s="721"/>
      <c r="F74" s="721"/>
      <c r="G74" s="721"/>
      <c r="H74" s="721"/>
      <c r="I74" s="721"/>
      <c r="J74" s="721"/>
      <c r="K74" s="721"/>
      <c r="L74" s="721"/>
      <c r="M74" s="721"/>
      <c r="N74" s="53" t="s">
        <v>20</v>
      </c>
    </row>
    <row r="75" spans="1:14" x14ac:dyDescent="0.25">
      <c r="A75" s="8" t="s">
        <v>151</v>
      </c>
      <c r="N75" s="53" t="s">
        <v>20</v>
      </c>
    </row>
    <row r="76" spans="1:14" x14ac:dyDescent="0.25">
      <c r="A76" s="668" t="s">
        <v>483</v>
      </c>
      <c r="B76" s="668"/>
      <c r="C76" s="668"/>
      <c r="D76" s="668"/>
      <c r="E76" s="668"/>
      <c r="F76" s="668"/>
      <c r="G76" s="668"/>
      <c r="H76" s="668"/>
      <c r="I76" s="668"/>
      <c r="J76" s="668"/>
      <c r="K76" s="668"/>
      <c r="L76" s="668"/>
      <c r="M76" s="668"/>
      <c r="N76" s="53" t="s">
        <v>20</v>
      </c>
    </row>
    <row r="77" spans="1:14" x14ac:dyDescent="0.25">
      <c r="A77" s="721"/>
      <c r="B77" s="721"/>
      <c r="C77" s="721"/>
      <c r="D77" s="721"/>
      <c r="E77" s="721"/>
      <c r="F77" s="721"/>
      <c r="G77" s="721"/>
      <c r="H77" s="721"/>
      <c r="I77" s="721"/>
      <c r="J77" s="721"/>
      <c r="K77" s="721"/>
      <c r="L77" s="721"/>
      <c r="M77" s="721"/>
      <c r="N77" s="53" t="s">
        <v>20</v>
      </c>
    </row>
    <row r="78" spans="1:14" x14ac:dyDescent="0.25">
      <c r="A78" s="8" t="s">
        <v>152</v>
      </c>
      <c r="N78" s="53" t="s">
        <v>20</v>
      </c>
    </row>
    <row r="79" spans="1:14" x14ac:dyDescent="0.25">
      <c r="A79" s="668" t="s">
        <v>484</v>
      </c>
      <c r="B79" s="668"/>
      <c r="C79" s="668"/>
      <c r="D79" s="668"/>
      <c r="E79" s="668"/>
      <c r="F79" s="668"/>
      <c r="G79" s="668"/>
      <c r="H79" s="668"/>
      <c r="I79" s="668"/>
      <c r="J79" s="668"/>
      <c r="K79" s="668"/>
      <c r="L79" s="668"/>
      <c r="M79" s="668"/>
      <c r="N79" s="53" t="s">
        <v>20</v>
      </c>
    </row>
    <row r="80" spans="1:14" x14ac:dyDescent="0.25">
      <c r="A80" s="668"/>
      <c r="B80" s="668"/>
      <c r="C80" s="668"/>
      <c r="D80" s="668"/>
      <c r="E80" s="668"/>
      <c r="F80" s="668"/>
      <c r="G80" s="668"/>
      <c r="H80" s="668"/>
      <c r="I80" s="668"/>
      <c r="J80" s="668"/>
      <c r="K80" s="668"/>
      <c r="L80" s="668"/>
      <c r="M80" s="668"/>
      <c r="N80" s="53" t="s">
        <v>20</v>
      </c>
    </row>
    <row r="81" spans="14:14" ht="13.95" customHeight="1" x14ac:dyDescent="0.25">
      <c r="N81" s="53" t="s">
        <v>20</v>
      </c>
    </row>
    <row r="82" spans="14:14" x14ac:dyDescent="0.25">
      <c r="N82" s="7" t="s">
        <v>21</v>
      </c>
    </row>
  </sheetData>
  <customSheetViews>
    <customSheetView guid="{5B2D5037-506A-47D5-AF28-C337BC9133BD}" scale="80" showPageBreaks="1" printArea="1" view="pageBreakPreview" topLeftCell="A55">
      <selection activeCell="A62" sqref="A62:XFD62"/>
      <pageMargins left="0.7" right="0.7" top="0.66" bottom="0.66" header="0.3" footer="0.3"/>
      <printOptions horizontalCentered="1"/>
      <pageSetup scale="35" orientation="landscape" r:id="rId1"/>
      <headerFooter>
        <oddHeader>&amp;L&amp;"Arial,Bold"&amp;12G. Crosswalk of 2013 Availability</oddHeader>
        <oddFooter>&amp;C&amp;"Arial,Regular"Exhibit G - Crosswalk of 2013 Availability&amp;R&amp;"Arial,Regular"State and Local Law Enforcement Assistance</oddFooter>
      </headerFooter>
    </customSheetView>
    <customSheetView guid="{08380F1E-0CB7-4B3B-924E-2A270EA8DD30}" scale="80" showPageBreaks="1" printArea="1" view="pageBreakPreview">
      <selection activeCell="J23" sqref="J23"/>
      <pageMargins left="0.7" right="0.7" top="0.66" bottom="0.66" header="0.3" footer="0.3"/>
      <printOptions horizontalCentered="1"/>
      <pageSetup scale="35" orientation="landscape" r:id="rId2"/>
      <headerFooter>
        <oddHeader>&amp;L&amp;"Arial,Bold"&amp;12G. Crosswalk of 2013 Availability</oddHeader>
        <oddFooter>&amp;C&amp;"Arial,Regular"Exhibit G - Crosswalk of 2013 Availability&amp;R&amp;"Arial,Regular"State and Local Law Enforcement Assistance</oddFooter>
      </headerFooter>
    </customSheetView>
    <customSheetView guid="{D19943A8-2C2A-430A-A724-8C7C332697C8}" scale="80" showPageBreaks="1" printArea="1" view="pageBreakPreview" topLeftCell="A20">
      <selection activeCell="D60" sqref="D60:J60"/>
      <pageMargins left="0.7" right="0.7" top="0.66" bottom="0.66" header="0.3" footer="0.3"/>
      <printOptions horizontalCentered="1"/>
      <pageSetup scale="35" orientation="landscape" r:id="rId3"/>
      <headerFooter>
        <oddHeader>&amp;L&amp;"Arial,Bold"&amp;12G. Crosswalk of 2013 Availability</oddHeader>
        <oddFooter>&amp;C&amp;"Arial,Regular"Exhibit G - Crosswalk of 2013 Availability&amp;R&amp;"Arial,Regular"State and Local Law Enforcement Assistance</oddFooter>
      </headerFooter>
    </customSheetView>
    <customSheetView guid="{C6D68C6D-939C-4DFA-9385-A3F05DFB5EDA}" scale="80" showPageBreaks="1" printArea="1" view="pageBreakPreview">
      <selection activeCell="J23" sqref="J23"/>
      <pageMargins left="0.7" right="0.7" top="0.66" bottom="0.66" header="0.3" footer="0.3"/>
      <printOptions horizontalCentered="1"/>
      <pageSetup scale="35" orientation="landscape" r:id="rId4"/>
      <headerFooter>
        <oddHeader>&amp;L&amp;"Arial,Bold"&amp;12G. Crosswalk of 2013 Availability</oddHeader>
        <oddFooter>&amp;C&amp;"Arial,Regular"Exhibit G - Crosswalk of 2013 Availability&amp;R&amp;"Arial,Regular"State and Local Law Enforcement Assistance</oddFooter>
      </headerFooter>
    </customSheetView>
  </customSheetViews>
  <mergeCells count="15">
    <mergeCell ref="A80:M80"/>
    <mergeCell ref="A79:M79"/>
    <mergeCell ref="A1:M1"/>
    <mergeCell ref="A2:M2"/>
    <mergeCell ref="A3:M3"/>
    <mergeCell ref="A4:M4"/>
    <mergeCell ref="A7:A9"/>
    <mergeCell ref="B7:D7"/>
    <mergeCell ref="F7:H7"/>
    <mergeCell ref="K7:M7"/>
    <mergeCell ref="A73:M73"/>
    <mergeCell ref="A74:M74"/>
    <mergeCell ref="A76:M76"/>
    <mergeCell ref="A77:M77"/>
    <mergeCell ref="A70:M70"/>
  </mergeCells>
  <printOptions horizontalCentered="1"/>
  <pageMargins left="0.7" right="0.7" top="0.66" bottom="0.66" header="0.3" footer="0.3"/>
  <pageSetup scale="35" orientation="landscape" r:id="rId5"/>
  <headerFooter>
    <oddHeader>&amp;L&amp;"Arial,Bold"&amp;12G. Crosswalk of 2013 Availability</oddHeader>
    <oddFooter>&amp;C&amp;"Arial,Regular"Exhibit G - Crosswalk of 2013 Availability&amp;R&amp;"Arial,Regular"State and Local Law Enforcement Assistance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view="pageBreakPreview" zoomScale="80" zoomScaleNormal="100" zoomScaleSheetLayoutView="80" workbookViewId="0">
      <selection activeCell="H28" sqref="H28"/>
    </sheetView>
  </sheetViews>
  <sheetFormatPr defaultColWidth="9.109375" defaultRowHeight="13.8" x14ac:dyDescent="0.25"/>
  <cols>
    <col min="1" max="1" width="63.10937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44</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272</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x14ac:dyDescent="0.25">
      <c r="A7" s="638" t="s">
        <v>157</v>
      </c>
      <c r="B7" s="641" t="s">
        <v>45</v>
      </c>
      <c r="C7" s="641"/>
      <c r="D7" s="641"/>
      <c r="E7" s="641" t="s">
        <v>158</v>
      </c>
      <c r="F7" s="641"/>
      <c r="G7" s="641"/>
      <c r="H7" s="641" t="s">
        <v>24</v>
      </c>
      <c r="I7" s="641"/>
      <c r="J7" s="641"/>
      <c r="K7" s="641" t="s">
        <v>46</v>
      </c>
      <c r="L7" s="641"/>
      <c r="M7" s="642"/>
      <c r="N7" s="53" t="s">
        <v>20</v>
      </c>
    </row>
    <row r="8" spans="1:21" ht="27.6" x14ac:dyDescent="0.25">
      <c r="A8" s="639"/>
      <c r="B8" s="222" t="s">
        <v>47</v>
      </c>
      <c r="C8" s="222" t="s">
        <v>48</v>
      </c>
      <c r="D8" s="222" t="s">
        <v>4</v>
      </c>
      <c r="E8" s="222" t="s">
        <v>47</v>
      </c>
      <c r="F8" s="222" t="s">
        <v>48</v>
      </c>
      <c r="G8" s="222" t="s">
        <v>4</v>
      </c>
      <c r="H8" s="222" t="s">
        <v>47</v>
      </c>
      <c r="I8" s="222" t="s">
        <v>48</v>
      </c>
      <c r="J8" s="222" t="s">
        <v>4</v>
      </c>
      <c r="K8" s="222" t="s">
        <v>47</v>
      </c>
      <c r="L8" s="222" t="s">
        <v>48</v>
      </c>
      <c r="M8" s="223" t="s">
        <v>4</v>
      </c>
      <c r="N8" s="53" t="s">
        <v>20</v>
      </c>
    </row>
    <row r="9" spans="1:21" ht="14.25" x14ac:dyDescent="0.2">
      <c r="A9" s="184" t="s">
        <v>389</v>
      </c>
      <c r="B9" s="225">
        <v>0</v>
      </c>
      <c r="C9" s="225">
        <v>0</v>
      </c>
      <c r="D9" s="225">
        <v>3100</v>
      </c>
      <c r="E9" s="225">
        <v>0</v>
      </c>
      <c r="F9" s="225">
        <v>0</v>
      </c>
      <c r="G9" s="225">
        <v>3100</v>
      </c>
      <c r="H9" s="225">
        <v>0</v>
      </c>
      <c r="I9" s="225">
        <v>0</v>
      </c>
      <c r="J9" s="225">
        <v>3100</v>
      </c>
      <c r="K9" s="225">
        <f>H9-E9</f>
        <v>0</v>
      </c>
      <c r="L9" s="225">
        <f t="shared" ref="L9:M13" si="0">I9-F9</f>
        <v>0</v>
      </c>
      <c r="M9" s="226">
        <f t="shared" si="0"/>
        <v>0</v>
      </c>
      <c r="N9" s="53" t="s">
        <v>20</v>
      </c>
    </row>
    <row r="10" spans="1:21" ht="14.25" x14ac:dyDescent="0.2">
      <c r="A10" s="195" t="s">
        <v>183</v>
      </c>
      <c r="B10" s="208">
        <v>0</v>
      </c>
      <c r="C10" s="208">
        <v>0</v>
      </c>
      <c r="D10" s="208">
        <v>600</v>
      </c>
      <c r="E10" s="208">
        <v>0</v>
      </c>
      <c r="F10" s="208">
        <v>0</v>
      </c>
      <c r="G10" s="208">
        <v>600</v>
      </c>
      <c r="H10" s="208">
        <v>0</v>
      </c>
      <c r="I10" s="208">
        <v>0</v>
      </c>
      <c r="J10" s="208">
        <v>600</v>
      </c>
      <c r="K10" s="208">
        <f t="shared" ref="K10:K13" si="1">H10-E10</f>
        <v>0</v>
      </c>
      <c r="L10" s="208">
        <f t="shared" si="0"/>
        <v>0</v>
      </c>
      <c r="M10" s="208">
        <f t="shared" si="0"/>
        <v>0</v>
      </c>
      <c r="N10" s="53" t="s">
        <v>20</v>
      </c>
    </row>
    <row r="11" spans="1:21" x14ac:dyDescent="0.25">
      <c r="A11" s="294" t="s">
        <v>182</v>
      </c>
      <c r="B11" s="208">
        <v>0</v>
      </c>
      <c r="C11" s="208">
        <v>0</v>
      </c>
      <c r="D11" s="238">
        <v>1411</v>
      </c>
      <c r="E11" s="238"/>
      <c r="F11" s="238">
        <v>0</v>
      </c>
      <c r="G11" s="208">
        <v>1411</v>
      </c>
      <c r="H11" s="208">
        <v>0</v>
      </c>
      <c r="I11" s="208">
        <v>0</v>
      </c>
      <c r="J11" s="238">
        <v>1411</v>
      </c>
      <c r="K11" s="208">
        <f t="shared" si="1"/>
        <v>0</v>
      </c>
      <c r="L11" s="208">
        <f t="shared" si="0"/>
        <v>0</v>
      </c>
      <c r="M11" s="208">
        <f t="shared" si="0"/>
        <v>0</v>
      </c>
      <c r="N11" s="53" t="s">
        <v>20</v>
      </c>
    </row>
    <row r="12" spans="1:21" x14ac:dyDescent="0.25">
      <c r="A12" s="294" t="s">
        <v>390</v>
      </c>
      <c r="B12" s="208">
        <v>0</v>
      </c>
      <c r="C12" s="208">
        <v>0</v>
      </c>
      <c r="D12" s="238">
        <v>1500</v>
      </c>
      <c r="E12" s="238"/>
      <c r="F12" s="238">
        <v>0</v>
      </c>
      <c r="G12" s="208">
        <v>1500</v>
      </c>
      <c r="H12" s="208">
        <v>0</v>
      </c>
      <c r="I12" s="208">
        <v>0</v>
      </c>
      <c r="J12" s="238">
        <v>1500</v>
      </c>
      <c r="K12" s="208">
        <f t="shared" si="1"/>
        <v>0</v>
      </c>
      <c r="L12" s="208">
        <f t="shared" si="0"/>
        <v>0</v>
      </c>
      <c r="M12" s="208">
        <f t="shared" si="0"/>
        <v>0</v>
      </c>
      <c r="N12" s="53" t="s">
        <v>20</v>
      </c>
    </row>
    <row r="13" spans="1:21" x14ac:dyDescent="0.25">
      <c r="A13" s="274" t="s">
        <v>264</v>
      </c>
      <c r="B13" s="230">
        <v>0</v>
      </c>
      <c r="C13" s="230">
        <v>0</v>
      </c>
      <c r="D13" s="230">
        <v>5157</v>
      </c>
      <c r="E13" s="230">
        <v>0</v>
      </c>
      <c r="F13" s="230">
        <v>0</v>
      </c>
      <c r="G13" s="230">
        <v>5157</v>
      </c>
      <c r="H13" s="230">
        <v>0</v>
      </c>
      <c r="I13" s="230">
        <v>0</v>
      </c>
      <c r="J13" s="230">
        <v>5157</v>
      </c>
      <c r="K13" s="230">
        <f t="shared" si="1"/>
        <v>0</v>
      </c>
      <c r="L13" s="230">
        <f t="shared" si="0"/>
        <v>0</v>
      </c>
      <c r="M13" s="231">
        <f t="shared" si="0"/>
        <v>0</v>
      </c>
      <c r="N13" s="53" t="s">
        <v>20</v>
      </c>
    </row>
    <row r="14" spans="1:21" x14ac:dyDescent="0.25">
      <c r="A14" s="16" t="s">
        <v>148</v>
      </c>
      <c r="B14" s="143">
        <f t="shared" ref="B14:M14" si="2">SUM(B9:B13)</f>
        <v>0</v>
      </c>
      <c r="C14" s="143">
        <f t="shared" si="2"/>
        <v>0</v>
      </c>
      <c r="D14" s="143">
        <f t="shared" si="2"/>
        <v>11768</v>
      </c>
      <c r="E14" s="143">
        <f t="shared" si="2"/>
        <v>0</v>
      </c>
      <c r="F14" s="143">
        <f t="shared" si="2"/>
        <v>0</v>
      </c>
      <c r="G14" s="143">
        <f t="shared" si="2"/>
        <v>11768</v>
      </c>
      <c r="H14" s="143">
        <f t="shared" si="2"/>
        <v>0</v>
      </c>
      <c r="I14" s="143">
        <f t="shared" si="2"/>
        <v>0</v>
      </c>
      <c r="J14" s="143">
        <f t="shared" si="2"/>
        <v>11768</v>
      </c>
      <c r="K14" s="143">
        <f t="shared" si="2"/>
        <v>0</v>
      </c>
      <c r="L14" s="143">
        <f t="shared" si="2"/>
        <v>0</v>
      </c>
      <c r="M14" s="144">
        <f t="shared" si="2"/>
        <v>0</v>
      </c>
      <c r="N14" s="53" t="s">
        <v>20</v>
      </c>
    </row>
    <row r="15" spans="1:21" ht="14.4" thickBot="1" x14ac:dyDescent="0.3">
      <c r="N15" s="53" t="s">
        <v>20</v>
      </c>
    </row>
    <row r="16" spans="1:21" ht="18" customHeight="1" x14ac:dyDescent="0.25">
      <c r="A16" s="638" t="s">
        <v>140</v>
      </c>
      <c r="B16" s="641" t="s">
        <v>45</v>
      </c>
      <c r="C16" s="641"/>
      <c r="D16" s="641"/>
      <c r="E16" s="641" t="s">
        <v>158</v>
      </c>
      <c r="F16" s="641"/>
      <c r="G16" s="641"/>
      <c r="H16" s="641" t="s">
        <v>24</v>
      </c>
      <c r="I16" s="641"/>
      <c r="J16" s="641"/>
      <c r="K16" s="641" t="s">
        <v>46</v>
      </c>
      <c r="L16" s="641"/>
      <c r="M16" s="642"/>
      <c r="N16" s="53" t="s">
        <v>20</v>
      </c>
    </row>
    <row r="17" spans="1:14" ht="27.6" x14ac:dyDescent="0.25">
      <c r="A17" s="639"/>
      <c r="B17" s="222" t="s">
        <v>47</v>
      </c>
      <c r="C17" s="222" t="s">
        <v>48</v>
      </c>
      <c r="D17" s="222" t="s">
        <v>4</v>
      </c>
      <c r="E17" s="222" t="s">
        <v>47</v>
      </c>
      <c r="F17" s="222" t="s">
        <v>48</v>
      </c>
      <c r="G17" s="222" t="s">
        <v>4</v>
      </c>
      <c r="H17" s="222" t="s">
        <v>47</v>
      </c>
      <c r="I17" s="222" t="s">
        <v>48</v>
      </c>
      <c r="J17" s="222" t="s">
        <v>4</v>
      </c>
      <c r="K17" s="222" t="s">
        <v>47</v>
      </c>
      <c r="L17" s="222" t="s">
        <v>48</v>
      </c>
      <c r="M17" s="223" t="s">
        <v>4</v>
      </c>
      <c r="N17" s="53" t="s">
        <v>20</v>
      </c>
    </row>
    <row r="18" spans="1:14" x14ac:dyDescent="0.25">
      <c r="A18" s="195" t="s">
        <v>276</v>
      </c>
      <c r="B18" s="208">
        <v>0</v>
      </c>
      <c r="C18" s="208">
        <v>0</v>
      </c>
      <c r="D18" s="208">
        <v>600</v>
      </c>
      <c r="E18" s="208">
        <v>0</v>
      </c>
      <c r="F18" s="208">
        <v>0</v>
      </c>
      <c r="G18" s="208">
        <v>600</v>
      </c>
      <c r="H18" s="208">
        <v>0</v>
      </c>
      <c r="I18" s="208">
        <v>0</v>
      </c>
      <c r="J18" s="208">
        <v>600</v>
      </c>
      <c r="K18" s="208">
        <f t="shared" ref="K18:M21" si="3">H18-E18</f>
        <v>0</v>
      </c>
      <c r="L18" s="208">
        <f t="shared" si="3"/>
        <v>0</v>
      </c>
      <c r="M18" s="205">
        <f t="shared" si="3"/>
        <v>0</v>
      </c>
      <c r="N18" s="53" t="s">
        <v>20</v>
      </c>
    </row>
    <row r="19" spans="1:14" x14ac:dyDescent="0.25">
      <c r="A19" s="294" t="s">
        <v>391</v>
      </c>
      <c r="B19" s="208">
        <v>0</v>
      </c>
      <c r="C19" s="208">
        <v>0</v>
      </c>
      <c r="D19" s="238">
        <f>6861+550</f>
        <v>7411</v>
      </c>
      <c r="E19" s="238">
        <v>0</v>
      </c>
      <c r="F19" s="238">
        <v>0</v>
      </c>
      <c r="G19" s="238">
        <v>7411</v>
      </c>
      <c r="H19" s="238">
        <v>0</v>
      </c>
      <c r="I19" s="238">
        <v>0</v>
      </c>
      <c r="J19" s="238">
        <v>7411</v>
      </c>
      <c r="K19" s="208">
        <f t="shared" si="3"/>
        <v>0</v>
      </c>
      <c r="L19" s="208">
        <f t="shared" si="3"/>
        <v>0</v>
      </c>
      <c r="M19" s="205">
        <f t="shared" si="3"/>
        <v>0</v>
      </c>
      <c r="N19" s="53" t="s">
        <v>20</v>
      </c>
    </row>
    <row r="20" spans="1:14" x14ac:dyDescent="0.25">
      <c r="A20" s="294" t="s">
        <v>375</v>
      </c>
      <c r="B20" s="208">
        <v>0</v>
      </c>
      <c r="C20" s="208">
        <v>0</v>
      </c>
      <c r="D20" s="238">
        <v>1000</v>
      </c>
      <c r="E20" s="238">
        <v>0</v>
      </c>
      <c r="F20" s="238">
        <v>0</v>
      </c>
      <c r="G20" s="238">
        <v>1000</v>
      </c>
      <c r="H20" s="238">
        <v>0</v>
      </c>
      <c r="I20" s="238">
        <v>0</v>
      </c>
      <c r="J20" s="238">
        <v>1000</v>
      </c>
      <c r="K20" s="208">
        <f t="shared" si="3"/>
        <v>0</v>
      </c>
      <c r="L20" s="208">
        <f t="shared" si="3"/>
        <v>0</v>
      </c>
      <c r="M20" s="205">
        <f t="shared" si="3"/>
        <v>0</v>
      </c>
      <c r="N20" s="53" t="s">
        <v>20</v>
      </c>
    </row>
    <row r="21" spans="1:14" x14ac:dyDescent="0.25">
      <c r="A21" s="294" t="s">
        <v>376</v>
      </c>
      <c r="B21" s="208">
        <v>0</v>
      </c>
      <c r="C21" s="208">
        <v>0</v>
      </c>
      <c r="D21" s="238">
        <v>2757</v>
      </c>
      <c r="E21" s="238">
        <v>0</v>
      </c>
      <c r="F21" s="238">
        <v>0</v>
      </c>
      <c r="G21" s="238">
        <v>2757</v>
      </c>
      <c r="H21" s="238">
        <v>0</v>
      </c>
      <c r="I21" s="238">
        <v>0</v>
      </c>
      <c r="J21" s="238">
        <v>2757</v>
      </c>
      <c r="K21" s="238">
        <v>0</v>
      </c>
      <c r="L21" s="238">
        <v>0</v>
      </c>
      <c r="M21" s="205">
        <f t="shared" si="3"/>
        <v>0</v>
      </c>
      <c r="N21" s="53" t="s">
        <v>20</v>
      </c>
    </row>
    <row r="22" spans="1:14" x14ac:dyDescent="0.25">
      <c r="A22" s="16" t="s">
        <v>148</v>
      </c>
      <c r="B22" s="143">
        <f t="shared" ref="B22:M22" si="4">SUM(B18:B21)</f>
        <v>0</v>
      </c>
      <c r="C22" s="143">
        <f t="shared" si="4"/>
        <v>0</v>
      </c>
      <c r="D22" s="143">
        <f t="shared" si="4"/>
        <v>11768</v>
      </c>
      <c r="E22" s="143">
        <f t="shared" si="4"/>
        <v>0</v>
      </c>
      <c r="F22" s="143">
        <f t="shared" si="4"/>
        <v>0</v>
      </c>
      <c r="G22" s="143">
        <f t="shared" si="4"/>
        <v>11768</v>
      </c>
      <c r="H22" s="143">
        <f t="shared" si="4"/>
        <v>0</v>
      </c>
      <c r="I22" s="143">
        <f t="shared" si="4"/>
        <v>0</v>
      </c>
      <c r="J22" s="143">
        <f t="shared" si="4"/>
        <v>11768</v>
      </c>
      <c r="K22" s="143">
        <f t="shared" si="4"/>
        <v>0</v>
      </c>
      <c r="L22" s="143">
        <f t="shared" si="4"/>
        <v>0</v>
      </c>
      <c r="M22" s="144">
        <f t="shared" si="4"/>
        <v>0</v>
      </c>
      <c r="N22" s="53" t="s">
        <v>20</v>
      </c>
    </row>
    <row r="23" spans="1:14" x14ac:dyDescent="0.25">
      <c r="N23" s="53" t="s">
        <v>20</v>
      </c>
    </row>
    <row r="24" spans="1:14" x14ac:dyDescent="0.25">
      <c r="N24" s="53" t="s">
        <v>21</v>
      </c>
    </row>
  </sheetData>
  <customSheetViews>
    <customSheetView guid="{5B2D5037-506A-47D5-AF28-C337BC9133BD}" scale="80" showPageBreaks="1" printArea="1" view="pageBreakPreview">
      <selection activeCell="H28" sqref="H28"/>
      <pageMargins left="0.7" right="0.7" top="0.75" bottom="0.75" header="0.3" footer="0.3"/>
      <printOptions horizontalCentered="1"/>
      <pageSetup scale="67" orientation="landscape" r:id="rId1"/>
      <headerFooter>
        <oddHeader>&amp;L&amp;"Arial,Bold"&amp;12H. Summary of Reimbursable Resources</oddHeader>
        <oddFooter>&amp;C&amp;"Arial,Regular"Exhibit H - Summary of Reimbursable Resources&amp;R&amp;"Arial,Regular"State and Local Law Enforcement Assistance</oddFooter>
      </headerFooter>
    </customSheetView>
    <customSheetView guid="{08380F1E-0CB7-4B3B-924E-2A270EA8DD30}" scale="80" showPageBreaks="1" printArea="1" view="pageBreakPreview">
      <selection activeCell="H28" sqref="H28"/>
      <pageMargins left="0.7" right="0.7" top="0.75" bottom="0.75" header="0.3" footer="0.3"/>
      <printOptions horizontalCentered="1"/>
      <pageSetup scale="67" orientation="landscape" r:id="rId2"/>
      <headerFooter>
        <oddHeader>&amp;L&amp;"Arial,Bold"&amp;12H. Summary of Reimbursable Resources</oddHeader>
        <oddFooter>&amp;C&amp;"Arial,Regular"Exhibit H - Summary of Reimbursable Resources&amp;R&amp;"Arial,Regular"State and Local Law Enforcement Assistance</oddFooter>
      </headerFooter>
    </customSheetView>
    <customSheetView guid="{D19943A8-2C2A-430A-A724-8C7C332697C8}" scale="80" showPageBreaks="1" printArea="1" view="pageBreakPreview">
      <selection activeCell="M21" sqref="M21"/>
      <pageMargins left="0.7" right="0.7" top="0.75" bottom="0.75" header="0.3" footer="0.3"/>
      <printOptions horizontalCentered="1"/>
      <pageSetup scale="67" orientation="landscape" r:id="rId3"/>
      <headerFooter>
        <oddHeader>&amp;L&amp;"Arial,Bold"&amp;12H. Summary of Reimbursable Resources</oddHeader>
        <oddFooter>&amp;C&amp;"Arial,Regular"Exhibit H - Summary of Reimbursable Resources&amp;R&amp;"Arial,Regular"State and Local Law Enforcement Assistance</oddFooter>
      </headerFooter>
    </customSheetView>
    <customSheetView guid="{C6D68C6D-939C-4DFA-9385-A3F05DFB5EDA}" scale="80" showPageBreaks="1" printArea="1" view="pageBreakPreview">
      <selection activeCell="H28" sqref="H28"/>
      <pageMargins left="0.7" right="0.7" top="0.75" bottom="0.75" header="0.3" footer="0.3"/>
      <printOptions horizontalCentered="1"/>
      <pageSetup scale="67" orientation="landscape" r:id="rId4"/>
      <headerFooter>
        <oddHeader>&amp;L&amp;"Arial,Bold"&amp;12H. Summary of Reimbursable Resources</oddHeader>
        <oddFooter>&amp;C&amp;"Arial,Regular"Exhibit H - Summary of Reimbursable Resources&amp;R&amp;"Arial,Regular"State and Local Law Enforcement Assistance</oddFooter>
      </headerFooter>
    </customSheetView>
  </customSheetViews>
  <mergeCells count="16">
    <mergeCell ref="A7:A8"/>
    <mergeCell ref="B7:D7"/>
    <mergeCell ref="E7:G7"/>
    <mergeCell ref="H7:J7"/>
    <mergeCell ref="K7:M7"/>
    <mergeCell ref="A16:A17"/>
    <mergeCell ref="B16:D16"/>
    <mergeCell ref="E16:G16"/>
    <mergeCell ref="H16:J16"/>
    <mergeCell ref="K16:M16"/>
    <mergeCell ref="A6:M6"/>
    <mergeCell ref="A1:M1"/>
    <mergeCell ref="A2:M2"/>
    <mergeCell ref="A3:M3"/>
    <mergeCell ref="A4:M4"/>
    <mergeCell ref="A5:M5"/>
  </mergeCells>
  <printOptions horizontalCentered="1"/>
  <pageMargins left="0.7" right="0.7" top="0.75" bottom="0.75" header="0.3" footer="0.3"/>
  <pageSetup scale="67" orientation="landscape" r:id="rId5"/>
  <headerFooter>
    <oddHeader>&amp;L&amp;"Arial,Bold"&amp;12H. Summary of Reimbursable Resources</oddHeader>
    <oddFooter>&amp;C&amp;"Arial,Regular"Exhibit H - Summary of Reimbursable Resources&amp;R&amp;"Arial,Regular"State and Local Law Enforcement Assistance</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view="pageBreakPreview" topLeftCell="A7" zoomScale="70" zoomScaleNormal="100" zoomScaleSheetLayoutView="70" workbookViewId="0">
      <selection activeCell="A31" sqref="A31:Q31"/>
    </sheetView>
  </sheetViews>
  <sheetFormatPr defaultColWidth="9.109375" defaultRowHeight="13.8" x14ac:dyDescent="0.25"/>
  <cols>
    <col min="1" max="1" width="63.5546875" style="178" customWidth="1"/>
    <col min="2" max="2" width="8.6640625" style="178" customWidth="1"/>
    <col min="3" max="3" width="10.33203125" style="178" customWidth="1"/>
    <col min="4" max="4" width="8.6640625" style="178" customWidth="1"/>
    <col min="5" max="5" width="15.33203125" style="178" customWidth="1"/>
    <col min="6" max="6" width="8.6640625" style="178" customWidth="1"/>
    <col min="7" max="7" width="12.6640625" style="178" customWidth="1"/>
    <col min="8" max="8" width="8.6640625" style="178" customWidth="1"/>
    <col min="9" max="9" width="12.6640625" style="178" customWidth="1"/>
    <col min="10" max="10" width="8.6640625" style="178" customWidth="1"/>
    <col min="11" max="18" width="12.6640625" style="178" customWidth="1"/>
    <col min="19" max="19" width="14" style="7" bestFit="1" customWidth="1"/>
    <col min="20" max="20" width="4.5546875" style="178" customWidth="1"/>
    <col min="21" max="22" width="8.33203125" style="178" customWidth="1"/>
    <col min="23" max="23" width="12.6640625" style="178" customWidth="1"/>
    <col min="24" max="25" width="8.33203125" style="178" customWidth="1"/>
    <col min="26" max="26" width="12.6640625" style="178" customWidth="1"/>
    <col min="27" max="16384" width="9.109375" style="178"/>
  </cols>
  <sheetData>
    <row r="1" spans="1:26" ht="17.399999999999999" x14ac:dyDescent="0.3">
      <c r="A1" s="633" t="s">
        <v>98</v>
      </c>
      <c r="B1" s="633"/>
      <c r="C1" s="633"/>
      <c r="D1" s="633"/>
      <c r="E1" s="633"/>
      <c r="F1" s="633"/>
      <c r="G1" s="633"/>
      <c r="H1" s="633"/>
      <c r="I1" s="633"/>
      <c r="J1" s="633"/>
      <c r="K1" s="633"/>
      <c r="L1" s="633"/>
      <c r="M1" s="633"/>
      <c r="N1" s="633"/>
      <c r="O1" s="633"/>
      <c r="P1" s="633"/>
      <c r="Q1" s="633"/>
      <c r="R1" s="53" t="s">
        <v>20</v>
      </c>
      <c r="S1" s="53"/>
      <c r="T1" s="9"/>
      <c r="U1" s="9"/>
      <c r="V1" s="9"/>
      <c r="W1" s="9"/>
      <c r="X1" s="9"/>
      <c r="Y1" s="9"/>
      <c r="Z1" s="9"/>
    </row>
    <row r="2" spans="1:26" ht="15" x14ac:dyDescent="0.25">
      <c r="A2" s="634" t="s">
        <v>160</v>
      </c>
      <c r="B2" s="634"/>
      <c r="C2" s="634"/>
      <c r="D2" s="634"/>
      <c r="E2" s="634"/>
      <c r="F2" s="634"/>
      <c r="G2" s="634"/>
      <c r="H2" s="634"/>
      <c r="I2" s="634"/>
      <c r="J2" s="634"/>
      <c r="K2" s="634"/>
      <c r="L2" s="634"/>
      <c r="M2" s="634"/>
      <c r="N2" s="634"/>
      <c r="O2" s="634"/>
      <c r="P2" s="634"/>
      <c r="Q2" s="634"/>
      <c r="R2" s="53" t="s">
        <v>20</v>
      </c>
      <c r="S2" s="53"/>
      <c r="T2" s="10"/>
      <c r="U2" s="10"/>
      <c r="V2" s="10"/>
      <c r="W2" s="10"/>
      <c r="X2" s="10"/>
      <c r="Y2" s="10"/>
      <c r="Z2" s="10"/>
    </row>
    <row r="3" spans="1:26" ht="13.95" x14ac:dyDescent="0.25">
      <c r="A3" s="635" t="s">
        <v>272</v>
      </c>
      <c r="B3" s="635"/>
      <c r="C3" s="635"/>
      <c r="D3" s="635"/>
      <c r="E3" s="635"/>
      <c r="F3" s="635"/>
      <c r="G3" s="635"/>
      <c r="H3" s="635"/>
      <c r="I3" s="635"/>
      <c r="J3" s="635"/>
      <c r="K3" s="635"/>
      <c r="L3" s="635"/>
      <c r="M3" s="635"/>
      <c r="N3" s="635"/>
      <c r="O3" s="635"/>
      <c r="P3" s="635"/>
      <c r="Q3" s="635"/>
      <c r="R3" s="53" t="s">
        <v>20</v>
      </c>
      <c r="S3" s="53"/>
      <c r="T3" s="221"/>
      <c r="U3" s="221"/>
      <c r="V3" s="221"/>
      <c r="W3" s="221"/>
      <c r="X3" s="221"/>
      <c r="Y3" s="221"/>
      <c r="Z3" s="221"/>
    </row>
    <row r="4" spans="1:26" ht="13.95" x14ac:dyDescent="0.25">
      <c r="A4" s="637" t="s">
        <v>1</v>
      </c>
      <c r="B4" s="637"/>
      <c r="C4" s="637"/>
      <c r="D4" s="637"/>
      <c r="E4" s="637"/>
      <c r="F4" s="637"/>
      <c r="G4" s="637"/>
      <c r="H4" s="637"/>
      <c r="I4" s="637"/>
      <c r="J4" s="637"/>
      <c r="K4" s="637"/>
      <c r="L4" s="637"/>
      <c r="M4" s="637"/>
      <c r="N4" s="637"/>
      <c r="O4" s="637"/>
      <c r="P4" s="637"/>
      <c r="Q4" s="637"/>
      <c r="R4" s="53" t="s">
        <v>20</v>
      </c>
      <c r="S4" s="53"/>
      <c r="T4" s="11"/>
      <c r="U4" s="11"/>
      <c r="V4" s="11"/>
      <c r="W4" s="11"/>
      <c r="X4" s="11"/>
      <c r="Y4" s="11"/>
      <c r="Z4" s="11"/>
    </row>
    <row r="5" spans="1:26" ht="13.95" x14ac:dyDescent="0.25">
      <c r="A5" s="637"/>
      <c r="B5" s="637"/>
      <c r="C5" s="637"/>
      <c r="D5" s="637"/>
      <c r="E5" s="637"/>
      <c r="F5" s="637"/>
      <c r="G5" s="637"/>
      <c r="H5" s="637"/>
      <c r="I5" s="637"/>
      <c r="J5" s="637"/>
      <c r="K5" s="637"/>
      <c r="L5" s="637"/>
      <c r="M5" s="637"/>
      <c r="N5" s="637"/>
      <c r="O5" s="637"/>
      <c r="P5" s="637"/>
      <c r="Q5" s="637"/>
      <c r="R5" s="53" t="s">
        <v>20</v>
      </c>
      <c r="T5" s="11"/>
      <c r="U5" s="11"/>
      <c r="V5" s="11"/>
      <c r="W5" s="11"/>
      <c r="X5" s="11"/>
      <c r="Y5" s="11"/>
      <c r="Z5" s="11"/>
    </row>
    <row r="6" spans="1:26" ht="15" customHeight="1" x14ac:dyDescent="0.25">
      <c r="A6" s="722" t="s">
        <v>99</v>
      </c>
      <c r="B6" s="679" t="s">
        <v>272</v>
      </c>
      <c r="C6" s="746"/>
      <c r="D6" s="746"/>
      <c r="E6" s="746"/>
      <c r="F6" s="746"/>
      <c r="G6" s="746"/>
      <c r="H6" s="746"/>
      <c r="I6" s="746"/>
      <c r="J6" s="746"/>
      <c r="K6" s="746"/>
      <c r="L6" s="746"/>
      <c r="M6" s="746"/>
      <c r="N6" s="746"/>
      <c r="O6" s="746"/>
      <c r="P6" s="746"/>
      <c r="Q6" s="747"/>
      <c r="R6" s="53" t="s">
        <v>20</v>
      </c>
    </row>
    <row r="7" spans="1:26" ht="61.5" customHeight="1" x14ac:dyDescent="0.25">
      <c r="A7" s="723"/>
      <c r="B7" s="679" t="s">
        <v>273</v>
      </c>
      <c r="C7" s="680"/>
      <c r="D7" s="679" t="s">
        <v>301</v>
      </c>
      <c r="E7" s="680"/>
      <c r="F7" s="679" t="s">
        <v>276</v>
      </c>
      <c r="G7" s="680"/>
      <c r="H7" s="679" t="s">
        <v>337</v>
      </c>
      <c r="I7" s="680"/>
      <c r="J7" s="679" t="s">
        <v>338</v>
      </c>
      <c r="K7" s="680"/>
      <c r="L7" s="679" t="s">
        <v>279</v>
      </c>
      <c r="M7" s="680"/>
      <c r="N7" s="679" t="s">
        <v>318</v>
      </c>
      <c r="O7" s="725"/>
      <c r="P7" s="679" t="s">
        <v>320</v>
      </c>
      <c r="Q7" s="680"/>
      <c r="R7" s="53" t="s">
        <v>20</v>
      </c>
      <c r="S7" s="178"/>
    </row>
    <row r="8" spans="1:26" ht="27.6" x14ac:dyDescent="0.25">
      <c r="A8" s="724"/>
      <c r="B8" s="222" t="s">
        <v>3</v>
      </c>
      <c r="C8" s="222" t="s">
        <v>4</v>
      </c>
      <c r="D8" s="222" t="s">
        <v>3</v>
      </c>
      <c r="E8" s="222" t="s">
        <v>4</v>
      </c>
      <c r="F8" s="222" t="s">
        <v>3</v>
      </c>
      <c r="G8" s="222" t="s">
        <v>4</v>
      </c>
      <c r="H8" s="222" t="s">
        <v>3</v>
      </c>
      <c r="I8" s="222" t="s">
        <v>4</v>
      </c>
      <c r="J8" s="222" t="s">
        <v>3</v>
      </c>
      <c r="K8" s="222" t="s">
        <v>4</v>
      </c>
      <c r="L8" s="222" t="s">
        <v>3</v>
      </c>
      <c r="M8" s="222" t="s">
        <v>4</v>
      </c>
      <c r="N8" s="222" t="s">
        <v>3</v>
      </c>
      <c r="O8" s="222" t="s">
        <v>4</v>
      </c>
      <c r="P8" s="222" t="s">
        <v>3</v>
      </c>
      <c r="Q8" s="222" t="s">
        <v>4</v>
      </c>
      <c r="R8" s="53" t="s">
        <v>20</v>
      </c>
      <c r="S8" s="178"/>
    </row>
    <row r="9" spans="1:26" ht="13.95" x14ac:dyDescent="0.25">
      <c r="A9" s="275" t="s">
        <v>76</v>
      </c>
      <c r="B9" s="234"/>
      <c r="C9" s="234">
        <v>1</v>
      </c>
      <c r="D9" s="234"/>
      <c r="E9" s="234">
        <v>4</v>
      </c>
      <c r="F9" s="234"/>
      <c r="G9" s="234">
        <v>1</v>
      </c>
      <c r="H9" s="234"/>
      <c r="I9" s="234">
        <v>0</v>
      </c>
      <c r="J9" s="234"/>
      <c r="K9" s="234">
        <v>2</v>
      </c>
      <c r="L9" s="234"/>
      <c r="M9" s="234">
        <v>1</v>
      </c>
      <c r="N9" s="234"/>
      <c r="O9" s="234">
        <v>2</v>
      </c>
      <c r="P9" s="234"/>
      <c r="Q9" s="234">
        <v>0</v>
      </c>
      <c r="R9" s="53" t="s">
        <v>20</v>
      </c>
      <c r="S9" s="178"/>
    </row>
    <row r="10" spans="1:26" ht="13.95" x14ac:dyDescent="0.25">
      <c r="A10" s="275" t="s">
        <v>79</v>
      </c>
      <c r="B10" s="234"/>
      <c r="C10" s="234">
        <v>0</v>
      </c>
      <c r="D10" s="234"/>
      <c r="E10" s="234">
        <v>0</v>
      </c>
      <c r="F10" s="234"/>
      <c r="G10" s="234">
        <v>0</v>
      </c>
      <c r="H10" s="234"/>
      <c r="I10" s="234">
        <v>0</v>
      </c>
      <c r="J10" s="234"/>
      <c r="K10" s="234">
        <v>0</v>
      </c>
      <c r="L10" s="234"/>
      <c r="M10" s="234">
        <v>0</v>
      </c>
      <c r="N10" s="234"/>
      <c r="O10" s="234">
        <v>0</v>
      </c>
      <c r="P10" s="234"/>
      <c r="Q10" s="234">
        <v>0</v>
      </c>
      <c r="R10" s="53" t="s">
        <v>20</v>
      </c>
      <c r="S10" s="178"/>
    </row>
    <row r="11" spans="1:26" ht="13.95" x14ac:dyDescent="0.25">
      <c r="A11" s="275" t="s">
        <v>80</v>
      </c>
      <c r="B11" s="234"/>
      <c r="C11" s="234">
        <v>3</v>
      </c>
      <c r="D11" s="234"/>
      <c r="E11" s="234">
        <v>11</v>
      </c>
      <c r="F11" s="234"/>
      <c r="G11" s="234">
        <v>1</v>
      </c>
      <c r="H11" s="234"/>
      <c r="I11" s="234">
        <v>0</v>
      </c>
      <c r="J11" s="234"/>
      <c r="K11" s="234">
        <v>6</v>
      </c>
      <c r="L11" s="234"/>
      <c r="M11" s="234">
        <v>3</v>
      </c>
      <c r="N11" s="234"/>
      <c r="O11" s="234">
        <v>6</v>
      </c>
      <c r="P11" s="234"/>
      <c r="Q11" s="234">
        <v>1</v>
      </c>
      <c r="R11" s="53" t="s">
        <v>20</v>
      </c>
      <c r="S11" s="178"/>
    </row>
    <row r="12" spans="1:26" ht="13.95" x14ac:dyDescent="0.25">
      <c r="A12" s="275" t="s">
        <v>81</v>
      </c>
      <c r="B12" s="234"/>
      <c r="C12" s="234">
        <v>303</v>
      </c>
      <c r="D12" s="234"/>
      <c r="E12" s="234">
        <v>1288</v>
      </c>
      <c r="F12" s="234"/>
      <c r="G12" s="234">
        <v>197</v>
      </c>
      <c r="H12" s="234"/>
      <c r="I12" s="234">
        <v>152</v>
      </c>
      <c r="J12" s="234"/>
      <c r="K12" s="234">
        <v>667</v>
      </c>
      <c r="L12" s="234"/>
      <c r="M12" s="234">
        <v>379</v>
      </c>
      <c r="N12" s="234"/>
      <c r="O12" s="234">
        <v>667</v>
      </c>
      <c r="P12" s="234"/>
      <c r="Q12" s="234">
        <v>136</v>
      </c>
      <c r="R12" s="53" t="s">
        <v>20</v>
      </c>
      <c r="S12" s="178"/>
    </row>
    <row r="13" spans="1:26" ht="13.95" x14ac:dyDescent="0.25">
      <c r="A13" s="275" t="s">
        <v>82</v>
      </c>
      <c r="B13" s="234"/>
      <c r="C13" s="234">
        <v>4</v>
      </c>
      <c r="D13" s="234"/>
      <c r="E13" s="234">
        <v>18</v>
      </c>
      <c r="F13" s="234"/>
      <c r="G13" s="234">
        <v>3</v>
      </c>
      <c r="H13" s="234"/>
      <c r="I13" s="234">
        <v>2</v>
      </c>
      <c r="J13" s="234"/>
      <c r="K13" s="234">
        <v>9</v>
      </c>
      <c r="L13" s="234"/>
      <c r="M13" s="234">
        <v>5</v>
      </c>
      <c r="N13" s="234"/>
      <c r="O13" s="234">
        <v>9</v>
      </c>
      <c r="P13" s="234"/>
      <c r="Q13" s="234">
        <v>2</v>
      </c>
      <c r="R13" s="53" t="s">
        <v>20</v>
      </c>
      <c r="S13" s="178"/>
    </row>
    <row r="14" spans="1:26" ht="13.95" x14ac:dyDescent="0.25">
      <c r="A14" s="275" t="s">
        <v>83</v>
      </c>
      <c r="B14" s="234"/>
      <c r="C14" s="234">
        <v>1506</v>
      </c>
      <c r="D14" s="234"/>
      <c r="E14" s="234">
        <v>6402</v>
      </c>
      <c r="F14" s="234"/>
      <c r="G14" s="234">
        <v>979</v>
      </c>
      <c r="H14" s="234"/>
      <c r="I14" s="234">
        <v>753</v>
      </c>
      <c r="J14" s="234"/>
      <c r="K14" s="234">
        <v>3314</v>
      </c>
      <c r="L14" s="234"/>
      <c r="M14" s="234">
        <v>1883</v>
      </c>
      <c r="N14" s="234"/>
      <c r="O14" s="234">
        <v>3314</v>
      </c>
      <c r="P14" s="234"/>
      <c r="Q14" s="234">
        <v>678</v>
      </c>
      <c r="R14" s="53" t="s">
        <v>20</v>
      </c>
      <c r="S14" s="178"/>
    </row>
    <row r="15" spans="1:26" ht="13.95" x14ac:dyDescent="0.25">
      <c r="A15" s="277" t="s">
        <v>392</v>
      </c>
      <c r="B15" s="276"/>
      <c r="C15" s="276">
        <v>18183</v>
      </c>
      <c r="D15" s="276"/>
      <c r="E15" s="276">
        <v>77277</v>
      </c>
      <c r="F15" s="276"/>
      <c r="G15" s="276">
        <v>11819</v>
      </c>
      <c r="H15" s="276"/>
      <c r="I15" s="276">
        <v>9093</v>
      </c>
      <c r="J15" s="276"/>
      <c r="K15" s="276">
        <v>40002</v>
      </c>
      <c r="L15" s="276"/>
      <c r="M15" s="276">
        <v>22729</v>
      </c>
      <c r="N15" s="276"/>
      <c r="O15" s="276">
        <v>40002</v>
      </c>
      <c r="P15" s="276"/>
      <c r="Q15" s="276">
        <v>8183</v>
      </c>
      <c r="R15" s="53" t="s">
        <v>20</v>
      </c>
      <c r="S15" s="178"/>
    </row>
    <row r="16" spans="1:26" x14ac:dyDescent="0.25">
      <c r="A16" s="66" t="s">
        <v>145</v>
      </c>
      <c r="B16" s="143">
        <f t="shared" ref="B16:Q16" si="0">SUM(B9:B15)</f>
        <v>0</v>
      </c>
      <c r="C16" s="143">
        <f t="shared" si="0"/>
        <v>20000</v>
      </c>
      <c r="D16" s="143">
        <f t="shared" si="0"/>
        <v>0</v>
      </c>
      <c r="E16" s="143">
        <f t="shared" si="0"/>
        <v>85000</v>
      </c>
      <c r="F16" s="143">
        <f t="shared" si="0"/>
        <v>0</v>
      </c>
      <c r="G16" s="143">
        <f t="shared" si="0"/>
        <v>13000</v>
      </c>
      <c r="H16" s="143">
        <f t="shared" si="0"/>
        <v>0</v>
      </c>
      <c r="I16" s="143">
        <f t="shared" si="0"/>
        <v>10000</v>
      </c>
      <c r="J16" s="143">
        <f t="shared" si="0"/>
        <v>0</v>
      </c>
      <c r="K16" s="143">
        <f t="shared" si="0"/>
        <v>44000</v>
      </c>
      <c r="L16" s="143">
        <f t="shared" si="0"/>
        <v>0</v>
      </c>
      <c r="M16" s="143">
        <f t="shared" si="0"/>
        <v>25000</v>
      </c>
      <c r="N16" s="143">
        <f t="shared" si="0"/>
        <v>0</v>
      </c>
      <c r="O16" s="143">
        <f t="shared" si="0"/>
        <v>44000</v>
      </c>
      <c r="P16" s="143">
        <f t="shared" si="0"/>
        <v>0</v>
      </c>
      <c r="Q16" s="143">
        <f t="shared" si="0"/>
        <v>9000</v>
      </c>
      <c r="R16" s="53" t="s">
        <v>20</v>
      </c>
      <c r="S16" s="178"/>
    </row>
    <row r="17" spans="1:19" x14ac:dyDescent="0.25">
      <c r="A17" s="65"/>
      <c r="B17" s="64"/>
      <c r="C17" s="64"/>
      <c r="D17" s="64"/>
      <c r="E17" s="64"/>
      <c r="F17" s="64"/>
      <c r="G17" s="64"/>
      <c r="H17" s="64"/>
      <c r="I17" s="64"/>
      <c r="J17" s="64"/>
      <c r="K17" s="64"/>
      <c r="L17" s="64"/>
      <c r="M17" s="64"/>
      <c r="N17" s="64"/>
      <c r="O17" s="64"/>
      <c r="P17" s="64"/>
      <c r="Q17" s="64"/>
      <c r="R17" s="53" t="s">
        <v>20</v>
      </c>
      <c r="S17" s="53"/>
    </row>
    <row r="18" spans="1:19" s="278" customFormat="1" x14ac:dyDescent="0.25">
      <c r="R18" s="53" t="s">
        <v>20</v>
      </c>
      <c r="S18" s="434"/>
    </row>
    <row r="19" spans="1:19" ht="15" customHeight="1" x14ac:dyDescent="0.25">
      <c r="A19" s="722" t="s">
        <v>99</v>
      </c>
      <c r="B19" s="679" t="s">
        <v>393</v>
      </c>
      <c r="C19" s="746"/>
      <c r="D19" s="746"/>
      <c r="E19" s="746"/>
      <c r="F19" s="746"/>
      <c r="G19" s="746"/>
      <c r="H19" s="746"/>
      <c r="I19" s="746"/>
      <c r="J19" s="746"/>
      <c r="K19" s="746"/>
      <c r="L19" s="746"/>
      <c r="M19" s="746"/>
      <c r="N19" s="746"/>
      <c r="O19" s="746"/>
      <c r="P19" s="695" t="s">
        <v>17</v>
      </c>
      <c r="Q19" s="748"/>
      <c r="R19" s="53" t="s">
        <v>20</v>
      </c>
      <c r="S19" s="53"/>
    </row>
    <row r="20" spans="1:19" ht="64.5" customHeight="1" x14ac:dyDescent="0.25">
      <c r="A20" s="723"/>
      <c r="B20" s="725" t="s">
        <v>282</v>
      </c>
      <c r="C20" s="680"/>
      <c r="D20" s="679" t="s">
        <v>283</v>
      </c>
      <c r="E20" s="680"/>
      <c r="F20" s="679" t="s">
        <v>339</v>
      </c>
      <c r="G20" s="680"/>
      <c r="H20" s="679" t="s">
        <v>285</v>
      </c>
      <c r="I20" s="680"/>
      <c r="J20" s="679" t="s">
        <v>286</v>
      </c>
      <c r="K20" s="680"/>
      <c r="L20" s="679" t="s">
        <v>340</v>
      </c>
      <c r="M20" s="680"/>
      <c r="N20" s="679" t="s">
        <v>394</v>
      </c>
      <c r="O20" s="725"/>
      <c r="P20" s="749"/>
      <c r="Q20" s="750"/>
      <c r="R20" s="53" t="s">
        <v>20</v>
      </c>
      <c r="S20" s="178"/>
    </row>
    <row r="21" spans="1:19" ht="27.6" x14ac:dyDescent="0.25">
      <c r="A21" s="724"/>
      <c r="B21" s="222" t="s">
        <v>3</v>
      </c>
      <c r="C21" s="222" t="s">
        <v>4</v>
      </c>
      <c r="D21" s="222" t="s">
        <v>3</v>
      </c>
      <c r="E21" s="222" t="s">
        <v>4</v>
      </c>
      <c r="F21" s="222" t="s">
        <v>3</v>
      </c>
      <c r="G21" s="222" t="s">
        <v>4</v>
      </c>
      <c r="H21" s="222" t="s">
        <v>3</v>
      </c>
      <c r="I21" s="222" t="s">
        <v>4</v>
      </c>
      <c r="J21" s="222" t="s">
        <v>3</v>
      </c>
      <c r="K21" s="222" t="s">
        <v>4</v>
      </c>
      <c r="L21" s="222" t="s">
        <v>3</v>
      </c>
      <c r="M21" s="222" t="s">
        <v>4</v>
      </c>
      <c r="N21" s="222" t="s">
        <v>3</v>
      </c>
      <c r="O21" s="448" t="s">
        <v>4</v>
      </c>
      <c r="P21" s="751"/>
      <c r="Q21" s="752"/>
      <c r="R21" s="53" t="s">
        <v>20</v>
      </c>
      <c r="S21" s="178"/>
    </row>
    <row r="22" spans="1:19" x14ac:dyDescent="0.25">
      <c r="A22" s="275" t="s">
        <v>76</v>
      </c>
      <c r="B22" s="234"/>
      <c r="C22" s="234">
        <v>2</v>
      </c>
      <c r="D22" s="234"/>
      <c r="E22" s="234">
        <v>2</v>
      </c>
      <c r="F22" s="234"/>
      <c r="G22" s="234">
        <v>1</v>
      </c>
      <c r="H22" s="234"/>
      <c r="I22" s="234">
        <v>0</v>
      </c>
      <c r="J22" s="234"/>
      <c r="K22" s="317">
        <v>-1</v>
      </c>
      <c r="L22" s="234"/>
      <c r="M22" s="317">
        <v>0</v>
      </c>
      <c r="N22" s="234"/>
      <c r="O22" s="317">
        <v>-19</v>
      </c>
      <c r="P22" s="234">
        <f>SUM(B9,D9,F9,H9,J9,L9,N9,P9,B22,D22,F22,H22,J22,L22,N22)</f>
        <v>0</v>
      </c>
      <c r="Q22" s="234">
        <f>SUM(C9,E9,G9,I9,K9,M9,O9,Q9,C22,E22,G22,I22,K22,M22,O22)</f>
        <v>-4</v>
      </c>
      <c r="R22" s="53" t="s">
        <v>20</v>
      </c>
      <c r="S22" s="178"/>
    </row>
    <row r="23" spans="1:19" x14ac:dyDescent="0.25">
      <c r="A23" s="275" t="s">
        <v>79</v>
      </c>
      <c r="B23" s="234"/>
      <c r="C23" s="234">
        <v>0</v>
      </c>
      <c r="D23" s="234"/>
      <c r="E23" s="234">
        <v>0</v>
      </c>
      <c r="F23" s="234"/>
      <c r="G23" s="234">
        <v>0</v>
      </c>
      <c r="H23" s="234"/>
      <c r="I23" s="234">
        <v>0</v>
      </c>
      <c r="J23" s="234"/>
      <c r="K23" s="317">
        <v>0</v>
      </c>
      <c r="L23" s="234"/>
      <c r="M23" s="317">
        <v>0</v>
      </c>
      <c r="N23" s="234"/>
      <c r="O23" s="317">
        <v>-1</v>
      </c>
      <c r="P23" s="234">
        <f t="shared" ref="P23:Q23" si="1">SUM(B10,D10,F10,H10,J10,L10,N10,P10,B23,D23,F23,H23,J23,L23,N23)</f>
        <v>0</v>
      </c>
      <c r="Q23" s="234">
        <f t="shared" si="1"/>
        <v>-1</v>
      </c>
      <c r="R23" s="53" t="s">
        <v>20</v>
      </c>
      <c r="S23" s="178"/>
    </row>
    <row r="24" spans="1:19" x14ac:dyDescent="0.25">
      <c r="A24" s="275" t="s">
        <v>80</v>
      </c>
      <c r="B24" s="234"/>
      <c r="C24" s="234">
        <v>7</v>
      </c>
      <c r="D24" s="234"/>
      <c r="E24" s="234">
        <v>5</v>
      </c>
      <c r="F24" s="234"/>
      <c r="G24" s="234">
        <v>0</v>
      </c>
      <c r="H24" s="234"/>
      <c r="I24" s="234">
        <v>0</v>
      </c>
      <c r="J24" s="234"/>
      <c r="K24" s="317">
        <v>0</v>
      </c>
      <c r="L24" s="234"/>
      <c r="M24" s="317">
        <v>0</v>
      </c>
      <c r="N24" s="234"/>
      <c r="O24" s="317">
        <v>-63</v>
      </c>
      <c r="P24" s="234">
        <f t="shared" ref="P24:Q24" si="2">SUM(B11,D11,F11,H11,J11,L11,N11,P11,B24,D24,F24,H24,J24,L24,N24)</f>
        <v>0</v>
      </c>
      <c r="Q24" s="234">
        <f t="shared" si="2"/>
        <v>-20</v>
      </c>
      <c r="R24" s="53" t="s">
        <v>20</v>
      </c>
      <c r="S24" s="178"/>
    </row>
    <row r="25" spans="1:19" x14ac:dyDescent="0.25">
      <c r="A25" s="275" t="s">
        <v>81</v>
      </c>
      <c r="B25" s="234"/>
      <c r="C25" s="234">
        <v>849</v>
      </c>
      <c r="D25" s="234"/>
      <c r="E25" s="234">
        <v>606</v>
      </c>
      <c r="F25" s="234"/>
      <c r="G25" s="234">
        <v>30</v>
      </c>
      <c r="H25" s="234"/>
      <c r="I25" s="317">
        <v>-15</v>
      </c>
      <c r="J25" s="234"/>
      <c r="K25" s="317">
        <v>-379</v>
      </c>
      <c r="L25" s="234"/>
      <c r="M25" s="317">
        <v>-30</v>
      </c>
      <c r="N25" s="234"/>
      <c r="O25" s="317">
        <v>-7237</v>
      </c>
      <c r="P25" s="234">
        <f t="shared" ref="P25:Q25" si="3">SUM(B12,D12,F12,H12,J12,L12,N12,P12,B25,D25,F25,H25,J25,L25,N25)</f>
        <v>0</v>
      </c>
      <c r="Q25" s="234">
        <f t="shared" si="3"/>
        <v>-2387</v>
      </c>
      <c r="R25" s="53" t="s">
        <v>20</v>
      </c>
      <c r="S25" s="178"/>
    </row>
    <row r="26" spans="1:19" x14ac:dyDescent="0.25">
      <c r="A26" s="275" t="s">
        <v>82</v>
      </c>
      <c r="B26" s="234"/>
      <c r="C26" s="234">
        <v>12</v>
      </c>
      <c r="D26" s="234"/>
      <c r="E26" s="234">
        <v>8</v>
      </c>
      <c r="F26" s="234"/>
      <c r="G26" s="234">
        <v>0</v>
      </c>
      <c r="H26" s="234"/>
      <c r="I26" s="317">
        <v>0</v>
      </c>
      <c r="J26" s="234"/>
      <c r="K26" s="317">
        <v>-5</v>
      </c>
      <c r="L26" s="234"/>
      <c r="M26" s="317">
        <v>0</v>
      </c>
      <c r="N26" s="234"/>
      <c r="O26" s="317">
        <v>-99</v>
      </c>
      <c r="P26" s="234">
        <f t="shared" ref="P26:Q26" si="4">SUM(B13,D13,F13,H13,J13,L13,N13,P13,B26,D26,F26,H26,J26,L26,N26)</f>
        <v>0</v>
      </c>
      <c r="Q26" s="234">
        <f t="shared" si="4"/>
        <v>-32</v>
      </c>
      <c r="R26" s="53" t="s">
        <v>20</v>
      </c>
      <c r="S26" s="178"/>
    </row>
    <row r="27" spans="1:19" x14ac:dyDescent="0.25">
      <c r="A27" s="275" t="s">
        <v>83</v>
      </c>
      <c r="B27" s="234"/>
      <c r="C27" s="234">
        <v>4218</v>
      </c>
      <c r="D27" s="234"/>
      <c r="E27" s="234">
        <v>3013</v>
      </c>
      <c r="F27" s="234"/>
      <c r="G27" s="234">
        <v>151</v>
      </c>
      <c r="H27" s="234"/>
      <c r="I27" s="317">
        <v>-75</v>
      </c>
      <c r="J27" s="234"/>
      <c r="K27" s="317">
        <v>-1883</v>
      </c>
      <c r="L27" s="234"/>
      <c r="M27" s="317">
        <v>-151</v>
      </c>
      <c r="N27" s="234"/>
      <c r="O27" s="317">
        <v>-35964</v>
      </c>
      <c r="P27" s="234">
        <f t="shared" ref="P27:Q27" si="5">SUM(B14,D14,F14,H14,J14,L14,N14,P14,B27,D27,F27,H27,J27,L27,N27)</f>
        <v>0</v>
      </c>
      <c r="Q27" s="234">
        <f t="shared" si="5"/>
        <v>-11862</v>
      </c>
      <c r="R27" s="53" t="s">
        <v>20</v>
      </c>
      <c r="S27" s="178"/>
    </row>
    <row r="28" spans="1:19" x14ac:dyDescent="0.25">
      <c r="A28" s="277" t="s">
        <v>392</v>
      </c>
      <c r="B28" s="276"/>
      <c r="C28" s="276">
        <v>50912</v>
      </c>
      <c r="D28" s="276"/>
      <c r="E28" s="276">
        <v>36366</v>
      </c>
      <c r="F28" s="276"/>
      <c r="G28" s="276">
        <v>1818</v>
      </c>
      <c r="H28" s="276"/>
      <c r="I28" s="292">
        <v>-910</v>
      </c>
      <c r="J28" s="276"/>
      <c r="K28" s="292">
        <v>-22732</v>
      </c>
      <c r="L28" s="276"/>
      <c r="M28" s="292">
        <v>-1819</v>
      </c>
      <c r="N28" s="276"/>
      <c r="O28" s="292">
        <v>-434117</v>
      </c>
      <c r="P28" s="234">
        <f t="shared" ref="P28:Q28" si="6">SUM(B15,D15,F15,H15,J15,L15,N15,P15,B28,D28,F28,H28,J28,L28,N28)</f>
        <v>0</v>
      </c>
      <c r="Q28" s="317">
        <f t="shared" si="6"/>
        <v>-143194</v>
      </c>
      <c r="R28" s="53" t="s">
        <v>20</v>
      </c>
      <c r="S28" s="178"/>
    </row>
    <row r="29" spans="1:19" x14ac:dyDescent="0.25">
      <c r="A29" s="66" t="s">
        <v>145</v>
      </c>
      <c r="B29" s="143">
        <f t="shared" ref="B29" si="7">SUM(B22:B28)</f>
        <v>0</v>
      </c>
      <c r="C29" s="143">
        <f t="shared" ref="C29" si="8">SUM(C22:C28)</f>
        <v>56000</v>
      </c>
      <c r="D29" s="143">
        <f t="shared" ref="D29" si="9">SUM(D22:D28)</f>
        <v>0</v>
      </c>
      <c r="E29" s="143">
        <f t="shared" ref="E29" si="10">SUM(E22:E28)</f>
        <v>40000</v>
      </c>
      <c r="F29" s="143">
        <f t="shared" ref="F29" si="11">SUM(F22:F28)</f>
        <v>0</v>
      </c>
      <c r="G29" s="143">
        <f t="shared" ref="G29" si="12">SUM(G22:G28)</f>
        <v>2000</v>
      </c>
      <c r="H29" s="143">
        <f t="shared" ref="H29" si="13">SUM(H22:H28)</f>
        <v>0</v>
      </c>
      <c r="I29" s="194">
        <f t="shared" ref="I29" si="14">SUM(I22:I28)</f>
        <v>-1000</v>
      </c>
      <c r="J29" s="143">
        <f t="shared" ref="J29" si="15">SUM(J22:J28)</f>
        <v>0</v>
      </c>
      <c r="K29" s="194">
        <f t="shared" ref="K29" si="16">SUM(K22:K28)</f>
        <v>-25000</v>
      </c>
      <c r="L29" s="143">
        <f t="shared" ref="L29" si="17">SUM(L22:L28)</f>
        <v>0</v>
      </c>
      <c r="M29" s="194">
        <f t="shared" ref="M29" si="18">SUM(M22:M28)</f>
        <v>-2000</v>
      </c>
      <c r="N29" s="143">
        <f t="shared" ref="N29" si="19">SUM(N22:N28)</f>
        <v>0</v>
      </c>
      <c r="O29" s="194">
        <f t="shared" ref="O29" si="20">SUM(O22:O28)</f>
        <v>-477500</v>
      </c>
      <c r="P29" s="143">
        <f t="shared" ref="P29" si="21">SUM(P22:P28)</f>
        <v>0</v>
      </c>
      <c r="Q29" s="194">
        <f t="shared" ref="Q29" si="22">SUM(Q22:Q28)</f>
        <v>-157500</v>
      </c>
      <c r="R29" s="53" t="s">
        <v>20</v>
      </c>
      <c r="S29" s="178"/>
    </row>
    <row r="30" spans="1:19" x14ac:dyDescent="0.25">
      <c r="A30" s="65"/>
      <c r="B30" s="449"/>
      <c r="C30" s="449"/>
      <c r="D30" s="449"/>
      <c r="E30" s="449"/>
      <c r="F30" s="449"/>
      <c r="G30" s="449"/>
      <c r="H30" s="449"/>
      <c r="I30" s="450"/>
      <c r="J30" s="449"/>
      <c r="K30" s="450"/>
      <c r="L30" s="449"/>
      <c r="M30" s="450"/>
      <c r="N30" s="449"/>
      <c r="O30" s="450"/>
      <c r="P30" s="449"/>
      <c r="Q30" s="450"/>
      <c r="R30" s="53"/>
      <c r="S30" s="178"/>
    </row>
    <row r="31" spans="1:19" ht="35.4" customHeight="1" x14ac:dyDescent="0.3">
      <c r="A31" s="668" t="s">
        <v>490</v>
      </c>
      <c r="B31" s="668"/>
      <c r="C31" s="668"/>
      <c r="D31" s="668"/>
      <c r="E31" s="668"/>
      <c r="F31" s="668"/>
      <c r="G31" s="668"/>
      <c r="H31" s="668"/>
      <c r="I31" s="668"/>
      <c r="J31" s="668"/>
      <c r="K31" s="668"/>
      <c r="L31" s="668"/>
      <c r="M31" s="745"/>
      <c r="N31" s="745"/>
      <c r="O31" s="745"/>
      <c r="P31" s="745"/>
      <c r="Q31" s="745"/>
      <c r="R31" s="53" t="s">
        <v>20</v>
      </c>
    </row>
    <row r="32" spans="1:19" x14ac:dyDescent="0.25">
      <c r="R32" s="53" t="s">
        <v>21</v>
      </c>
    </row>
  </sheetData>
  <customSheetViews>
    <customSheetView guid="{5B2D5037-506A-47D5-AF28-C337BC9133BD}" scale="70" showPageBreaks="1" printArea="1" view="pageBreakPreview" topLeftCell="A7">
      <selection activeCell="A31" sqref="A31:Q31"/>
      <pageMargins left="0.7" right="0.7" top="0.52" bottom="0.39" header="0.3" footer="0.23"/>
      <printOptions horizontalCentered="1"/>
      <pageSetup scale="48" fitToHeight="2" orientation="landscape" r:id="rId1"/>
      <headerFooter>
        <oddHeader xml:space="preserve">&amp;L&amp;"Arial,Bold"&amp;12J. Financial Analysis of Program Changes
</oddHeader>
        <oddFooter>&amp;C&amp;"Arial,Regular"Exhibit J - Financial Analysis of Program Changes&amp;R&amp;"Arial,Regular"State and Local Law Enforcement Assistance</oddFooter>
      </headerFooter>
    </customSheetView>
    <customSheetView guid="{08380F1E-0CB7-4B3B-924E-2A270EA8DD30}" scale="70" showPageBreaks="1" printArea="1" view="pageBreakPreview">
      <selection activeCell="A31" sqref="A31:Q31"/>
      <pageMargins left="0.7" right="0.7" top="0.52" bottom="0.39" header="0.3" footer="0.23"/>
      <printOptions horizontalCentered="1"/>
      <pageSetup scale="48" fitToHeight="2" orientation="landscape" r:id="rId2"/>
      <headerFooter>
        <oddHeader xml:space="preserve">&amp;L&amp;"Arial,Bold"&amp;12J. Financial Analysis of Program Changes
</oddHeader>
        <oddFooter>&amp;C&amp;"Arial,Regular"Exhibit J - Financial Analysis of Program Changes&amp;R&amp;"Arial,Regular"State and Local Law Enforcement Assistance</oddFooter>
      </headerFooter>
    </customSheetView>
    <customSheetView guid="{D19943A8-2C2A-430A-A724-8C7C332697C8}" scale="70" showPageBreaks="1" printArea="1" view="pageBreakPreview">
      <selection activeCell="A31" sqref="A31:Q31"/>
      <pageMargins left="0.7" right="0.7" top="0.52" bottom="0.39" header="0.3" footer="0.23"/>
      <printOptions horizontalCentered="1"/>
      <pageSetup scale="48" fitToHeight="2" orientation="landscape" r:id="rId3"/>
      <headerFooter>
        <oddHeader xml:space="preserve">&amp;L&amp;"Arial,Bold"&amp;12J. Financial Analysis of Program Changes
</oddHeader>
        <oddFooter>&amp;C&amp;"Arial,Regular"Exhibit J - Financial Analysis of Program Changes&amp;R&amp;"Arial,Regular"State and Local Law Enforcement Assistance</oddFooter>
      </headerFooter>
    </customSheetView>
    <customSheetView guid="{C6D68C6D-939C-4DFA-9385-A3F05DFB5EDA}" scale="70" showPageBreaks="1" printArea="1" view="pageBreakPreview">
      <selection activeCell="A31" sqref="A31:Q31"/>
      <pageMargins left="0.7" right="0.7" top="0.52" bottom="0.39" header="0.3" footer="0.23"/>
      <printOptions horizontalCentered="1"/>
      <pageSetup scale="48" fitToHeight="2" orientation="landscape" r:id="rId4"/>
      <headerFooter>
        <oddHeader xml:space="preserve">&amp;L&amp;"Arial,Bold"&amp;12J. Financial Analysis of Program Changes
</oddHeader>
        <oddFooter>&amp;C&amp;"Arial,Regular"Exhibit J - Financial Analysis of Program Changes&amp;R&amp;"Arial,Regular"State and Local Law Enforcement Assistance</oddFooter>
      </headerFooter>
    </customSheetView>
  </customSheetViews>
  <mergeCells count="26">
    <mergeCell ref="A1:Q1"/>
    <mergeCell ref="A2:Q2"/>
    <mergeCell ref="A3:Q3"/>
    <mergeCell ref="A4:Q4"/>
    <mergeCell ref="A19:A21"/>
    <mergeCell ref="B20:C20"/>
    <mergeCell ref="D20:E20"/>
    <mergeCell ref="F20:G20"/>
    <mergeCell ref="B7:C7"/>
    <mergeCell ref="D7:E7"/>
    <mergeCell ref="F7:G7"/>
    <mergeCell ref="B19:O19"/>
    <mergeCell ref="P19:Q21"/>
    <mergeCell ref="A5:Q5"/>
    <mergeCell ref="A6:A8"/>
    <mergeCell ref="H7:I7"/>
    <mergeCell ref="J7:K7"/>
    <mergeCell ref="L7:M7"/>
    <mergeCell ref="N7:O7"/>
    <mergeCell ref="P7:Q7"/>
    <mergeCell ref="B6:Q6"/>
    <mergeCell ref="A31:Q31"/>
    <mergeCell ref="H20:I20"/>
    <mergeCell ref="J20:K20"/>
    <mergeCell ref="L20:M20"/>
    <mergeCell ref="N20:O20"/>
  </mergeCells>
  <printOptions horizontalCentered="1"/>
  <pageMargins left="0.7" right="0.7" top="0.52" bottom="0.39" header="0.3" footer="0.23"/>
  <pageSetup scale="48" fitToHeight="2" orientation="landscape" r:id="rId5"/>
  <headerFooter>
    <oddHeader xml:space="preserve">&amp;L&amp;"Arial,Bold"&amp;12J. Financial Analysis of Program Changes
</oddHeader>
    <oddFooter>&amp;C&amp;"Arial,Regular"Exhibit J - Financial Analysis of Program Changes&amp;R&amp;"Arial,Regular"State and Local Law Enforcement Assistance</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90" zoomScaleNormal="100" zoomScaleSheetLayoutView="90" workbookViewId="0">
      <pane xSplit="1" ySplit="7" topLeftCell="B27" activePane="bottomRight" state="frozen"/>
      <selection pane="topRight" activeCell="B1" sqref="B1"/>
      <selection pane="bottomLeft" activeCell="A8" sqref="A8"/>
      <selection pane="bottomRight" activeCell="G48" sqref="G48"/>
    </sheetView>
  </sheetViews>
  <sheetFormatPr defaultColWidth="9.109375" defaultRowHeight="13.8" x14ac:dyDescent="0.25"/>
  <cols>
    <col min="1" max="1" width="86.5546875" style="178" customWidth="1"/>
    <col min="2" max="2" width="8.33203125" style="178" customWidth="1"/>
    <col min="3" max="3" width="12.6640625" style="178" customWidth="1"/>
    <col min="4" max="4" width="8.33203125" style="178" customWidth="1"/>
    <col min="5" max="5" width="12.6640625" style="178" customWidth="1"/>
    <col min="6" max="6" width="8.33203125" style="178" customWidth="1"/>
    <col min="7" max="7" width="12.6640625" style="178" customWidth="1"/>
    <col min="8" max="8" width="8.33203125" style="178" customWidth="1"/>
    <col min="9" max="9" width="12.6640625" style="178" customWidth="1"/>
    <col min="10" max="10" width="14" style="7" bestFit="1" customWidth="1"/>
    <col min="11" max="11" width="4.5546875" style="178" customWidth="1"/>
    <col min="12" max="13" width="8.33203125" style="178" customWidth="1"/>
    <col min="14" max="14" width="12.6640625" style="178" customWidth="1"/>
    <col min="15" max="16" width="8.33203125" style="178" customWidth="1"/>
    <col min="17" max="17" width="12.6640625" style="178" customWidth="1"/>
    <col min="18" max="16384" width="9.109375" style="178"/>
  </cols>
  <sheetData>
    <row r="1" spans="1:17" ht="18" x14ac:dyDescent="0.25">
      <c r="A1" s="633" t="s">
        <v>67</v>
      </c>
      <c r="B1" s="633"/>
      <c r="C1" s="633"/>
      <c r="D1" s="633"/>
      <c r="E1" s="633"/>
      <c r="F1" s="633"/>
      <c r="G1" s="633"/>
      <c r="H1" s="633"/>
      <c r="I1" s="633"/>
      <c r="J1" s="53" t="s">
        <v>20</v>
      </c>
      <c r="K1" s="9"/>
      <c r="L1" s="9"/>
      <c r="M1" s="9"/>
      <c r="N1" s="9"/>
      <c r="O1" s="9"/>
      <c r="P1" s="9"/>
      <c r="Q1" s="9"/>
    </row>
    <row r="2" spans="1:17" ht="15" x14ac:dyDescent="0.2">
      <c r="A2" s="634" t="s">
        <v>160</v>
      </c>
      <c r="B2" s="634"/>
      <c r="C2" s="634"/>
      <c r="D2" s="634"/>
      <c r="E2" s="634"/>
      <c r="F2" s="634"/>
      <c r="G2" s="634"/>
      <c r="H2" s="634"/>
      <c r="I2" s="634"/>
      <c r="J2" s="53" t="s">
        <v>20</v>
      </c>
      <c r="K2" s="10"/>
      <c r="L2" s="10"/>
      <c r="M2" s="10"/>
      <c r="N2" s="10"/>
      <c r="O2" s="10"/>
      <c r="P2" s="10"/>
      <c r="Q2" s="10"/>
    </row>
    <row r="3" spans="1:17" ht="14.25" x14ac:dyDescent="0.2">
      <c r="A3" s="635" t="s">
        <v>272</v>
      </c>
      <c r="B3" s="635"/>
      <c r="C3" s="635"/>
      <c r="D3" s="635"/>
      <c r="E3" s="635"/>
      <c r="F3" s="635"/>
      <c r="G3" s="635"/>
      <c r="H3" s="635"/>
      <c r="I3" s="635"/>
      <c r="J3" s="53" t="s">
        <v>20</v>
      </c>
      <c r="K3" s="221"/>
      <c r="L3" s="221"/>
      <c r="M3" s="221"/>
      <c r="N3" s="221"/>
      <c r="O3" s="221"/>
      <c r="P3" s="221"/>
      <c r="Q3" s="221"/>
    </row>
    <row r="4" spans="1:17" ht="14.25" x14ac:dyDescent="0.2">
      <c r="A4" s="637" t="s">
        <v>1</v>
      </c>
      <c r="B4" s="637"/>
      <c r="C4" s="637"/>
      <c r="D4" s="637"/>
      <c r="E4" s="637"/>
      <c r="F4" s="637"/>
      <c r="G4" s="637"/>
      <c r="H4" s="637"/>
      <c r="I4" s="637"/>
      <c r="J4" s="53" t="s">
        <v>20</v>
      </c>
      <c r="K4" s="11"/>
      <c r="L4" s="11"/>
      <c r="M4" s="11"/>
      <c r="N4" s="11"/>
      <c r="O4" s="11"/>
      <c r="P4" s="11"/>
      <c r="Q4" s="11"/>
    </row>
    <row r="5" spans="1:17" ht="15" thickBot="1" x14ac:dyDescent="0.25">
      <c r="A5" s="637"/>
      <c r="B5" s="637"/>
      <c r="C5" s="637"/>
      <c r="D5" s="637"/>
      <c r="E5" s="637"/>
      <c r="F5" s="637"/>
      <c r="G5" s="637"/>
      <c r="H5" s="637"/>
      <c r="I5" s="637"/>
      <c r="J5" s="53" t="s">
        <v>20</v>
      </c>
      <c r="K5" s="11"/>
      <c r="L5" s="11"/>
      <c r="M5" s="11"/>
      <c r="N5" s="11"/>
      <c r="O5" s="11"/>
      <c r="P5" s="11"/>
      <c r="Q5" s="11"/>
    </row>
    <row r="6" spans="1:17" x14ac:dyDescent="0.25">
      <c r="A6" s="638" t="s">
        <v>68</v>
      </c>
      <c r="B6" s="641" t="s">
        <v>45</v>
      </c>
      <c r="C6" s="641"/>
      <c r="D6" s="641" t="s">
        <v>420</v>
      </c>
      <c r="E6" s="641"/>
      <c r="F6" s="641" t="s">
        <v>24</v>
      </c>
      <c r="G6" s="641"/>
      <c r="H6" s="641" t="s">
        <v>46</v>
      </c>
      <c r="I6" s="642"/>
      <c r="J6" s="53" t="s">
        <v>20</v>
      </c>
    </row>
    <row r="7" spans="1:17" ht="27.6" x14ac:dyDescent="0.25">
      <c r="A7" s="639"/>
      <c r="B7" s="222" t="s">
        <v>30</v>
      </c>
      <c r="C7" s="222" t="s">
        <v>4</v>
      </c>
      <c r="D7" s="222" t="s">
        <v>30</v>
      </c>
      <c r="E7" s="222" t="s">
        <v>4</v>
      </c>
      <c r="F7" s="222" t="s">
        <v>30</v>
      </c>
      <c r="G7" s="222" t="s">
        <v>4</v>
      </c>
      <c r="H7" s="222" t="s">
        <v>30</v>
      </c>
      <c r="I7" s="223" t="s">
        <v>4</v>
      </c>
      <c r="J7" s="53" t="s">
        <v>20</v>
      </c>
    </row>
    <row r="8" spans="1:17" ht="14.25" x14ac:dyDescent="0.2">
      <c r="A8" s="232" t="s">
        <v>69</v>
      </c>
      <c r="B8" s="225">
        <v>0</v>
      </c>
      <c r="C8" s="225">
        <v>0</v>
      </c>
      <c r="D8" s="225">
        <v>0</v>
      </c>
      <c r="E8" s="225">
        <v>0</v>
      </c>
      <c r="F8" s="225">
        <v>0</v>
      </c>
      <c r="G8" s="225">
        <v>0</v>
      </c>
      <c r="H8" s="225">
        <f>F8-D8</f>
        <v>0</v>
      </c>
      <c r="I8" s="226">
        <f>G8-E8</f>
        <v>0</v>
      </c>
      <c r="J8" s="53" t="s">
        <v>20</v>
      </c>
    </row>
    <row r="9" spans="1:17" ht="14.25" x14ac:dyDescent="0.2">
      <c r="A9" s="177" t="s">
        <v>70</v>
      </c>
      <c r="B9" s="208">
        <v>0</v>
      </c>
      <c r="C9" s="208">
        <v>0</v>
      </c>
      <c r="D9" s="208">
        <v>0</v>
      </c>
      <c r="E9" s="208">
        <v>0</v>
      </c>
      <c r="F9" s="208">
        <v>0</v>
      </c>
      <c r="G9" s="208">
        <v>0</v>
      </c>
      <c r="H9" s="208">
        <f t="shared" ref="H9:I13" si="0">F9-D9</f>
        <v>0</v>
      </c>
      <c r="I9" s="205">
        <f t="shared" si="0"/>
        <v>0</v>
      </c>
      <c r="J9" s="53" t="s">
        <v>20</v>
      </c>
    </row>
    <row r="10" spans="1:17" ht="14.25" x14ac:dyDescent="0.2">
      <c r="A10" s="177" t="s">
        <v>146</v>
      </c>
      <c r="B10" s="208">
        <f>SUM(B11:B12)</f>
        <v>0</v>
      </c>
      <c r="C10" s="208">
        <f t="shared" ref="C10:G10" si="1">SUM(C11:C12)</f>
        <v>0</v>
      </c>
      <c r="D10" s="208">
        <f t="shared" si="1"/>
        <v>0</v>
      </c>
      <c r="E10" s="208">
        <f t="shared" si="1"/>
        <v>0</v>
      </c>
      <c r="F10" s="208">
        <f t="shared" si="1"/>
        <v>0</v>
      </c>
      <c r="G10" s="208">
        <f t="shared" si="1"/>
        <v>0</v>
      </c>
      <c r="H10" s="208">
        <f t="shared" si="0"/>
        <v>0</v>
      </c>
      <c r="I10" s="205">
        <f t="shared" si="0"/>
        <v>0</v>
      </c>
      <c r="J10" s="53" t="s">
        <v>20</v>
      </c>
    </row>
    <row r="11" spans="1:17" ht="14.25" x14ac:dyDescent="0.2">
      <c r="A11" s="60" t="s">
        <v>29</v>
      </c>
      <c r="B11" s="169">
        <v>0</v>
      </c>
      <c r="C11" s="169">
        <v>0</v>
      </c>
      <c r="D11" s="169">
        <v>0</v>
      </c>
      <c r="E11" s="169">
        <v>0</v>
      </c>
      <c r="F11" s="169">
        <v>0</v>
      </c>
      <c r="G11" s="169">
        <v>0</v>
      </c>
      <c r="H11" s="169">
        <f t="shared" si="0"/>
        <v>0</v>
      </c>
      <c r="I11" s="170">
        <f t="shared" si="0"/>
        <v>0</v>
      </c>
      <c r="J11" s="53" t="s">
        <v>20</v>
      </c>
    </row>
    <row r="12" spans="1:17" ht="14.25" x14ac:dyDescent="0.2">
      <c r="A12" s="60" t="s">
        <v>71</v>
      </c>
      <c r="B12" s="169">
        <v>0</v>
      </c>
      <c r="C12" s="169">
        <v>0</v>
      </c>
      <c r="D12" s="169">
        <v>0</v>
      </c>
      <c r="E12" s="169">
        <v>0</v>
      </c>
      <c r="F12" s="169">
        <v>0</v>
      </c>
      <c r="G12" s="169">
        <v>0</v>
      </c>
      <c r="H12" s="169">
        <f t="shared" si="0"/>
        <v>0</v>
      </c>
      <c r="I12" s="170">
        <f t="shared" si="0"/>
        <v>0</v>
      </c>
      <c r="J12" s="53" t="s">
        <v>20</v>
      </c>
    </row>
    <row r="13" spans="1:17" ht="14.25" x14ac:dyDescent="0.2">
      <c r="A13" s="177" t="s">
        <v>72</v>
      </c>
      <c r="B13" s="230">
        <v>0</v>
      </c>
      <c r="C13" s="230">
        <v>0</v>
      </c>
      <c r="D13" s="230">
        <v>0</v>
      </c>
      <c r="E13" s="230">
        <v>0</v>
      </c>
      <c r="F13" s="230">
        <v>0</v>
      </c>
      <c r="G13" s="230">
        <v>0</v>
      </c>
      <c r="H13" s="230">
        <f t="shared" si="0"/>
        <v>0</v>
      </c>
      <c r="I13" s="231">
        <f t="shared" si="0"/>
        <v>0</v>
      </c>
      <c r="J13" s="53" t="s">
        <v>20</v>
      </c>
    </row>
    <row r="14" spans="1:17" ht="15" x14ac:dyDescent="0.25">
      <c r="A14" s="62" t="s">
        <v>25</v>
      </c>
      <c r="B14" s="127">
        <f>SUM(B8:B10,B13)</f>
        <v>0</v>
      </c>
      <c r="C14" s="127">
        <f t="shared" ref="C14:I14" si="2">SUM(C8:C10,C13)</f>
        <v>0</v>
      </c>
      <c r="D14" s="127">
        <f t="shared" si="2"/>
        <v>0</v>
      </c>
      <c r="E14" s="127">
        <f t="shared" si="2"/>
        <v>0</v>
      </c>
      <c r="F14" s="127">
        <f t="shared" si="2"/>
        <v>0</v>
      </c>
      <c r="G14" s="127">
        <f t="shared" si="2"/>
        <v>0</v>
      </c>
      <c r="H14" s="127">
        <f t="shared" si="2"/>
        <v>0</v>
      </c>
      <c r="I14" s="133">
        <f t="shared" si="2"/>
        <v>0</v>
      </c>
      <c r="J14" s="53" t="s">
        <v>20</v>
      </c>
    </row>
    <row r="15" spans="1:17" ht="15" x14ac:dyDescent="0.25">
      <c r="A15" s="61" t="s">
        <v>73</v>
      </c>
      <c r="B15" s="208"/>
      <c r="C15" s="208"/>
      <c r="D15" s="208"/>
      <c r="E15" s="208"/>
      <c r="F15" s="208"/>
      <c r="G15" s="208"/>
      <c r="H15" s="208"/>
      <c r="I15" s="205"/>
      <c r="J15" s="53" t="s">
        <v>20</v>
      </c>
    </row>
    <row r="16" spans="1:17" ht="14.25" x14ac:dyDescent="0.2">
      <c r="A16" s="177" t="s">
        <v>74</v>
      </c>
      <c r="B16" s="208"/>
      <c r="C16" s="208">
        <v>0</v>
      </c>
      <c r="D16" s="208"/>
      <c r="E16" s="208">
        <v>0</v>
      </c>
      <c r="F16" s="208"/>
      <c r="G16" s="208">
        <v>0</v>
      </c>
      <c r="H16" s="208"/>
      <c r="I16" s="205">
        <f t="shared" ref="I16:I36" si="3">G16-E16</f>
        <v>0</v>
      </c>
      <c r="J16" s="53" t="s">
        <v>20</v>
      </c>
    </row>
    <row r="17" spans="1:10" ht="14.25" x14ac:dyDescent="0.2">
      <c r="A17" s="177" t="s">
        <v>75</v>
      </c>
      <c r="B17" s="208"/>
      <c r="C17" s="208">
        <v>0</v>
      </c>
      <c r="D17" s="208"/>
      <c r="E17" s="208">
        <v>0</v>
      </c>
      <c r="F17" s="208"/>
      <c r="G17" s="208">
        <v>0</v>
      </c>
      <c r="H17" s="208"/>
      <c r="I17" s="205">
        <f t="shared" si="3"/>
        <v>0</v>
      </c>
      <c r="J17" s="53" t="s">
        <v>20</v>
      </c>
    </row>
    <row r="18" spans="1:10" ht="13.95" x14ac:dyDescent="0.25">
      <c r="A18" s="177" t="s">
        <v>76</v>
      </c>
      <c r="B18" s="208"/>
      <c r="C18" s="208">
        <v>47</v>
      </c>
      <c r="D18" s="208"/>
      <c r="E18" s="208">
        <v>47</v>
      </c>
      <c r="F18" s="208"/>
      <c r="G18" s="208">
        <v>47</v>
      </c>
      <c r="H18" s="208"/>
      <c r="I18" s="205">
        <f t="shared" si="3"/>
        <v>0</v>
      </c>
      <c r="J18" s="53" t="s">
        <v>20</v>
      </c>
    </row>
    <row r="19" spans="1:10" ht="13.95" x14ac:dyDescent="0.25">
      <c r="A19" s="177" t="s">
        <v>147</v>
      </c>
      <c r="B19" s="208"/>
      <c r="C19" s="208">
        <v>0</v>
      </c>
      <c r="D19" s="208"/>
      <c r="E19" s="208">
        <v>0</v>
      </c>
      <c r="F19" s="208"/>
      <c r="G19" s="208">
        <v>0</v>
      </c>
      <c r="H19" s="208"/>
      <c r="I19" s="205">
        <f t="shared" si="3"/>
        <v>0</v>
      </c>
      <c r="J19" s="53" t="s">
        <v>20</v>
      </c>
    </row>
    <row r="20" spans="1:10" ht="13.95" x14ac:dyDescent="0.25">
      <c r="A20" s="177" t="s">
        <v>77</v>
      </c>
      <c r="B20" s="208"/>
      <c r="C20" s="208">
        <v>0</v>
      </c>
      <c r="D20" s="208"/>
      <c r="E20" s="208">
        <v>0</v>
      </c>
      <c r="F20" s="208"/>
      <c r="G20" s="208">
        <v>0</v>
      </c>
      <c r="H20" s="208"/>
      <c r="I20" s="205">
        <f t="shared" si="3"/>
        <v>0</v>
      </c>
      <c r="J20" s="53" t="s">
        <v>20</v>
      </c>
    </row>
    <row r="21" spans="1:10" ht="13.95" x14ac:dyDescent="0.25">
      <c r="A21" s="177" t="s">
        <v>78</v>
      </c>
      <c r="B21" s="208"/>
      <c r="C21" s="208">
        <v>0</v>
      </c>
      <c r="D21" s="208"/>
      <c r="E21" s="208">
        <v>0</v>
      </c>
      <c r="F21" s="208"/>
      <c r="G21" s="208">
        <v>0</v>
      </c>
      <c r="H21" s="208"/>
      <c r="I21" s="205">
        <f t="shared" si="3"/>
        <v>0</v>
      </c>
      <c r="J21" s="53" t="s">
        <v>20</v>
      </c>
    </row>
    <row r="22" spans="1:10" ht="13.95" x14ac:dyDescent="0.25">
      <c r="A22" s="177" t="s">
        <v>79</v>
      </c>
      <c r="B22" s="208"/>
      <c r="C22" s="208">
        <v>3</v>
      </c>
      <c r="D22" s="208"/>
      <c r="E22" s="208">
        <v>3</v>
      </c>
      <c r="F22" s="208"/>
      <c r="G22" s="208">
        <v>2</v>
      </c>
      <c r="H22" s="208"/>
      <c r="I22" s="205">
        <f t="shared" si="3"/>
        <v>-1</v>
      </c>
      <c r="J22" s="53" t="s">
        <v>20</v>
      </c>
    </row>
    <row r="23" spans="1:10" ht="13.95" x14ac:dyDescent="0.25">
      <c r="A23" s="177" t="s">
        <v>80</v>
      </c>
      <c r="B23" s="208"/>
      <c r="C23" s="208">
        <v>151</v>
      </c>
      <c r="D23" s="208"/>
      <c r="E23" s="208">
        <v>151</v>
      </c>
      <c r="F23" s="208"/>
      <c r="G23" s="208">
        <v>145</v>
      </c>
      <c r="H23" s="208"/>
      <c r="I23" s="205">
        <f t="shared" si="3"/>
        <v>-6</v>
      </c>
      <c r="J23" s="53" t="s">
        <v>20</v>
      </c>
    </row>
    <row r="24" spans="1:10" ht="13.95" x14ac:dyDescent="0.25">
      <c r="A24" s="177" t="s">
        <v>81</v>
      </c>
      <c r="B24" s="208"/>
      <c r="C24" s="208">
        <v>17465</v>
      </c>
      <c r="D24" s="208"/>
      <c r="E24" s="208">
        <v>17000</v>
      </c>
      <c r="F24" s="208"/>
      <c r="G24" s="208">
        <v>17000</v>
      </c>
      <c r="H24" s="208"/>
      <c r="I24" s="205">
        <f t="shared" si="3"/>
        <v>0</v>
      </c>
      <c r="J24" s="53" t="s">
        <v>20</v>
      </c>
    </row>
    <row r="25" spans="1:10" ht="13.95" x14ac:dyDescent="0.25">
      <c r="A25" s="177" t="s">
        <v>82</v>
      </c>
      <c r="B25" s="208"/>
      <c r="C25" s="208">
        <v>240</v>
      </c>
      <c r="D25" s="208"/>
      <c r="E25" s="208">
        <v>240</v>
      </c>
      <c r="F25" s="208"/>
      <c r="G25" s="208">
        <v>228</v>
      </c>
      <c r="H25" s="208"/>
      <c r="I25" s="205">
        <f t="shared" si="3"/>
        <v>-12</v>
      </c>
      <c r="J25" s="53" t="s">
        <v>20</v>
      </c>
    </row>
    <row r="26" spans="1:10" ht="13.95" x14ac:dyDescent="0.25">
      <c r="A26" s="177" t="s">
        <v>83</v>
      </c>
      <c r="B26" s="208"/>
      <c r="C26" s="208">
        <v>86783</v>
      </c>
      <c r="D26" s="208"/>
      <c r="E26" s="208">
        <v>88000</v>
      </c>
      <c r="F26" s="208"/>
      <c r="G26" s="208">
        <v>88000</v>
      </c>
      <c r="H26" s="208"/>
      <c r="I26" s="205">
        <f t="shared" si="3"/>
        <v>0</v>
      </c>
      <c r="J26" s="53" t="s">
        <v>20</v>
      </c>
    </row>
    <row r="27" spans="1:10" ht="13.95" x14ac:dyDescent="0.25">
      <c r="A27" s="177" t="s">
        <v>84</v>
      </c>
      <c r="B27" s="208"/>
      <c r="C27" s="208">
        <v>0</v>
      </c>
      <c r="D27" s="208"/>
      <c r="E27" s="208">
        <v>0</v>
      </c>
      <c r="F27" s="208"/>
      <c r="G27" s="208">
        <v>0</v>
      </c>
      <c r="H27" s="208"/>
      <c r="I27" s="205">
        <f t="shared" si="3"/>
        <v>0</v>
      </c>
      <c r="J27" s="53" t="s">
        <v>20</v>
      </c>
    </row>
    <row r="28" spans="1:10" ht="13.95" x14ac:dyDescent="0.25">
      <c r="A28" s="177" t="s">
        <v>85</v>
      </c>
      <c r="B28" s="208"/>
      <c r="C28" s="208">
        <v>0</v>
      </c>
      <c r="D28" s="208"/>
      <c r="E28" s="208">
        <v>0</v>
      </c>
      <c r="F28" s="208"/>
      <c r="G28" s="208">
        <v>0</v>
      </c>
      <c r="H28" s="208"/>
      <c r="I28" s="205">
        <f t="shared" si="3"/>
        <v>0</v>
      </c>
      <c r="J28" s="53" t="s">
        <v>20</v>
      </c>
    </row>
    <row r="29" spans="1:10" ht="13.95" x14ac:dyDescent="0.25">
      <c r="A29" s="177" t="s">
        <v>34</v>
      </c>
      <c r="B29" s="208"/>
      <c r="C29" s="208">
        <v>0</v>
      </c>
      <c r="D29" s="208"/>
      <c r="E29" s="208">
        <v>0</v>
      </c>
      <c r="F29" s="208"/>
      <c r="G29" s="208">
        <v>0</v>
      </c>
      <c r="H29" s="208"/>
      <c r="I29" s="205">
        <f t="shared" si="3"/>
        <v>0</v>
      </c>
      <c r="J29" s="53" t="s">
        <v>20</v>
      </c>
    </row>
    <row r="30" spans="1:10" ht="13.95" x14ac:dyDescent="0.25">
      <c r="A30" s="177" t="s">
        <v>86</v>
      </c>
      <c r="B30" s="208"/>
      <c r="C30" s="208">
        <v>0</v>
      </c>
      <c r="D30" s="208"/>
      <c r="E30" s="208">
        <v>0</v>
      </c>
      <c r="F30" s="208"/>
      <c r="G30" s="208">
        <v>0</v>
      </c>
      <c r="H30" s="208"/>
      <c r="I30" s="205">
        <f t="shared" si="3"/>
        <v>0</v>
      </c>
      <c r="J30" s="53" t="s">
        <v>20</v>
      </c>
    </row>
    <row r="31" spans="1:10" ht="13.95" x14ac:dyDescent="0.25">
      <c r="A31" s="177" t="s">
        <v>87</v>
      </c>
      <c r="B31" s="208"/>
      <c r="C31" s="208">
        <v>0</v>
      </c>
      <c r="D31" s="208"/>
      <c r="E31" s="208">
        <v>0</v>
      </c>
      <c r="F31" s="208"/>
      <c r="G31" s="208">
        <v>0</v>
      </c>
      <c r="H31" s="208"/>
      <c r="I31" s="205">
        <f t="shared" si="3"/>
        <v>0</v>
      </c>
      <c r="J31" s="53" t="s">
        <v>20</v>
      </c>
    </row>
    <row r="32" spans="1:10" ht="13.95" x14ac:dyDescent="0.25">
      <c r="A32" s="177" t="s">
        <v>88</v>
      </c>
      <c r="B32" s="208"/>
      <c r="C32" s="208">
        <v>0</v>
      </c>
      <c r="D32" s="208"/>
      <c r="E32" s="208">
        <v>0</v>
      </c>
      <c r="F32" s="208"/>
      <c r="G32" s="208">
        <v>0</v>
      </c>
      <c r="H32" s="208"/>
      <c r="I32" s="205">
        <f t="shared" si="3"/>
        <v>0</v>
      </c>
      <c r="J32" s="53" t="s">
        <v>20</v>
      </c>
    </row>
    <row r="33" spans="1:10" ht="13.95" x14ac:dyDescent="0.25">
      <c r="A33" s="177" t="s">
        <v>89</v>
      </c>
      <c r="B33" s="208"/>
      <c r="C33" s="208">
        <v>0</v>
      </c>
      <c r="D33" s="208"/>
      <c r="E33" s="208">
        <v>0</v>
      </c>
      <c r="F33" s="208"/>
      <c r="G33" s="208">
        <v>0</v>
      </c>
      <c r="H33" s="208"/>
      <c r="I33" s="205">
        <f t="shared" si="3"/>
        <v>0</v>
      </c>
      <c r="J33" s="53" t="s">
        <v>20</v>
      </c>
    </row>
    <row r="34" spans="1:10" ht="13.95" x14ac:dyDescent="0.25">
      <c r="A34" s="177" t="s">
        <v>90</v>
      </c>
      <c r="B34" s="208"/>
      <c r="C34" s="208">
        <v>0</v>
      </c>
      <c r="D34" s="208"/>
      <c r="E34" s="208">
        <v>0</v>
      </c>
      <c r="F34" s="208"/>
      <c r="G34" s="208">
        <v>0</v>
      </c>
      <c r="H34" s="208"/>
      <c r="I34" s="205">
        <f t="shared" si="3"/>
        <v>0</v>
      </c>
      <c r="J34" s="53" t="s">
        <v>20</v>
      </c>
    </row>
    <row r="35" spans="1:10" ht="13.95" x14ac:dyDescent="0.25">
      <c r="A35" s="177" t="s">
        <v>91</v>
      </c>
      <c r="B35" s="208"/>
      <c r="C35" s="208">
        <v>1047487</v>
      </c>
      <c r="D35" s="208"/>
      <c r="E35" s="208">
        <v>1062559</v>
      </c>
      <c r="F35" s="208"/>
      <c r="G35" s="208">
        <v>899578</v>
      </c>
      <c r="H35" s="208"/>
      <c r="I35" s="205">
        <f t="shared" si="3"/>
        <v>-162981</v>
      </c>
      <c r="J35" s="53" t="s">
        <v>20</v>
      </c>
    </row>
    <row r="36" spans="1:10" ht="13.95" x14ac:dyDescent="0.25">
      <c r="A36" s="177" t="s">
        <v>92</v>
      </c>
      <c r="B36" s="208"/>
      <c r="C36" s="208">
        <v>0</v>
      </c>
      <c r="D36" s="208"/>
      <c r="E36" s="208">
        <v>0</v>
      </c>
      <c r="F36" s="208"/>
      <c r="G36" s="208">
        <v>0</v>
      </c>
      <c r="H36" s="208"/>
      <c r="I36" s="205">
        <f t="shared" si="3"/>
        <v>0</v>
      </c>
      <c r="J36" s="53" t="s">
        <v>20</v>
      </c>
    </row>
    <row r="37" spans="1:10" ht="13.95" x14ac:dyDescent="0.25">
      <c r="A37" s="62" t="s">
        <v>93</v>
      </c>
      <c r="B37" s="70"/>
      <c r="C37" s="70">
        <f>SUM(C14:C36)</f>
        <v>1152176</v>
      </c>
      <c r="D37" s="70"/>
      <c r="E37" s="70">
        <f t="shared" ref="E37:I37" si="4">SUM(E14:E36)</f>
        <v>1168000</v>
      </c>
      <c r="F37" s="70"/>
      <c r="G37" s="70">
        <f t="shared" si="4"/>
        <v>1005000</v>
      </c>
      <c r="H37" s="70"/>
      <c r="I37" s="73">
        <f t="shared" si="4"/>
        <v>-163000</v>
      </c>
      <c r="J37" s="53" t="s">
        <v>20</v>
      </c>
    </row>
    <row r="38" spans="1:10" x14ac:dyDescent="0.25">
      <c r="A38" s="177" t="s">
        <v>462</v>
      </c>
      <c r="B38" s="208"/>
      <c r="C38" s="290">
        <v>-50126</v>
      </c>
      <c r="D38" s="208"/>
      <c r="E38" s="290">
        <v>-26755</v>
      </c>
      <c r="F38" s="208"/>
      <c r="G38" s="290">
        <v>-25199</v>
      </c>
      <c r="H38" s="208"/>
      <c r="I38" s="205">
        <f>G38-E38</f>
        <v>1556</v>
      </c>
      <c r="J38" s="53" t="s">
        <v>20</v>
      </c>
    </row>
    <row r="39" spans="1:10" x14ac:dyDescent="0.25">
      <c r="A39" s="177" t="s">
        <v>463</v>
      </c>
      <c r="B39" s="208"/>
      <c r="C39" s="290">
        <v>22111</v>
      </c>
      <c r="D39" s="208"/>
      <c r="E39" s="290">
        <v>3171</v>
      </c>
      <c r="F39" s="208"/>
      <c r="G39" s="208">
        <v>0</v>
      </c>
      <c r="H39" s="208"/>
      <c r="I39" s="470">
        <f t="shared" ref="I39:I42" si="5">G39-E39</f>
        <v>-3171</v>
      </c>
      <c r="J39" s="53" t="s">
        <v>20</v>
      </c>
    </row>
    <row r="40" spans="1:10" x14ac:dyDescent="0.25">
      <c r="A40" s="177" t="s">
        <v>139</v>
      </c>
      <c r="B40" s="208"/>
      <c r="C40" s="290">
        <v>-26425</v>
      </c>
      <c r="D40" s="208"/>
      <c r="E40" s="290">
        <v>-42000</v>
      </c>
      <c r="F40" s="208"/>
      <c r="G40" s="290">
        <v>-36000</v>
      </c>
      <c r="H40" s="208"/>
      <c r="I40" s="205">
        <f t="shared" si="5"/>
        <v>6000</v>
      </c>
      <c r="J40" s="53" t="s">
        <v>20</v>
      </c>
    </row>
    <row r="41" spans="1:10" x14ac:dyDescent="0.25">
      <c r="A41" s="177" t="s">
        <v>474</v>
      </c>
      <c r="B41" s="208"/>
      <c r="C41" s="208">
        <v>38009</v>
      </c>
      <c r="D41" s="208"/>
      <c r="E41" s="208">
        <v>42000</v>
      </c>
      <c r="F41" s="208"/>
      <c r="G41" s="208">
        <v>36000</v>
      </c>
      <c r="H41" s="208"/>
      <c r="I41" s="470">
        <f t="shared" si="5"/>
        <v>-6000</v>
      </c>
      <c r="J41" s="53" t="s">
        <v>20</v>
      </c>
    </row>
    <row r="42" spans="1:10" x14ac:dyDescent="0.25">
      <c r="A42" s="177" t="s">
        <v>465</v>
      </c>
      <c r="B42" s="208"/>
      <c r="C42" s="208">
        <v>26755</v>
      </c>
      <c r="D42" s="208"/>
      <c r="E42" s="208">
        <v>25199</v>
      </c>
      <c r="F42" s="208"/>
      <c r="G42" s="208">
        <v>25199</v>
      </c>
      <c r="H42" s="208"/>
      <c r="I42" s="205">
        <f t="shared" si="5"/>
        <v>0</v>
      </c>
      <c r="J42" s="53" t="s">
        <v>20</v>
      </c>
    </row>
    <row r="43" spans="1:10" ht="14.4" thickBot="1" x14ac:dyDescent="0.3">
      <c r="A43" s="63" t="s">
        <v>94</v>
      </c>
      <c r="B43" s="171">
        <f t="shared" ref="B43:I43" si="6">SUM(B37:B42)</f>
        <v>0</v>
      </c>
      <c r="C43" s="171">
        <f t="shared" si="6"/>
        <v>1162500</v>
      </c>
      <c r="D43" s="171">
        <f t="shared" si="6"/>
        <v>0</v>
      </c>
      <c r="E43" s="171">
        <f t="shared" si="6"/>
        <v>1169615</v>
      </c>
      <c r="F43" s="171">
        <f t="shared" si="6"/>
        <v>0</v>
      </c>
      <c r="G43" s="171">
        <f t="shared" si="6"/>
        <v>1005000</v>
      </c>
      <c r="H43" s="171">
        <f t="shared" si="6"/>
        <v>0</v>
      </c>
      <c r="I43" s="476">
        <f t="shared" si="6"/>
        <v>-164615</v>
      </c>
      <c r="J43" s="53" t="s">
        <v>20</v>
      </c>
    </row>
    <row r="44" spans="1:10" x14ac:dyDescent="0.25">
      <c r="J44" s="7" t="s">
        <v>21</v>
      </c>
    </row>
    <row r="45" spans="1:10" x14ac:dyDescent="0.25">
      <c r="A45" s="178" t="s">
        <v>271</v>
      </c>
    </row>
  </sheetData>
  <customSheetViews>
    <customSheetView guid="{5B2D5037-506A-47D5-AF28-C337BC9133BD}" scale="90" showPageBreaks="1" printArea="1" view="pageBreakPreview">
      <pane xSplit="1" ySplit="7" topLeftCell="B27" activePane="bottomRight" state="frozen"/>
      <selection pane="bottomRight" activeCell="G48" sqref="G48"/>
      <pageMargins left="0.6" right="0.6" top="0.56999999999999995" bottom="0.55000000000000004" header="0.3" footer="0.3"/>
      <printOptions horizontalCentered="1"/>
      <pageSetup scale="72" orientation="landscape" r:id="rId1"/>
      <headerFooter>
        <oddHeader>&amp;L&amp;"Arial,Bold"&amp;12L. Summary of Requirements by Object Class</oddHeader>
        <oddFooter>&amp;C&amp;"Arial,Regular"Exhibit L - Summary of Requirements by Object Class&amp;R&amp;"Arial,Regular"State and Local Law Enforcement Assistance</oddFooter>
      </headerFooter>
    </customSheetView>
    <customSheetView guid="{08380F1E-0CB7-4B3B-924E-2A270EA8DD30}" scale="90" showPageBreaks="1" printArea="1" view="pageBreakPreview">
      <pane xSplit="1" ySplit="7" topLeftCell="B15" activePane="bottomRight" state="frozen"/>
      <selection pane="bottomRight" activeCell="G48" sqref="G48"/>
      <pageMargins left="0.6" right="0.6" top="0.56999999999999995" bottom="0.55000000000000004" header="0.3" footer="0.3"/>
      <printOptions horizontalCentered="1"/>
      <pageSetup scale="72" orientation="landscape" r:id="rId2"/>
      <headerFooter>
        <oddHeader>&amp;L&amp;"Arial,Bold"&amp;12L. Summary of Requirements by Object Class</oddHeader>
        <oddFooter>&amp;C&amp;"Arial,Regular"Exhibit L - Summary of Requirements by Object Class&amp;R&amp;"Arial,Regular"State and Local Law Enforcement Assistance</oddFooter>
      </headerFooter>
    </customSheetView>
    <customSheetView guid="{D19943A8-2C2A-430A-A724-8C7C332697C8}" scale="90" showPageBreaks="1" printArea="1" view="pageBreakPreview">
      <pane xSplit="1" ySplit="7" topLeftCell="B14" activePane="bottomRight" state="frozen"/>
      <selection pane="bottomRight" activeCell="G35" sqref="G35"/>
      <pageMargins left="0.6" right="0.6" top="0.56999999999999995" bottom="0.55000000000000004" header="0.3" footer="0.3"/>
      <printOptions horizontalCentered="1"/>
      <pageSetup scale="72" orientation="landscape" r:id="rId3"/>
      <headerFooter>
        <oddHeader>&amp;L&amp;"Arial,Bold"&amp;12L. Summary of Requirements by Object Class</oddHeader>
        <oddFooter>&amp;C&amp;"Arial,Regular"Exhibit L - Summary of Requirements by Object Class&amp;R&amp;"Arial,Regular"State and Local Law Enforcement Assistance</oddFooter>
      </headerFooter>
    </customSheetView>
    <customSheetView guid="{C6D68C6D-939C-4DFA-9385-A3F05DFB5EDA}" scale="90" showPageBreaks="1" printArea="1" view="pageBreakPreview">
      <pane xSplit="1" ySplit="7" topLeftCell="B15" activePane="bottomRight" state="frozen"/>
      <selection pane="bottomRight" activeCell="G48" sqref="G48"/>
      <pageMargins left="0.6" right="0.6" top="0.56999999999999995" bottom="0.55000000000000004" header="0.3" footer="0.3"/>
      <printOptions horizontalCentered="1"/>
      <pageSetup scale="72" orientation="landscape" r:id="rId4"/>
      <headerFooter>
        <oddHeader>&amp;L&amp;"Arial,Bold"&amp;12L. Summary of Requirements by Object Class</oddHeader>
        <oddFooter>&amp;C&amp;"Arial,Regular"Exhibit L - Summary of Requirements by Object Class&amp;R&amp;"Arial,Regular"State and Local Law Enforcement Assistance</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5"/>
  <headerFooter>
    <oddHeader>&amp;L&amp;"Arial,Bold"&amp;12L. Summary of Requirements by Object Class</oddHeader>
    <oddFooter>&amp;C&amp;"Arial,Regular"Exhibit L - Summary of Requirements by Object Class&amp;R&amp;"Arial,Regular"State and Local Law Enforcement Assistance</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view="pageBreakPreview" topLeftCell="B1" zoomScale="90" zoomScaleNormal="100" zoomScaleSheetLayoutView="90" workbookViewId="0">
      <selection activeCell="D12" sqref="D12"/>
    </sheetView>
  </sheetViews>
  <sheetFormatPr defaultColWidth="9.109375" defaultRowHeight="13.8" x14ac:dyDescent="0.25"/>
  <cols>
    <col min="1" max="1" width="113.5546875" style="178" customWidth="1"/>
    <col min="2" max="3" width="14.5546875" style="199" customWidth="1"/>
    <col min="4" max="4" width="14.5546875" style="200" customWidth="1"/>
    <col min="5" max="5" width="11.5546875" style="7" bestFit="1" customWidth="1"/>
    <col min="6" max="6" width="4.88671875" style="178" customWidth="1"/>
    <col min="7" max="16384" width="9.109375" style="178"/>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395</v>
      </c>
      <c r="B3" s="635"/>
      <c r="C3" s="635"/>
      <c r="D3" s="635"/>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7.25" x14ac:dyDescent="0.25">
      <c r="A8" s="90" t="s">
        <v>396</v>
      </c>
      <c r="B8" s="91">
        <v>0</v>
      </c>
      <c r="C8" s="92">
        <v>0</v>
      </c>
      <c r="D8" s="93">
        <v>262500</v>
      </c>
      <c r="E8" s="7" t="s">
        <v>20</v>
      </c>
    </row>
    <row r="9" spans="1:5" ht="15" x14ac:dyDescent="0.25">
      <c r="A9" s="201" t="s">
        <v>5</v>
      </c>
      <c r="B9" s="69"/>
      <c r="C9" s="70"/>
      <c r="D9" s="205">
        <v>-9717.41374</v>
      </c>
      <c r="E9" s="7" t="s">
        <v>20</v>
      </c>
    </row>
    <row r="10" spans="1:5" x14ac:dyDescent="0.25">
      <c r="A10" s="201" t="s">
        <v>397</v>
      </c>
      <c r="B10" s="318"/>
      <c r="C10" s="319"/>
      <c r="D10" s="320">
        <v>-5250</v>
      </c>
      <c r="E10" s="7" t="s">
        <v>20</v>
      </c>
    </row>
    <row r="11" spans="1:5" ht="16.2" x14ac:dyDescent="0.25">
      <c r="A11" s="89" t="s">
        <v>190</v>
      </c>
      <c r="B11" s="126">
        <f t="shared" ref="B11:C11" si="0">SUM(B8:B10)</f>
        <v>0</v>
      </c>
      <c r="C11" s="127">
        <f t="shared" si="0"/>
        <v>0</v>
      </c>
      <c r="D11" s="204">
        <f>SUM(D8:D10)</f>
        <v>247532.58626000001</v>
      </c>
      <c r="E11" s="7" t="s">
        <v>20</v>
      </c>
    </row>
    <row r="12" spans="1:5" x14ac:dyDescent="0.25">
      <c r="A12" s="67" t="s">
        <v>8</v>
      </c>
      <c r="B12" s="126">
        <v>0</v>
      </c>
      <c r="C12" s="127">
        <v>0</v>
      </c>
      <c r="D12" s="128">
        <v>262500</v>
      </c>
      <c r="E12" s="7" t="s">
        <v>20</v>
      </c>
    </row>
    <row r="13" spans="1:5" x14ac:dyDescent="0.25">
      <c r="A13" s="201" t="s">
        <v>6</v>
      </c>
      <c r="B13" s="69"/>
      <c r="C13" s="70"/>
      <c r="D13" s="205">
        <v>-9000</v>
      </c>
      <c r="E13" s="7" t="s">
        <v>20</v>
      </c>
    </row>
    <row r="14" spans="1:5" x14ac:dyDescent="0.25">
      <c r="A14" s="201" t="s">
        <v>156</v>
      </c>
      <c r="B14" s="173"/>
      <c r="C14" s="174"/>
      <c r="D14" s="202">
        <v>1606.5</v>
      </c>
    </row>
    <row r="15" spans="1:5" x14ac:dyDescent="0.25">
      <c r="A15" s="201" t="s">
        <v>137</v>
      </c>
      <c r="B15" s="130"/>
      <c r="C15" s="25"/>
      <c r="D15" s="203">
        <v>0</v>
      </c>
      <c r="E15" s="7" t="s">
        <v>20</v>
      </c>
    </row>
    <row r="16" spans="1:5" x14ac:dyDescent="0.25">
      <c r="A16" s="72" t="s">
        <v>122</v>
      </c>
      <c r="B16" s="69">
        <f t="shared" ref="B16:C16" si="1">SUM(B12:B15)</f>
        <v>0</v>
      </c>
      <c r="C16" s="70">
        <f t="shared" si="1"/>
        <v>0</v>
      </c>
      <c r="D16" s="73">
        <f>SUM(D12:D15)</f>
        <v>255106.5</v>
      </c>
      <c r="E16" s="7" t="s">
        <v>20</v>
      </c>
    </row>
    <row r="17" spans="1:5" x14ac:dyDescent="0.25">
      <c r="A17" s="72"/>
      <c r="B17" s="69"/>
      <c r="C17" s="70"/>
      <c r="D17" s="73"/>
      <c r="E17" s="7" t="s">
        <v>20</v>
      </c>
    </row>
    <row r="18" spans="1:5" x14ac:dyDescent="0.25">
      <c r="A18" s="74" t="s">
        <v>191</v>
      </c>
      <c r="B18" s="69"/>
      <c r="C18" s="70"/>
      <c r="D18" s="73"/>
      <c r="E18" s="7" t="s">
        <v>20</v>
      </c>
    </row>
    <row r="19" spans="1:5" x14ac:dyDescent="0.25">
      <c r="A19" s="206" t="s">
        <v>192</v>
      </c>
      <c r="B19" s="207">
        <v>0</v>
      </c>
      <c r="C19" s="208">
        <v>0</v>
      </c>
      <c r="D19" s="205">
        <v>0</v>
      </c>
      <c r="E19" s="7" t="s">
        <v>20</v>
      </c>
    </row>
    <row r="20" spans="1:5" x14ac:dyDescent="0.25">
      <c r="A20" s="206" t="s">
        <v>193</v>
      </c>
      <c r="B20" s="207"/>
      <c r="C20" s="208"/>
      <c r="D20" s="205">
        <v>-1606.5</v>
      </c>
      <c r="E20" s="7" t="s">
        <v>20</v>
      </c>
    </row>
    <row r="21" spans="1:5" x14ac:dyDescent="0.25">
      <c r="A21" s="206" t="s">
        <v>194</v>
      </c>
      <c r="B21" s="207"/>
      <c r="C21" s="208"/>
      <c r="D21" s="205">
        <v>9000</v>
      </c>
      <c r="E21" s="7" t="s">
        <v>20</v>
      </c>
    </row>
    <row r="22" spans="1:5" x14ac:dyDescent="0.25">
      <c r="A22" s="77" t="s">
        <v>195</v>
      </c>
      <c r="B22" s="69">
        <f>SUM(B19:B21)</f>
        <v>0</v>
      </c>
      <c r="C22" s="70">
        <f>SUM(C19:C21)</f>
        <v>0</v>
      </c>
      <c r="D22" s="73">
        <f>SUM(D19:D21)</f>
        <v>7393.5</v>
      </c>
      <c r="E22" s="7" t="s">
        <v>20</v>
      </c>
    </row>
    <row r="23" spans="1:5" x14ac:dyDescent="0.25">
      <c r="A23" s="74" t="s">
        <v>121</v>
      </c>
      <c r="B23" s="69"/>
      <c r="C23" s="70"/>
      <c r="D23" s="73"/>
      <c r="E23" s="7" t="s">
        <v>20</v>
      </c>
    </row>
    <row r="24" spans="1:5" x14ac:dyDescent="0.25">
      <c r="A24" s="182" t="s">
        <v>9</v>
      </c>
      <c r="B24" s="207">
        <v>0</v>
      </c>
      <c r="C24" s="208">
        <v>0</v>
      </c>
      <c r="D24" s="205">
        <v>0</v>
      </c>
      <c r="E24" s="7" t="s">
        <v>20</v>
      </c>
    </row>
    <row r="25" spans="1:5" x14ac:dyDescent="0.25">
      <c r="A25" s="77" t="s">
        <v>123</v>
      </c>
      <c r="B25" s="69">
        <f>SUM(B24:B24)</f>
        <v>0</v>
      </c>
      <c r="C25" s="70">
        <f>SUM(C24:C24)</f>
        <v>0</v>
      </c>
      <c r="D25" s="73">
        <f>SUM(D24:D24)</f>
        <v>0</v>
      </c>
      <c r="E25" s="7" t="s">
        <v>20</v>
      </c>
    </row>
    <row r="26" spans="1:5" x14ac:dyDescent="0.25">
      <c r="A26" s="72" t="s">
        <v>124</v>
      </c>
      <c r="B26" s="134">
        <f>B25+B22</f>
        <v>0</v>
      </c>
      <c r="C26" s="25">
        <f>C25+C22</f>
        <v>0</v>
      </c>
      <c r="D26" s="26">
        <f>D25+D22</f>
        <v>7393.5</v>
      </c>
      <c r="E26" s="7" t="s">
        <v>20</v>
      </c>
    </row>
    <row r="27" spans="1:5" x14ac:dyDescent="0.25">
      <c r="A27" s="78" t="s">
        <v>13</v>
      </c>
      <c r="B27" s="132">
        <f>B16+B26</f>
        <v>0</v>
      </c>
      <c r="C27" s="127">
        <f>C16+C26</f>
        <v>0</v>
      </c>
      <c r="D27" s="133">
        <f>D16+D26</f>
        <v>262500</v>
      </c>
      <c r="E27" s="7" t="s">
        <v>20</v>
      </c>
    </row>
    <row r="28" spans="1:5" x14ac:dyDescent="0.25">
      <c r="A28" s="78" t="s">
        <v>14</v>
      </c>
      <c r="B28" s="132"/>
      <c r="C28" s="127"/>
      <c r="D28" s="133"/>
      <c r="E28" s="7" t="s">
        <v>20</v>
      </c>
    </row>
    <row r="29" spans="1:5" x14ac:dyDescent="0.25">
      <c r="A29" s="182" t="s">
        <v>196</v>
      </c>
      <c r="B29" s="79"/>
      <c r="C29" s="70"/>
      <c r="D29" s="80"/>
      <c r="E29" s="7" t="s">
        <v>20</v>
      </c>
    </row>
    <row r="30" spans="1:5" x14ac:dyDescent="0.25">
      <c r="A30" s="189" t="s">
        <v>398</v>
      </c>
      <c r="B30" s="209">
        <v>0</v>
      </c>
      <c r="C30" s="208">
        <v>0</v>
      </c>
      <c r="D30" s="210">
        <v>500</v>
      </c>
      <c r="E30" s="7" t="s">
        <v>20</v>
      </c>
    </row>
    <row r="31" spans="1:5" x14ac:dyDescent="0.25">
      <c r="A31" s="189" t="s">
        <v>399</v>
      </c>
      <c r="B31" s="209">
        <v>0</v>
      </c>
      <c r="C31" s="208">
        <v>0</v>
      </c>
      <c r="D31" s="210">
        <v>17000</v>
      </c>
      <c r="E31" s="7" t="s">
        <v>20</v>
      </c>
    </row>
    <row r="32" spans="1:5" x14ac:dyDescent="0.25">
      <c r="A32" s="189" t="s">
        <v>405</v>
      </c>
      <c r="B32" s="209">
        <v>0</v>
      </c>
      <c r="C32" s="208">
        <v>0</v>
      </c>
      <c r="D32" s="210">
        <v>2000</v>
      </c>
      <c r="E32" s="7" t="s">
        <v>20</v>
      </c>
    </row>
    <row r="33" spans="1:5" x14ac:dyDescent="0.25">
      <c r="A33" s="189" t="s">
        <v>400</v>
      </c>
      <c r="B33" s="209">
        <v>0</v>
      </c>
      <c r="C33" s="208">
        <v>0</v>
      </c>
      <c r="D33" s="210">
        <v>20000</v>
      </c>
      <c r="E33" s="7" t="s">
        <v>20</v>
      </c>
    </row>
    <row r="34" spans="1:5" x14ac:dyDescent="0.25">
      <c r="A34" s="189" t="s">
        <v>260</v>
      </c>
      <c r="B34" s="209">
        <v>0</v>
      </c>
      <c r="C34" s="208">
        <v>0</v>
      </c>
      <c r="D34" s="210">
        <v>2000</v>
      </c>
      <c r="E34" s="7" t="s">
        <v>20</v>
      </c>
    </row>
    <row r="35" spans="1:5" x14ac:dyDescent="0.25">
      <c r="A35" s="189" t="s">
        <v>401</v>
      </c>
      <c r="B35" s="209">
        <v>0</v>
      </c>
      <c r="C35" s="208">
        <v>0</v>
      </c>
      <c r="D35" s="210">
        <v>2000</v>
      </c>
      <c r="E35" s="7" t="s">
        <v>20</v>
      </c>
    </row>
    <row r="36" spans="1:5" x14ac:dyDescent="0.25">
      <c r="A36" s="189" t="s">
        <v>402</v>
      </c>
      <c r="B36" s="209">
        <v>0</v>
      </c>
      <c r="C36" s="208">
        <v>0</v>
      </c>
      <c r="D36" s="210">
        <v>30000</v>
      </c>
      <c r="E36" s="7" t="s">
        <v>20</v>
      </c>
    </row>
    <row r="37" spans="1:5" x14ac:dyDescent="0.25">
      <c r="A37" s="189" t="s">
        <v>403</v>
      </c>
      <c r="B37" s="211">
        <v>0</v>
      </c>
      <c r="C37" s="137">
        <v>0</v>
      </c>
      <c r="D37" s="212">
        <v>36000</v>
      </c>
      <c r="E37" s="7" t="s">
        <v>20</v>
      </c>
    </row>
    <row r="38" spans="1:5" x14ac:dyDescent="0.25">
      <c r="A38" s="189" t="s">
        <v>16</v>
      </c>
      <c r="B38" s="209">
        <f>SUM(B35:B37)</f>
        <v>0</v>
      </c>
      <c r="C38" s="208">
        <f t="shared" ref="C38" si="2">SUM(C35:C37)</f>
        <v>0</v>
      </c>
      <c r="D38" s="210">
        <f>SUM(D30:D37)</f>
        <v>109500</v>
      </c>
      <c r="E38" s="7" t="s">
        <v>20</v>
      </c>
    </row>
    <row r="39" spans="1:5" x14ac:dyDescent="0.25">
      <c r="A39" s="182" t="s">
        <v>203</v>
      </c>
      <c r="B39" s="79"/>
      <c r="C39" s="70"/>
      <c r="D39" s="80"/>
      <c r="E39" s="7" t="s">
        <v>20</v>
      </c>
    </row>
    <row r="40" spans="1:5" x14ac:dyDescent="0.25">
      <c r="A40" s="189" t="s">
        <v>367</v>
      </c>
      <c r="B40" s="209">
        <v>0</v>
      </c>
      <c r="C40" s="208">
        <v>0</v>
      </c>
      <c r="D40" s="210">
        <v>-1500</v>
      </c>
      <c r="E40" s="7" t="s">
        <v>20</v>
      </c>
    </row>
    <row r="41" spans="1:5" x14ac:dyDescent="0.25">
      <c r="A41" s="189" t="s">
        <v>404</v>
      </c>
      <c r="B41" s="209">
        <v>0</v>
      </c>
      <c r="C41" s="208">
        <v>0</v>
      </c>
      <c r="D41" s="210">
        <v>-18000</v>
      </c>
      <c r="E41" s="7" t="s">
        <v>20</v>
      </c>
    </row>
    <row r="42" spans="1:5" x14ac:dyDescent="0.25">
      <c r="A42" s="189" t="s">
        <v>384</v>
      </c>
      <c r="B42" s="211">
        <v>0</v>
      </c>
      <c r="C42" s="137">
        <v>0</v>
      </c>
      <c r="D42" s="212">
        <v>-20000</v>
      </c>
      <c r="E42" s="7" t="s">
        <v>20</v>
      </c>
    </row>
    <row r="43" spans="1:5" x14ac:dyDescent="0.25">
      <c r="A43" s="189" t="s">
        <v>205</v>
      </c>
      <c r="B43" s="209">
        <f>SUM(B40:B42)</f>
        <v>0</v>
      </c>
      <c r="C43" s="208">
        <f t="shared" ref="C43:D43" si="3">SUM(C40:C42)</f>
        <v>0</v>
      </c>
      <c r="D43" s="210">
        <f t="shared" si="3"/>
        <v>-39500</v>
      </c>
      <c r="E43" s="7" t="s">
        <v>20</v>
      </c>
    </row>
    <row r="44" spans="1:5" x14ac:dyDescent="0.25">
      <c r="A44" s="72" t="s">
        <v>17</v>
      </c>
      <c r="B44" s="130">
        <f>B38+B43</f>
        <v>0</v>
      </c>
      <c r="C44" s="25">
        <f>C38+C43</f>
        <v>0</v>
      </c>
      <c r="D44" s="135">
        <f t="shared" ref="D44" si="4">D38+D43</f>
        <v>70000</v>
      </c>
      <c r="E44" s="7" t="s">
        <v>20</v>
      </c>
    </row>
    <row r="45" spans="1:5" x14ac:dyDescent="0.25">
      <c r="A45" s="85" t="s">
        <v>18</v>
      </c>
      <c r="B45" s="126">
        <f>B27+B44</f>
        <v>0</v>
      </c>
      <c r="C45" s="127">
        <f t="shared" ref="C45:D45" si="5">C27+C44</f>
        <v>0</v>
      </c>
      <c r="D45" s="128">
        <f t="shared" si="5"/>
        <v>332500</v>
      </c>
      <c r="E45" s="7" t="s">
        <v>20</v>
      </c>
    </row>
    <row r="46" spans="1:5" x14ac:dyDescent="0.25">
      <c r="A46" s="201" t="s">
        <v>143</v>
      </c>
      <c r="B46" s="130"/>
      <c r="C46" s="25"/>
      <c r="D46" s="203">
        <v>-8000</v>
      </c>
      <c r="E46" s="7" t="s">
        <v>20</v>
      </c>
    </row>
    <row r="47" spans="1:5" s="8" customFormat="1" x14ac:dyDescent="0.25">
      <c r="A47" s="111" t="s">
        <v>125</v>
      </c>
      <c r="B47" s="108">
        <f t="shared" ref="B47:C47" si="6">SUM(B45:B46)</f>
        <v>0</v>
      </c>
      <c r="C47" s="109">
        <f t="shared" si="6"/>
        <v>0</v>
      </c>
      <c r="D47" s="110">
        <f>SUM(D45:D46)</f>
        <v>324500</v>
      </c>
      <c r="E47" s="7" t="s">
        <v>20</v>
      </c>
    </row>
    <row r="48" spans="1:5" ht="14.4" thickBot="1" x14ac:dyDescent="0.3">
      <c r="A48" s="217" t="s">
        <v>19</v>
      </c>
      <c r="B48" s="218">
        <f>B45-B16</f>
        <v>0</v>
      </c>
      <c r="C48" s="219">
        <f>C45-C16</f>
        <v>0</v>
      </c>
      <c r="D48" s="220">
        <f>D45-D12</f>
        <v>70000</v>
      </c>
      <c r="E48" s="7" t="s">
        <v>20</v>
      </c>
    </row>
    <row r="49" spans="1:5" x14ac:dyDescent="0.25">
      <c r="A49" s="7"/>
      <c r="E49" s="7" t="s">
        <v>20</v>
      </c>
    </row>
    <row r="50" spans="1:5" x14ac:dyDescent="0.25">
      <c r="A50" s="715" t="s">
        <v>206</v>
      </c>
      <c r="B50" s="715"/>
      <c r="C50" s="715"/>
      <c r="D50" s="715"/>
      <c r="E50" s="7" t="s">
        <v>20</v>
      </c>
    </row>
    <row r="51" spans="1:5" x14ac:dyDescent="0.25">
      <c r="E51" s="7" t="s">
        <v>21</v>
      </c>
    </row>
  </sheetData>
  <customSheetViews>
    <customSheetView guid="{5B2D5037-506A-47D5-AF28-C337BC9133BD}" scale="90" showPageBreaks="1" printArea="1" view="pageBreakPreview" topLeftCell="B1">
      <selection activeCell="D12" sqref="D12"/>
      <pageMargins left="0.7" right="0.7" top="0.63" bottom="0.63" header="0.3" footer="0.3"/>
      <printOptions horizontalCentered="1"/>
      <pageSetup scale="69" orientation="landscape" r:id="rId1"/>
      <headerFooter>
        <oddHeader>&amp;L&amp;"Arial,Bold"&amp;12B. Summary of Requirements</oddHeader>
        <oddFooter>&amp;C&amp;"Arial,Regular"Exhibit B - Summary of Requirements&amp;R&amp;"Arial,Regular"Juvenile Justice Programs</oddFooter>
      </headerFooter>
    </customSheetView>
    <customSheetView guid="{08380F1E-0CB7-4B3B-924E-2A270EA8DD30}" scale="90" showPageBreaks="1" printArea="1" view="pageBreakPreview" topLeftCell="B1">
      <selection activeCell="D12" sqref="D12"/>
      <pageMargins left="0.7" right="0.7" top="0.63" bottom="0.63" header="0.3" footer="0.3"/>
      <printOptions horizontalCentered="1"/>
      <pageSetup scale="69" orientation="landscape" r:id="rId2"/>
      <headerFooter>
        <oddHeader>&amp;L&amp;"Arial,Bold"&amp;12B. Summary of Requirements</oddHeader>
        <oddFooter>&amp;C&amp;"Arial,Regular"Exhibit B - Summary of Requirements&amp;R&amp;"Arial,Regular"Juvenile Justice Programs</oddFooter>
      </headerFooter>
    </customSheetView>
    <customSheetView guid="{D19943A8-2C2A-430A-A724-8C7C332697C8}" scale="90" showPageBreaks="1" printArea="1" view="pageBreakPreview" topLeftCell="B1">
      <selection activeCell="D12" sqref="D12"/>
      <pageMargins left="0.7" right="0.7" top="0.63" bottom="0.63" header="0.3" footer="0.3"/>
      <printOptions horizontalCentered="1"/>
      <pageSetup scale="69" orientation="landscape" r:id="rId3"/>
      <headerFooter>
        <oddHeader>&amp;L&amp;"Arial,Bold"&amp;12B. Summary of Requirements</oddHeader>
        <oddFooter>&amp;C&amp;"Arial,Regular"Exhibit B - Summary of Requirements&amp;R&amp;"Arial,Regular"Juvenile Justice Programs</oddFooter>
      </headerFooter>
    </customSheetView>
    <customSheetView guid="{C6D68C6D-939C-4DFA-9385-A3F05DFB5EDA}" scale="90" showPageBreaks="1" printArea="1" view="pageBreakPreview" topLeftCell="B1">
      <selection activeCell="D12" sqref="D12"/>
      <pageMargins left="0.7" right="0.7" top="0.63" bottom="0.63" header="0.3" footer="0.3"/>
      <printOptions horizontalCentered="1"/>
      <pageSetup scale="69" orientation="landscape" r:id="rId4"/>
      <headerFooter>
        <oddHeader>&amp;L&amp;"Arial,Bold"&amp;12B. Summary of Requirements</oddHeader>
        <oddFooter>&amp;C&amp;"Arial,Regular"Exhibit B - Summary of Requirements&amp;R&amp;"Arial,Regular"Juvenile Justice Programs</oddFooter>
      </headerFooter>
    </customSheetView>
  </customSheetViews>
  <mergeCells count="6">
    <mergeCell ref="A50:D50"/>
    <mergeCell ref="A1:D1"/>
    <mergeCell ref="A2:D2"/>
    <mergeCell ref="A3:D3"/>
    <mergeCell ref="A4:D4"/>
    <mergeCell ref="B6:D6"/>
  </mergeCells>
  <printOptions horizontalCentered="1"/>
  <pageMargins left="0.7" right="0.7" top="0.63" bottom="0.63" header="0.3" footer="0.3"/>
  <pageSetup scale="69" orientation="landscape" r:id="rId5"/>
  <headerFooter>
    <oddHeader>&amp;L&amp;"Arial,Bold"&amp;12B. Summary of Requirements</oddHeader>
    <oddFooter>&amp;C&amp;"Arial,Regular"Exhibit B - Summary of Requirements&amp;R&amp;"Arial,Regular"Juvenile Justice Programs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view="pageBreakPreview" zoomScaleNormal="100" zoomScaleSheetLayoutView="100" workbookViewId="0">
      <pane xSplit="4" ySplit="6" topLeftCell="F22" activePane="bottomRight" state="frozen"/>
      <selection pane="topRight" activeCell="E1" sqref="E1"/>
      <selection pane="bottomLeft" activeCell="A7" sqref="A7"/>
      <selection pane="bottomRight" activeCell="B22" sqref="B22:D22"/>
    </sheetView>
  </sheetViews>
  <sheetFormatPr defaultColWidth="9.109375" defaultRowHeight="13.8" x14ac:dyDescent="0.25"/>
  <cols>
    <col min="1" max="1" width="3.6640625" style="12" customWidth="1"/>
    <col min="2" max="2" width="71.109375" style="12" customWidth="1"/>
    <col min="3" max="4" width="14.6640625" style="12" customWidth="1"/>
    <col min="5" max="6" width="8.6640625" style="12" customWidth="1"/>
    <col min="7" max="7" width="12.6640625" style="12" customWidth="1"/>
    <col min="8" max="8" width="14" style="32" bestFit="1" customWidth="1"/>
    <col min="9" max="9" width="4.5546875" style="12" customWidth="1"/>
    <col min="10" max="11" width="8.33203125" style="12" customWidth="1"/>
    <col min="12" max="12" width="12.6640625" style="12" customWidth="1"/>
    <col min="13" max="14" width="8.33203125" style="12" customWidth="1"/>
    <col min="15" max="15" width="12.6640625" style="12" customWidth="1"/>
    <col min="16" max="16384" width="9.109375" style="12"/>
  </cols>
  <sheetData>
    <row r="1" spans="1:15" ht="18" x14ac:dyDescent="0.25">
      <c r="A1" s="661" t="s">
        <v>135</v>
      </c>
      <c r="B1" s="661"/>
      <c r="C1" s="661"/>
      <c r="D1" s="661"/>
      <c r="E1" s="661"/>
      <c r="F1" s="661"/>
      <c r="G1" s="661"/>
      <c r="H1" s="28" t="s">
        <v>20</v>
      </c>
      <c r="I1" s="9"/>
      <c r="J1" s="9"/>
      <c r="K1" s="9"/>
      <c r="L1" s="9"/>
      <c r="M1" s="9"/>
      <c r="N1" s="9"/>
      <c r="O1" s="9"/>
    </row>
    <row r="2" spans="1:15" ht="15" x14ac:dyDescent="0.2">
      <c r="A2" s="637" t="s">
        <v>160</v>
      </c>
      <c r="B2" s="637"/>
      <c r="C2" s="637"/>
      <c r="D2" s="637"/>
      <c r="E2" s="637"/>
      <c r="F2" s="637"/>
      <c r="G2" s="637"/>
      <c r="H2" s="28" t="s">
        <v>20</v>
      </c>
      <c r="I2" s="10"/>
      <c r="J2" s="10"/>
      <c r="K2" s="10"/>
      <c r="L2" s="10"/>
      <c r="M2" s="10"/>
      <c r="N2" s="10"/>
      <c r="O2" s="10"/>
    </row>
    <row r="3" spans="1:15" ht="14.25" x14ac:dyDescent="0.2">
      <c r="A3" s="662" t="s">
        <v>169</v>
      </c>
      <c r="B3" s="662"/>
      <c r="C3" s="662"/>
      <c r="D3" s="662"/>
      <c r="E3" s="662"/>
      <c r="F3" s="662"/>
      <c r="G3" s="662"/>
      <c r="H3" s="28" t="s">
        <v>20</v>
      </c>
      <c r="I3" s="13"/>
      <c r="J3" s="13"/>
      <c r="K3" s="13"/>
      <c r="L3" s="13"/>
      <c r="M3" s="13"/>
      <c r="N3" s="13"/>
      <c r="O3" s="13"/>
    </row>
    <row r="4" spans="1:15" ht="14.25" x14ac:dyDescent="0.2">
      <c r="A4" s="663" t="s">
        <v>1</v>
      </c>
      <c r="B4" s="663"/>
      <c r="C4" s="663"/>
      <c r="D4" s="663"/>
      <c r="E4" s="663"/>
      <c r="F4" s="663"/>
      <c r="G4" s="663"/>
      <c r="H4" s="28" t="s">
        <v>20</v>
      </c>
      <c r="I4" s="11"/>
      <c r="J4" s="11"/>
      <c r="K4" s="11"/>
      <c r="L4" s="11"/>
      <c r="M4" s="11"/>
      <c r="N4" s="11"/>
      <c r="O4" s="11"/>
    </row>
    <row r="5" spans="1:15" ht="15" thickBot="1" x14ac:dyDescent="0.25">
      <c r="A5" s="665"/>
      <c r="B5" s="665"/>
      <c r="C5" s="665"/>
      <c r="D5" s="665"/>
      <c r="E5" s="666"/>
      <c r="F5" s="666"/>
      <c r="G5" s="666"/>
      <c r="H5" s="28" t="s">
        <v>20</v>
      </c>
      <c r="I5" s="11"/>
      <c r="J5" s="11"/>
      <c r="K5" s="11"/>
      <c r="L5" s="11"/>
      <c r="M5" s="11"/>
      <c r="N5" s="11"/>
      <c r="O5" s="11"/>
    </row>
    <row r="6" spans="1:15" s="29" customFormat="1" ht="29.25" customHeight="1" thickBot="1" x14ac:dyDescent="0.25">
      <c r="A6" s="27"/>
      <c r="B6" s="27"/>
      <c r="C6" s="27"/>
      <c r="D6" s="27"/>
      <c r="E6" s="46" t="s">
        <v>3</v>
      </c>
      <c r="F6" s="34" t="s">
        <v>127</v>
      </c>
      <c r="G6" s="33" t="s">
        <v>4</v>
      </c>
      <c r="H6" s="28" t="s">
        <v>20</v>
      </c>
    </row>
    <row r="7" spans="1:15" s="29" customFormat="1" ht="12" x14ac:dyDescent="0.2">
      <c r="A7" s="38"/>
      <c r="B7" s="664" t="s">
        <v>10</v>
      </c>
      <c r="C7" s="664"/>
      <c r="D7" s="664"/>
      <c r="E7" s="37"/>
      <c r="F7" s="37"/>
      <c r="G7" s="49"/>
      <c r="H7" s="28" t="s">
        <v>20</v>
      </c>
    </row>
    <row r="8" spans="1:15" s="29" customFormat="1" ht="11.4" x14ac:dyDescent="0.2">
      <c r="A8" s="179">
        <v>1</v>
      </c>
      <c r="B8" s="656" t="s">
        <v>439</v>
      </c>
      <c r="C8" s="657"/>
      <c r="D8" s="658"/>
      <c r="E8" s="180"/>
      <c r="F8" s="180"/>
      <c r="G8" s="181"/>
      <c r="H8" s="28" t="s">
        <v>20</v>
      </c>
    </row>
    <row r="9" spans="1:15" s="29" customFormat="1" ht="39.75" customHeight="1" x14ac:dyDescent="0.2">
      <c r="A9" s="179"/>
      <c r="B9" s="659"/>
      <c r="C9" s="659"/>
      <c r="D9" s="660"/>
      <c r="E9" s="180"/>
      <c r="F9" s="180"/>
      <c r="G9" s="181">
        <v>623</v>
      </c>
      <c r="H9" s="28" t="s">
        <v>20</v>
      </c>
    </row>
    <row r="10" spans="1:15" s="29" customFormat="1" ht="11.4" x14ac:dyDescent="0.2">
      <c r="A10" s="41">
        <v>2</v>
      </c>
      <c r="B10" s="646" t="s">
        <v>440</v>
      </c>
      <c r="C10" s="647"/>
      <c r="D10" s="648"/>
      <c r="E10" s="35"/>
      <c r="F10" s="35"/>
      <c r="G10" s="47"/>
      <c r="H10" s="28" t="s">
        <v>20</v>
      </c>
    </row>
    <row r="11" spans="1:15" s="29" customFormat="1" ht="35.25" customHeight="1" x14ac:dyDescent="0.2">
      <c r="A11" s="40"/>
      <c r="B11" s="647"/>
      <c r="C11" s="647"/>
      <c r="D11" s="648"/>
      <c r="E11" s="35">
        <v>0</v>
      </c>
      <c r="F11" s="35">
        <v>0</v>
      </c>
      <c r="G11" s="47">
        <v>84</v>
      </c>
      <c r="H11" s="28" t="s">
        <v>20</v>
      </c>
    </row>
    <row r="12" spans="1:15" s="29" customFormat="1" ht="36.75" customHeight="1" x14ac:dyDescent="0.2">
      <c r="A12" s="30">
        <v>4</v>
      </c>
      <c r="B12" s="653" t="s">
        <v>174</v>
      </c>
      <c r="C12" s="654"/>
      <c r="D12" s="655"/>
      <c r="E12" s="39"/>
      <c r="F12" s="39"/>
      <c r="G12" s="185">
        <v>-42</v>
      </c>
      <c r="H12" s="28" t="s">
        <v>20</v>
      </c>
    </row>
    <row r="13" spans="1:15" s="29" customFormat="1" ht="38.25" customHeight="1" x14ac:dyDescent="0.25">
      <c r="A13" s="30">
        <v>5</v>
      </c>
      <c r="B13" s="646" t="s">
        <v>170</v>
      </c>
      <c r="C13" s="647"/>
      <c r="D13" s="648"/>
      <c r="E13" s="39"/>
      <c r="F13" s="39"/>
      <c r="G13" s="185">
        <v>-92</v>
      </c>
      <c r="H13" s="28" t="s">
        <v>20</v>
      </c>
    </row>
    <row r="14" spans="1:15" s="29" customFormat="1" ht="63" customHeight="1" x14ac:dyDescent="0.25">
      <c r="A14" s="30">
        <v>6</v>
      </c>
      <c r="B14" s="646" t="s">
        <v>171</v>
      </c>
      <c r="C14" s="647"/>
      <c r="D14" s="648"/>
      <c r="E14" s="39" t="s">
        <v>35</v>
      </c>
      <c r="F14" s="39"/>
      <c r="G14" s="47">
        <v>72</v>
      </c>
      <c r="H14" s="28" t="s">
        <v>20</v>
      </c>
    </row>
    <row r="15" spans="1:15" s="29" customFormat="1" ht="12" x14ac:dyDescent="0.25">
      <c r="A15" s="31"/>
      <c r="B15" s="643" t="s">
        <v>36</v>
      </c>
      <c r="C15" s="643"/>
      <c r="D15" s="643"/>
      <c r="E15" s="36">
        <f>SUM(E9:E14)</f>
        <v>0</v>
      </c>
      <c r="F15" s="36">
        <f>SUM(F9:F14)</f>
        <v>0</v>
      </c>
      <c r="G15" s="48">
        <f>SUM(G9:G14)</f>
        <v>645</v>
      </c>
      <c r="H15" s="28" t="s">
        <v>20</v>
      </c>
    </row>
    <row r="16" spans="1:15" s="29" customFormat="1" ht="12" x14ac:dyDescent="0.25">
      <c r="A16" s="43"/>
      <c r="B16" s="644" t="s">
        <v>11</v>
      </c>
      <c r="C16" s="644"/>
      <c r="D16" s="645"/>
      <c r="E16" s="42"/>
      <c r="F16" s="42"/>
      <c r="G16" s="50"/>
      <c r="H16" s="28" t="s">
        <v>20</v>
      </c>
    </row>
    <row r="17" spans="1:8" s="29" customFormat="1" ht="76.5" customHeight="1" x14ac:dyDescent="0.25">
      <c r="A17" s="30">
        <v>1</v>
      </c>
      <c r="B17" s="646" t="s">
        <v>173</v>
      </c>
      <c r="C17" s="647"/>
      <c r="D17" s="648"/>
      <c r="E17" s="39"/>
      <c r="F17" s="39"/>
      <c r="G17" s="47">
        <v>996</v>
      </c>
      <c r="H17" s="28" t="s">
        <v>20</v>
      </c>
    </row>
    <row r="18" spans="1:8" s="29" customFormat="1" ht="39" customHeight="1" x14ac:dyDescent="0.25">
      <c r="A18" s="30">
        <v>2</v>
      </c>
      <c r="B18" s="646" t="s">
        <v>172</v>
      </c>
      <c r="C18" s="647"/>
      <c r="D18" s="648"/>
      <c r="E18" s="39"/>
      <c r="F18" s="39"/>
      <c r="G18" s="185">
        <v>-35</v>
      </c>
      <c r="H18" s="28" t="s">
        <v>20</v>
      </c>
    </row>
    <row r="19" spans="1:8" s="29" customFormat="1" ht="12" x14ac:dyDescent="0.25">
      <c r="A19" s="31"/>
      <c r="B19" s="643" t="s">
        <v>37</v>
      </c>
      <c r="C19" s="643"/>
      <c r="D19" s="643"/>
      <c r="E19" s="36">
        <f>SUM(E17:E18)</f>
        <v>0</v>
      </c>
      <c r="F19" s="36">
        <f>SUM(F17:F18)</f>
        <v>0</v>
      </c>
      <c r="G19" s="48">
        <f>SUM(G17:G18)</f>
        <v>961</v>
      </c>
      <c r="H19" s="28" t="s">
        <v>20</v>
      </c>
    </row>
    <row r="20" spans="1:8" s="29" customFormat="1" ht="12" x14ac:dyDescent="0.25">
      <c r="A20" s="30"/>
      <c r="B20" s="651" t="s">
        <v>12</v>
      </c>
      <c r="C20" s="651"/>
      <c r="D20" s="652"/>
      <c r="E20" s="39"/>
      <c r="F20" s="39"/>
      <c r="G20" s="47">
        <v>0</v>
      </c>
      <c r="H20" s="28" t="s">
        <v>20</v>
      </c>
    </row>
    <row r="21" spans="1:8" s="29" customFormat="1" ht="75.75" customHeight="1" x14ac:dyDescent="0.25">
      <c r="A21" s="30">
        <v>1</v>
      </c>
      <c r="B21" s="646" t="s">
        <v>175</v>
      </c>
      <c r="C21" s="647"/>
      <c r="D21" s="648"/>
      <c r="E21" s="39"/>
      <c r="F21" s="39"/>
      <c r="G21" s="47">
        <v>2</v>
      </c>
      <c r="H21" s="28" t="s">
        <v>20</v>
      </c>
    </row>
    <row r="22" spans="1:8" s="29" customFormat="1" ht="75.75" customHeight="1" x14ac:dyDescent="0.25">
      <c r="A22" s="30">
        <v>2</v>
      </c>
      <c r="B22" s="646" t="s">
        <v>485</v>
      </c>
      <c r="C22" s="647"/>
      <c r="D22" s="648"/>
      <c r="E22" s="456"/>
      <c r="F22" s="456"/>
      <c r="G22" s="457">
        <v>-1071</v>
      </c>
      <c r="H22" s="28"/>
    </row>
    <row r="23" spans="1:8" s="29" customFormat="1" ht="12" x14ac:dyDescent="0.25">
      <c r="A23" s="31"/>
      <c r="B23" s="643" t="s">
        <v>38</v>
      </c>
      <c r="C23" s="643"/>
      <c r="D23" s="643"/>
      <c r="E23" s="36">
        <f>SUM(E20:E21)</f>
        <v>0</v>
      </c>
      <c r="F23" s="36">
        <f>SUM(F20:F21)</f>
        <v>0</v>
      </c>
      <c r="G23" s="460">
        <f>SUM(G20:G22)</f>
        <v>-1069</v>
      </c>
      <c r="H23" s="28" t="s">
        <v>20</v>
      </c>
    </row>
    <row r="24" spans="1:8" ht="14.4" thickBot="1" x14ac:dyDescent="0.3">
      <c r="A24" s="44"/>
      <c r="B24" s="649" t="s">
        <v>136</v>
      </c>
      <c r="C24" s="649"/>
      <c r="D24" s="650"/>
      <c r="E24" s="45">
        <f>E23+E19+E15</f>
        <v>0</v>
      </c>
      <c r="F24" s="45">
        <f>+F23+F19+F15</f>
        <v>0</v>
      </c>
      <c r="G24" s="51">
        <f>+G23+G19+G15</f>
        <v>537</v>
      </c>
      <c r="H24" s="28" t="s">
        <v>20</v>
      </c>
    </row>
    <row r="25" spans="1:8" ht="13.95" x14ac:dyDescent="0.25">
      <c r="H25" s="28" t="s">
        <v>20</v>
      </c>
    </row>
    <row r="26" spans="1:8" ht="13.95" x14ac:dyDescent="0.25">
      <c r="H26" s="28" t="s">
        <v>21</v>
      </c>
    </row>
  </sheetData>
  <customSheetViews>
    <customSheetView guid="{5B2D5037-506A-47D5-AF28-C337BC9133BD}" showPageBreaks="1" printArea="1" view="pageBreakPreview">
      <pane xSplit="4" ySplit="6" topLeftCell="F22" activePane="bottomRight" state="frozen"/>
      <selection pane="bottomRight" activeCell="B22" sqref="B22:D22"/>
      <pageMargins left="0.7" right="0.7" top="0.65" bottom="0.46" header="0.3" footer="0.21"/>
      <printOptions horizontalCentered="1"/>
      <pageSetup scale="72" fitToHeight="0" orientation="landscape" r:id="rId1"/>
      <headerFooter>
        <oddHeader>&amp;L&amp;"Arial,Bold"&amp;12E. Justification for Technical and Base Adjustments</oddHeader>
        <oddFooter>&amp;C&amp;"Arial,Regular"Exhibit E - Justification for Technical and Base Adjustments&amp;RSalaries and Expenses/Management and Administration</oddFooter>
      </headerFooter>
    </customSheetView>
    <customSheetView guid="{08380F1E-0CB7-4B3B-924E-2A270EA8DD30}" showPageBreaks="1" printArea="1" view="pageBreakPreview">
      <pane xSplit="4" ySplit="6" topLeftCell="E14" activePane="bottomRight" state="frozen"/>
      <selection pane="bottomRight" activeCell="G23" sqref="G23"/>
      <pageMargins left="0.7" right="0.7" top="0.65" bottom="0.46" header="0.3" footer="0.21"/>
      <printOptions horizontalCentered="1"/>
      <pageSetup scale="72" fitToHeight="0" orientation="landscape" r:id="rId2"/>
      <headerFooter>
        <oddHeader>&amp;L&amp;"Arial,Bold"&amp;12E. Justification for Technical and Base Adjustments</oddHeader>
        <oddFooter>&amp;C&amp;"Arial,Regular"Exhibit E - Justification for Technical and Base Adjustments&amp;RSalaries and Expenses/Management and Administration</oddFooter>
      </headerFooter>
    </customSheetView>
    <customSheetView guid="{D19943A8-2C2A-430A-A724-8C7C332697C8}" showPageBreaks="1" printArea="1" view="pageBreakPreview">
      <pane xSplit="4" ySplit="6" topLeftCell="E14" activePane="bottomRight" state="frozen"/>
      <selection pane="bottomRight" activeCell="G23" sqref="G23"/>
      <pageMargins left="0.7" right="0.7" top="0.65" bottom="0.46" header="0.3" footer="0.21"/>
      <printOptions horizontalCentered="1"/>
      <pageSetup scale="72" fitToHeight="0" orientation="landscape" r:id="rId3"/>
      <headerFooter>
        <oddHeader>&amp;L&amp;"Arial,Bold"&amp;12E. Justification for Technical and Base Adjustments</oddHeader>
        <oddFooter>&amp;C&amp;"Arial,Regular"Exhibit E - Justification for Technical and Base Adjustments&amp;RSalaries and Expenses/Management and Administration</oddFooter>
      </headerFooter>
    </customSheetView>
    <customSheetView guid="{C6D68C6D-939C-4DFA-9385-A3F05DFB5EDA}" showPageBreaks="1" printArea="1" view="pageBreakPreview">
      <pane xSplit="4" ySplit="6" topLeftCell="E14" activePane="bottomRight" state="frozen"/>
      <selection pane="bottomRight" activeCell="G23" sqref="G23"/>
      <pageMargins left="0.7" right="0.7" top="0.65" bottom="0.46" header="0.3" footer="0.21"/>
      <printOptions horizontalCentered="1"/>
      <pageSetup scale="72" fitToHeight="0" orientation="landscape" r:id="rId4"/>
      <headerFooter>
        <oddHeader>&amp;L&amp;"Arial,Bold"&amp;12E. Justification for Technical and Base Adjustments</oddHeader>
        <oddFooter>&amp;C&amp;"Arial,Regular"Exhibit E - Justification for Technical and Base Adjustments&amp;RSalaries and Expenses/Management and Administration</oddFooter>
      </headerFooter>
    </customSheetView>
  </customSheetViews>
  <mergeCells count="21">
    <mergeCell ref="A1:G1"/>
    <mergeCell ref="A2:G2"/>
    <mergeCell ref="A3:G3"/>
    <mergeCell ref="A4:G4"/>
    <mergeCell ref="B7:D7"/>
    <mergeCell ref="A5:G5"/>
    <mergeCell ref="B10:D11"/>
    <mergeCell ref="B12:D12"/>
    <mergeCell ref="B13:D13"/>
    <mergeCell ref="B8:D9"/>
    <mergeCell ref="B14:D14"/>
    <mergeCell ref="B15:D15"/>
    <mergeCell ref="B16:D16"/>
    <mergeCell ref="B17:D17"/>
    <mergeCell ref="B18:D18"/>
    <mergeCell ref="B24:D24"/>
    <mergeCell ref="B23:D23"/>
    <mergeCell ref="B19:D19"/>
    <mergeCell ref="B20:D20"/>
    <mergeCell ref="B21:D21"/>
    <mergeCell ref="B22:D22"/>
  </mergeCells>
  <printOptions horizontalCentered="1"/>
  <pageMargins left="0.7" right="0.7" top="0.65" bottom="0.46" header="0.3" footer="0.21"/>
  <pageSetup scale="72" fitToHeight="0" orientation="landscape" r:id="rId5"/>
  <headerFooter>
    <oddHeader>&amp;L&amp;"Arial,Bold"&amp;12E. Justification for Technical and Base Adjustments</oddHeader>
    <oddFooter>&amp;C&amp;"Arial,Regular"Exhibit E - Justification for Technical and Base Adjustments&amp;RSalaries and Expenses/Management and Administration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view="pageBreakPreview" zoomScale="80" zoomScaleNormal="100" zoomScaleSheetLayoutView="80" workbookViewId="0">
      <selection activeCell="J68" sqref="J68"/>
    </sheetView>
  </sheetViews>
  <sheetFormatPr defaultColWidth="9.109375" defaultRowHeight="13.8" x14ac:dyDescent="0.25"/>
  <cols>
    <col min="1" max="1" width="47.8867187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0</v>
      </c>
      <c r="B1" s="633"/>
      <c r="C1" s="633"/>
      <c r="D1" s="633"/>
      <c r="E1" s="633"/>
      <c r="F1" s="633"/>
      <c r="G1" s="633"/>
      <c r="H1" s="633"/>
      <c r="I1" s="633"/>
      <c r="J1" s="633"/>
      <c r="K1" s="633"/>
      <c r="L1" s="633"/>
      <c r="M1" s="633"/>
      <c r="N1" s="53" t="s">
        <v>20</v>
      </c>
      <c r="O1" s="9"/>
      <c r="P1" s="9"/>
      <c r="Q1" s="9"/>
      <c r="R1" s="9"/>
      <c r="S1" s="9"/>
      <c r="T1" s="9"/>
      <c r="U1" s="9"/>
    </row>
    <row r="2" spans="1:21" ht="15" x14ac:dyDescent="0.2">
      <c r="A2" s="634" t="str">
        <f>'[2]B. Summ of Req. - JJ'!A2:D2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'[2]B. Summ of Req. - JJ'!A3:D3</f>
        <v>Juvenile Justice Programs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ht="45.75" customHeight="1" x14ac:dyDescent="0.25">
      <c r="A7" s="638" t="s">
        <v>134</v>
      </c>
      <c r="B7" s="641" t="s">
        <v>126</v>
      </c>
      <c r="C7" s="641"/>
      <c r="D7" s="641"/>
      <c r="E7" s="641" t="s">
        <v>207</v>
      </c>
      <c r="F7" s="641"/>
      <c r="G7" s="641"/>
      <c r="H7" s="641" t="s">
        <v>155</v>
      </c>
      <c r="I7" s="641"/>
      <c r="J7" s="641"/>
      <c r="K7" s="641" t="s">
        <v>13</v>
      </c>
      <c r="L7" s="641"/>
      <c r="M7" s="642"/>
      <c r="N7" s="53" t="s">
        <v>20</v>
      </c>
    </row>
    <row r="8" spans="1:21" ht="27.6" x14ac:dyDescent="0.25">
      <c r="A8" s="639"/>
      <c r="B8" s="222" t="s">
        <v>3</v>
      </c>
      <c r="C8" s="222" t="s">
        <v>128</v>
      </c>
      <c r="D8" s="222" t="s">
        <v>4</v>
      </c>
      <c r="E8" s="222" t="s">
        <v>3</v>
      </c>
      <c r="F8" s="222" t="s">
        <v>149</v>
      </c>
      <c r="G8" s="222" t="s">
        <v>4</v>
      </c>
      <c r="H8" s="222" t="s">
        <v>3</v>
      </c>
      <c r="I8" s="222" t="s">
        <v>149</v>
      </c>
      <c r="J8" s="222" t="s">
        <v>4</v>
      </c>
      <c r="K8" s="222" t="s">
        <v>3</v>
      </c>
      <c r="L8" s="222" t="s">
        <v>149</v>
      </c>
      <c r="M8" s="223" t="s">
        <v>4</v>
      </c>
      <c r="N8" s="53" t="s">
        <v>20</v>
      </c>
    </row>
    <row r="9" spans="1:21" ht="27.6" x14ac:dyDescent="0.25">
      <c r="A9" s="224" t="s">
        <v>367</v>
      </c>
      <c r="B9" s="225">
        <v>0</v>
      </c>
      <c r="C9" s="225">
        <v>0</v>
      </c>
      <c r="D9" s="225">
        <v>1500</v>
      </c>
      <c r="E9" s="225">
        <v>0</v>
      </c>
      <c r="F9" s="225">
        <v>0</v>
      </c>
      <c r="G9" s="225">
        <v>1509.18</v>
      </c>
      <c r="H9" s="225">
        <v>0</v>
      </c>
      <c r="I9" s="225">
        <v>0</v>
      </c>
      <c r="J9" s="225">
        <v>-9.18</v>
      </c>
      <c r="K9" s="225">
        <f>E9+H9</f>
        <v>0</v>
      </c>
      <c r="L9" s="225">
        <f t="shared" ref="L9:M26" si="0">F9+I9</f>
        <v>0</v>
      </c>
      <c r="M9" s="226">
        <f t="shared" si="0"/>
        <v>1500</v>
      </c>
      <c r="N9" s="53" t="s">
        <v>20</v>
      </c>
    </row>
    <row r="10" spans="1:21" x14ac:dyDescent="0.25">
      <c r="A10" s="228" t="s">
        <v>398</v>
      </c>
      <c r="B10" s="208">
        <v>0</v>
      </c>
      <c r="C10" s="208">
        <v>0</v>
      </c>
      <c r="D10" s="208">
        <v>0</v>
      </c>
      <c r="E10" s="208">
        <v>0</v>
      </c>
      <c r="F10" s="208">
        <v>0</v>
      </c>
      <c r="G10" s="208">
        <v>0</v>
      </c>
      <c r="H10" s="208">
        <v>0</v>
      </c>
      <c r="I10" s="208">
        <v>0</v>
      </c>
      <c r="J10" s="208">
        <v>0</v>
      </c>
      <c r="K10" s="208">
        <f t="shared" ref="K10:K23" si="1">E10+H10</f>
        <v>0</v>
      </c>
      <c r="L10" s="208">
        <f t="shared" si="0"/>
        <v>0</v>
      </c>
      <c r="M10" s="205">
        <f t="shared" si="0"/>
        <v>0</v>
      </c>
      <c r="N10" s="53" t="s">
        <v>20</v>
      </c>
    </row>
    <row r="11" spans="1:21" ht="27.6" x14ac:dyDescent="0.25">
      <c r="A11" s="228" t="s">
        <v>399</v>
      </c>
      <c r="B11" s="208">
        <v>0</v>
      </c>
      <c r="C11" s="208">
        <v>0</v>
      </c>
      <c r="D11" s="208">
        <v>8000</v>
      </c>
      <c r="E11" s="208">
        <v>0</v>
      </c>
      <c r="F11" s="208">
        <v>0</v>
      </c>
      <c r="G11" s="208">
        <v>8048.96</v>
      </c>
      <c r="H11" s="208">
        <v>0</v>
      </c>
      <c r="I11" s="208">
        <v>0</v>
      </c>
      <c r="J11" s="208">
        <v>-48.96</v>
      </c>
      <c r="K11" s="208">
        <f t="shared" si="1"/>
        <v>0</v>
      </c>
      <c r="L11" s="208">
        <f t="shared" si="0"/>
        <v>0</v>
      </c>
      <c r="M11" s="205">
        <f t="shared" si="0"/>
        <v>8000</v>
      </c>
      <c r="N11" s="53" t="s">
        <v>20</v>
      </c>
    </row>
    <row r="12" spans="1:21" ht="27.6" x14ac:dyDescent="0.25">
      <c r="A12" s="228" t="s">
        <v>405</v>
      </c>
      <c r="B12" s="208">
        <v>0</v>
      </c>
      <c r="C12" s="208">
        <v>0</v>
      </c>
      <c r="D12" s="208">
        <v>0</v>
      </c>
      <c r="E12" s="208">
        <v>0</v>
      </c>
      <c r="F12" s="208">
        <v>0</v>
      </c>
      <c r="G12" s="208">
        <v>0</v>
      </c>
      <c r="H12" s="208">
        <v>0</v>
      </c>
      <c r="I12" s="208">
        <v>0</v>
      </c>
      <c r="J12" s="208">
        <v>0</v>
      </c>
      <c r="K12" s="208">
        <f t="shared" si="1"/>
        <v>0</v>
      </c>
      <c r="L12" s="208">
        <f t="shared" si="0"/>
        <v>0</v>
      </c>
      <c r="M12" s="205">
        <f t="shared" si="0"/>
        <v>0</v>
      </c>
      <c r="N12" s="53" t="s">
        <v>20</v>
      </c>
    </row>
    <row r="13" spans="1:21" ht="27.6" x14ac:dyDescent="0.25">
      <c r="A13" s="228" t="s">
        <v>406</v>
      </c>
      <c r="B13" s="208">
        <v>0</v>
      </c>
      <c r="C13" s="208">
        <v>0</v>
      </c>
      <c r="D13" s="208">
        <v>30000</v>
      </c>
      <c r="E13" s="208">
        <v>0</v>
      </c>
      <c r="F13" s="208">
        <v>0</v>
      </c>
      <c r="G13" s="208">
        <v>30183.599999999999</v>
      </c>
      <c r="H13" s="208">
        <v>0</v>
      </c>
      <c r="I13" s="208">
        <v>0</v>
      </c>
      <c r="J13" s="208">
        <v>-183.6</v>
      </c>
      <c r="K13" s="208">
        <f t="shared" si="1"/>
        <v>0</v>
      </c>
      <c r="L13" s="208">
        <f t="shared" si="0"/>
        <v>0</v>
      </c>
      <c r="M13" s="205">
        <f t="shared" si="0"/>
        <v>30000</v>
      </c>
      <c r="N13" s="53" t="s">
        <v>20</v>
      </c>
    </row>
    <row r="14" spans="1:21" x14ac:dyDescent="0.25">
      <c r="A14" s="228" t="s">
        <v>400</v>
      </c>
      <c r="B14" s="208">
        <v>0</v>
      </c>
      <c r="C14" s="208">
        <v>0</v>
      </c>
      <c r="D14" s="208">
        <v>0</v>
      </c>
      <c r="E14" s="208">
        <v>0</v>
      </c>
      <c r="F14" s="208">
        <v>0</v>
      </c>
      <c r="G14" s="208">
        <v>0</v>
      </c>
      <c r="H14" s="208">
        <v>0</v>
      </c>
      <c r="I14" s="208">
        <v>0</v>
      </c>
      <c r="J14" s="208">
        <v>0</v>
      </c>
      <c r="K14" s="208">
        <f t="shared" si="1"/>
        <v>0</v>
      </c>
      <c r="L14" s="208">
        <f t="shared" si="0"/>
        <v>0</v>
      </c>
      <c r="M14" s="205">
        <f t="shared" si="0"/>
        <v>0</v>
      </c>
      <c r="N14" s="53" t="s">
        <v>20</v>
      </c>
    </row>
    <row r="15" spans="1:21" x14ac:dyDescent="0.25">
      <c r="A15" s="228" t="s">
        <v>260</v>
      </c>
      <c r="B15" s="208">
        <v>0</v>
      </c>
      <c r="C15" s="208">
        <v>0</v>
      </c>
      <c r="D15" s="208">
        <v>65000</v>
      </c>
      <c r="E15" s="208">
        <v>0</v>
      </c>
      <c r="F15" s="208">
        <v>0</v>
      </c>
      <c r="G15" s="208">
        <v>65397.8</v>
      </c>
      <c r="H15" s="208">
        <v>0</v>
      </c>
      <c r="I15" s="208">
        <v>0</v>
      </c>
      <c r="J15" s="208">
        <v>-397.8</v>
      </c>
      <c r="K15" s="208">
        <f t="shared" si="1"/>
        <v>0</v>
      </c>
      <c r="L15" s="208">
        <f t="shared" si="0"/>
        <v>0</v>
      </c>
      <c r="M15" s="205">
        <f t="shared" si="0"/>
        <v>65000</v>
      </c>
      <c r="N15" s="53" t="s">
        <v>20</v>
      </c>
    </row>
    <row r="16" spans="1:21" x14ac:dyDescent="0.25">
      <c r="A16" s="228" t="s">
        <v>401</v>
      </c>
      <c r="B16" s="208">
        <v>0</v>
      </c>
      <c r="C16" s="208">
        <v>0</v>
      </c>
      <c r="D16" s="208">
        <v>2000</v>
      </c>
      <c r="E16" s="208">
        <v>0</v>
      </c>
      <c r="F16" s="208">
        <v>0</v>
      </c>
      <c r="G16" s="208">
        <v>2012.24</v>
      </c>
      <c r="H16" s="208">
        <v>0</v>
      </c>
      <c r="I16" s="208">
        <v>0</v>
      </c>
      <c r="J16" s="208">
        <v>-12.24</v>
      </c>
      <c r="K16" s="208">
        <f t="shared" si="1"/>
        <v>0</v>
      </c>
      <c r="L16" s="208">
        <f t="shared" si="0"/>
        <v>0</v>
      </c>
      <c r="M16" s="205">
        <f t="shared" si="0"/>
        <v>2000</v>
      </c>
      <c r="N16" s="53" t="s">
        <v>20</v>
      </c>
    </row>
    <row r="17" spans="1:14" x14ac:dyDescent="0.25">
      <c r="A17" s="228" t="s">
        <v>402</v>
      </c>
      <c r="B17" s="208">
        <v>0</v>
      </c>
      <c r="C17" s="208">
        <v>0</v>
      </c>
      <c r="D17" s="208">
        <v>40000</v>
      </c>
      <c r="E17" s="208">
        <v>0</v>
      </c>
      <c r="F17" s="208">
        <v>0</v>
      </c>
      <c r="G17" s="208">
        <v>40244.800000000003</v>
      </c>
      <c r="H17" s="208">
        <v>0</v>
      </c>
      <c r="I17" s="208">
        <v>0</v>
      </c>
      <c r="J17" s="208">
        <v>-244.8</v>
      </c>
      <c r="K17" s="208">
        <f t="shared" si="1"/>
        <v>0</v>
      </c>
      <c r="L17" s="208">
        <f t="shared" si="0"/>
        <v>0</v>
      </c>
      <c r="M17" s="205">
        <f t="shared" si="0"/>
        <v>40000</v>
      </c>
      <c r="N17" s="53" t="s">
        <v>20</v>
      </c>
    </row>
    <row r="18" spans="1:14" ht="27.6" x14ac:dyDescent="0.25">
      <c r="A18" s="228" t="s">
        <v>403</v>
      </c>
      <c r="B18" s="208">
        <v>0</v>
      </c>
      <c r="C18" s="208">
        <v>0</v>
      </c>
      <c r="D18" s="208">
        <v>20000</v>
      </c>
      <c r="E18" s="208">
        <v>0</v>
      </c>
      <c r="F18" s="208">
        <v>0</v>
      </c>
      <c r="G18" s="208">
        <v>20122.400000000001</v>
      </c>
      <c r="H18" s="208">
        <v>0</v>
      </c>
      <c r="I18" s="208">
        <v>0</v>
      </c>
      <c r="J18" s="208">
        <v>-122.4</v>
      </c>
      <c r="K18" s="208">
        <f t="shared" si="1"/>
        <v>0</v>
      </c>
      <c r="L18" s="208">
        <f t="shared" si="0"/>
        <v>0</v>
      </c>
      <c r="M18" s="205">
        <f t="shared" si="0"/>
        <v>20000</v>
      </c>
      <c r="N18" s="53" t="s">
        <v>20</v>
      </c>
    </row>
    <row r="19" spans="1:14" ht="14.4" x14ac:dyDescent="0.3">
      <c r="A19" s="227" t="s">
        <v>407</v>
      </c>
      <c r="B19" s="169">
        <v>0</v>
      </c>
      <c r="C19" s="169">
        <v>0</v>
      </c>
      <c r="D19" s="169">
        <v>5000</v>
      </c>
      <c r="E19" s="169">
        <v>0</v>
      </c>
      <c r="F19" s="169">
        <v>0</v>
      </c>
      <c r="G19" s="169">
        <v>0</v>
      </c>
      <c r="H19" s="169">
        <v>0</v>
      </c>
      <c r="I19" s="169">
        <v>0</v>
      </c>
      <c r="J19" s="169">
        <v>0</v>
      </c>
      <c r="K19" s="169">
        <f t="shared" si="1"/>
        <v>0</v>
      </c>
      <c r="L19" s="169">
        <f t="shared" si="0"/>
        <v>0</v>
      </c>
      <c r="M19" s="170">
        <f t="shared" si="0"/>
        <v>0</v>
      </c>
      <c r="N19" s="53" t="s">
        <v>20</v>
      </c>
    </row>
    <row r="20" spans="1:14" ht="14.4" x14ac:dyDescent="0.3">
      <c r="A20" s="227" t="s">
        <v>408</v>
      </c>
      <c r="B20" s="169">
        <v>0</v>
      </c>
      <c r="C20" s="169">
        <v>0</v>
      </c>
      <c r="D20" s="169">
        <v>5000</v>
      </c>
      <c r="E20" s="169">
        <v>0</v>
      </c>
      <c r="F20" s="169">
        <v>0</v>
      </c>
      <c r="G20" s="169">
        <v>0</v>
      </c>
      <c r="H20" s="169">
        <v>0</v>
      </c>
      <c r="I20" s="169">
        <v>0</v>
      </c>
      <c r="J20" s="169">
        <v>0</v>
      </c>
      <c r="K20" s="169">
        <f t="shared" si="1"/>
        <v>0</v>
      </c>
      <c r="L20" s="169">
        <f t="shared" si="0"/>
        <v>0</v>
      </c>
      <c r="M20" s="170">
        <f t="shared" si="0"/>
        <v>0</v>
      </c>
      <c r="N20" s="53" t="s">
        <v>20</v>
      </c>
    </row>
    <row r="21" spans="1:14" ht="14.4" x14ac:dyDescent="0.3">
      <c r="A21" s="227" t="s">
        <v>409</v>
      </c>
      <c r="B21" s="169">
        <v>0</v>
      </c>
      <c r="C21" s="169">
        <v>0</v>
      </c>
      <c r="D21" s="169">
        <v>10000</v>
      </c>
      <c r="E21" s="169">
        <v>0</v>
      </c>
      <c r="F21" s="169">
        <v>0</v>
      </c>
      <c r="G21" s="169">
        <v>0</v>
      </c>
      <c r="H21" s="169">
        <v>0</v>
      </c>
      <c r="I21" s="169">
        <v>0</v>
      </c>
      <c r="J21" s="169">
        <v>0</v>
      </c>
      <c r="K21" s="169">
        <f t="shared" si="1"/>
        <v>0</v>
      </c>
      <c r="L21" s="169">
        <f t="shared" si="0"/>
        <v>0</v>
      </c>
      <c r="M21" s="170">
        <f t="shared" si="0"/>
        <v>0</v>
      </c>
      <c r="N21" s="53" t="s">
        <v>20</v>
      </c>
    </row>
    <row r="22" spans="1:14" ht="27.6" x14ac:dyDescent="0.25">
      <c r="A22" s="228" t="s">
        <v>410</v>
      </c>
      <c r="B22" s="208">
        <v>0</v>
      </c>
      <c r="C22" s="208">
        <v>0</v>
      </c>
      <c r="D22" s="208">
        <v>18000</v>
      </c>
      <c r="E22" s="208">
        <v>0</v>
      </c>
      <c r="F22" s="208">
        <v>0</v>
      </c>
      <c r="G22" s="208">
        <v>18110.16</v>
      </c>
      <c r="H22" s="208">
        <v>0</v>
      </c>
      <c r="I22" s="208">
        <v>0</v>
      </c>
      <c r="J22" s="208">
        <v>-110.16</v>
      </c>
      <c r="K22" s="208">
        <f t="shared" si="1"/>
        <v>0</v>
      </c>
      <c r="L22" s="208">
        <f t="shared" si="0"/>
        <v>0</v>
      </c>
      <c r="M22" s="205">
        <f t="shared" si="0"/>
        <v>18000</v>
      </c>
      <c r="N22" s="53" t="s">
        <v>20</v>
      </c>
    </row>
    <row r="23" spans="1:14" x14ac:dyDescent="0.25">
      <c r="A23" s="229" t="s">
        <v>384</v>
      </c>
      <c r="B23" s="230">
        <v>0</v>
      </c>
      <c r="C23" s="230">
        <v>0</v>
      </c>
      <c r="D23" s="230">
        <v>78000</v>
      </c>
      <c r="E23" s="230">
        <v>0</v>
      </c>
      <c r="F23" s="230">
        <v>0</v>
      </c>
      <c r="G23" s="230">
        <v>78477.36</v>
      </c>
      <c r="H23" s="230">
        <v>0</v>
      </c>
      <c r="I23" s="230">
        <v>0</v>
      </c>
      <c r="J23" s="230">
        <v>-477.36</v>
      </c>
      <c r="K23" s="230">
        <f t="shared" si="1"/>
        <v>0</v>
      </c>
      <c r="L23" s="230">
        <f t="shared" si="0"/>
        <v>0</v>
      </c>
      <c r="M23" s="231">
        <f t="shared" si="0"/>
        <v>78000</v>
      </c>
      <c r="N23" s="53" t="s">
        <v>20</v>
      </c>
    </row>
    <row r="24" spans="1:14" x14ac:dyDescent="0.25">
      <c r="A24" s="16" t="s">
        <v>131</v>
      </c>
      <c r="B24" s="143">
        <f>SUM(B9:B23)</f>
        <v>0</v>
      </c>
      <c r="C24" s="143">
        <f>SUM(C9:C23)</f>
        <v>0</v>
      </c>
      <c r="D24" s="143">
        <f>D9+D11+D13+D15+D16+D17+D18+D22+D23</f>
        <v>262500</v>
      </c>
      <c r="E24" s="143">
        <f t="shared" ref="E24:M24" si="2">SUM(E9:E23)</f>
        <v>0</v>
      </c>
      <c r="F24" s="143">
        <f t="shared" si="2"/>
        <v>0</v>
      </c>
      <c r="G24" s="143">
        <f t="shared" si="2"/>
        <v>264106.5</v>
      </c>
      <c r="H24" s="143">
        <f t="shared" si="2"/>
        <v>0</v>
      </c>
      <c r="I24" s="143">
        <f t="shared" si="2"/>
        <v>0</v>
      </c>
      <c r="J24" s="143">
        <f t="shared" si="2"/>
        <v>-1606.5</v>
      </c>
      <c r="K24" s="143">
        <f t="shared" si="2"/>
        <v>0</v>
      </c>
      <c r="L24" s="143">
        <f t="shared" si="2"/>
        <v>0</v>
      </c>
      <c r="M24" s="144">
        <f t="shared" si="2"/>
        <v>262500</v>
      </c>
      <c r="N24" s="53" t="s">
        <v>20</v>
      </c>
    </row>
    <row r="25" spans="1:14" x14ac:dyDescent="0.25">
      <c r="A25" s="232" t="s">
        <v>130</v>
      </c>
      <c r="B25" s="145"/>
      <c r="C25" s="145"/>
      <c r="D25" s="225">
        <v>-9717.41374</v>
      </c>
      <c r="E25" s="145"/>
      <c r="F25" s="145"/>
      <c r="G25" s="225">
        <v>-9000</v>
      </c>
      <c r="H25" s="145"/>
      <c r="I25" s="145"/>
      <c r="J25" s="225">
        <v>9000</v>
      </c>
      <c r="K25" s="145"/>
      <c r="L25" s="145"/>
      <c r="M25" s="226">
        <f t="shared" si="0"/>
        <v>0</v>
      </c>
      <c r="N25" s="53" t="s">
        <v>20</v>
      </c>
    </row>
    <row r="26" spans="1:14" x14ac:dyDescent="0.25">
      <c r="A26" s="233" t="s">
        <v>150</v>
      </c>
      <c r="B26" s="25"/>
      <c r="C26" s="25"/>
      <c r="D26" s="230">
        <f>SUM(D24:D25)</f>
        <v>252782.58626000001</v>
      </c>
      <c r="E26" s="25"/>
      <c r="F26" s="25"/>
      <c r="G26" s="230">
        <f>SUM(G24:G25)</f>
        <v>255106.5</v>
      </c>
      <c r="H26" s="25"/>
      <c r="I26" s="25"/>
      <c r="J26" s="230">
        <f>SUM(J24:J25)</f>
        <v>7393.5</v>
      </c>
      <c r="K26" s="25"/>
      <c r="L26" s="25"/>
      <c r="M26" s="231">
        <f t="shared" si="0"/>
        <v>262500</v>
      </c>
      <c r="N26" s="53" t="s">
        <v>20</v>
      </c>
    </row>
    <row r="27" spans="1:14" x14ac:dyDescent="0.25">
      <c r="A27" s="198" t="s">
        <v>26</v>
      </c>
      <c r="B27" s="234"/>
      <c r="C27" s="234">
        <v>0</v>
      </c>
      <c r="D27" s="234"/>
      <c r="E27" s="234"/>
      <c r="F27" s="234">
        <v>0</v>
      </c>
      <c r="G27" s="234"/>
      <c r="H27" s="234"/>
      <c r="I27" s="234">
        <v>0</v>
      </c>
      <c r="J27" s="234"/>
      <c r="K27" s="234"/>
      <c r="L27" s="234">
        <f t="shared" ref="L27:L28" si="3">F27+I27</f>
        <v>0</v>
      </c>
      <c r="M27" s="235"/>
      <c r="N27" s="53" t="s">
        <v>20</v>
      </c>
    </row>
    <row r="28" spans="1:14" x14ac:dyDescent="0.25">
      <c r="A28" s="195" t="s">
        <v>132</v>
      </c>
      <c r="B28" s="208"/>
      <c r="C28" s="208">
        <f>C24+C27</f>
        <v>0</v>
      </c>
      <c r="D28" s="208"/>
      <c r="E28" s="208"/>
      <c r="F28" s="208">
        <f>F24+F27</f>
        <v>0</v>
      </c>
      <c r="G28" s="208"/>
      <c r="H28" s="208"/>
      <c r="I28" s="208">
        <f>I24+I27</f>
        <v>0</v>
      </c>
      <c r="J28" s="208"/>
      <c r="K28" s="208"/>
      <c r="L28" s="208">
        <f t="shared" si="3"/>
        <v>0</v>
      </c>
      <c r="M28" s="205"/>
      <c r="N28" s="53" t="s">
        <v>20</v>
      </c>
    </row>
    <row r="29" spans="1:14" x14ac:dyDescent="0.25">
      <c r="A29" s="195"/>
      <c r="B29" s="208"/>
      <c r="C29" s="208"/>
      <c r="D29" s="208"/>
      <c r="E29" s="208"/>
      <c r="F29" s="208"/>
      <c r="G29" s="208"/>
      <c r="H29" s="208"/>
      <c r="I29" s="208"/>
      <c r="J29" s="208"/>
      <c r="K29" s="208"/>
      <c r="L29" s="208"/>
      <c r="M29" s="205"/>
      <c r="N29" s="53" t="s">
        <v>20</v>
      </c>
    </row>
    <row r="30" spans="1:14" x14ac:dyDescent="0.25">
      <c r="A30" s="195" t="s">
        <v>27</v>
      </c>
      <c r="B30" s="208"/>
      <c r="C30" s="208"/>
      <c r="D30" s="208"/>
      <c r="E30" s="208"/>
      <c r="F30" s="208"/>
      <c r="G30" s="208"/>
      <c r="H30" s="208"/>
      <c r="I30" s="208"/>
      <c r="J30" s="208"/>
      <c r="K30" s="208"/>
      <c r="L30" s="208"/>
      <c r="M30" s="205"/>
      <c r="N30" s="53" t="s">
        <v>20</v>
      </c>
    </row>
    <row r="31" spans="1:14" x14ac:dyDescent="0.25">
      <c r="A31" s="236" t="s">
        <v>28</v>
      </c>
      <c r="B31" s="208"/>
      <c r="C31" s="208">
        <v>0</v>
      </c>
      <c r="D31" s="208"/>
      <c r="E31" s="208"/>
      <c r="F31" s="208">
        <v>0</v>
      </c>
      <c r="G31" s="208"/>
      <c r="H31" s="208"/>
      <c r="I31" s="208">
        <v>0</v>
      </c>
      <c r="J31" s="208"/>
      <c r="K31" s="208"/>
      <c r="L31" s="208">
        <f t="shared" ref="L31:L33" si="4">F31+I31</f>
        <v>0</v>
      </c>
      <c r="M31" s="205"/>
      <c r="N31" s="53" t="s">
        <v>20</v>
      </c>
    </row>
    <row r="32" spans="1:14" x14ac:dyDescent="0.25">
      <c r="A32" s="237" t="s">
        <v>29</v>
      </c>
      <c r="B32" s="238"/>
      <c r="C32" s="238">
        <v>0</v>
      </c>
      <c r="D32" s="238"/>
      <c r="E32" s="238"/>
      <c r="F32" s="238">
        <v>0</v>
      </c>
      <c r="G32" s="238"/>
      <c r="H32" s="238"/>
      <c r="I32" s="238">
        <v>0</v>
      </c>
      <c r="J32" s="238"/>
      <c r="K32" s="238"/>
      <c r="L32" s="238">
        <f t="shared" si="4"/>
        <v>0</v>
      </c>
      <c r="M32" s="239"/>
      <c r="N32" s="53" t="s">
        <v>20</v>
      </c>
    </row>
    <row r="33" spans="1:14" ht="14.4" thickBot="1" x14ac:dyDescent="0.3">
      <c r="A33" s="240" t="s">
        <v>133</v>
      </c>
      <c r="B33" s="241"/>
      <c r="C33" s="241">
        <f>C28+C31+C32</f>
        <v>0</v>
      </c>
      <c r="D33" s="241"/>
      <c r="E33" s="241"/>
      <c r="F33" s="241">
        <f>F28+F31+F32</f>
        <v>0</v>
      </c>
      <c r="G33" s="241"/>
      <c r="H33" s="241"/>
      <c r="I33" s="241">
        <f>I28+I31+I32</f>
        <v>0</v>
      </c>
      <c r="J33" s="241"/>
      <c r="K33" s="241"/>
      <c r="L33" s="241">
        <f t="shared" si="4"/>
        <v>0</v>
      </c>
      <c r="M33" s="242"/>
      <c r="N33" s="53" t="s">
        <v>20</v>
      </c>
    </row>
    <row r="34" spans="1:14" ht="14.4" thickBot="1" x14ac:dyDescent="0.3">
      <c r="N34" s="53" t="s">
        <v>21</v>
      </c>
    </row>
    <row r="35" spans="1:14" x14ac:dyDescent="0.25">
      <c r="A35" s="638" t="s">
        <v>134</v>
      </c>
      <c r="B35" s="641" t="s">
        <v>22</v>
      </c>
      <c r="C35" s="641"/>
      <c r="D35" s="641"/>
      <c r="E35" s="641" t="s">
        <v>23</v>
      </c>
      <c r="F35" s="641"/>
      <c r="G35" s="641"/>
      <c r="H35" s="641" t="s">
        <v>24</v>
      </c>
      <c r="I35" s="641"/>
      <c r="J35" s="642"/>
      <c r="N35" s="53" t="s">
        <v>20</v>
      </c>
    </row>
    <row r="36" spans="1:14" ht="27.6" x14ac:dyDescent="0.25">
      <c r="A36" s="639"/>
      <c r="B36" s="222" t="s">
        <v>3</v>
      </c>
      <c r="C36" s="222" t="s">
        <v>149</v>
      </c>
      <c r="D36" s="222" t="s">
        <v>4</v>
      </c>
      <c r="E36" s="222" t="s">
        <v>3</v>
      </c>
      <c r="F36" s="222" t="s">
        <v>149</v>
      </c>
      <c r="G36" s="222" t="s">
        <v>4</v>
      </c>
      <c r="H36" s="222" t="s">
        <v>3</v>
      </c>
      <c r="I36" s="222" t="s">
        <v>149</v>
      </c>
      <c r="J36" s="223" t="s">
        <v>4</v>
      </c>
      <c r="N36" s="53" t="s">
        <v>20</v>
      </c>
    </row>
    <row r="37" spans="1:14" ht="27.6" x14ac:dyDescent="0.25">
      <c r="A37" s="224" t="str">
        <f t="shared" ref="A37:A46" si="5">A9</f>
        <v>Child Abuse Training Programs for Judicial Personnel and Practitioners</v>
      </c>
      <c r="B37" s="225">
        <v>0</v>
      </c>
      <c r="C37" s="225">
        <v>0</v>
      </c>
      <c r="D37" s="225">
        <v>0</v>
      </c>
      <c r="E37" s="225">
        <v>0</v>
      </c>
      <c r="F37" s="225">
        <v>0</v>
      </c>
      <c r="G37" s="225">
        <v>-1500</v>
      </c>
      <c r="H37" s="225">
        <f t="shared" ref="H37:J46" si="6">K9+B37+E37</f>
        <v>0</v>
      </c>
      <c r="I37" s="225">
        <f t="shared" si="6"/>
        <v>0</v>
      </c>
      <c r="J37" s="226">
        <f t="shared" si="6"/>
        <v>0</v>
      </c>
      <c r="N37" s="53" t="s">
        <v>20</v>
      </c>
    </row>
    <row r="38" spans="1:14" x14ac:dyDescent="0.25">
      <c r="A38" s="228" t="str">
        <f t="shared" si="5"/>
        <v>Children of Incarcerated Parents Web Portal</v>
      </c>
      <c r="B38" s="208">
        <v>0</v>
      </c>
      <c r="C38" s="208">
        <v>0</v>
      </c>
      <c r="D38" s="208">
        <v>500</v>
      </c>
      <c r="E38" s="208">
        <v>0</v>
      </c>
      <c r="F38" s="208">
        <v>0</v>
      </c>
      <c r="G38" s="208">
        <v>0</v>
      </c>
      <c r="H38" s="208">
        <f t="shared" si="6"/>
        <v>0</v>
      </c>
      <c r="I38" s="208">
        <f t="shared" si="6"/>
        <v>0</v>
      </c>
      <c r="J38" s="205">
        <f t="shared" si="6"/>
        <v>500</v>
      </c>
      <c r="N38" s="53" t="s">
        <v>20</v>
      </c>
    </row>
    <row r="39" spans="1:14" ht="27.6" x14ac:dyDescent="0.25">
      <c r="A39" s="228" t="str">
        <f t="shared" si="5"/>
        <v>Community-Based Violence Prevention Initiative</v>
      </c>
      <c r="B39" s="208">
        <v>0</v>
      </c>
      <c r="C39" s="208">
        <v>0</v>
      </c>
      <c r="D39" s="208">
        <v>17000</v>
      </c>
      <c r="E39" s="208">
        <v>0</v>
      </c>
      <c r="F39" s="208">
        <v>0</v>
      </c>
      <c r="G39" s="208">
        <v>0</v>
      </c>
      <c r="H39" s="208">
        <f t="shared" si="6"/>
        <v>0</v>
      </c>
      <c r="I39" s="208">
        <f t="shared" si="6"/>
        <v>0</v>
      </c>
      <c r="J39" s="205">
        <f t="shared" si="6"/>
        <v>25000</v>
      </c>
      <c r="N39" s="53" t="s">
        <v>20</v>
      </c>
    </row>
    <row r="40" spans="1:14" ht="27.6" x14ac:dyDescent="0.25">
      <c r="A40" s="228" t="str">
        <f t="shared" si="5"/>
        <v>Competitive Grants for Girls in the Juvenile Justice System</v>
      </c>
      <c r="B40" s="208">
        <v>0</v>
      </c>
      <c r="C40" s="208">
        <v>0</v>
      </c>
      <c r="D40" s="208">
        <v>2000</v>
      </c>
      <c r="E40" s="208">
        <v>0</v>
      </c>
      <c r="F40" s="208">
        <v>0</v>
      </c>
      <c r="G40" s="208">
        <v>0</v>
      </c>
      <c r="H40" s="208">
        <f t="shared" si="6"/>
        <v>0</v>
      </c>
      <c r="I40" s="208">
        <f t="shared" si="6"/>
        <v>0</v>
      </c>
      <c r="J40" s="205">
        <f t="shared" si="6"/>
        <v>2000</v>
      </c>
      <c r="N40" s="53" t="s">
        <v>20</v>
      </c>
    </row>
    <row r="41" spans="1:14" ht="27.6" x14ac:dyDescent="0.25">
      <c r="A41" s="228" t="str">
        <f t="shared" si="5"/>
        <v>Juvenile Accountability Block Grant (JABG) Program</v>
      </c>
      <c r="B41" s="208">
        <v>0</v>
      </c>
      <c r="C41" s="208">
        <v>0</v>
      </c>
      <c r="D41" s="208">
        <v>0</v>
      </c>
      <c r="E41" s="208">
        <v>0</v>
      </c>
      <c r="F41" s="208">
        <v>0</v>
      </c>
      <c r="G41" s="208">
        <v>0</v>
      </c>
      <c r="H41" s="208">
        <f t="shared" si="6"/>
        <v>0</v>
      </c>
      <c r="I41" s="208">
        <f t="shared" si="6"/>
        <v>0</v>
      </c>
      <c r="J41" s="205">
        <f t="shared" si="6"/>
        <v>30000</v>
      </c>
      <c r="N41" s="53" t="s">
        <v>20</v>
      </c>
    </row>
    <row r="42" spans="1:14" x14ac:dyDescent="0.25">
      <c r="A42" s="228" t="str">
        <f t="shared" si="5"/>
        <v>Juvenile Justice Realignment Incentive Grants</v>
      </c>
      <c r="B42" s="208">
        <v>0</v>
      </c>
      <c r="C42" s="208">
        <v>0</v>
      </c>
      <c r="D42" s="208">
        <v>20000</v>
      </c>
      <c r="E42" s="208">
        <v>0</v>
      </c>
      <c r="F42" s="208">
        <v>0</v>
      </c>
      <c r="G42" s="208">
        <v>0</v>
      </c>
      <c r="H42" s="208">
        <f t="shared" si="6"/>
        <v>0</v>
      </c>
      <c r="I42" s="208">
        <f t="shared" si="6"/>
        <v>0</v>
      </c>
      <c r="J42" s="205">
        <f t="shared" si="6"/>
        <v>20000</v>
      </c>
      <c r="N42" s="53" t="s">
        <v>20</v>
      </c>
    </row>
    <row r="43" spans="1:14" x14ac:dyDescent="0.25">
      <c r="A43" s="228" t="str">
        <f t="shared" si="5"/>
        <v>Missing and Exploited Children</v>
      </c>
      <c r="B43" s="208">
        <v>0</v>
      </c>
      <c r="C43" s="208">
        <v>0</v>
      </c>
      <c r="D43" s="208">
        <v>2000</v>
      </c>
      <c r="E43" s="208">
        <v>0</v>
      </c>
      <c r="F43" s="208">
        <v>0</v>
      </c>
      <c r="G43" s="208">
        <v>0</v>
      </c>
      <c r="H43" s="208">
        <f t="shared" si="6"/>
        <v>0</v>
      </c>
      <c r="I43" s="208">
        <f t="shared" si="6"/>
        <v>0</v>
      </c>
      <c r="J43" s="205">
        <f t="shared" si="6"/>
        <v>67000</v>
      </c>
      <c r="N43" s="53" t="s">
        <v>20</v>
      </c>
    </row>
    <row r="44" spans="1:14" x14ac:dyDescent="0.25">
      <c r="A44" s="228" t="str">
        <f t="shared" si="5"/>
        <v>National Forum on Youth Violence Prevention</v>
      </c>
      <c r="B44" s="208">
        <v>0</v>
      </c>
      <c r="C44" s="208">
        <v>0</v>
      </c>
      <c r="D44" s="208">
        <v>2000</v>
      </c>
      <c r="E44" s="208">
        <v>0</v>
      </c>
      <c r="F44" s="208">
        <v>0</v>
      </c>
      <c r="G44" s="208">
        <v>0</v>
      </c>
      <c r="H44" s="208">
        <f t="shared" si="6"/>
        <v>0</v>
      </c>
      <c r="I44" s="208">
        <f t="shared" si="6"/>
        <v>0</v>
      </c>
      <c r="J44" s="205">
        <f t="shared" si="6"/>
        <v>4000</v>
      </c>
      <c r="N44" s="53" t="s">
        <v>20</v>
      </c>
    </row>
    <row r="45" spans="1:14" x14ac:dyDescent="0.25">
      <c r="A45" s="228" t="str">
        <f t="shared" si="5"/>
        <v>Part B: Formula Grants</v>
      </c>
      <c r="B45" s="208">
        <v>0</v>
      </c>
      <c r="C45" s="208">
        <v>0</v>
      </c>
      <c r="D45" s="208">
        <v>30000</v>
      </c>
      <c r="E45" s="208">
        <v>0</v>
      </c>
      <c r="F45" s="208">
        <v>0</v>
      </c>
      <c r="G45" s="208">
        <v>0</v>
      </c>
      <c r="H45" s="208">
        <f t="shared" si="6"/>
        <v>0</v>
      </c>
      <c r="I45" s="208">
        <f t="shared" si="6"/>
        <v>0</v>
      </c>
      <c r="J45" s="205">
        <f t="shared" si="6"/>
        <v>70000</v>
      </c>
      <c r="N45" s="53" t="s">
        <v>20</v>
      </c>
    </row>
    <row r="46" spans="1:14" ht="27.6" x14ac:dyDescent="0.25">
      <c r="A46" s="228" t="str">
        <f t="shared" si="5"/>
        <v>Delinquency Prevention Program (commonly referred to as Title V: Incentive Grants)</v>
      </c>
      <c r="B46" s="208">
        <v>0</v>
      </c>
      <c r="C46" s="208">
        <v>0</v>
      </c>
      <c r="D46" s="208">
        <v>36000</v>
      </c>
      <c r="E46" s="208">
        <v>0</v>
      </c>
      <c r="F46" s="208">
        <v>0</v>
      </c>
      <c r="G46" s="208">
        <v>0</v>
      </c>
      <c r="H46" s="208">
        <f t="shared" si="6"/>
        <v>0</v>
      </c>
      <c r="I46" s="208">
        <f t="shared" si="6"/>
        <v>0</v>
      </c>
      <c r="J46" s="205">
        <f t="shared" si="6"/>
        <v>56000</v>
      </c>
      <c r="N46" s="53" t="s">
        <v>20</v>
      </c>
    </row>
    <row r="47" spans="1:14" ht="27.6" x14ac:dyDescent="0.25">
      <c r="A47" s="228" t="str">
        <f>A22</f>
        <v>VOCA-Improving Investigation and Prosecution of Child Abuse Program</v>
      </c>
      <c r="B47" s="208">
        <v>0</v>
      </c>
      <c r="C47" s="208">
        <v>0</v>
      </c>
      <c r="D47" s="208">
        <v>0</v>
      </c>
      <c r="E47" s="208">
        <v>0</v>
      </c>
      <c r="F47" s="208">
        <v>0</v>
      </c>
      <c r="G47" s="208">
        <v>-18000</v>
      </c>
      <c r="H47" s="208">
        <f t="shared" ref="H47:J48" si="7">K22+B47+E47</f>
        <v>0</v>
      </c>
      <c r="I47" s="208">
        <f t="shared" si="7"/>
        <v>0</v>
      </c>
      <c r="J47" s="205">
        <f t="shared" si="7"/>
        <v>0</v>
      </c>
      <c r="N47" s="53" t="s">
        <v>20</v>
      </c>
    </row>
    <row r="48" spans="1:14" x14ac:dyDescent="0.25">
      <c r="A48" s="229" t="str">
        <f>A23</f>
        <v>Youth Mentoring</v>
      </c>
      <c r="B48" s="230">
        <v>0</v>
      </c>
      <c r="C48" s="230">
        <v>0</v>
      </c>
      <c r="D48" s="230">
        <v>0</v>
      </c>
      <c r="E48" s="230">
        <v>0</v>
      </c>
      <c r="F48" s="230">
        <v>0</v>
      </c>
      <c r="G48" s="230">
        <v>-20000</v>
      </c>
      <c r="H48" s="230">
        <f t="shared" si="7"/>
        <v>0</v>
      </c>
      <c r="I48" s="230">
        <f t="shared" si="7"/>
        <v>0</v>
      </c>
      <c r="J48" s="231">
        <f t="shared" si="7"/>
        <v>58000</v>
      </c>
      <c r="N48" s="53" t="s">
        <v>20</v>
      </c>
    </row>
    <row r="49" spans="1:14" x14ac:dyDescent="0.25">
      <c r="A49" s="16" t="s">
        <v>131</v>
      </c>
      <c r="B49" s="143">
        <f t="shared" ref="B49:J49" si="8">SUM(B37:B48)</f>
        <v>0</v>
      </c>
      <c r="C49" s="143">
        <f t="shared" si="8"/>
        <v>0</v>
      </c>
      <c r="D49" s="143">
        <f t="shared" si="8"/>
        <v>109500</v>
      </c>
      <c r="E49" s="143">
        <f t="shared" si="8"/>
        <v>0</v>
      </c>
      <c r="F49" s="143">
        <f t="shared" si="8"/>
        <v>0</v>
      </c>
      <c r="G49" s="143">
        <f t="shared" si="8"/>
        <v>-39500</v>
      </c>
      <c r="H49" s="143">
        <f t="shared" si="8"/>
        <v>0</v>
      </c>
      <c r="I49" s="143">
        <f t="shared" si="8"/>
        <v>0</v>
      </c>
      <c r="J49" s="144">
        <f t="shared" si="8"/>
        <v>332500</v>
      </c>
      <c r="N49" s="53" t="s">
        <v>20</v>
      </c>
    </row>
    <row r="50" spans="1:14" x14ac:dyDescent="0.25">
      <c r="A50" s="232" t="s">
        <v>130</v>
      </c>
      <c r="B50" s="145"/>
      <c r="C50" s="145"/>
      <c r="D50" s="225">
        <v>0</v>
      </c>
      <c r="E50" s="145"/>
      <c r="F50" s="145"/>
      <c r="G50" s="225">
        <v>-8000</v>
      </c>
      <c r="H50" s="145"/>
      <c r="I50" s="145"/>
      <c r="J50" s="226">
        <f>M25+D50+G50</f>
        <v>-8000</v>
      </c>
      <c r="N50" s="53" t="s">
        <v>20</v>
      </c>
    </row>
    <row r="51" spans="1:14" x14ac:dyDescent="0.25">
      <c r="A51" s="233" t="s">
        <v>150</v>
      </c>
      <c r="B51" s="25"/>
      <c r="C51" s="25"/>
      <c r="D51" s="230">
        <f>SUM(D49:D50)</f>
        <v>109500</v>
      </c>
      <c r="E51" s="25"/>
      <c r="F51" s="25"/>
      <c r="G51" s="230">
        <f>SUM(G49:G50)</f>
        <v>-47500</v>
      </c>
      <c r="H51" s="25"/>
      <c r="I51" s="25"/>
      <c r="J51" s="231">
        <f>M26+D51+G51</f>
        <v>324500</v>
      </c>
      <c r="N51" s="53" t="s">
        <v>20</v>
      </c>
    </row>
    <row r="52" spans="1:14" x14ac:dyDescent="0.25">
      <c r="A52" s="198" t="s">
        <v>26</v>
      </c>
      <c r="B52" s="234"/>
      <c r="C52" s="234">
        <v>0</v>
      </c>
      <c r="D52" s="234"/>
      <c r="E52" s="234"/>
      <c r="F52" s="234">
        <v>0</v>
      </c>
      <c r="G52" s="234"/>
      <c r="H52" s="234"/>
      <c r="I52" s="234">
        <f t="shared" ref="I52:I58" si="9">L27+C52+F52</f>
        <v>0</v>
      </c>
      <c r="J52" s="235"/>
      <c r="N52" s="53" t="s">
        <v>20</v>
      </c>
    </row>
    <row r="53" spans="1:14" x14ac:dyDescent="0.25">
      <c r="A53" s="195" t="s">
        <v>132</v>
      </c>
      <c r="B53" s="208"/>
      <c r="C53" s="208">
        <f>C49+C52</f>
        <v>0</v>
      </c>
      <c r="D53" s="208"/>
      <c r="E53" s="208"/>
      <c r="F53" s="208">
        <f>F49+F52</f>
        <v>0</v>
      </c>
      <c r="G53" s="208"/>
      <c r="H53" s="208"/>
      <c r="I53" s="208">
        <f t="shared" si="9"/>
        <v>0</v>
      </c>
      <c r="J53" s="205"/>
      <c r="N53" s="53" t="s">
        <v>20</v>
      </c>
    </row>
    <row r="54" spans="1:14" x14ac:dyDescent="0.25">
      <c r="A54" s="195"/>
      <c r="B54" s="208"/>
      <c r="C54" s="208"/>
      <c r="D54" s="208"/>
      <c r="E54" s="208"/>
      <c r="F54" s="208"/>
      <c r="G54" s="208"/>
      <c r="H54" s="208"/>
      <c r="I54" s="208">
        <f t="shared" si="9"/>
        <v>0</v>
      </c>
      <c r="J54" s="205"/>
      <c r="N54" s="53" t="s">
        <v>20</v>
      </c>
    </row>
    <row r="55" spans="1:14" x14ac:dyDescent="0.25">
      <c r="A55" s="195" t="s">
        <v>27</v>
      </c>
      <c r="B55" s="208"/>
      <c r="C55" s="208"/>
      <c r="D55" s="208"/>
      <c r="E55" s="208"/>
      <c r="F55" s="208"/>
      <c r="G55" s="208"/>
      <c r="H55" s="208"/>
      <c r="I55" s="208">
        <f t="shared" si="9"/>
        <v>0</v>
      </c>
      <c r="J55" s="205"/>
      <c r="N55" s="53" t="s">
        <v>20</v>
      </c>
    </row>
    <row r="56" spans="1:14" x14ac:dyDescent="0.25">
      <c r="A56" s="236" t="s">
        <v>28</v>
      </c>
      <c r="B56" s="208"/>
      <c r="C56" s="208">
        <v>0</v>
      </c>
      <c r="D56" s="208"/>
      <c r="E56" s="208"/>
      <c r="F56" s="208">
        <v>0</v>
      </c>
      <c r="G56" s="208"/>
      <c r="H56" s="208"/>
      <c r="I56" s="208">
        <f t="shared" si="9"/>
        <v>0</v>
      </c>
      <c r="J56" s="205"/>
      <c r="N56" s="53" t="s">
        <v>20</v>
      </c>
    </row>
    <row r="57" spans="1:14" x14ac:dyDescent="0.25">
      <c r="A57" s="237" t="s">
        <v>29</v>
      </c>
      <c r="B57" s="238"/>
      <c r="C57" s="238">
        <v>0</v>
      </c>
      <c r="D57" s="238"/>
      <c r="E57" s="238"/>
      <c r="F57" s="238">
        <v>0</v>
      </c>
      <c r="G57" s="238"/>
      <c r="H57" s="238"/>
      <c r="I57" s="238">
        <f t="shared" si="9"/>
        <v>0</v>
      </c>
      <c r="J57" s="239"/>
      <c r="N57" s="53" t="s">
        <v>20</v>
      </c>
    </row>
    <row r="58" spans="1:14" ht="14.4" thickBot="1" x14ac:dyDescent="0.3">
      <c r="A58" s="240" t="s">
        <v>133</v>
      </c>
      <c r="B58" s="241"/>
      <c r="C58" s="241">
        <f>C53+C56+C57</f>
        <v>0</v>
      </c>
      <c r="D58" s="241"/>
      <c r="E58" s="241"/>
      <c r="F58" s="241">
        <f>F53+F56+F57</f>
        <v>0</v>
      </c>
      <c r="G58" s="241"/>
      <c r="H58" s="241"/>
      <c r="I58" s="241">
        <f t="shared" si="9"/>
        <v>0</v>
      </c>
      <c r="J58" s="242"/>
      <c r="N58" s="53" t="s">
        <v>20</v>
      </c>
    </row>
    <row r="59" spans="1:14" x14ac:dyDescent="0.25">
      <c r="N59" s="53" t="s">
        <v>20</v>
      </c>
    </row>
    <row r="60" spans="1:14" x14ac:dyDescent="0.25">
      <c r="A60" s="178" t="s">
        <v>213</v>
      </c>
      <c r="N60" s="7" t="s">
        <v>21</v>
      </c>
    </row>
  </sheetData>
  <customSheetViews>
    <customSheetView guid="{5B2D5037-506A-47D5-AF28-C337BC9133BD}" scale="80" showPageBreaks="1" printArea="1" view="pageBreakPreview">
      <selection activeCell="J68" sqref="J68"/>
      <rowBreaks count="1" manualBreakCount="1">
        <brk id="34" max="12" man="1"/>
      </rowBreaks>
      <pageMargins left="0.7" right="0.7" top="0.75" bottom="0.75" header="0.3" footer="0.3"/>
      <printOptions horizontalCentered="1"/>
      <pageSetup scale="74" orientation="landscape" r:id="rId1"/>
      <headerFooter>
        <oddHeader>&amp;L&amp;"Arial,Bold"&amp;12B. Summary of Requirements</oddHeader>
        <oddFooter>&amp;C&amp;"Arial,Regular"Exhibit B - Summary of Requirements&amp;R&amp;"Arial,Regular"Juvenile Justice Programs</oddFooter>
      </headerFooter>
    </customSheetView>
    <customSheetView guid="{08380F1E-0CB7-4B3B-924E-2A270EA8DD30}" scale="80" showPageBreaks="1" printArea="1" view="pageBreakPreview">
      <selection activeCell="J68" sqref="J68"/>
      <rowBreaks count="1" manualBreakCount="1">
        <brk id="34" max="12" man="1"/>
      </rowBreaks>
      <pageMargins left="0.7" right="0.7" top="0.75" bottom="0.75" header="0.3" footer="0.3"/>
      <printOptions horizontalCentered="1"/>
      <pageSetup scale="74" orientation="landscape" r:id="rId2"/>
      <headerFooter>
        <oddHeader>&amp;L&amp;"Arial,Bold"&amp;12B. Summary of Requirements</oddHeader>
        <oddFooter>&amp;C&amp;"Arial,Regular"Exhibit B - Summary of Requirements&amp;R&amp;"Arial,Regular"Juvenile Justice Programs</oddFooter>
      </headerFooter>
    </customSheetView>
    <customSheetView guid="{D19943A8-2C2A-430A-A724-8C7C332697C8}" scale="80" showPageBreaks="1" printArea="1" view="pageBreakPreview">
      <selection activeCell="J68" sqref="J68"/>
      <rowBreaks count="1" manualBreakCount="1">
        <brk id="34" max="12" man="1"/>
      </rowBreaks>
      <pageMargins left="0.7" right="0.7" top="0.75" bottom="0.75" header="0.3" footer="0.3"/>
      <printOptions horizontalCentered="1"/>
      <pageSetup scale="74" orientation="landscape" r:id="rId3"/>
      <headerFooter>
        <oddHeader>&amp;L&amp;"Arial,Bold"&amp;12B. Summary of Requirements</oddHeader>
        <oddFooter>&amp;C&amp;"Arial,Regular"Exhibit B - Summary of Requirements&amp;R&amp;"Arial,Regular"Juvenile Justice Programs</oddFooter>
      </headerFooter>
    </customSheetView>
    <customSheetView guid="{C6D68C6D-939C-4DFA-9385-A3F05DFB5EDA}" scale="80" showPageBreaks="1" printArea="1" view="pageBreakPreview">
      <selection activeCell="J68" sqref="J68"/>
      <rowBreaks count="1" manualBreakCount="1">
        <brk id="34" max="12" man="1"/>
      </rowBreaks>
      <pageMargins left="0.7" right="0.7" top="0.75" bottom="0.75" header="0.3" footer="0.3"/>
      <printOptions horizontalCentered="1"/>
      <pageSetup scale="74" orientation="landscape" r:id="rId4"/>
      <headerFooter>
        <oddHeader>&amp;L&amp;"Arial,Bold"&amp;12B. Summary of Requirements</oddHeader>
        <oddFooter>&amp;C&amp;"Arial,Regular"Exhibit B - Summary of Requirements&amp;R&amp;"Arial,Regular"Juvenile Justice Programs</oddFooter>
      </headerFooter>
    </customSheetView>
  </customSheetViews>
  <mergeCells count="15">
    <mergeCell ref="A35:A36"/>
    <mergeCell ref="B35:D35"/>
    <mergeCell ref="E35:G35"/>
    <mergeCell ref="H35:J35"/>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4" orientation="landscape" r:id="rId5"/>
  <headerFooter>
    <oddHeader>&amp;L&amp;"Arial,Bold"&amp;12B. Summary of Requirements</oddHeader>
    <oddFooter>&amp;C&amp;"Arial,Regular"Exhibit B - Summary of Requirements&amp;R&amp;"Arial,Regular"Juvenile Justice Programs</oddFooter>
  </headerFooter>
  <rowBreaks count="1" manualBreakCount="1">
    <brk id="34"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80" zoomScaleNormal="100" zoomScaleSheetLayoutView="80" workbookViewId="0">
      <selection activeCell="F24" sqref="F24"/>
    </sheetView>
  </sheetViews>
  <sheetFormatPr defaultColWidth="9.109375" defaultRowHeight="13.8" x14ac:dyDescent="0.25"/>
  <cols>
    <col min="1" max="1" width="37.109375" style="178" customWidth="1"/>
    <col min="2" max="2" width="23.109375" style="178" customWidth="1"/>
    <col min="3" max="5" width="8.6640625" style="178" customWidth="1"/>
    <col min="6" max="6" width="12.6640625" style="178" customWidth="1"/>
    <col min="7" max="9" width="8.6640625" style="178" customWidth="1"/>
    <col min="10" max="10" width="12.6640625" style="178" customWidth="1"/>
    <col min="11" max="11" width="14" style="7" bestFit="1" customWidth="1"/>
    <col min="12" max="12" width="4.5546875" style="178" customWidth="1"/>
    <col min="13" max="14" width="8.33203125" style="178" customWidth="1"/>
    <col min="15" max="15" width="12.6640625" style="178" customWidth="1"/>
    <col min="16" max="17" width="8.33203125" style="178" customWidth="1"/>
    <col min="18" max="18" width="12.6640625" style="178" customWidth="1"/>
    <col min="19" max="16384" width="9.109375" style="178"/>
  </cols>
  <sheetData>
    <row r="1" spans="1:18" ht="17.399999999999999" x14ac:dyDescent="0.3">
      <c r="A1" s="633" t="s">
        <v>220</v>
      </c>
      <c r="B1" s="633"/>
      <c r="C1" s="633"/>
      <c r="D1" s="633"/>
      <c r="E1" s="633"/>
      <c r="F1" s="633"/>
      <c r="G1" s="633"/>
      <c r="H1" s="633"/>
      <c r="I1" s="633"/>
      <c r="J1" s="633"/>
      <c r="K1" s="53" t="s">
        <v>20</v>
      </c>
      <c r="L1" s="9"/>
      <c r="M1" s="9"/>
      <c r="N1" s="9"/>
      <c r="O1" s="9"/>
      <c r="P1" s="9"/>
      <c r="Q1" s="9"/>
      <c r="R1" s="9"/>
    </row>
    <row r="2" spans="1:18" ht="15" x14ac:dyDescent="0.25">
      <c r="A2" s="634" t="str">
        <f>'[2]B. Summ of Req. - JJ'!A2:D2</f>
        <v>Office of Justice Programs</v>
      </c>
      <c r="B2" s="634"/>
      <c r="C2" s="634"/>
      <c r="D2" s="634"/>
      <c r="E2" s="634"/>
      <c r="F2" s="634"/>
      <c r="G2" s="634"/>
      <c r="H2" s="634"/>
      <c r="I2" s="634"/>
      <c r="J2" s="634"/>
      <c r="K2" s="53" t="s">
        <v>20</v>
      </c>
      <c r="L2" s="10"/>
      <c r="M2" s="10"/>
      <c r="N2" s="10"/>
      <c r="O2" s="10"/>
      <c r="P2" s="10"/>
      <c r="Q2" s="10"/>
      <c r="R2" s="10"/>
    </row>
    <row r="3" spans="1:18" ht="13.95" x14ac:dyDescent="0.25">
      <c r="A3" s="635" t="str">
        <f>'[2]B. Summ of Req. - JJ'!A3:D3</f>
        <v>Juvenile Justice Programs</v>
      </c>
      <c r="B3" s="635"/>
      <c r="C3" s="635"/>
      <c r="D3" s="635"/>
      <c r="E3" s="635"/>
      <c r="F3" s="635"/>
      <c r="G3" s="635"/>
      <c r="H3" s="635"/>
      <c r="I3" s="635"/>
      <c r="J3" s="635"/>
      <c r="K3" s="53" t="s">
        <v>20</v>
      </c>
      <c r="L3" s="221"/>
      <c r="M3" s="221"/>
      <c r="N3" s="221"/>
      <c r="O3" s="221"/>
      <c r="P3" s="221"/>
      <c r="Q3" s="221"/>
      <c r="R3" s="221"/>
    </row>
    <row r="4" spans="1:18" ht="13.95" x14ac:dyDescent="0.25">
      <c r="A4" s="637" t="s">
        <v>1</v>
      </c>
      <c r="B4" s="637"/>
      <c r="C4" s="637"/>
      <c r="D4" s="637"/>
      <c r="E4" s="637"/>
      <c r="F4" s="637"/>
      <c r="G4" s="637"/>
      <c r="H4" s="637"/>
      <c r="I4" s="637"/>
      <c r="J4" s="637"/>
      <c r="K4" s="53" t="s">
        <v>20</v>
      </c>
      <c r="L4" s="11"/>
      <c r="M4" s="11"/>
      <c r="N4" s="11"/>
      <c r="O4" s="11"/>
      <c r="P4" s="11"/>
      <c r="Q4" s="11"/>
      <c r="R4" s="11"/>
    </row>
    <row r="5" spans="1:18" ht="13.95" x14ac:dyDescent="0.25">
      <c r="A5" s="637"/>
      <c r="B5" s="637"/>
      <c r="C5" s="637"/>
      <c r="D5" s="637"/>
      <c r="E5" s="637"/>
      <c r="F5" s="637"/>
      <c r="G5" s="637"/>
      <c r="H5" s="637"/>
      <c r="I5" s="637"/>
      <c r="J5" s="637"/>
      <c r="K5" s="53" t="s">
        <v>20</v>
      </c>
      <c r="L5" s="11"/>
      <c r="M5" s="11"/>
      <c r="N5" s="11"/>
      <c r="O5" s="11"/>
      <c r="P5" s="11"/>
      <c r="Q5" s="11"/>
      <c r="R5" s="11"/>
    </row>
    <row r="6" spans="1:18" ht="14.4" thickBot="1" x14ac:dyDescent="0.3">
      <c r="K6" s="53" t="s">
        <v>20</v>
      </c>
    </row>
    <row r="7" spans="1:18" ht="33.75" customHeight="1" x14ac:dyDescent="0.25">
      <c r="A7" s="638" t="s">
        <v>31</v>
      </c>
      <c r="B7" s="673" t="s">
        <v>217</v>
      </c>
      <c r="C7" s="641" t="s">
        <v>395</v>
      </c>
      <c r="D7" s="641"/>
      <c r="E7" s="641"/>
      <c r="F7" s="641"/>
      <c r="G7" s="641" t="s">
        <v>219</v>
      </c>
      <c r="H7" s="641"/>
      <c r="I7" s="641"/>
      <c r="J7" s="641"/>
      <c r="K7" s="53" t="s">
        <v>20</v>
      </c>
    </row>
    <row r="8" spans="1:18" ht="27.6" x14ac:dyDescent="0.25">
      <c r="A8" s="639"/>
      <c r="B8" s="716"/>
      <c r="C8" s="222" t="s">
        <v>3</v>
      </c>
      <c r="D8" s="222" t="s">
        <v>215</v>
      </c>
      <c r="E8" s="222" t="s">
        <v>149</v>
      </c>
      <c r="F8" s="222" t="s">
        <v>4</v>
      </c>
      <c r="G8" s="222" t="s">
        <v>3</v>
      </c>
      <c r="H8" s="222" t="s">
        <v>215</v>
      </c>
      <c r="I8" s="222" t="s">
        <v>149</v>
      </c>
      <c r="J8" s="222" t="s">
        <v>4</v>
      </c>
      <c r="K8" s="53" t="s">
        <v>20</v>
      </c>
    </row>
    <row r="9" spans="1:18" ht="27.6" x14ac:dyDescent="0.25">
      <c r="A9" s="228" t="s">
        <v>398</v>
      </c>
      <c r="B9" s="252" t="s">
        <v>395</v>
      </c>
      <c r="C9" s="225">
        <v>0</v>
      </c>
      <c r="D9" s="225">
        <v>0</v>
      </c>
      <c r="E9" s="225">
        <v>0</v>
      </c>
      <c r="F9" s="225">
        <v>500</v>
      </c>
      <c r="G9" s="225">
        <f>C9</f>
        <v>0</v>
      </c>
      <c r="H9" s="225">
        <f>D9</f>
        <v>0</v>
      </c>
      <c r="I9" s="225">
        <f>E9</f>
        <v>0</v>
      </c>
      <c r="J9" s="225">
        <f>F9</f>
        <v>500</v>
      </c>
      <c r="K9" s="53" t="s">
        <v>20</v>
      </c>
    </row>
    <row r="10" spans="1:18" ht="27.6" x14ac:dyDescent="0.25">
      <c r="A10" s="228" t="s">
        <v>399</v>
      </c>
      <c r="B10" s="251" t="s">
        <v>395</v>
      </c>
      <c r="C10" s="208">
        <v>0</v>
      </c>
      <c r="D10" s="208">
        <v>0</v>
      </c>
      <c r="E10" s="208">
        <v>0</v>
      </c>
      <c r="F10" s="208">
        <v>17000</v>
      </c>
      <c r="G10" s="208">
        <f t="shared" ref="G10:G16" si="0">C10</f>
        <v>0</v>
      </c>
      <c r="H10" s="208">
        <f t="shared" ref="H10:H16" si="1">D10</f>
        <v>0</v>
      </c>
      <c r="I10" s="208">
        <f t="shared" ref="I10:I16" si="2">E10</f>
        <v>0</v>
      </c>
      <c r="J10" s="208">
        <f t="shared" ref="J10:J16" si="3">F10</f>
        <v>17000</v>
      </c>
      <c r="K10" s="53" t="s">
        <v>20</v>
      </c>
    </row>
    <row r="11" spans="1:18" ht="27.6" x14ac:dyDescent="0.25">
      <c r="A11" s="228" t="s">
        <v>405</v>
      </c>
      <c r="B11" s="251" t="s">
        <v>395</v>
      </c>
      <c r="C11" s="208">
        <v>0</v>
      </c>
      <c r="D11" s="208">
        <v>0</v>
      </c>
      <c r="E11" s="208">
        <v>0</v>
      </c>
      <c r="F11" s="208">
        <v>2000</v>
      </c>
      <c r="G11" s="208">
        <f t="shared" si="0"/>
        <v>0</v>
      </c>
      <c r="H11" s="208">
        <f t="shared" si="1"/>
        <v>0</v>
      </c>
      <c r="I11" s="208">
        <f t="shared" si="2"/>
        <v>0</v>
      </c>
      <c r="J11" s="208">
        <f t="shared" si="3"/>
        <v>2000</v>
      </c>
      <c r="K11" s="53" t="s">
        <v>20</v>
      </c>
    </row>
    <row r="12" spans="1:18" ht="27.6" x14ac:dyDescent="0.25">
      <c r="A12" s="228" t="s">
        <v>400</v>
      </c>
      <c r="B12" s="251" t="s">
        <v>395</v>
      </c>
      <c r="C12" s="208">
        <v>0</v>
      </c>
      <c r="D12" s="208">
        <v>0</v>
      </c>
      <c r="E12" s="208">
        <v>0</v>
      </c>
      <c r="F12" s="208">
        <v>20000</v>
      </c>
      <c r="G12" s="208">
        <f t="shared" si="0"/>
        <v>0</v>
      </c>
      <c r="H12" s="208">
        <f t="shared" si="1"/>
        <v>0</v>
      </c>
      <c r="I12" s="208">
        <f t="shared" si="2"/>
        <v>0</v>
      </c>
      <c r="J12" s="208">
        <f t="shared" si="3"/>
        <v>20000</v>
      </c>
      <c r="K12" s="53" t="s">
        <v>20</v>
      </c>
    </row>
    <row r="13" spans="1:18" ht="27.6" x14ac:dyDescent="0.25">
      <c r="A13" s="228" t="s">
        <v>260</v>
      </c>
      <c r="B13" s="251" t="s">
        <v>395</v>
      </c>
      <c r="C13" s="208">
        <v>0</v>
      </c>
      <c r="D13" s="208">
        <v>0</v>
      </c>
      <c r="E13" s="208">
        <v>0</v>
      </c>
      <c r="F13" s="208">
        <v>2000</v>
      </c>
      <c r="G13" s="208">
        <f t="shared" si="0"/>
        <v>0</v>
      </c>
      <c r="H13" s="208">
        <f t="shared" si="1"/>
        <v>0</v>
      </c>
      <c r="I13" s="208">
        <f t="shared" si="2"/>
        <v>0</v>
      </c>
      <c r="J13" s="208">
        <f t="shared" si="3"/>
        <v>2000</v>
      </c>
      <c r="K13" s="53" t="s">
        <v>20</v>
      </c>
    </row>
    <row r="14" spans="1:18" ht="27.6" x14ac:dyDescent="0.25">
      <c r="A14" s="228" t="s">
        <v>401</v>
      </c>
      <c r="B14" s="251" t="s">
        <v>395</v>
      </c>
      <c r="C14" s="208">
        <v>0</v>
      </c>
      <c r="D14" s="208">
        <v>0</v>
      </c>
      <c r="E14" s="208">
        <v>0</v>
      </c>
      <c r="F14" s="208">
        <v>2000</v>
      </c>
      <c r="G14" s="208">
        <f t="shared" si="0"/>
        <v>0</v>
      </c>
      <c r="H14" s="208">
        <f t="shared" si="1"/>
        <v>0</v>
      </c>
      <c r="I14" s="208">
        <f t="shared" si="2"/>
        <v>0</v>
      </c>
      <c r="J14" s="208">
        <f t="shared" si="3"/>
        <v>2000</v>
      </c>
      <c r="K14" s="53" t="s">
        <v>20</v>
      </c>
    </row>
    <row r="15" spans="1:18" ht="27.6" x14ac:dyDescent="0.25">
      <c r="A15" s="228" t="s">
        <v>402</v>
      </c>
      <c r="B15" s="251" t="s">
        <v>395</v>
      </c>
      <c r="C15" s="208">
        <v>0</v>
      </c>
      <c r="D15" s="208">
        <v>0</v>
      </c>
      <c r="E15" s="208">
        <v>0</v>
      </c>
      <c r="F15" s="208">
        <v>30000</v>
      </c>
      <c r="G15" s="208">
        <f t="shared" si="0"/>
        <v>0</v>
      </c>
      <c r="H15" s="208">
        <f t="shared" si="1"/>
        <v>0</v>
      </c>
      <c r="I15" s="208">
        <f t="shared" si="2"/>
        <v>0</v>
      </c>
      <c r="J15" s="208">
        <f t="shared" si="3"/>
        <v>30000</v>
      </c>
      <c r="K15" s="53" t="s">
        <v>20</v>
      </c>
    </row>
    <row r="16" spans="1:18" ht="41.4" x14ac:dyDescent="0.25">
      <c r="A16" s="229" t="s">
        <v>403</v>
      </c>
      <c r="B16" s="250" t="s">
        <v>395</v>
      </c>
      <c r="C16" s="230">
        <v>0</v>
      </c>
      <c r="D16" s="230">
        <v>0</v>
      </c>
      <c r="E16" s="230">
        <v>0</v>
      </c>
      <c r="F16" s="230">
        <v>36000</v>
      </c>
      <c r="G16" s="230">
        <f t="shared" si="0"/>
        <v>0</v>
      </c>
      <c r="H16" s="230">
        <f t="shared" si="1"/>
        <v>0</v>
      </c>
      <c r="I16" s="230">
        <f t="shared" si="2"/>
        <v>0</v>
      </c>
      <c r="J16" s="230">
        <f t="shared" si="3"/>
        <v>36000</v>
      </c>
      <c r="K16" s="53" t="s">
        <v>20</v>
      </c>
    </row>
    <row r="17" spans="1:11" ht="14.4" thickBot="1" x14ac:dyDescent="0.3">
      <c r="A17" s="246" t="s">
        <v>218</v>
      </c>
      <c r="B17" s="245"/>
      <c r="C17" s="244">
        <f t="shared" ref="C17:J17" si="4">SUM(C9:C16)</f>
        <v>0</v>
      </c>
      <c r="D17" s="244">
        <f t="shared" si="4"/>
        <v>0</v>
      </c>
      <c r="E17" s="244">
        <f t="shared" si="4"/>
        <v>0</v>
      </c>
      <c r="F17" s="244">
        <f t="shared" si="4"/>
        <v>109500</v>
      </c>
      <c r="G17" s="244">
        <f t="shared" si="4"/>
        <v>0</v>
      </c>
      <c r="H17" s="244">
        <f t="shared" si="4"/>
        <v>0</v>
      </c>
      <c r="I17" s="244">
        <f t="shared" si="4"/>
        <v>0</v>
      </c>
      <c r="J17" s="244">
        <f t="shared" si="4"/>
        <v>109500</v>
      </c>
      <c r="K17" s="53" t="s">
        <v>20</v>
      </c>
    </row>
    <row r="18" spans="1:11" ht="14.4" thickBot="1" x14ac:dyDescent="0.3">
      <c r="K18" s="53" t="s">
        <v>20</v>
      </c>
    </row>
    <row r="19" spans="1:11" ht="33.75" customHeight="1" x14ac:dyDescent="0.25">
      <c r="A19" s="638" t="s">
        <v>32</v>
      </c>
      <c r="B19" s="673" t="s">
        <v>217</v>
      </c>
      <c r="C19" s="641" t="s">
        <v>395</v>
      </c>
      <c r="D19" s="641"/>
      <c r="E19" s="641"/>
      <c r="F19" s="641"/>
      <c r="G19" s="641" t="s">
        <v>216</v>
      </c>
      <c r="H19" s="641"/>
      <c r="I19" s="641"/>
      <c r="J19" s="641"/>
      <c r="K19" s="53" t="s">
        <v>20</v>
      </c>
    </row>
    <row r="20" spans="1:11" ht="27.6" x14ac:dyDescent="0.25">
      <c r="A20" s="639"/>
      <c r="B20" s="716"/>
      <c r="C20" s="222" t="s">
        <v>3</v>
      </c>
      <c r="D20" s="222" t="s">
        <v>215</v>
      </c>
      <c r="E20" s="222" t="s">
        <v>149</v>
      </c>
      <c r="F20" s="222" t="s">
        <v>4</v>
      </c>
      <c r="G20" s="222" t="s">
        <v>3</v>
      </c>
      <c r="H20" s="222" t="s">
        <v>215</v>
      </c>
      <c r="I20" s="222" t="s">
        <v>149</v>
      </c>
      <c r="J20" s="222" t="s">
        <v>4</v>
      </c>
      <c r="K20" s="53" t="s">
        <v>20</v>
      </c>
    </row>
    <row r="21" spans="1:11" ht="41.4" x14ac:dyDescent="0.25">
      <c r="A21" s="224" t="s">
        <v>367</v>
      </c>
      <c r="B21" s="252" t="s">
        <v>395</v>
      </c>
      <c r="C21" s="225">
        <v>0</v>
      </c>
      <c r="D21" s="225">
        <v>0</v>
      </c>
      <c r="E21" s="225">
        <v>0</v>
      </c>
      <c r="F21" s="225">
        <v>-1500</v>
      </c>
      <c r="G21" s="225">
        <f>C21</f>
        <v>0</v>
      </c>
      <c r="H21" s="225">
        <f>D21</f>
        <v>0</v>
      </c>
      <c r="I21" s="225">
        <f>E21</f>
        <v>0</v>
      </c>
      <c r="J21" s="225">
        <f>F21</f>
        <v>-1500</v>
      </c>
      <c r="K21" s="53" t="s">
        <v>20</v>
      </c>
    </row>
    <row r="22" spans="1:11" ht="41.4" x14ac:dyDescent="0.25">
      <c r="A22" s="228" t="s">
        <v>410</v>
      </c>
      <c r="B22" s="251" t="s">
        <v>395</v>
      </c>
      <c r="C22" s="208">
        <v>0</v>
      </c>
      <c r="D22" s="208">
        <v>0</v>
      </c>
      <c r="E22" s="208">
        <v>0</v>
      </c>
      <c r="F22" s="208">
        <v>-18000</v>
      </c>
      <c r="G22" s="208">
        <f t="shared" ref="G22:G23" si="5">C22</f>
        <v>0</v>
      </c>
      <c r="H22" s="208">
        <f t="shared" ref="H22:H23" si="6">D22</f>
        <v>0</v>
      </c>
      <c r="I22" s="208">
        <f t="shared" ref="I22:I23" si="7">E22</f>
        <v>0</v>
      </c>
      <c r="J22" s="208">
        <f t="shared" ref="J22:J23" si="8">F22</f>
        <v>-18000</v>
      </c>
      <c r="K22" s="53" t="s">
        <v>20</v>
      </c>
    </row>
    <row r="23" spans="1:11" ht="27.6" x14ac:dyDescent="0.25">
      <c r="A23" s="229" t="s">
        <v>384</v>
      </c>
      <c r="B23" s="250" t="s">
        <v>395</v>
      </c>
      <c r="C23" s="230">
        <v>0</v>
      </c>
      <c r="D23" s="230">
        <v>0</v>
      </c>
      <c r="E23" s="230">
        <v>0</v>
      </c>
      <c r="F23" s="230">
        <v>-20000</v>
      </c>
      <c r="G23" s="230">
        <f t="shared" si="5"/>
        <v>0</v>
      </c>
      <c r="H23" s="230">
        <f t="shared" si="6"/>
        <v>0</v>
      </c>
      <c r="I23" s="230">
        <f t="shared" si="7"/>
        <v>0</v>
      </c>
      <c r="J23" s="230">
        <f t="shared" si="8"/>
        <v>-20000</v>
      </c>
      <c r="K23" s="53" t="s">
        <v>20</v>
      </c>
    </row>
    <row r="24" spans="1:11" ht="14.4" thickBot="1" x14ac:dyDescent="0.3">
      <c r="A24" s="246" t="s">
        <v>214</v>
      </c>
      <c r="B24" s="245"/>
      <c r="C24" s="244">
        <f t="shared" ref="C24:J24" si="9">SUM(C21:C23)</f>
        <v>0</v>
      </c>
      <c r="D24" s="244">
        <f t="shared" si="9"/>
        <v>0</v>
      </c>
      <c r="E24" s="244">
        <f t="shared" si="9"/>
        <v>0</v>
      </c>
      <c r="F24" s="244">
        <f t="shared" si="9"/>
        <v>-39500</v>
      </c>
      <c r="G24" s="244">
        <f t="shared" si="9"/>
        <v>0</v>
      </c>
      <c r="H24" s="244">
        <f t="shared" si="9"/>
        <v>0</v>
      </c>
      <c r="I24" s="244">
        <f t="shared" si="9"/>
        <v>0</v>
      </c>
      <c r="J24" s="244">
        <f t="shared" si="9"/>
        <v>-39500</v>
      </c>
      <c r="K24" s="53" t="s">
        <v>20</v>
      </c>
    </row>
    <row r="25" spans="1:11" x14ac:dyDescent="0.25">
      <c r="K25" s="7" t="s">
        <v>21</v>
      </c>
    </row>
    <row r="26" spans="1:11" x14ac:dyDescent="0.25">
      <c r="B26" s="243"/>
    </row>
  </sheetData>
  <customSheetViews>
    <customSheetView guid="{5B2D5037-506A-47D5-AF28-C337BC9133BD}" scale="80" showPageBreaks="1" printArea="1" view="pageBreakPreview">
      <selection activeCell="F24" sqref="F24"/>
      <pageMargins left="0.7" right="0.7" top="0.75" bottom="0.75" header="0.3" footer="0.3"/>
      <printOptions horizontalCentered="1"/>
      <pageSetup scale="69" orientation="landscape" r:id="rId1"/>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08380F1E-0CB7-4B3B-924E-2A270EA8DD30}" scale="80" showPageBreaks="1" printArea="1" view="pageBreakPreview">
      <selection activeCell="F24" sqref="F24"/>
      <pageMargins left="0.7" right="0.7" top="0.75" bottom="0.75" header="0.3" footer="0.3"/>
      <printOptions horizontalCentered="1"/>
      <pageSetup scale="69" orientation="landscape" r:id="rId2"/>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D19943A8-2C2A-430A-A724-8C7C332697C8}" scale="80" showPageBreaks="1" printArea="1" view="pageBreakPreview">
      <selection activeCell="F24" sqref="F24"/>
      <pageMargins left="0.7" right="0.7" top="0.75" bottom="0.75" header="0.3" footer="0.3"/>
      <printOptions horizontalCentered="1"/>
      <pageSetup scale="69" orientation="landscape" r:id="rId3"/>
      <headerFooter>
        <oddHeader xml:space="preserve">&amp;L&amp;"Arial,Bold"&amp;12C. Program Changes by Decision Unit
</oddHeader>
        <oddFooter>&amp;C&amp;"Arial,Regular"Exhibit C - Program Changes by Decision Unit&amp;R&amp;"Arial,Regular"Juvenile Justice Programs</oddFooter>
      </headerFooter>
    </customSheetView>
    <customSheetView guid="{C6D68C6D-939C-4DFA-9385-A3F05DFB5EDA}" scale="80" showPageBreaks="1" printArea="1" view="pageBreakPreview">
      <selection activeCell="F24" sqref="F24"/>
      <pageMargins left="0.7" right="0.7" top="0.75" bottom="0.75" header="0.3" footer="0.3"/>
      <printOptions horizontalCentered="1"/>
      <pageSetup scale="69" orientation="landscape" r:id="rId4"/>
      <headerFooter>
        <oddHeader xml:space="preserve">&amp;L&amp;"Arial,Bold"&amp;12C. Program Changes by Decision Unit
</oddHeader>
        <oddFooter>&amp;C&amp;"Arial,Regular"Exhibit C - Program Changes by Decision Unit&amp;R&amp;"Arial,Regular"Juvenile Justice Programs</oddFooter>
      </headerFooter>
    </customSheetView>
  </customSheetViews>
  <mergeCells count="13">
    <mergeCell ref="A19:A20"/>
    <mergeCell ref="B19:B20"/>
    <mergeCell ref="C19:F19"/>
    <mergeCell ref="G19:J19"/>
    <mergeCell ref="A1:J1"/>
    <mergeCell ref="A2:J2"/>
    <mergeCell ref="A3:J3"/>
    <mergeCell ref="A4:J4"/>
    <mergeCell ref="A5:J5"/>
    <mergeCell ref="A7:A8"/>
    <mergeCell ref="B7:B8"/>
    <mergeCell ref="C7:F7"/>
    <mergeCell ref="G7:J7"/>
  </mergeCells>
  <printOptions horizontalCentered="1"/>
  <pageMargins left="0.7" right="0.7" top="0.75" bottom="0.75" header="0.3" footer="0.3"/>
  <pageSetup scale="69" orientation="landscape" r:id="rId5"/>
  <headerFooter>
    <oddHeader xml:space="preserve">&amp;L&amp;"Arial,Bold"&amp;12C. Program Changes by Decision Unit
</oddHeader>
    <oddFooter>&amp;C&amp;"Arial,Regular"Exhibit C - Program Changes by Decision Unit&amp;R&amp;"Arial,Regular"Juvenile Justice Programs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BreakPreview" zoomScale="80" zoomScaleNormal="100" zoomScaleSheetLayoutView="80" workbookViewId="0">
      <selection activeCell="A32" sqref="A32"/>
    </sheetView>
  </sheetViews>
  <sheetFormatPr defaultColWidth="9.109375" defaultRowHeight="13.8" x14ac:dyDescent="0.25"/>
  <cols>
    <col min="1" max="1" width="7.44140625" style="178" bestFit="1" customWidth="1"/>
    <col min="2" max="2" width="58.109375" style="178" customWidth="1"/>
    <col min="3" max="3" width="9.44140625" style="178" customWidth="1"/>
    <col min="4" max="4" width="12.6640625" style="178" customWidth="1"/>
    <col min="5" max="5" width="8.6640625" style="178" customWidth="1"/>
    <col min="6" max="6" width="12.6640625" style="178" customWidth="1"/>
    <col min="7" max="7" width="8.6640625" style="178" customWidth="1"/>
    <col min="8" max="8" width="12.6640625" style="178" customWidth="1"/>
    <col min="9" max="9" width="8.6640625" style="178" customWidth="1"/>
    <col min="10" max="10" width="12.6640625" style="178" customWidth="1"/>
    <col min="11" max="11" width="8.6640625" style="178" customWidth="1"/>
    <col min="12" max="12" width="12.6640625" style="178" customWidth="1"/>
    <col min="13" max="13" width="8.6640625" style="178" customWidth="1"/>
    <col min="14" max="14" width="12.6640625" style="178" customWidth="1"/>
    <col min="15" max="15" width="14" style="7" bestFit="1" customWidth="1"/>
    <col min="16" max="16" width="4.5546875" style="178" customWidth="1"/>
    <col min="17" max="18" width="8.33203125" style="178" customWidth="1"/>
    <col min="19" max="19" width="12.6640625" style="178" customWidth="1"/>
    <col min="20" max="21" width="8.33203125" style="178" customWidth="1"/>
    <col min="22" max="22" width="12.6640625" style="178" customWidth="1"/>
    <col min="23" max="16384" width="9.109375" style="178"/>
  </cols>
  <sheetData>
    <row r="1" spans="1:22" ht="18" x14ac:dyDescent="0.25">
      <c r="A1" s="633" t="s">
        <v>221</v>
      </c>
      <c r="B1" s="633"/>
      <c r="C1" s="633"/>
      <c r="D1" s="633"/>
      <c r="E1" s="633"/>
      <c r="F1" s="633"/>
      <c r="G1" s="633"/>
      <c r="H1" s="633"/>
      <c r="I1" s="633"/>
      <c r="J1" s="633"/>
      <c r="K1" s="633"/>
      <c r="L1" s="633"/>
      <c r="M1" s="633"/>
      <c r="N1" s="633"/>
      <c r="O1" s="53" t="s">
        <v>20</v>
      </c>
      <c r="P1" s="9"/>
      <c r="Q1" s="9"/>
      <c r="R1" s="9"/>
      <c r="S1" s="9"/>
      <c r="T1" s="9"/>
      <c r="U1" s="9"/>
      <c r="V1" s="9"/>
    </row>
    <row r="2" spans="1:22" ht="15" x14ac:dyDescent="0.2">
      <c r="A2" s="634" t="str">
        <f>'[2]B. Summ of Req. - JJ'!A2:D2</f>
        <v>Office of Justice Programs</v>
      </c>
      <c r="B2" s="634"/>
      <c r="C2" s="634"/>
      <c r="D2" s="634"/>
      <c r="E2" s="634"/>
      <c r="F2" s="634"/>
      <c r="G2" s="634"/>
      <c r="H2" s="634"/>
      <c r="I2" s="634"/>
      <c r="J2" s="634"/>
      <c r="K2" s="634"/>
      <c r="L2" s="634"/>
      <c r="M2" s="634"/>
      <c r="N2" s="634"/>
      <c r="O2" s="53" t="s">
        <v>20</v>
      </c>
      <c r="P2" s="10"/>
      <c r="Q2" s="10"/>
      <c r="R2" s="10"/>
      <c r="S2" s="10"/>
      <c r="T2" s="10"/>
      <c r="U2" s="10"/>
      <c r="V2" s="10"/>
    </row>
    <row r="3" spans="1:22" ht="14.25" x14ac:dyDescent="0.2">
      <c r="A3" s="635" t="str">
        <f>'[2]B. Summ of Req. - JJ'!A3:D3</f>
        <v>Juvenile Justice Programs</v>
      </c>
      <c r="B3" s="635"/>
      <c r="C3" s="635"/>
      <c r="D3" s="635"/>
      <c r="E3" s="635"/>
      <c r="F3" s="635"/>
      <c r="G3" s="635"/>
      <c r="H3" s="635"/>
      <c r="I3" s="635"/>
      <c r="J3" s="635"/>
      <c r="K3" s="635"/>
      <c r="L3" s="635"/>
      <c r="M3" s="635"/>
      <c r="N3" s="635"/>
      <c r="O3" s="53" t="s">
        <v>20</v>
      </c>
      <c r="P3" s="221"/>
      <c r="Q3" s="221"/>
      <c r="R3" s="221"/>
      <c r="S3" s="221"/>
      <c r="T3" s="221"/>
      <c r="U3" s="221"/>
      <c r="V3" s="221"/>
    </row>
    <row r="4" spans="1:22" ht="14.25" x14ac:dyDescent="0.2">
      <c r="A4" s="637" t="s">
        <v>1</v>
      </c>
      <c r="B4" s="637"/>
      <c r="C4" s="637"/>
      <c r="D4" s="637"/>
      <c r="E4" s="637"/>
      <c r="F4" s="637"/>
      <c r="G4" s="637"/>
      <c r="H4" s="637"/>
      <c r="I4" s="637"/>
      <c r="J4" s="637"/>
      <c r="K4" s="637"/>
      <c r="L4" s="637"/>
      <c r="M4" s="637"/>
      <c r="N4" s="637"/>
      <c r="O4" s="53" t="s">
        <v>20</v>
      </c>
      <c r="P4" s="11"/>
      <c r="Q4" s="11"/>
      <c r="R4" s="11"/>
      <c r="S4" s="11"/>
      <c r="T4" s="11"/>
      <c r="U4" s="11"/>
      <c r="V4" s="11"/>
    </row>
    <row r="5" spans="1:22" ht="14.25" x14ac:dyDescent="0.2">
      <c r="A5" s="635"/>
      <c r="B5" s="635"/>
      <c r="C5" s="635"/>
      <c r="D5" s="635"/>
      <c r="E5" s="635"/>
      <c r="F5" s="635"/>
      <c r="G5" s="635"/>
      <c r="H5" s="635"/>
      <c r="I5" s="635"/>
      <c r="J5" s="635"/>
      <c r="K5" s="635"/>
      <c r="L5" s="635"/>
      <c r="M5" s="635"/>
      <c r="N5" s="635"/>
      <c r="O5" s="53" t="s">
        <v>20</v>
      </c>
      <c r="P5" s="11"/>
      <c r="Q5" s="11"/>
      <c r="R5" s="11"/>
      <c r="S5" s="11"/>
      <c r="T5" s="11"/>
      <c r="U5" s="11"/>
      <c r="V5" s="11"/>
    </row>
    <row r="6" spans="1:22" ht="15" thickBot="1" x14ac:dyDescent="0.25">
      <c r="A6" s="717"/>
      <c r="B6" s="717"/>
      <c r="C6" s="717"/>
      <c r="D6" s="717"/>
      <c r="E6" s="717"/>
      <c r="F6" s="717"/>
      <c r="G6" s="717"/>
      <c r="H6" s="717"/>
      <c r="I6" s="717"/>
      <c r="J6" s="717"/>
      <c r="K6" s="717"/>
      <c r="L6" s="717"/>
      <c r="M6" s="717"/>
      <c r="N6" s="717"/>
      <c r="O6" s="53" t="s">
        <v>20</v>
      </c>
      <c r="P6" s="11"/>
      <c r="Q6" s="11"/>
      <c r="R6" s="11"/>
      <c r="S6" s="11"/>
      <c r="T6" s="11"/>
      <c r="U6" s="11"/>
      <c r="V6" s="11"/>
    </row>
    <row r="7" spans="1:22" ht="33.75" customHeight="1" x14ac:dyDescent="0.25">
      <c r="A7" s="677" t="s">
        <v>222</v>
      </c>
      <c r="B7" s="719"/>
      <c r="C7" s="641" t="s">
        <v>223</v>
      </c>
      <c r="D7" s="641"/>
      <c r="E7" s="641" t="s">
        <v>207</v>
      </c>
      <c r="F7" s="641"/>
      <c r="G7" s="641" t="s">
        <v>13</v>
      </c>
      <c r="H7" s="641"/>
      <c r="I7" s="641" t="s">
        <v>22</v>
      </c>
      <c r="J7" s="641"/>
      <c r="K7" s="641" t="s">
        <v>23</v>
      </c>
      <c r="L7" s="641"/>
      <c r="M7" s="641" t="s">
        <v>18</v>
      </c>
      <c r="N7" s="642"/>
      <c r="O7" s="53" t="s">
        <v>20</v>
      </c>
    </row>
    <row r="8" spans="1:22" ht="41.4" x14ac:dyDescent="0.25">
      <c r="A8" s="678"/>
      <c r="B8" s="720"/>
      <c r="C8" s="222" t="s">
        <v>224</v>
      </c>
      <c r="D8" s="222" t="s">
        <v>225</v>
      </c>
      <c r="E8" s="222" t="s">
        <v>224</v>
      </c>
      <c r="F8" s="222" t="s">
        <v>225</v>
      </c>
      <c r="G8" s="222" t="s">
        <v>224</v>
      </c>
      <c r="H8" s="222" t="s">
        <v>225</v>
      </c>
      <c r="I8" s="222" t="s">
        <v>224</v>
      </c>
      <c r="J8" s="222" t="s">
        <v>225</v>
      </c>
      <c r="K8" s="222" t="s">
        <v>224</v>
      </c>
      <c r="L8" s="222" t="s">
        <v>225</v>
      </c>
      <c r="M8" s="222" t="s">
        <v>224</v>
      </c>
      <c r="N8" s="223" t="s">
        <v>225</v>
      </c>
      <c r="O8" s="53" t="s">
        <v>20</v>
      </c>
    </row>
    <row r="9" spans="1:22" ht="41.4" x14ac:dyDescent="0.25">
      <c r="A9" s="253" t="s">
        <v>226</v>
      </c>
      <c r="B9" s="254" t="s">
        <v>227</v>
      </c>
      <c r="C9" s="255"/>
      <c r="D9" s="255"/>
      <c r="E9" s="255"/>
      <c r="F9" s="255"/>
      <c r="G9" s="255"/>
      <c r="H9" s="255"/>
      <c r="I9" s="255"/>
      <c r="J9" s="255"/>
      <c r="K9" s="255"/>
      <c r="L9" s="255"/>
      <c r="M9" s="255"/>
      <c r="N9" s="256"/>
      <c r="O9" s="53" t="s">
        <v>20</v>
      </c>
    </row>
    <row r="10" spans="1:22" ht="27.6" x14ac:dyDescent="0.25">
      <c r="A10" s="257">
        <v>1.1000000000000001</v>
      </c>
      <c r="B10" s="258" t="s">
        <v>228</v>
      </c>
      <c r="C10" s="208">
        <v>0</v>
      </c>
      <c r="D10" s="259">
        <v>0</v>
      </c>
      <c r="E10" s="208">
        <v>0</v>
      </c>
      <c r="F10" s="208">
        <v>0</v>
      </c>
      <c r="G10" s="208">
        <v>0</v>
      </c>
      <c r="H10" s="208">
        <v>0</v>
      </c>
      <c r="I10" s="208">
        <v>0</v>
      </c>
      <c r="J10" s="208">
        <v>0</v>
      </c>
      <c r="K10" s="208">
        <v>0</v>
      </c>
      <c r="L10" s="208">
        <v>0</v>
      </c>
      <c r="M10" s="208">
        <f>G10+I10+K10</f>
        <v>0</v>
      </c>
      <c r="N10" s="205">
        <f t="shared" ref="N10:N12" si="0">H10+J10+L10</f>
        <v>0</v>
      </c>
      <c r="O10" s="53" t="s">
        <v>20</v>
      </c>
    </row>
    <row r="11" spans="1:22" x14ac:dyDescent="0.25">
      <c r="A11" s="257">
        <v>1.2</v>
      </c>
      <c r="B11" s="260" t="s">
        <v>229</v>
      </c>
      <c r="C11" s="208">
        <v>0</v>
      </c>
      <c r="D11" s="208">
        <v>0</v>
      </c>
      <c r="E11" s="208">
        <v>0</v>
      </c>
      <c r="F11" s="208">
        <v>0</v>
      </c>
      <c r="G11" s="208">
        <v>0</v>
      </c>
      <c r="H11" s="208">
        <v>0</v>
      </c>
      <c r="I11" s="208">
        <v>0</v>
      </c>
      <c r="J11" s="208">
        <v>0</v>
      </c>
      <c r="K11" s="208">
        <v>0</v>
      </c>
      <c r="L11" s="208">
        <v>0</v>
      </c>
      <c r="M11" s="208">
        <f t="shared" ref="M11:M12" si="1">G11+I11+K11</f>
        <v>0</v>
      </c>
      <c r="N11" s="205">
        <f t="shared" si="0"/>
        <v>0</v>
      </c>
      <c r="O11" s="53" t="s">
        <v>20</v>
      </c>
    </row>
    <row r="12" spans="1:22" x14ac:dyDescent="0.25">
      <c r="A12" s="257">
        <v>1.3</v>
      </c>
      <c r="B12" s="260" t="s">
        <v>230</v>
      </c>
      <c r="C12" s="208">
        <v>0</v>
      </c>
      <c r="D12" s="208">
        <v>0</v>
      </c>
      <c r="E12" s="208">
        <v>0</v>
      </c>
      <c r="F12" s="208">
        <v>0</v>
      </c>
      <c r="G12" s="208">
        <v>0</v>
      </c>
      <c r="H12" s="208">
        <v>0</v>
      </c>
      <c r="I12" s="208">
        <v>0</v>
      </c>
      <c r="J12" s="208">
        <v>0</v>
      </c>
      <c r="K12" s="208">
        <v>0</v>
      </c>
      <c r="L12" s="208">
        <v>0</v>
      </c>
      <c r="M12" s="208">
        <f t="shared" si="1"/>
        <v>0</v>
      </c>
      <c r="N12" s="205">
        <f t="shared" si="0"/>
        <v>0</v>
      </c>
      <c r="O12" s="53" t="s">
        <v>20</v>
      </c>
    </row>
    <row r="13" spans="1:22" x14ac:dyDescent="0.25">
      <c r="A13" s="261"/>
      <c r="B13" s="262" t="s">
        <v>231</v>
      </c>
      <c r="C13" s="25">
        <f>SUM(C10:C12)</f>
        <v>0</v>
      </c>
      <c r="D13" s="25">
        <f t="shared" ref="D13:N13" si="2">SUM(D10:D12)</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6">
        <f t="shared" si="2"/>
        <v>0</v>
      </c>
      <c r="O13" s="53" t="s">
        <v>20</v>
      </c>
    </row>
    <row r="14" spans="1:22" ht="27.6" x14ac:dyDescent="0.25">
      <c r="A14" s="253" t="s">
        <v>232</v>
      </c>
      <c r="B14" s="254" t="s">
        <v>233</v>
      </c>
      <c r="C14" s="255"/>
      <c r="D14" s="255"/>
      <c r="E14" s="255"/>
      <c r="F14" s="255"/>
      <c r="G14" s="255"/>
      <c r="H14" s="255"/>
      <c r="I14" s="255"/>
      <c r="J14" s="255"/>
      <c r="K14" s="255"/>
      <c r="L14" s="255"/>
      <c r="M14" s="255"/>
      <c r="N14" s="256"/>
      <c r="O14" s="53" t="s">
        <v>20</v>
      </c>
    </row>
    <row r="15" spans="1:22" x14ac:dyDescent="0.25">
      <c r="A15" s="257">
        <v>2.1</v>
      </c>
      <c r="B15" s="258" t="s">
        <v>234</v>
      </c>
      <c r="C15" s="208">
        <f>8000+30000+2000</f>
        <v>40000</v>
      </c>
      <c r="D15" s="208">
        <v>0</v>
      </c>
      <c r="E15" s="208">
        <v>0</v>
      </c>
      <c r="F15" s="208">
        <f>2012.4+8048.96+30183.6</f>
        <v>40244.959999999999</v>
      </c>
      <c r="G15" s="208">
        <v>0</v>
      </c>
      <c r="H15" s="208">
        <f>F15-245</f>
        <v>39999.96</v>
      </c>
      <c r="I15" s="208">
        <v>0</v>
      </c>
      <c r="J15" s="208">
        <f>17000+2000+20000+2000</f>
        <v>41000</v>
      </c>
      <c r="K15" s="208">
        <v>0</v>
      </c>
      <c r="L15" s="208">
        <v>0</v>
      </c>
      <c r="M15" s="208">
        <f>G15+I15+K15</f>
        <v>0</v>
      </c>
      <c r="N15" s="205">
        <f t="shared" ref="N15:N20" si="3">H15+J15+L15</f>
        <v>80999.959999999992</v>
      </c>
      <c r="O15" s="53" t="s">
        <v>20</v>
      </c>
    </row>
    <row r="16" spans="1:22" x14ac:dyDescent="0.25">
      <c r="A16" s="257">
        <v>2.2000000000000002</v>
      </c>
      <c r="B16" s="260" t="s">
        <v>235</v>
      </c>
      <c r="C16" s="208">
        <f>1500+65000+20000+18000+78000</f>
        <v>182500</v>
      </c>
      <c r="D16" s="208">
        <v>0</v>
      </c>
      <c r="E16" s="208">
        <v>0</v>
      </c>
      <c r="F16" s="208">
        <f>78477.36+20122.4+1509.18+18110.16+65397.8</f>
        <v>183616.90000000002</v>
      </c>
      <c r="G16" s="208">
        <v>0</v>
      </c>
      <c r="H16" s="208">
        <f>F16-1117</f>
        <v>182499.90000000002</v>
      </c>
      <c r="I16" s="208">
        <v>0</v>
      </c>
      <c r="J16" s="208">
        <f>500+2000+36000</f>
        <v>38500</v>
      </c>
      <c r="K16" s="208">
        <v>0</v>
      </c>
      <c r="L16" s="208">
        <f>-18000-20000-1500</f>
        <v>-39500</v>
      </c>
      <c r="M16" s="208">
        <f t="shared" ref="M16:M20" si="4">G16+I16+K16</f>
        <v>0</v>
      </c>
      <c r="N16" s="205">
        <f t="shared" si="3"/>
        <v>181499.90000000002</v>
      </c>
      <c r="O16" s="53" t="s">
        <v>20</v>
      </c>
    </row>
    <row r="17" spans="1:15" x14ac:dyDescent="0.25">
      <c r="A17" s="257">
        <v>2.2999999999999998</v>
      </c>
      <c r="B17" s="260" t="s">
        <v>236</v>
      </c>
      <c r="C17" s="208">
        <v>0</v>
      </c>
      <c r="D17" s="208">
        <v>0</v>
      </c>
      <c r="E17" s="208">
        <v>0</v>
      </c>
      <c r="F17" s="208">
        <v>0</v>
      </c>
      <c r="G17" s="208">
        <v>0</v>
      </c>
      <c r="H17" s="208">
        <v>0</v>
      </c>
      <c r="I17" s="208">
        <v>0</v>
      </c>
      <c r="J17" s="208">
        <v>0</v>
      </c>
      <c r="K17" s="208">
        <v>0</v>
      </c>
      <c r="L17" s="208">
        <v>0</v>
      </c>
      <c r="M17" s="208">
        <f t="shared" si="4"/>
        <v>0</v>
      </c>
      <c r="N17" s="205">
        <f t="shared" si="3"/>
        <v>0</v>
      </c>
      <c r="O17" s="53" t="s">
        <v>20</v>
      </c>
    </row>
    <row r="18" spans="1:15" ht="27.6" x14ac:dyDescent="0.25">
      <c r="A18" s="257">
        <v>2.4</v>
      </c>
      <c r="B18" s="258" t="s">
        <v>237</v>
      </c>
      <c r="C18" s="208">
        <v>0</v>
      </c>
      <c r="D18" s="208">
        <v>0</v>
      </c>
      <c r="E18" s="208">
        <v>0</v>
      </c>
      <c r="F18" s="208">
        <v>0</v>
      </c>
      <c r="G18" s="208">
        <v>0</v>
      </c>
      <c r="H18" s="208">
        <v>0</v>
      </c>
      <c r="I18" s="208">
        <v>0</v>
      </c>
      <c r="J18" s="208">
        <v>0</v>
      </c>
      <c r="K18" s="208">
        <v>0</v>
      </c>
      <c r="L18" s="208">
        <v>0</v>
      </c>
      <c r="M18" s="208">
        <f t="shared" si="4"/>
        <v>0</v>
      </c>
      <c r="N18" s="205">
        <f t="shared" si="3"/>
        <v>0</v>
      </c>
      <c r="O18" s="53" t="s">
        <v>20</v>
      </c>
    </row>
    <row r="19" spans="1:15" x14ac:dyDescent="0.25">
      <c r="A19" s="257">
        <v>2.5</v>
      </c>
      <c r="B19" s="260" t="s">
        <v>238</v>
      </c>
      <c r="C19" s="208">
        <v>0</v>
      </c>
      <c r="D19" s="208">
        <v>0</v>
      </c>
      <c r="E19" s="208">
        <v>0</v>
      </c>
      <c r="F19" s="208">
        <v>0</v>
      </c>
      <c r="G19" s="208">
        <v>0</v>
      </c>
      <c r="H19" s="208">
        <v>0</v>
      </c>
      <c r="I19" s="208">
        <v>0</v>
      </c>
      <c r="J19" s="208">
        <v>0</v>
      </c>
      <c r="K19" s="208">
        <v>0</v>
      </c>
      <c r="L19" s="208">
        <v>0</v>
      </c>
      <c r="M19" s="208">
        <f t="shared" si="4"/>
        <v>0</v>
      </c>
      <c r="N19" s="205">
        <f t="shared" si="3"/>
        <v>0</v>
      </c>
      <c r="O19" s="53" t="s">
        <v>20</v>
      </c>
    </row>
    <row r="20" spans="1:15" x14ac:dyDescent="0.25">
      <c r="A20" s="257">
        <v>2.6</v>
      </c>
      <c r="B20" s="260" t="s">
        <v>441</v>
      </c>
      <c r="C20" s="208">
        <v>0</v>
      </c>
      <c r="D20" s="208">
        <v>0</v>
      </c>
      <c r="E20" s="208">
        <v>0</v>
      </c>
      <c r="F20" s="208">
        <v>0</v>
      </c>
      <c r="G20" s="208">
        <v>0</v>
      </c>
      <c r="H20" s="208">
        <v>0</v>
      </c>
      <c r="I20" s="208">
        <v>0</v>
      </c>
      <c r="J20" s="208">
        <v>0</v>
      </c>
      <c r="K20" s="208">
        <v>0</v>
      </c>
      <c r="L20" s="208">
        <v>0</v>
      </c>
      <c r="M20" s="208">
        <f t="shared" si="4"/>
        <v>0</v>
      </c>
      <c r="N20" s="205">
        <f t="shared" si="3"/>
        <v>0</v>
      </c>
      <c r="O20" s="53" t="s">
        <v>20</v>
      </c>
    </row>
    <row r="21" spans="1:15" x14ac:dyDescent="0.25">
      <c r="A21" s="261"/>
      <c r="B21" s="262" t="s">
        <v>239</v>
      </c>
      <c r="C21" s="25">
        <f t="shared" ref="C21:M21" si="5">SUM(C15:C20)</f>
        <v>222500</v>
      </c>
      <c r="D21" s="25">
        <f t="shared" si="5"/>
        <v>0</v>
      </c>
      <c r="E21" s="25">
        <f t="shared" si="5"/>
        <v>0</v>
      </c>
      <c r="F21" s="25">
        <f t="shared" si="5"/>
        <v>223861.86000000002</v>
      </c>
      <c r="G21" s="25">
        <f t="shared" si="5"/>
        <v>0</v>
      </c>
      <c r="H21" s="25">
        <f t="shared" si="5"/>
        <v>222499.86000000002</v>
      </c>
      <c r="I21" s="25">
        <f t="shared" si="5"/>
        <v>0</v>
      </c>
      <c r="J21" s="25">
        <f t="shared" si="5"/>
        <v>79500</v>
      </c>
      <c r="K21" s="25">
        <f t="shared" si="5"/>
        <v>0</v>
      </c>
      <c r="L21" s="25">
        <f t="shared" si="5"/>
        <v>-39500</v>
      </c>
      <c r="M21" s="25">
        <f t="shared" si="5"/>
        <v>0</v>
      </c>
      <c r="N21" s="26">
        <f>SUM(N15:N20)</f>
        <v>262499.86</v>
      </c>
      <c r="O21" s="53" t="s">
        <v>20</v>
      </c>
    </row>
    <row r="22" spans="1:15" ht="41.4" x14ac:dyDescent="0.25">
      <c r="A22" s="253" t="s">
        <v>240</v>
      </c>
      <c r="B22" s="254" t="s">
        <v>241</v>
      </c>
      <c r="C22" s="255"/>
      <c r="D22" s="255"/>
      <c r="E22" s="255"/>
      <c r="F22" s="255"/>
      <c r="G22" s="255"/>
      <c r="H22" s="255"/>
      <c r="I22" s="255"/>
      <c r="J22" s="255"/>
      <c r="K22" s="255"/>
      <c r="L22" s="255"/>
      <c r="M22" s="255"/>
      <c r="N22" s="256"/>
      <c r="O22" s="53" t="s">
        <v>20</v>
      </c>
    </row>
    <row r="23" spans="1:15" ht="41.4" x14ac:dyDescent="0.25">
      <c r="A23" s="257">
        <v>3.1</v>
      </c>
      <c r="B23" s="258" t="s">
        <v>242</v>
      </c>
      <c r="C23" s="208">
        <v>40000</v>
      </c>
      <c r="D23" s="208">
        <v>0</v>
      </c>
      <c r="E23" s="208">
        <v>0</v>
      </c>
      <c r="F23" s="208">
        <v>40244.800000000003</v>
      </c>
      <c r="G23" s="208">
        <v>0</v>
      </c>
      <c r="H23" s="208">
        <f>F23-245</f>
        <v>39999.800000000003</v>
      </c>
      <c r="I23" s="208">
        <v>0</v>
      </c>
      <c r="J23" s="208">
        <v>30000</v>
      </c>
      <c r="K23" s="208">
        <v>0</v>
      </c>
      <c r="L23" s="208">
        <v>0</v>
      </c>
      <c r="M23" s="208">
        <f t="shared" ref="M23:N26" si="6">G23+I23+K23</f>
        <v>0</v>
      </c>
      <c r="N23" s="205">
        <f t="shared" si="6"/>
        <v>69999.8</v>
      </c>
      <c r="O23" s="53" t="s">
        <v>20</v>
      </c>
    </row>
    <row r="24" spans="1:15" ht="41.4" x14ac:dyDescent="0.25">
      <c r="A24" s="257">
        <v>3.2</v>
      </c>
      <c r="B24" s="258" t="s">
        <v>243</v>
      </c>
      <c r="C24" s="208">
        <v>0</v>
      </c>
      <c r="D24" s="208">
        <v>0</v>
      </c>
      <c r="E24" s="208">
        <v>0</v>
      </c>
      <c r="F24" s="208">
        <v>0</v>
      </c>
      <c r="G24" s="208">
        <v>0</v>
      </c>
      <c r="H24" s="208">
        <v>0</v>
      </c>
      <c r="I24" s="208">
        <v>0</v>
      </c>
      <c r="J24" s="208">
        <v>0</v>
      </c>
      <c r="K24" s="208">
        <v>0</v>
      </c>
      <c r="L24" s="208">
        <v>0</v>
      </c>
      <c r="M24" s="208">
        <f t="shared" si="6"/>
        <v>0</v>
      </c>
      <c r="N24" s="205">
        <f t="shared" si="6"/>
        <v>0</v>
      </c>
      <c r="O24" s="53" t="s">
        <v>20</v>
      </c>
    </row>
    <row r="25" spans="1:15" ht="41.4" x14ac:dyDescent="0.25">
      <c r="A25" s="257">
        <v>3.3</v>
      </c>
      <c r="B25" s="258" t="s">
        <v>244</v>
      </c>
      <c r="C25" s="208">
        <v>0</v>
      </c>
      <c r="D25" s="208">
        <v>0</v>
      </c>
      <c r="E25" s="208">
        <v>0</v>
      </c>
      <c r="F25" s="208">
        <v>0</v>
      </c>
      <c r="G25" s="208">
        <v>0</v>
      </c>
      <c r="H25" s="208">
        <v>0</v>
      </c>
      <c r="I25" s="208">
        <v>0</v>
      </c>
      <c r="J25" s="208">
        <v>0</v>
      </c>
      <c r="K25" s="208">
        <v>0</v>
      </c>
      <c r="L25" s="208">
        <v>0</v>
      </c>
      <c r="M25" s="208">
        <f t="shared" si="6"/>
        <v>0</v>
      </c>
      <c r="N25" s="205">
        <f t="shared" si="6"/>
        <v>0</v>
      </c>
      <c r="O25" s="53" t="s">
        <v>20</v>
      </c>
    </row>
    <row r="26" spans="1:15" ht="27.6" x14ac:dyDescent="0.25">
      <c r="A26" s="257">
        <v>3.4</v>
      </c>
      <c r="B26" s="258" t="s">
        <v>245</v>
      </c>
      <c r="C26" s="208">
        <v>0</v>
      </c>
      <c r="D26" s="208">
        <v>0</v>
      </c>
      <c r="E26" s="208">
        <v>0</v>
      </c>
      <c r="F26" s="208">
        <v>0</v>
      </c>
      <c r="G26" s="208">
        <v>0</v>
      </c>
      <c r="H26" s="208">
        <v>0</v>
      </c>
      <c r="I26" s="208">
        <v>0</v>
      </c>
      <c r="J26" s="208">
        <v>0</v>
      </c>
      <c r="K26" s="208">
        <v>0</v>
      </c>
      <c r="L26" s="208">
        <v>0</v>
      </c>
      <c r="M26" s="208">
        <f t="shared" si="6"/>
        <v>0</v>
      </c>
      <c r="N26" s="205">
        <f t="shared" si="6"/>
        <v>0</v>
      </c>
      <c r="O26" s="53" t="s">
        <v>20</v>
      </c>
    </row>
    <row r="27" spans="1:15" x14ac:dyDescent="0.25">
      <c r="A27" s="261"/>
      <c r="B27" s="263" t="s">
        <v>246</v>
      </c>
      <c r="C27" s="25">
        <f>SUM(C23:C26)</f>
        <v>40000</v>
      </c>
      <c r="D27" s="25">
        <f t="shared" ref="D27:N27" si="7">SUM(D23:D26)</f>
        <v>0</v>
      </c>
      <c r="E27" s="25">
        <f t="shared" si="7"/>
        <v>0</v>
      </c>
      <c r="F27" s="25">
        <f t="shared" si="7"/>
        <v>40244.800000000003</v>
      </c>
      <c r="G27" s="25">
        <f t="shared" si="7"/>
        <v>0</v>
      </c>
      <c r="H27" s="25">
        <f t="shared" si="7"/>
        <v>39999.800000000003</v>
      </c>
      <c r="I27" s="25">
        <f t="shared" si="7"/>
        <v>0</v>
      </c>
      <c r="J27" s="25">
        <f t="shared" si="7"/>
        <v>30000</v>
      </c>
      <c r="K27" s="25">
        <f t="shared" si="7"/>
        <v>0</v>
      </c>
      <c r="L27" s="25">
        <f t="shared" si="7"/>
        <v>0</v>
      </c>
      <c r="M27" s="25">
        <f t="shared" si="7"/>
        <v>0</v>
      </c>
      <c r="N27" s="26">
        <f t="shared" si="7"/>
        <v>69999.8</v>
      </c>
      <c r="O27" s="53" t="s">
        <v>20</v>
      </c>
    </row>
    <row r="28" spans="1:15" ht="14.4" thickBot="1" x14ac:dyDescent="0.3">
      <c r="A28" s="264"/>
      <c r="B28" s="265" t="s">
        <v>247</v>
      </c>
      <c r="C28" s="244">
        <f>C27+C21+C13</f>
        <v>262500</v>
      </c>
      <c r="D28" s="244">
        <f t="shared" ref="D28:N28" si="8">D27+D21+D13</f>
        <v>0</v>
      </c>
      <c r="E28" s="244">
        <f t="shared" si="8"/>
        <v>0</v>
      </c>
      <c r="F28" s="244">
        <f t="shared" si="8"/>
        <v>264106.66000000003</v>
      </c>
      <c r="G28" s="244">
        <f t="shared" si="8"/>
        <v>0</v>
      </c>
      <c r="H28" s="244">
        <f t="shared" si="8"/>
        <v>262499.66000000003</v>
      </c>
      <c r="I28" s="244">
        <f t="shared" si="8"/>
        <v>0</v>
      </c>
      <c r="J28" s="244">
        <f t="shared" si="8"/>
        <v>109500</v>
      </c>
      <c r="K28" s="244">
        <f t="shared" si="8"/>
        <v>0</v>
      </c>
      <c r="L28" s="244">
        <f t="shared" si="8"/>
        <v>-39500</v>
      </c>
      <c r="M28" s="244">
        <f t="shared" si="8"/>
        <v>0</v>
      </c>
      <c r="N28" s="266">
        <f t="shared" si="8"/>
        <v>332499.65999999997</v>
      </c>
      <c r="O28" s="53" t="s">
        <v>20</v>
      </c>
    </row>
    <row r="29" spans="1:15" x14ac:dyDescent="0.25">
      <c r="O29" s="53" t="s">
        <v>20</v>
      </c>
    </row>
    <row r="30" spans="1:15" x14ac:dyDescent="0.25">
      <c r="A30" s="718" t="s">
        <v>248</v>
      </c>
      <c r="B30" s="718"/>
      <c r="C30" s="718"/>
      <c r="D30" s="718"/>
      <c r="E30" s="718"/>
      <c r="F30" s="718"/>
      <c r="G30" s="718"/>
      <c r="H30" s="718"/>
      <c r="I30" s="718"/>
      <c r="J30" s="718"/>
      <c r="K30" s="718"/>
      <c r="L30" s="718"/>
      <c r="M30" s="718"/>
      <c r="N30" s="718"/>
      <c r="O30" s="53" t="s">
        <v>20</v>
      </c>
    </row>
    <row r="31" spans="1:15" x14ac:dyDescent="0.25">
      <c r="O31" s="53" t="s">
        <v>20</v>
      </c>
    </row>
    <row r="32" spans="1:15" x14ac:dyDescent="0.25">
      <c r="A32" s="178" t="s">
        <v>249</v>
      </c>
      <c r="O32" s="53" t="s">
        <v>20</v>
      </c>
    </row>
    <row r="33" spans="15:15" x14ac:dyDescent="0.25">
      <c r="O33" s="53" t="s">
        <v>21</v>
      </c>
    </row>
  </sheetData>
  <customSheetViews>
    <customSheetView guid="{5B2D5037-506A-47D5-AF28-C337BC9133BD}" scale="80" showPageBreaks="1" printArea="1" view="pageBreakPreview">
      <selection activeCell="A32" sqref="A32"/>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08380F1E-0CB7-4B3B-924E-2A270EA8DD30}" scale="80" showPageBreaks="1" printArea="1" view="pageBreakPreview">
      <selection activeCell="A32" sqref="A32"/>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D19943A8-2C2A-430A-A724-8C7C332697C8}" scale="80" showPageBreaks="1" printArea="1" view="pageBreakPreview">
      <selection activeCell="A32" sqref="A32"/>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 guid="{C6D68C6D-939C-4DFA-9385-A3F05DFB5EDA}" scale="80" showPageBreaks="1" printArea="1" view="pageBreakPreview">
      <selection activeCell="A32" sqref="A32"/>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Objective&amp;R&amp;"Arial,Regular"Juvenile Justice Programs</oddFooter>
      </headerFooter>
    </customSheetView>
  </customSheetViews>
  <mergeCells count="14">
    <mergeCell ref="M7:N7"/>
    <mergeCell ref="A30:N30"/>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5"/>
  <headerFooter>
    <oddHeader>&amp;L&amp;"Arial,Bold"&amp;12D. Resources by DOJ Strategic Goal and Strategic Objective</oddHeader>
    <oddFooter>&amp;C&amp;"Arial,Regular"Exhibit D - Resources by DOJ Strategic Goal and Strategic Objective&amp;R&amp;"Arial,Regular"Juvenile Justice Programs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view="pageBreakPreview" topLeftCell="C1" zoomScale="80" zoomScaleNormal="100" zoomScaleSheetLayoutView="80" workbookViewId="0">
      <selection activeCell="O27" sqref="O27"/>
    </sheetView>
  </sheetViews>
  <sheetFormatPr defaultColWidth="9.109375" defaultRowHeight="13.8" x14ac:dyDescent="0.25"/>
  <cols>
    <col min="1" max="1" width="45.109375" style="178" customWidth="1"/>
    <col min="2" max="3" width="8.33203125" style="178" customWidth="1"/>
    <col min="4" max="4" width="12.6640625" style="178" customWidth="1"/>
    <col min="5" max="5" width="7.109375" style="178" customWidth="1"/>
    <col min="6" max="6" width="8.6640625" style="178" customWidth="1"/>
    <col min="7" max="7" width="12.6640625" style="178" customWidth="1"/>
    <col min="8" max="9" width="8.33203125" style="178" customWidth="1"/>
    <col min="10" max="12" width="12.6640625" style="178" customWidth="1"/>
    <col min="13" max="14" width="8.33203125" style="178" customWidth="1"/>
    <col min="15" max="15" width="12.6640625" style="178" customWidth="1"/>
    <col min="16" max="16" width="14" style="7" bestFit="1" customWidth="1"/>
    <col min="17" max="17" width="4.5546875" style="178" customWidth="1"/>
    <col min="18" max="19" width="8.33203125" style="178" customWidth="1"/>
    <col min="20" max="20" width="12.6640625" style="178" customWidth="1"/>
    <col min="21" max="22" width="8.33203125" style="178" customWidth="1"/>
    <col min="23" max="23" width="12.6640625" style="178" customWidth="1"/>
    <col min="24" max="16384" width="9.109375" style="178"/>
  </cols>
  <sheetData>
    <row r="1" spans="1:23" ht="18" x14ac:dyDescent="0.25">
      <c r="A1" s="633" t="s">
        <v>39</v>
      </c>
      <c r="B1" s="633"/>
      <c r="C1" s="633"/>
      <c r="D1" s="633"/>
      <c r="E1" s="633"/>
      <c r="F1" s="633"/>
      <c r="G1" s="633"/>
      <c r="H1" s="633"/>
      <c r="I1" s="633"/>
      <c r="J1" s="633"/>
      <c r="K1" s="633"/>
      <c r="L1" s="633"/>
      <c r="M1" s="633"/>
      <c r="N1" s="633"/>
      <c r="O1" s="633"/>
      <c r="P1" s="53" t="s">
        <v>20</v>
      </c>
      <c r="Q1" s="9"/>
      <c r="R1" s="9"/>
      <c r="S1" s="9"/>
      <c r="T1" s="9"/>
      <c r="U1" s="9"/>
      <c r="V1" s="9"/>
      <c r="W1" s="9"/>
    </row>
    <row r="2" spans="1:23" ht="15" x14ac:dyDescent="0.2">
      <c r="A2" s="634" t="str">
        <f>'[2]B. Summ of Req. - JJ'!A2:D2</f>
        <v>Office of Justice Programs</v>
      </c>
      <c r="B2" s="634"/>
      <c r="C2" s="634"/>
      <c r="D2" s="634"/>
      <c r="E2" s="634"/>
      <c r="F2" s="634"/>
      <c r="G2" s="634"/>
      <c r="H2" s="634"/>
      <c r="I2" s="634"/>
      <c r="J2" s="634"/>
      <c r="K2" s="634"/>
      <c r="L2" s="634"/>
      <c r="M2" s="634"/>
      <c r="N2" s="634"/>
      <c r="O2" s="634"/>
      <c r="P2" s="53" t="s">
        <v>20</v>
      </c>
      <c r="Q2" s="10"/>
      <c r="R2" s="10"/>
      <c r="S2" s="10"/>
      <c r="T2" s="10"/>
      <c r="U2" s="10"/>
      <c r="V2" s="10"/>
      <c r="W2" s="10"/>
    </row>
    <row r="3" spans="1:23" ht="14.25" x14ac:dyDescent="0.2">
      <c r="A3" s="635" t="str">
        <f>'[2]B. Summ of Req. - JJ'!A3:D3</f>
        <v>Juvenile Justice Programs</v>
      </c>
      <c r="B3" s="635"/>
      <c r="C3" s="635"/>
      <c r="D3" s="635"/>
      <c r="E3" s="635"/>
      <c r="F3" s="635"/>
      <c r="G3" s="635"/>
      <c r="H3" s="635"/>
      <c r="I3" s="635"/>
      <c r="J3" s="635"/>
      <c r="K3" s="635"/>
      <c r="L3" s="635"/>
      <c r="M3" s="635"/>
      <c r="N3" s="635"/>
      <c r="O3" s="635"/>
      <c r="P3" s="53" t="s">
        <v>20</v>
      </c>
      <c r="Q3" s="221"/>
      <c r="R3" s="221"/>
      <c r="S3" s="221"/>
      <c r="T3" s="221"/>
      <c r="U3" s="221"/>
      <c r="V3" s="221"/>
      <c r="W3" s="221"/>
    </row>
    <row r="4" spans="1:23" ht="14.25" x14ac:dyDescent="0.2">
      <c r="A4" s="637" t="s">
        <v>1</v>
      </c>
      <c r="B4" s="637"/>
      <c r="C4" s="637"/>
      <c r="D4" s="637"/>
      <c r="E4" s="637"/>
      <c r="F4" s="637"/>
      <c r="G4" s="637"/>
      <c r="H4" s="637"/>
      <c r="I4" s="637"/>
      <c r="J4" s="637"/>
      <c r="K4" s="637"/>
      <c r="L4" s="637"/>
      <c r="M4" s="637"/>
      <c r="N4" s="637"/>
      <c r="O4" s="637"/>
      <c r="P4" s="53" t="s">
        <v>20</v>
      </c>
      <c r="Q4" s="11"/>
      <c r="R4" s="11"/>
      <c r="S4" s="11"/>
      <c r="T4" s="11"/>
      <c r="U4" s="11"/>
      <c r="V4" s="11"/>
      <c r="W4" s="11"/>
    </row>
    <row r="5" spans="1:23" ht="14.25" x14ac:dyDescent="0.2">
      <c r="A5" s="11"/>
      <c r="B5" s="11"/>
      <c r="C5" s="11"/>
      <c r="D5" s="11"/>
      <c r="E5" s="11"/>
      <c r="F5" s="11"/>
      <c r="G5" s="11"/>
      <c r="H5" s="11"/>
      <c r="I5" s="11"/>
      <c r="J5" s="11"/>
      <c r="K5" s="11"/>
      <c r="L5" s="11"/>
      <c r="M5" s="11"/>
      <c r="N5" s="11"/>
      <c r="O5" s="11"/>
      <c r="P5" s="53" t="s">
        <v>20</v>
      </c>
      <c r="Q5" s="11"/>
      <c r="R5" s="11"/>
      <c r="S5" s="11"/>
      <c r="T5" s="11"/>
      <c r="U5" s="11"/>
      <c r="V5" s="11"/>
      <c r="W5" s="11"/>
    </row>
    <row r="6" spans="1:23" ht="15" thickBot="1" x14ac:dyDescent="0.25">
      <c r="A6" s="52"/>
      <c r="B6" s="52"/>
      <c r="C6" s="52"/>
      <c r="D6" s="52"/>
      <c r="E6" s="52"/>
      <c r="F6" s="52"/>
      <c r="G6" s="52"/>
      <c r="H6" s="52"/>
      <c r="I6" s="52"/>
      <c r="J6" s="52"/>
      <c r="K6" s="52"/>
      <c r="L6" s="52"/>
      <c r="M6" s="52"/>
      <c r="N6" s="52"/>
      <c r="O6" s="52"/>
      <c r="P6" s="53" t="s">
        <v>20</v>
      </c>
      <c r="Q6" s="11"/>
      <c r="R6" s="11"/>
      <c r="S6" s="11"/>
      <c r="T6" s="11"/>
      <c r="U6" s="11"/>
      <c r="V6" s="11"/>
      <c r="W6" s="11"/>
    </row>
    <row r="7" spans="1:23" ht="33.75" customHeight="1" x14ac:dyDescent="0.25">
      <c r="A7" s="638" t="s">
        <v>134</v>
      </c>
      <c r="B7" s="641" t="s">
        <v>159</v>
      </c>
      <c r="C7" s="641"/>
      <c r="D7" s="641"/>
      <c r="E7" s="641" t="s">
        <v>130</v>
      </c>
      <c r="F7" s="670"/>
      <c r="G7" s="671"/>
      <c r="H7" s="641" t="s">
        <v>40</v>
      </c>
      <c r="I7" s="641"/>
      <c r="J7" s="641"/>
      <c r="K7" s="192" t="s">
        <v>41</v>
      </c>
      <c r="L7" s="192" t="s">
        <v>139</v>
      </c>
      <c r="M7" s="641" t="s">
        <v>45</v>
      </c>
      <c r="N7" s="641"/>
      <c r="O7" s="642"/>
      <c r="P7" s="53" t="s">
        <v>20</v>
      </c>
    </row>
    <row r="8" spans="1:23" ht="27.6" x14ac:dyDescent="0.25">
      <c r="A8" s="639"/>
      <c r="B8" s="222" t="s">
        <v>3</v>
      </c>
      <c r="C8" s="222" t="s">
        <v>128</v>
      </c>
      <c r="D8" s="222" t="s">
        <v>4</v>
      </c>
      <c r="E8" s="222" t="s">
        <v>3</v>
      </c>
      <c r="F8" s="222" t="s">
        <v>128</v>
      </c>
      <c r="G8" s="222" t="s">
        <v>4</v>
      </c>
      <c r="H8" s="222" t="s">
        <v>3</v>
      </c>
      <c r="I8" s="222" t="s">
        <v>128</v>
      </c>
      <c r="J8" s="222" t="s">
        <v>4</v>
      </c>
      <c r="K8" s="222" t="s">
        <v>4</v>
      </c>
      <c r="L8" s="222" t="s">
        <v>4</v>
      </c>
      <c r="M8" s="222" t="s">
        <v>3</v>
      </c>
      <c r="N8" s="222" t="s">
        <v>128</v>
      </c>
      <c r="O8" s="223" t="s">
        <v>4</v>
      </c>
      <c r="P8" s="53" t="s">
        <v>20</v>
      </c>
    </row>
    <row r="9" spans="1:23" ht="27.6" x14ac:dyDescent="0.25">
      <c r="A9" s="224" t="s">
        <v>367</v>
      </c>
      <c r="B9" s="225">
        <v>0</v>
      </c>
      <c r="C9" s="225">
        <v>0</v>
      </c>
      <c r="D9" s="225">
        <v>1500</v>
      </c>
      <c r="E9" s="225">
        <v>0</v>
      </c>
      <c r="F9" s="225">
        <v>0</v>
      </c>
      <c r="G9" s="225">
        <v>0</v>
      </c>
      <c r="H9" s="225">
        <v>0</v>
      </c>
      <c r="I9" s="225">
        <v>0</v>
      </c>
      <c r="J9" s="225">
        <v>-30</v>
      </c>
      <c r="K9" s="225">
        <v>0</v>
      </c>
      <c r="L9" s="225">
        <v>0</v>
      </c>
      <c r="M9" s="225">
        <f t="shared" ref="M9:N24" si="0">B9+H9</f>
        <v>0</v>
      </c>
      <c r="N9" s="225">
        <f t="shared" si="0"/>
        <v>0</v>
      </c>
      <c r="O9" s="226">
        <f t="shared" ref="O9:O25" si="1">D9+J9+K9+L9+G9</f>
        <v>1470</v>
      </c>
      <c r="P9" s="53" t="s">
        <v>20</v>
      </c>
    </row>
    <row r="10" spans="1:23" ht="27.6" x14ac:dyDescent="0.25">
      <c r="A10" s="228" t="s">
        <v>399</v>
      </c>
      <c r="B10" s="208">
        <v>0</v>
      </c>
      <c r="C10" s="208">
        <v>0</v>
      </c>
      <c r="D10" s="208">
        <v>8000</v>
      </c>
      <c r="E10" s="208">
        <v>0</v>
      </c>
      <c r="F10" s="208">
        <v>0</v>
      </c>
      <c r="G10" s="208">
        <v>0</v>
      </c>
      <c r="H10" s="208">
        <v>0</v>
      </c>
      <c r="I10" s="208">
        <v>0</v>
      </c>
      <c r="J10" s="208">
        <v>-160</v>
      </c>
      <c r="K10" s="208">
        <v>0</v>
      </c>
      <c r="L10" s="208">
        <v>0</v>
      </c>
      <c r="M10" s="208">
        <f t="shared" si="0"/>
        <v>0</v>
      </c>
      <c r="N10" s="208">
        <f t="shared" si="0"/>
        <v>0</v>
      </c>
      <c r="O10" s="205">
        <f t="shared" si="1"/>
        <v>7840</v>
      </c>
      <c r="P10" s="53" t="s">
        <v>20</v>
      </c>
    </row>
    <row r="11" spans="1:23" ht="27.6" x14ac:dyDescent="0.25">
      <c r="A11" s="228" t="s">
        <v>406</v>
      </c>
      <c r="B11" s="208">
        <v>0</v>
      </c>
      <c r="C11" s="208">
        <v>0</v>
      </c>
      <c r="D11" s="208">
        <v>30000</v>
      </c>
      <c r="E11" s="208">
        <v>0</v>
      </c>
      <c r="F11" s="208">
        <v>0</v>
      </c>
      <c r="G11" s="208">
        <f>-(1575.84729+0.15468)</f>
        <v>-1576.00197</v>
      </c>
      <c r="H11" s="208">
        <v>0</v>
      </c>
      <c r="I11" s="208">
        <v>0</v>
      </c>
      <c r="J11" s="208">
        <v>-600</v>
      </c>
      <c r="K11" s="208"/>
      <c r="L11" s="208">
        <v>0</v>
      </c>
      <c r="M11" s="208">
        <f t="shared" si="0"/>
        <v>0</v>
      </c>
      <c r="N11" s="208">
        <f t="shared" si="0"/>
        <v>0</v>
      </c>
      <c r="O11" s="205">
        <f t="shared" si="1"/>
        <v>27823.998029999999</v>
      </c>
      <c r="P11" s="53" t="s">
        <v>20</v>
      </c>
    </row>
    <row r="12" spans="1:23" ht="27.6" x14ac:dyDescent="0.25">
      <c r="A12" s="228" t="s">
        <v>411</v>
      </c>
      <c r="B12" s="208">
        <v>0</v>
      </c>
      <c r="C12" s="208">
        <v>0</v>
      </c>
      <c r="D12" s="208">
        <v>0</v>
      </c>
      <c r="E12" s="208">
        <v>0</v>
      </c>
      <c r="F12" s="208">
        <v>0</v>
      </c>
      <c r="G12" s="208">
        <v>0</v>
      </c>
      <c r="H12" s="208">
        <v>0</v>
      </c>
      <c r="I12" s="208">
        <v>0</v>
      </c>
      <c r="J12" s="208">
        <v>0</v>
      </c>
      <c r="K12" s="208">
        <v>1312</v>
      </c>
      <c r="L12" s="208">
        <f>1577.88015+67.8822+358</f>
        <v>2003.76235</v>
      </c>
      <c r="M12" s="208">
        <f t="shared" si="0"/>
        <v>0</v>
      </c>
      <c r="N12" s="208">
        <f t="shared" si="0"/>
        <v>0</v>
      </c>
      <c r="O12" s="205">
        <f t="shared" si="1"/>
        <v>3315.76235</v>
      </c>
      <c r="P12" s="53" t="s">
        <v>20</v>
      </c>
    </row>
    <row r="13" spans="1:23" x14ac:dyDescent="0.25">
      <c r="A13" s="228" t="s">
        <v>260</v>
      </c>
      <c r="B13" s="208">
        <v>0</v>
      </c>
      <c r="C13" s="208">
        <v>0</v>
      </c>
      <c r="D13" s="208">
        <v>65000</v>
      </c>
      <c r="E13" s="208">
        <v>0</v>
      </c>
      <c r="F13" s="208">
        <v>0</v>
      </c>
      <c r="G13" s="208">
        <v>0</v>
      </c>
      <c r="H13" s="208">
        <v>0</v>
      </c>
      <c r="I13" s="208">
        <v>0</v>
      </c>
      <c r="J13" s="208">
        <v>-1300</v>
      </c>
      <c r="K13" s="208">
        <v>0</v>
      </c>
      <c r="L13" s="208">
        <v>0</v>
      </c>
      <c r="M13" s="208">
        <f t="shared" si="0"/>
        <v>0</v>
      </c>
      <c r="N13" s="208">
        <f t="shared" si="0"/>
        <v>0</v>
      </c>
      <c r="O13" s="205">
        <f t="shared" si="1"/>
        <v>63700</v>
      </c>
      <c r="P13" s="53" t="s">
        <v>20</v>
      </c>
    </row>
    <row r="14" spans="1:23" ht="27.6" x14ac:dyDescent="0.25">
      <c r="A14" s="228" t="s">
        <v>401</v>
      </c>
      <c r="B14" s="208">
        <v>0</v>
      </c>
      <c r="C14" s="208">
        <v>0</v>
      </c>
      <c r="D14" s="208">
        <v>2000</v>
      </c>
      <c r="E14" s="208">
        <v>0</v>
      </c>
      <c r="F14" s="208">
        <v>0</v>
      </c>
      <c r="G14" s="208">
        <v>0</v>
      </c>
      <c r="H14" s="208">
        <v>0</v>
      </c>
      <c r="I14" s="208">
        <v>0</v>
      </c>
      <c r="J14" s="208">
        <v>-40</v>
      </c>
      <c r="K14" s="208">
        <v>0</v>
      </c>
      <c r="L14" s="208">
        <v>0</v>
      </c>
      <c r="M14" s="208">
        <f t="shared" si="0"/>
        <v>0</v>
      </c>
      <c r="N14" s="208">
        <f t="shared" si="0"/>
        <v>0</v>
      </c>
      <c r="O14" s="205">
        <f t="shared" si="1"/>
        <v>1960</v>
      </c>
      <c r="P14" s="53" t="s">
        <v>20</v>
      </c>
    </row>
    <row r="15" spans="1:23" x14ac:dyDescent="0.25">
      <c r="A15" s="228" t="s">
        <v>402</v>
      </c>
      <c r="B15" s="208">
        <v>0</v>
      </c>
      <c r="C15" s="208">
        <v>0</v>
      </c>
      <c r="D15" s="208">
        <v>40000</v>
      </c>
      <c r="E15" s="208">
        <v>0</v>
      </c>
      <c r="F15" s="208">
        <v>0</v>
      </c>
      <c r="G15" s="208">
        <v>-976.27985999999999</v>
      </c>
      <c r="H15" s="208">
        <v>0</v>
      </c>
      <c r="I15" s="208">
        <v>0</v>
      </c>
      <c r="J15" s="208">
        <v>-800</v>
      </c>
      <c r="K15" s="208">
        <v>501</v>
      </c>
      <c r="L15" s="208">
        <v>944.04722000000004</v>
      </c>
      <c r="M15" s="208">
        <f t="shared" si="0"/>
        <v>0</v>
      </c>
      <c r="N15" s="208">
        <f t="shared" si="0"/>
        <v>0</v>
      </c>
      <c r="O15" s="205">
        <f t="shared" si="1"/>
        <v>39668.767359999998</v>
      </c>
      <c r="P15" s="53" t="s">
        <v>20</v>
      </c>
    </row>
    <row r="16" spans="1:23" ht="27.6" x14ac:dyDescent="0.25">
      <c r="A16" s="228" t="s">
        <v>412</v>
      </c>
      <c r="B16" s="208">
        <v>0</v>
      </c>
      <c r="C16" s="208">
        <v>0</v>
      </c>
      <c r="D16" s="208">
        <v>0</v>
      </c>
      <c r="E16" s="208">
        <v>0</v>
      </c>
      <c r="F16" s="208">
        <v>0</v>
      </c>
      <c r="G16" s="208">
        <v>-5333.41626</v>
      </c>
      <c r="H16" s="208">
        <v>0</v>
      </c>
      <c r="I16" s="208">
        <v>0</v>
      </c>
      <c r="J16" s="208">
        <v>0</v>
      </c>
      <c r="K16" s="208">
        <v>597</v>
      </c>
      <c r="L16" s="208">
        <v>2626.8624</v>
      </c>
      <c r="M16" s="208">
        <f t="shared" si="0"/>
        <v>0</v>
      </c>
      <c r="N16" s="208">
        <f t="shared" si="0"/>
        <v>0</v>
      </c>
      <c r="O16" s="205">
        <f t="shared" si="1"/>
        <v>-2109.55386</v>
      </c>
      <c r="P16" s="53" t="s">
        <v>20</v>
      </c>
    </row>
    <row r="17" spans="1:16" ht="27.6" x14ac:dyDescent="0.25">
      <c r="A17" s="228" t="s">
        <v>403</v>
      </c>
      <c r="B17" s="208">
        <v>0</v>
      </c>
      <c r="C17" s="208">
        <v>0</v>
      </c>
      <c r="D17" s="208">
        <v>20000</v>
      </c>
      <c r="E17" s="208">
        <v>0</v>
      </c>
      <c r="F17" s="208">
        <v>0</v>
      </c>
      <c r="G17" s="208">
        <f>-244.58255</f>
        <v>-244.58255</v>
      </c>
      <c r="H17" s="208">
        <v>0</v>
      </c>
      <c r="I17" s="208">
        <v>0</v>
      </c>
      <c r="J17" s="208">
        <v>0</v>
      </c>
      <c r="K17" s="208">
        <v>1759</v>
      </c>
      <c r="L17" s="208">
        <v>203.05516</v>
      </c>
      <c r="M17" s="208">
        <f t="shared" si="0"/>
        <v>0</v>
      </c>
      <c r="N17" s="208">
        <f t="shared" si="0"/>
        <v>0</v>
      </c>
      <c r="O17" s="205">
        <f t="shared" si="1"/>
        <v>21717.472610000001</v>
      </c>
      <c r="P17" s="53" t="s">
        <v>20</v>
      </c>
    </row>
    <row r="18" spans="1:16" ht="14.4" x14ac:dyDescent="0.3">
      <c r="A18" s="228" t="s">
        <v>407</v>
      </c>
      <c r="B18" s="208">
        <v>0</v>
      </c>
      <c r="C18" s="208">
        <v>0</v>
      </c>
      <c r="D18" s="169">
        <v>5000</v>
      </c>
      <c r="E18" s="208">
        <v>0</v>
      </c>
      <c r="F18" s="208">
        <v>0</v>
      </c>
      <c r="G18" s="321">
        <v>-599.31453999999997</v>
      </c>
      <c r="H18" s="208">
        <v>0</v>
      </c>
      <c r="I18" s="208">
        <v>0</v>
      </c>
      <c r="J18" s="208">
        <v>-100</v>
      </c>
      <c r="K18" s="208">
        <v>0</v>
      </c>
      <c r="L18" s="208">
        <v>489.63524000000001</v>
      </c>
      <c r="M18" s="208">
        <f t="shared" si="0"/>
        <v>0</v>
      </c>
      <c r="N18" s="208">
        <f t="shared" si="0"/>
        <v>0</v>
      </c>
      <c r="O18" s="205">
        <f>J18+K18+L18+G18</f>
        <v>-209.67929999999996</v>
      </c>
      <c r="P18" s="53" t="s">
        <v>20</v>
      </c>
    </row>
    <row r="19" spans="1:16" ht="14.4" x14ac:dyDescent="0.3">
      <c r="A19" s="228" t="s">
        <v>408</v>
      </c>
      <c r="B19" s="208">
        <v>0</v>
      </c>
      <c r="C19" s="208">
        <v>0</v>
      </c>
      <c r="D19" s="169">
        <v>5000</v>
      </c>
      <c r="E19" s="208">
        <v>0</v>
      </c>
      <c r="F19" s="208">
        <v>0</v>
      </c>
      <c r="G19" s="208">
        <v>-495.94882000000001</v>
      </c>
      <c r="H19" s="208">
        <v>0</v>
      </c>
      <c r="I19" s="208">
        <v>0</v>
      </c>
      <c r="J19" s="208">
        <v>-100</v>
      </c>
      <c r="K19" s="208">
        <v>0</v>
      </c>
      <c r="L19" s="208">
        <v>470.28550000000001</v>
      </c>
      <c r="M19" s="208">
        <f t="shared" si="0"/>
        <v>0</v>
      </c>
      <c r="N19" s="208">
        <f t="shared" si="0"/>
        <v>0</v>
      </c>
      <c r="O19" s="205">
        <f t="shared" ref="O19:O20" si="2">J19+K19+L19+G19</f>
        <v>-125.66332</v>
      </c>
      <c r="P19" s="53" t="s">
        <v>20</v>
      </c>
    </row>
    <row r="20" spans="1:16" ht="14.4" x14ac:dyDescent="0.3">
      <c r="A20" s="228" t="s">
        <v>409</v>
      </c>
      <c r="B20" s="208">
        <v>0</v>
      </c>
      <c r="C20" s="208">
        <v>0</v>
      </c>
      <c r="D20" s="169">
        <v>10000</v>
      </c>
      <c r="E20" s="208">
        <v>0</v>
      </c>
      <c r="F20" s="208">
        <v>0</v>
      </c>
      <c r="G20" s="208">
        <f>-166.75312</f>
        <v>-166.75312</v>
      </c>
      <c r="H20" s="208">
        <v>0</v>
      </c>
      <c r="I20" s="208">
        <v>0</v>
      </c>
      <c r="J20" s="208">
        <v>-200</v>
      </c>
      <c r="K20" s="208">
        <v>0</v>
      </c>
      <c r="L20" s="208">
        <v>212.76412999999999</v>
      </c>
      <c r="M20" s="208">
        <f t="shared" si="0"/>
        <v>0</v>
      </c>
      <c r="N20" s="208">
        <f t="shared" si="0"/>
        <v>0</v>
      </c>
      <c r="O20" s="205">
        <f t="shared" si="2"/>
        <v>-153.98899</v>
      </c>
      <c r="P20" s="53" t="s">
        <v>20</v>
      </c>
    </row>
    <row r="21" spans="1:16" ht="27.6" x14ac:dyDescent="0.25">
      <c r="A21" s="228" t="s">
        <v>410</v>
      </c>
      <c r="B21" s="208">
        <v>0</v>
      </c>
      <c r="C21" s="208">
        <v>0</v>
      </c>
      <c r="D21" s="208">
        <v>18000</v>
      </c>
      <c r="E21" s="208">
        <v>0</v>
      </c>
      <c r="F21" s="208">
        <v>0</v>
      </c>
      <c r="G21" s="208">
        <v>0</v>
      </c>
      <c r="H21" s="208">
        <v>0</v>
      </c>
      <c r="I21" s="208">
        <v>0</v>
      </c>
      <c r="J21" s="208">
        <v>-360</v>
      </c>
      <c r="K21" s="208">
        <v>10</v>
      </c>
      <c r="L21" s="208">
        <v>0</v>
      </c>
      <c r="M21" s="208">
        <f t="shared" si="0"/>
        <v>0</v>
      </c>
      <c r="N21" s="208">
        <f t="shared" si="0"/>
        <v>0</v>
      </c>
      <c r="O21" s="205">
        <f t="shared" si="1"/>
        <v>17650</v>
      </c>
      <c r="P21" s="53" t="s">
        <v>20</v>
      </c>
    </row>
    <row r="22" spans="1:16" x14ac:dyDescent="0.25">
      <c r="A22" s="228" t="s">
        <v>384</v>
      </c>
      <c r="B22" s="208">
        <v>0</v>
      </c>
      <c r="C22" s="208">
        <v>0</v>
      </c>
      <c r="D22" s="208">
        <v>78000</v>
      </c>
      <c r="E22" s="208">
        <v>0</v>
      </c>
      <c r="F22" s="208">
        <v>0</v>
      </c>
      <c r="G22" s="208">
        <v>-114.7889</v>
      </c>
      <c r="H22" s="208">
        <v>0</v>
      </c>
      <c r="I22" s="208">
        <v>0</v>
      </c>
      <c r="J22" s="208">
        <v>-1560</v>
      </c>
      <c r="K22" s="208">
        <v>323</v>
      </c>
      <c r="L22" s="208">
        <v>114.7889</v>
      </c>
      <c r="M22" s="208">
        <f t="shared" si="0"/>
        <v>0</v>
      </c>
      <c r="N22" s="208">
        <f t="shared" si="0"/>
        <v>0</v>
      </c>
      <c r="O22" s="205">
        <f t="shared" si="1"/>
        <v>76763</v>
      </c>
      <c r="P22" s="53" t="s">
        <v>20</v>
      </c>
    </row>
    <row r="23" spans="1:16" x14ac:dyDescent="0.25">
      <c r="A23" s="228" t="s">
        <v>413</v>
      </c>
      <c r="B23" s="208">
        <v>0</v>
      </c>
      <c r="C23" s="208">
        <v>0</v>
      </c>
      <c r="D23" s="208">
        <v>0</v>
      </c>
      <c r="E23" s="208">
        <v>0</v>
      </c>
      <c r="F23" s="208">
        <v>0</v>
      </c>
      <c r="G23" s="208">
        <v>-187.43090000000001</v>
      </c>
      <c r="H23" s="208">
        <v>0</v>
      </c>
      <c r="I23" s="208">
        <v>0</v>
      </c>
      <c r="J23" s="208">
        <v>0</v>
      </c>
      <c r="K23" s="208">
        <v>0</v>
      </c>
      <c r="L23" s="208">
        <v>0</v>
      </c>
      <c r="M23" s="208">
        <f t="shared" si="0"/>
        <v>0</v>
      </c>
      <c r="N23" s="208">
        <f t="shared" si="0"/>
        <v>0</v>
      </c>
      <c r="O23" s="205">
        <f t="shared" si="1"/>
        <v>-187.43090000000001</v>
      </c>
      <c r="P23" s="53" t="s">
        <v>20</v>
      </c>
    </row>
    <row r="24" spans="1:16" ht="27.6" x14ac:dyDescent="0.25">
      <c r="A24" s="228" t="s">
        <v>414</v>
      </c>
      <c r="B24" s="208">
        <v>0</v>
      </c>
      <c r="C24" s="208">
        <v>0</v>
      </c>
      <c r="D24" s="208">
        <v>0</v>
      </c>
      <c r="E24" s="208">
        <v>0</v>
      </c>
      <c r="F24" s="208">
        <v>0</v>
      </c>
      <c r="G24" s="208">
        <v>-1.1640140000000001</v>
      </c>
      <c r="H24" s="208">
        <v>0</v>
      </c>
      <c r="I24" s="208">
        <v>0</v>
      </c>
      <c r="J24" s="208">
        <v>0</v>
      </c>
      <c r="K24" s="208">
        <v>0</v>
      </c>
      <c r="L24" s="208">
        <v>0</v>
      </c>
      <c r="M24" s="208">
        <f t="shared" si="0"/>
        <v>0</v>
      </c>
      <c r="N24" s="208">
        <f t="shared" si="0"/>
        <v>0</v>
      </c>
      <c r="O24" s="205">
        <f t="shared" si="1"/>
        <v>-1.1640140000000001</v>
      </c>
      <c r="P24" s="53" t="s">
        <v>20</v>
      </c>
    </row>
    <row r="25" spans="1:16" x14ac:dyDescent="0.25">
      <c r="A25" s="229" t="s">
        <v>254</v>
      </c>
      <c r="B25" s="230">
        <v>0</v>
      </c>
      <c r="C25" s="230">
        <v>0</v>
      </c>
      <c r="D25" s="230">
        <v>0</v>
      </c>
      <c r="E25" s="230">
        <v>0</v>
      </c>
      <c r="F25" s="230">
        <v>0</v>
      </c>
      <c r="G25" s="230">
        <f>-(7.10304+0.08764+14.54601)</f>
        <v>-21.736690000000003</v>
      </c>
      <c r="H25" s="230">
        <v>0</v>
      </c>
      <c r="I25" s="230">
        <v>0</v>
      </c>
      <c r="J25" s="230">
        <v>0</v>
      </c>
      <c r="K25" s="230">
        <v>879</v>
      </c>
      <c r="L25" s="230">
        <f>1.16014-0.41759+0.08764+22.21034</f>
        <v>23.040529999999997</v>
      </c>
      <c r="M25" s="230">
        <f t="shared" ref="M25:N25" si="3">B25+H25</f>
        <v>0</v>
      </c>
      <c r="N25" s="230">
        <f t="shared" si="3"/>
        <v>0</v>
      </c>
      <c r="O25" s="231">
        <f t="shared" si="1"/>
        <v>880.30384000000004</v>
      </c>
      <c r="P25" s="53" t="s">
        <v>20</v>
      </c>
    </row>
    <row r="26" spans="1:16" x14ac:dyDescent="0.25">
      <c r="A26" s="16" t="s">
        <v>131</v>
      </c>
      <c r="B26" s="143">
        <f>SUM(B9:B25)</f>
        <v>0</v>
      </c>
      <c r="C26" s="143">
        <f>SUM(C9:C25)</f>
        <v>0</v>
      </c>
      <c r="D26" s="143">
        <f>D9+D10+D11+D12+D13+D14+D15+D17+D21+D22</f>
        <v>262500</v>
      </c>
      <c r="E26" s="143">
        <f t="shared" ref="E26:N26" si="4">SUM(E9:E25)</f>
        <v>0</v>
      </c>
      <c r="F26" s="143">
        <f t="shared" si="4"/>
        <v>0</v>
      </c>
      <c r="G26" s="143">
        <f t="shared" si="4"/>
        <v>-9717.4176239999979</v>
      </c>
      <c r="H26" s="143">
        <f t="shared" si="4"/>
        <v>0</v>
      </c>
      <c r="I26" s="143">
        <f t="shared" si="4"/>
        <v>0</v>
      </c>
      <c r="J26" s="143">
        <f t="shared" si="4"/>
        <v>-5250</v>
      </c>
      <c r="K26" s="143">
        <f t="shared" si="4"/>
        <v>5381</v>
      </c>
      <c r="L26" s="143">
        <f>SUM(L9:L25)</f>
        <v>7088.2414299999982</v>
      </c>
      <c r="M26" s="143">
        <f t="shared" si="4"/>
        <v>0</v>
      </c>
      <c r="N26" s="143">
        <f t="shared" si="4"/>
        <v>0</v>
      </c>
      <c r="O26" s="144">
        <f>SUM(O9:O25)</f>
        <v>260001.823806</v>
      </c>
      <c r="P26" s="53" t="s">
        <v>20</v>
      </c>
    </row>
    <row r="27" spans="1:16" x14ac:dyDescent="0.25">
      <c r="A27" s="198" t="s">
        <v>26</v>
      </c>
      <c r="B27" s="234"/>
      <c r="C27" s="234">
        <v>0</v>
      </c>
      <c r="D27" s="234"/>
      <c r="E27" s="234"/>
      <c r="F27" s="234">
        <v>0</v>
      </c>
      <c r="G27" s="234">
        <v>0</v>
      </c>
      <c r="H27" s="234"/>
      <c r="I27" s="234">
        <v>0</v>
      </c>
      <c r="J27" s="234"/>
      <c r="K27" s="234"/>
      <c r="L27" s="322"/>
      <c r="M27" s="234"/>
      <c r="N27" s="234">
        <f>C27+I27+F27</f>
        <v>0</v>
      </c>
      <c r="O27" s="235"/>
      <c r="P27" s="53" t="s">
        <v>20</v>
      </c>
    </row>
    <row r="28" spans="1:16" x14ac:dyDescent="0.25">
      <c r="A28" s="195" t="s">
        <v>132</v>
      </c>
      <c r="B28" s="208"/>
      <c r="C28" s="208">
        <f>C26+C27</f>
        <v>0</v>
      </c>
      <c r="D28" s="208"/>
      <c r="E28" s="208"/>
      <c r="F28" s="208">
        <f>F26+F27</f>
        <v>0</v>
      </c>
      <c r="G28" s="208">
        <v>0</v>
      </c>
      <c r="H28" s="208"/>
      <c r="I28" s="208">
        <f>I26+I27</f>
        <v>0</v>
      </c>
      <c r="J28" s="208"/>
      <c r="K28" s="208"/>
      <c r="L28" s="323"/>
      <c r="M28" s="208"/>
      <c r="N28" s="234">
        <f>N26+N27</f>
        <v>0</v>
      </c>
      <c r="O28" s="205"/>
      <c r="P28" s="53" t="s">
        <v>20</v>
      </c>
    </row>
    <row r="29" spans="1:16" x14ac:dyDescent="0.25">
      <c r="A29" s="195"/>
      <c r="B29" s="208"/>
      <c r="C29" s="208"/>
      <c r="D29" s="208"/>
      <c r="E29" s="208"/>
      <c r="F29" s="208"/>
      <c r="G29" s="208"/>
      <c r="H29" s="208"/>
      <c r="I29" s="208"/>
      <c r="J29" s="208"/>
      <c r="K29" s="208"/>
      <c r="L29" s="208"/>
      <c r="M29" s="208"/>
      <c r="N29" s="208"/>
      <c r="O29" s="205"/>
      <c r="P29" s="53" t="s">
        <v>20</v>
      </c>
    </row>
    <row r="30" spans="1:16" x14ac:dyDescent="0.25">
      <c r="A30" s="195" t="s">
        <v>27</v>
      </c>
      <c r="B30" s="208"/>
      <c r="C30" s="208"/>
      <c r="D30" s="208"/>
      <c r="E30" s="208"/>
      <c r="F30" s="208"/>
      <c r="G30" s="208"/>
      <c r="H30" s="208"/>
      <c r="I30" s="208"/>
      <c r="J30" s="208"/>
      <c r="K30" s="208"/>
      <c r="L30" s="208"/>
      <c r="M30" s="208"/>
      <c r="N30" s="208"/>
      <c r="O30" s="205"/>
      <c r="P30" s="53" t="s">
        <v>20</v>
      </c>
    </row>
    <row r="31" spans="1:16" x14ac:dyDescent="0.25">
      <c r="A31" s="236" t="s">
        <v>28</v>
      </c>
      <c r="B31" s="208"/>
      <c r="C31" s="208">
        <v>0</v>
      </c>
      <c r="D31" s="208"/>
      <c r="E31" s="208"/>
      <c r="F31" s="208">
        <v>0</v>
      </c>
      <c r="G31" s="208"/>
      <c r="H31" s="208"/>
      <c r="I31" s="208">
        <v>0</v>
      </c>
      <c r="J31" s="208"/>
      <c r="K31" s="208"/>
      <c r="L31" s="208"/>
      <c r="M31" s="208"/>
      <c r="N31" s="208">
        <f>C31+I31+F31</f>
        <v>0</v>
      </c>
      <c r="O31" s="205"/>
      <c r="P31" s="53" t="s">
        <v>20</v>
      </c>
    </row>
    <row r="32" spans="1:16" x14ac:dyDescent="0.25">
      <c r="A32" s="237" t="s">
        <v>29</v>
      </c>
      <c r="B32" s="238"/>
      <c r="C32" s="238">
        <v>0</v>
      </c>
      <c r="D32" s="238"/>
      <c r="E32" s="238"/>
      <c r="F32" s="238">
        <v>0</v>
      </c>
      <c r="G32" s="238"/>
      <c r="H32" s="238"/>
      <c r="I32" s="238">
        <v>0</v>
      </c>
      <c r="J32" s="238"/>
      <c r="K32" s="238"/>
      <c r="L32" s="238"/>
      <c r="M32" s="238"/>
      <c r="N32" s="208">
        <f>C32+I32+F31</f>
        <v>0</v>
      </c>
      <c r="O32" s="239"/>
      <c r="P32" s="53" t="s">
        <v>20</v>
      </c>
    </row>
    <row r="33" spans="1:16" ht="14.4" thickBot="1" x14ac:dyDescent="0.3">
      <c r="A33" s="240" t="s">
        <v>133</v>
      </c>
      <c r="B33" s="241"/>
      <c r="C33" s="241">
        <f>C28+C31+C32</f>
        <v>0</v>
      </c>
      <c r="D33" s="241"/>
      <c r="E33" s="241"/>
      <c r="F33" s="241">
        <f>F28+F31+F32</f>
        <v>0</v>
      </c>
      <c r="G33" s="241"/>
      <c r="H33" s="241"/>
      <c r="I33" s="241">
        <f>I28+I31+I32</f>
        <v>0</v>
      </c>
      <c r="J33" s="241"/>
      <c r="K33" s="241"/>
      <c r="L33" s="241"/>
      <c r="M33" s="241"/>
      <c r="N33" s="241">
        <f>SUM(N28,N31:N32)</f>
        <v>0</v>
      </c>
      <c r="O33" s="242"/>
      <c r="P33" s="53" t="s">
        <v>20</v>
      </c>
    </row>
    <row r="34" spans="1:16" x14ac:dyDescent="0.25">
      <c r="P34" s="53" t="s">
        <v>20</v>
      </c>
    </row>
    <row r="35" spans="1:16" x14ac:dyDescent="0.25">
      <c r="A35" s="8" t="s">
        <v>40</v>
      </c>
      <c r="P35" s="53" t="s">
        <v>20</v>
      </c>
    </row>
    <row r="36" spans="1:16" x14ac:dyDescent="0.25">
      <c r="A36" s="668" t="s">
        <v>415</v>
      </c>
      <c r="B36" s="668"/>
      <c r="C36" s="668"/>
      <c r="D36" s="668"/>
      <c r="E36" s="668"/>
      <c r="F36" s="668"/>
      <c r="G36" s="668"/>
      <c r="H36" s="668"/>
      <c r="I36" s="668"/>
      <c r="J36" s="668"/>
      <c r="K36" s="668"/>
      <c r="L36" s="668"/>
      <c r="M36" s="668"/>
      <c r="N36" s="668"/>
      <c r="O36" s="668"/>
      <c r="P36" s="53" t="s">
        <v>20</v>
      </c>
    </row>
    <row r="37" spans="1:16" x14ac:dyDescent="0.25">
      <c r="A37" s="721"/>
      <c r="B37" s="721"/>
      <c r="C37" s="721"/>
      <c r="D37" s="721"/>
      <c r="E37" s="721"/>
      <c r="F37" s="721"/>
      <c r="G37" s="721"/>
      <c r="H37" s="721"/>
      <c r="I37" s="721"/>
      <c r="J37" s="721"/>
      <c r="K37" s="721"/>
      <c r="L37" s="721"/>
      <c r="M37" s="721"/>
      <c r="N37" s="721"/>
      <c r="O37" s="721"/>
      <c r="P37" s="53" t="s">
        <v>20</v>
      </c>
    </row>
    <row r="38" spans="1:16" x14ac:dyDescent="0.25">
      <c r="A38" s="8" t="s">
        <v>151</v>
      </c>
      <c r="P38" s="53" t="s">
        <v>20</v>
      </c>
    </row>
    <row r="39" spans="1:16" x14ac:dyDescent="0.25">
      <c r="A39" s="668" t="s">
        <v>416</v>
      </c>
      <c r="B39" s="668"/>
      <c r="C39" s="668"/>
      <c r="D39" s="668"/>
      <c r="E39" s="668"/>
      <c r="F39" s="668"/>
      <c r="G39" s="668"/>
      <c r="H39" s="668"/>
      <c r="I39" s="668"/>
      <c r="J39" s="668"/>
      <c r="K39" s="668"/>
      <c r="L39" s="668"/>
      <c r="M39" s="668"/>
      <c r="N39" s="668"/>
      <c r="O39" s="668"/>
      <c r="P39" s="53" t="s">
        <v>20</v>
      </c>
    </row>
    <row r="40" spans="1:16" x14ac:dyDescent="0.25">
      <c r="A40" s="721"/>
      <c r="B40" s="721"/>
      <c r="C40" s="721"/>
      <c r="D40" s="721"/>
      <c r="E40" s="721"/>
      <c r="F40" s="721"/>
      <c r="G40" s="721"/>
      <c r="H40" s="721"/>
      <c r="I40" s="721"/>
      <c r="J40" s="721"/>
      <c r="K40" s="721"/>
      <c r="L40" s="721"/>
      <c r="M40" s="721"/>
      <c r="N40" s="721"/>
      <c r="O40" s="721"/>
      <c r="P40" s="53" t="s">
        <v>20</v>
      </c>
    </row>
    <row r="41" spans="1:16" x14ac:dyDescent="0.25">
      <c r="A41" s="8" t="s">
        <v>152</v>
      </c>
      <c r="P41" s="53" t="s">
        <v>20</v>
      </c>
    </row>
    <row r="42" spans="1:16" x14ac:dyDescent="0.25">
      <c r="A42" s="668" t="s">
        <v>417</v>
      </c>
      <c r="B42" s="668"/>
      <c r="C42" s="668"/>
      <c r="D42" s="668"/>
      <c r="E42" s="668"/>
      <c r="F42" s="668"/>
      <c r="G42" s="668"/>
      <c r="H42" s="668"/>
      <c r="I42" s="668"/>
      <c r="J42" s="668"/>
      <c r="K42" s="668"/>
      <c r="L42" s="668"/>
      <c r="M42" s="668"/>
      <c r="N42" s="668"/>
      <c r="O42" s="668"/>
      <c r="P42" s="53" t="s">
        <v>20</v>
      </c>
    </row>
    <row r="43" spans="1:16" x14ac:dyDescent="0.25">
      <c r="A43" s="721"/>
      <c r="B43" s="721"/>
      <c r="C43" s="721"/>
      <c r="D43" s="721"/>
      <c r="E43" s="721"/>
      <c r="F43" s="721"/>
      <c r="G43" s="721"/>
      <c r="H43" s="721"/>
      <c r="I43" s="721"/>
      <c r="J43" s="721"/>
      <c r="K43" s="721"/>
      <c r="L43" s="721"/>
      <c r="M43" s="721"/>
      <c r="N43" s="721"/>
      <c r="O43" s="721"/>
      <c r="P43" s="53" t="s">
        <v>20</v>
      </c>
    </row>
    <row r="44" spans="1:16" x14ac:dyDescent="0.25">
      <c r="A44" s="178" t="s">
        <v>418</v>
      </c>
      <c r="P44" s="53" t="s">
        <v>20</v>
      </c>
    </row>
    <row r="45" spans="1:16" x14ac:dyDescent="0.25">
      <c r="P45" s="7" t="s">
        <v>21</v>
      </c>
    </row>
  </sheetData>
  <customSheetViews>
    <customSheetView guid="{5B2D5037-506A-47D5-AF28-C337BC9133BD}" scale="80" showPageBreaks="1" printArea="1" view="pageBreakPreview" topLeftCell="C1">
      <selection activeCell="O27" sqref="O27"/>
      <pageMargins left="0.7" right="0.7" top="0.64" bottom="0.61" header="0.3" footer="0.3"/>
      <printOptions horizontalCentered="1"/>
      <pageSetup scale="64" orientation="landscape" r:id="rId1"/>
      <headerFooter>
        <oddHeader>&amp;L&amp;"Arial,Bold"&amp;12F. Crosswalk of 2012 Availability</oddHeader>
        <oddFooter>&amp;C&amp;"Arial,Regular"Exhibit F - Crosswalk of 2012 Availability&amp;R&amp;"Arial,Regular"Juvenile Justice Programs</oddFooter>
      </headerFooter>
    </customSheetView>
    <customSheetView guid="{08380F1E-0CB7-4B3B-924E-2A270EA8DD30}" scale="80" showPageBreaks="1" printArea="1" view="pageBreakPreview" topLeftCell="C1">
      <selection activeCell="O27" sqref="O27"/>
      <pageMargins left="0.7" right="0.7" top="0.64" bottom="0.61" header="0.3" footer="0.3"/>
      <printOptions horizontalCentered="1"/>
      <pageSetup scale="64" orientation="landscape" r:id="rId2"/>
      <headerFooter>
        <oddHeader>&amp;L&amp;"Arial,Bold"&amp;12F. Crosswalk of 2012 Availability</oddHeader>
        <oddFooter>&amp;C&amp;"Arial,Regular"Exhibit F - Crosswalk of 2012 Availability&amp;R&amp;"Arial,Regular"Juvenile Justice Programs</oddFooter>
      </headerFooter>
    </customSheetView>
    <customSheetView guid="{D19943A8-2C2A-430A-A724-8C7C332697C8}" scale="80" showPageBreaks="1" printArea="1" view="pageBreakPreview" topLeftCell="C1">
      <selection activeCell="O27" sqref="O27"/>
      <pageMargins left="0.7" right="0.7" top="0.64" bottom="0.61" header="0.3" footer="0.3"/>
      <printOptions horizontalCentered="1"/>
      <pageSetup scale="64" orientation="landscape" r:id="rId3"/>
      <headerFooter>
        <oddHeader>&amp;L&amp;"Arial,Bold"&amp;12F. Crosswalk of 2012 Availability</oddHeader>
        <oddFooter>&amp;C&amp;"Arial,Regular"Exhibit F - Crosswalk of 2012 Availability&amp;R&amp;"Arial,Regular"Juvenile Justice Programs</oddFooter>
      </headerFooter>
    </customSheetView>
    <customSheetView guid="{C6D68C6D-939C-4DFA-9385-A3F05DFB5EDA}" scale="80" showPageBreaks="1" printArea="1" view="pageBreakPreview" topLeftCell="C1">
      <selection activeCell="O27" sqref="O27"/>
      <pageMargins left="0.7" right="0.7" top="0.64" bottom="0.61" header="0.3" footer="0.3"/>
      <printOptions horizontalCentered="1"/>
      <pageSetup scale="64" orientation="landscape" r:id="rId4"/>
      <headerFooter>
        <oddHeader>&amp;L&amp;"Arial,Bold"&amp;12F. Crosswalk of 2012 Availability</oddHeader>
        <oddFooter>&amp;C&amp;"Arial,Regular"Exhibit F - Crosswalk of 2012 Availability&amp;R&amp;"Arial,Regular"Juvenile Justice Programs</oddFooter>
      </headerFooter>
    </customSheetView>
  </customSheetViews>
  <mergeCells count="15">
    <mergeCell ref="A43:O43"/>
    <mergeCell ref="A1:O1"/>
    <mergeCell ref="A2:O2"/>
    <mergeCell ref="A3:O3"/>
    <mergeCell ref="A4:O4"/>
    <mergeCell ref="A7:A8"/>
    <mergeCell ref="B7:D7"/>
    <mergeCell ref="E7:G7"/>
    <mergeCell ref="H7:J7"/>
    <mergeCell ref="M7:O7"/>
    <mergeCell ref="A36:O36"/>
    <mergeCell ref="A37:O37"/>
    <mergeCell ref="A39:O39"/>
    <mergeCell ref="A40:O40"/>
    <mergeCell ref="A42:O42"/>
  </mergeCells>
  <printOptions horizontalCentered="1"/>
  <pageMargins left="0.7" right="0.7" top="0.64" bottom="0.61" header="0.3" footer="0.3"/>
  <pageSetup scale="64" orientation="landscape" r:id="rId5"/>
  <headerFooter>
    <oddHeader>&amp;L&amp;"Arial,Bold"&amp;12F. Crosswalk of 2012 Availability</oddHeader>
    <oddFooter>&amp;C&amp;"Arial,Regular"Exhibit F - Crosswalk of 2012 Availability&amp;R&amp;"Arial,Regular"Juvenile Justice Programs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view="pageBreakPreview" topLeftCell="A13" zoomScale="90" zoomScaleNormal="100" zoomScaleSheetLayoutView="90" workbookViewId="0">
      <selection activeCell="I61" sqref="I61"/>
    </sheetView>
  </sheetViews>
  <sheetFormatPr defaultColWidth="9.109375" defaultRowHeight="13.8" x14ac:dyDescent="0.25"/>
  <cols>
    <col min="1" max="1" width="37.109375" style="178" customWidth="1"/>
    <col min="2" max="3" width="8.33203125" style="178" customWidth="1"/>
    <col min="4" max="4" width="12.6640625" style="178" customWidth="1"/>
    <col min="5" max="5" width="15" style="178" customWidth="1"/>
    <col min="6" max="7" width="8.33203125" style="178" customWidth="1"/>
    <col min="8"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395</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11"/>
      <c r="C5" s="11"/>
      <c r="D5" s="11"/>
      <c r="E5" s="11"/>
      <c r="F5" s="11"/>
      <c r="G5" s="11"/>
      <c r="H5" s="11"/>
      <c r="I5" s="11"/>
      <c r="J5" s="11"/>
      <c r="K5" s="11"/>
      <c r="L5" s="11"/>
      <c r="M5" s="11"/>
      <c r="N5" s="53" t="s">
        <v>20</v>
      </c>
      <c r="O5" s="11"/>
      <c r="P5" s="11"/>
      <c r="Q5" s="11"/>
      <c r="R5" s="11"/>
      <c r="S5" s="11"/>
      <c r="T5" s="11"/>
      <c r="U5" s="11"/>
    </row>
    <row r="6" spans="1:21" ht="15" thickBot="1" x14ac:dyDescent="0.25">
      <c r="A6" s="52"/>
      <c r="B6" s="52"/>
      <c r="C6" s="52"/>
      <c r="D6" s="52"/>
      <c r="E6" s="52"/>
      <c r="F6" s="52"/>
      <c r="G6" s="52"/>
      <c r="H6" s="52"/>
      <c r="I6" s="52"/>
      <c r="J6" s="52"/>
      <c r="K6" s="52"/>
      <c r="L6" s="52"/>
      <c r="M6" s="52"/>
      <c r="N6" s="53" t="s">
        <v>20</v>
      </c>
      <c r="O6" s="11"/>
      <c r="P6" s="11"/>
      <c r="Q6" s="11"/>
      <c r="R6" s="11"/>
      <c r="S6" s="11"/>
      <c r="T6" s="11"/>
      <c r="U6" s="11"/>
    </row>
    <row r="7" spans="1:21" ht="33.75" customHeight="1" x14ac:dyDescent="0.25">
      <c r="A7" s="638" t="s">
        <v>134</v>
      </c>
      <c r="B7" s="641" t="s">
        <v>451</v>
      </c>
      <c r="C7" s="641"/>
      <c r="D7" s="641"/>
      <c r="E7" s="192" t="s">
        <v>138</v>
      </c>
      <c r="F7" s="641" t="s">
        <v>40</v>
      </c>
      <c r="G7" s="641"/>
      <c r="H7" s="641"/>
      <c r="I7" s="192" t="s">
        <v>41</v>
      </c>
      <c r="J7" s="192" t="s">
        <v>139</v>
      </c>
      <c r="K7" s="641" t="s">
        <v>43</v>
      </c>
      <c r="L7" s="641"/>
      <c r="M7" s="642"/>
      <c r="N7" s="53" t="s">
        <v>20</v>
      </c>
    </row>
    <row r="8" spans="1:21" ht="27.6" x14ac:dyDescent="0.25">
      <c r="A8" s="639"/>
      <c r="B8" s="222" t="s">
        <v>3</v>
      </c>
      <c r="C8" s="222" t="s">
        <v>129</v>
      </c>
      <c r="D8" s="222" t="s">
        <v>4</v>
      </c>
      <c r="E8" s="222" t="s">
        <v>4</v>
      </c>
      <c r="F8" s="222" t="s">
        <v>3</v>
      </c>
      <c r="G8" s="222" t="s">
        <v>129</v>
      </c>
      <c r="H8" s="222" t="s">
        <v>4</v>
      </c>
      <c r="I8" s="222" t="s">
        <v>4</v>
      </c>
      <c r="J8" s="222" t="s">
        <v>4</v>
      </c>
      <c r="K8" s="222" t="s">
        <v>3</v>
      </c>
      <c r="L8" s="222" t="s">
        <v>129</v>
      </c>
      <c r="M8" s="223" t="s">
        <v>4</v>
      </c>
      <c r="N8" s="53" t="s">
        <v>20</v>
      </c>
    </row>
    <row r="9" spans="1:21" ht="41.4" x14ac:dyDescent="0.25">
      <c r="A9" s="224" t="s">
        <v>367</v>
      </c>
      <c r="B9" s="225">
        <v>0</v>
      </c>
      <c r="C9" s="225">
        <v>0</v>
      </c>
      <c r="D9" s="225">
        <v>1509.18</v>
      </c>
      <c r="E9" s="225">
        <v>0</v>
      </c>
      <c r="F9" s="225">
        <v>0</v>
      </c>
      <c r="G9" s="225">
        <v>0</v>
      </c>
      <c r="H9" s="225">
        <v>0</v>
      </c>
      <c r="I9" s="324">
        <v>0.63900000000000001</v>
      </c>
      <c r="J9" s="225">
        <v>0</v>
      </c>
      <c r="K9" s="225">
        <f>B9+F9</f>
        <v>0</v>
      </c>
      <c r="L9" s="225">
        <f>C9+G9</f>
        <v>0</v>
      </c>
      <c r="M9" s="226">
        <f>D9+E9+H9+I9+J9</f>
        <v>1509.819</v>
      </c>
      <c r="N9" s="53" t="s">
        <v>20</v>
      </c>
    </row>
    <row r="10" spans="1:21" ht="27.6" x14ac:dyDescent="0.25">
      <c r="A10" s="228" t="s">
        <v>399</v>
      </c>
      <c r="B10" s="208">
        <v>0</v>
      </c>
      <c r="C10" s="208">
        <v>0</v>
      </c>
      <c r="D10" s="208">
        <v>8048.96</v>
      </c>
      <c r="E10" s="208">
        <v>0</v>
      </c>
      <c r="F10" s="208">
        <v>0</v>
      </c>
      <c r="G10" s="208">
        <v>0</v>
      </c>
      <c r="H10" s="208">
        <v>0</v>
      </c>
      <c r="I10" s="321">
        <v>0</v>
      </c>
      <c r="J10" s="321">
        <v>0</v>
      </c>
      <c r="K10" s="208">
        <f t="shared" ref="K10:L24" si="0">B10+F10</f>
        <v>0</v>
      </c>
      <c r="L10" s="208">
        <f t="shared" si="0"/>
        <v>0</v>
      </c>
      <c r="M10" s="205">
        <f t="shared" ref="M10:M16" si="1">D10+E10+H10+I10+J10</f>
        <v>8048.96</v>
      </c>
      <c r="N10" s="53" t="s">
        <v>20</v>
      </c>
    </row>
    <row r="11" spans="1:21" ht="27.6" x14ac:dyDescent="0.25">
      <c r="A11" s="228" t="s">
        <v>406</v>
      </c>
      <c r="B11" s="208">
        <v>0</v>
      </c>
      <c r="C11" s="208">
        <v>0</v>
      </c>
      <c r="D11" s="208">
        <v>30183.599999999999</v>
      </c>
      <c r="E11" s="208">
        <v>0</v>
      </c>
      <c r="F11" s="208">
        <v>0</v>
      </c>
      <c r="G11" s="208">
        <v>0</v>
      </c>
      <c r="H11" s="208">
        <v>0</v>
      </c>
      <c r="I11" s="321">
        <f>73.86483-602.18756-3.92652</f>
        <v>-532.24924999999996</v>
      </c>
      <c r="J11" s="321">
        <f>200.6283+87.43348</f>
        <v>288.06178</v>
      </c>
      <c r="K11" s="208">
        <f t="shared" si="0"/>
        <v>0</v>
      </c>
      <c r="L11" s="208">
        <f t="shared" si="0"/>
        <v>0</v>
      </c>
      <c r="M11" s="205">
        <f t="shared" si="1"/>
        <v>29939.412529999998</v>
      </c>
      <c r="N11" s="53" t="s">
        <v>20</v>
      </c>
    </row>
    <row r="12" spans="1:21" ht="13.95" x14ac:dyDescent="0.25">
      <c r="A12" s="228" t="s">
        <v>260</v>
      </c>
      <c r="B12" s="208">
        <v>0</v>
      </c>
      <c r="C12" s="208">
        <v>0</v>
      </c>
      <c r="D12" s="208">
        <v>65397.8</v>
      </c>
      <c r="E12" s="208">
        <v>0</v>
      </c>
      <c r="F12" s="208">
        <v>0</v>
      </c>
      <c r="G12" s="208">
        <v>0</v>
      </c>
      <c r="H12" s="208">
        <v>0</v>
      </c>
      <c r="I12" s="321">
        <v>0.27711000000000002</v>
      </c>
      <c r="J12" s="321">
        <v>155</v>
      </c>
      <c r="K12" s="208">
        <f t="shared" si="0"/>
        <v>0</v>
      </c>
      <c r="L12" s="208">
        <f t="shared" si="0"/>
        <v>0</v>
      </c>
      <c r="M12" s="205">
        <f t="shared" si="1"/>
        <v>65553.077110000013</v>
      </c>
      <c r="N12" s="53" t="s">
        <v>20</v>
      </c>
    </row>
    <row r="13" spans="1:21" ht="27.6" x14ac:dyDescent="0.25">
      <c r="A13" s="228" t="s">
        <v>401</v>
      </c>
      <c r="B13" s="208">
        <v>0</v>
      </c>
      <c r="C13" s="208">
        <v>0</v>
      </c>
      <c r="D13" s="208">
        <v>2012.24</v>
      </c>
      <c r="E13" s="208">
        <v>0</v>
      </c>
      <c r="F13" s="208">
        <v>0</v>
      </c>
      <c r="G13" s="208">
        <v>0</v>
      </c>
      <c r="H13" s="208">
        <v>0</v>
      </c>
      <c r="I13" s="321">
        <v>0</v>
      </c>
      <c r="J13" s="321">
        <v>0</v>
      </c>
      <c r="K13" s="208">
        <f t="shared" si="0"/>
        <v>0</v>
      </c>
      <c r="L13" s="208">
        <f t="shared" si="0"/>
        <v>0</v>
      </c>
      <c r="M13" s="205">
        <f t="shared" si="1"/>
        <v>2012.24</v>
      </c>
      <c r="N13" s="53" t="s">
        <v>20</v>
      </c>
    </row>
    <row r="14" spans="1:21" ht="13.95" x14ac:dyDescent="0.25">
      <c r="A14" s="228" t="s">
        <v>402</v>
      </c>
      <c r="B14" s="208">
        <v>0</v>
      </c>
      <c r="C14" s="208">
        <v>0</v>
      </c>
      <c r="D14" s="208">
        <v>40244.800000000003</v>
      </c>
      <c r="E14" s="208">
        <v>0</v>
      </c>
      <c r="F14" s="208">
        <v>0</v>
      </c>
      <c r="G14" s="208">
        <v>0</v>
      </c>
      <c r="H14" s="208">
        <v>0</v>
      </c>
      <c r="I14" s="321">
        <f>-16.5832+274.55235</f>
        <v>257.96915000000001</v>
      </c>
      <c r="J14" s="321">
        <f>147.52224+36.35293</f>
        <v>183.87517000000003</v>
      </c>
      <c r="K14" s="208">
        <f t="shared" si="0"/>
        <v>0</v>
      </c>
      <c r="L14" s="208">
        <f t="shared" si="0"/>
        <v>0</v>
      </c>
      <c r="M14" s="205">
        <f t="shared" si="1"/>
        <v>40686.644319999999</v>
      </c>
      <c r="N14" s="53" t="s">
        <v>20</v>
      </c>
    </row>
    <row r="15" spans="1:21" ht="41.4" x14ac:dyDescent="0.25">
      <c r="A15" s="228" t="s">
        <v>412</v>
      </c>
      <c r="B15" s="208">
        <v>0</v>
      </c>
      <c r="C15" s="208">
        <v>0</v>
      </c>
      <c r="D15" s="208">
        <v>0</v>
      </c>
      <c r="E15" s="208">
        <v>0</v>
      </c>
      <c r="F15" s="208">
        <v>0</v>
      </c>
      <c r="G15" s="208">
        <v>0</v>
      </c>
      <c r="H15" s="208">
        <v>0</v>
      </c>
      <c r="I15" s="321">
        <v>1440.2388699999999</v>
      </c>
      <c r="J15" s="321">
        <f>646.87596+1.98232</f>
        <v>648.85827999999992</v>
      </c>
      <c r="K15" s="208">
        <f t="shared" si="0"/>
        <v>0</v>
      </c>
      <c r="L15" s="208">
        <f t="shared" si="0"/>
        <v>0</v>
      </c>
      <c r="M15" s="205">
        <f t="shared" si="1"/>
        <v>2089.0971499999996</v>
      </c>
      <c r="N15" s="53" t="s">
        <v>20</v>
      </c>
    </row>
    <row r="16" spans="1:21" ht="41.4" x14ac:dyDescent="0.25">
      <c r="A16" s="228" t="s">
        <v>403</v>
      </c>
      <c r="B16" s="208">
        <v>0</v>
      </c>
      <c r="C16" s="208">
        <v>0</v>
      </c>
      <c r="D16" s="208">
        <v>20122.400000000001</v>
      </c>
      <c r="E16" s="208">
        <v>0</v>
      </c>
      <c r="F16" s="208">
        <v>0</v>
      </c>
      <c r="G16" s="208">
        <v>0</v>
      </c>
      <c r="H16" s="208">
        <v>0</v>
      </c>
      <c r="I16" s="321">
        <f>244.15959-63.617</f>
        <v>180.54259000000002</v>
      </c>
      <c r="J16" s="321">
        <v>145.09925000000001</v>
      </c>
      <c r="K16" s="208">
        <f t="shared" si="0"/>
        <v>0</v>
      </c>
      <c r="L16" s="208">
        <f t="shared" si="0"/>
        <v>0</v>
      </c>
      <c r="M16" s="205">
        <f t="shared" si="1"/>
        <v>20448.041840000002</v>
      </c>
      <c r="N16" s="53" t="s">
        <v>20</v>
      </c>
    </row>
    <row r="17" spans="1:14" ht="27.6" x14ac:dyDescent="0.25">
      <c r="A17" s="227" t="s">
        <v>407</v>
      </c>
      <c r="B17" s="208">
        <v>0</v>
      </c>
      <c r="C17" s="208">
        <v>0</v>
      </c>
      <c r="D17" s="208">
        <v>0</v>
      </c>
      <c r="E17" s="208">
        <v>0</v>
      </c>
      <c r="F17" s="208">
        <v>0</v>
      </c>
      <c r="G17" s="208">
        <v>0</v>
      </c>
      <c r="H17" s="208">
        <v>0</v>
      </c>
      <c r="I17" s="321">
        <v>137.10462999999999</v>
      </c>
      <c r="J17" s="321">
        <f>353.7101+65.12444</f>
        <v>418.83454</v>
      </c>
      <c r="K17" s="208">
        <f t="shared" si="0"/>
        <v>0</v>
      </c>
      <c r="L17" s="208">
        <f t="shared" si="0"/>
        <v>0</v>
      </c>
      <c r="M17" s="205">
        <f>D17+E17+H17+I17+J17</f>
        <v>555.93916999999999</v>
      </c>
      <c r="N17" s="53" t="s">
        <v>20</v>
      </c>
    </row>
    <row r="18" spans="1:14" x14ac:dyDescent="0.25">
      <c r="A18" s="227" t="s">
        <v>408</v>
      </c>
      <c r="B18" s="208">
        <v>0</v>
      </c>
      <c r="C18" s="208">
        <v>0</v>
      </c>
      <c r="D18" s="208">
        <v>0</v>
      </c>
      <c r="E18" s="208">
        <v>0</v>
      </c>
      <c r="F18" s="208">
        <v>0</v>
      </c>
      <c r="G18" s="208">
        <v>0</v>
      </c>
      <c r="H18" s="208">
        <v>0</v>
      </c>
      <c r="I18" s="321">
        <v>210.33885000000001</v>
      </c>
      <c r="J18" s="321">
        <f>19.59533+0.19512</f>
        <v>19.79045</v>
      </c>
      <c r="K18" s="208">
        <f t="shared" si="0"/>
        <v>0</v>
      </c>
      <c r="L18" s="208">
        <f t="shared" si="0"/>
        <v>0</v>
      </c>
      <c r="M18" s="205">
        <f t="shared" ref="M18:M24" si="2">D18+E18+H18+I18+J18</f>
        <v>230.1293</v>
      </c>
      <c r="N18" s="53" t="s">
        <v>20</v>
      </c>
    </row>
    <row r="19" spans="1:14" x14ac:dyDescent="0.25">
      <c r="A19" s="227" t="s">
        <v>409</v>
      </c>
      <c r="B19" s="208">
        <v>0</v>
      </c>
      <c r="C19" s="208">
        <v>0</v>
      </c>
      <c r="D19" s="208">
        <v>0</v>
      </c>
      <c r="E19" s="208">
        <v>0</v>
      </c>
      <c r="F19" s="208">
        <v>0</v>
      </c>
      <c r="G19" s="208">
        <v>0</v>
      </c>
      <c r="H19" s="208">
        <v>0</v>
      </c>
      <c r="I19" s="321">
        <v>17.805019999999999</v>
      </c>
      <c r="J19" s="321">
        <f>3.86956</f>
        <v>3.8695599999999999</v>
      </c>
      <c r="K19" s="208">
        <f t="shared" si="0"/>
        <v>0</v>
      </c>
      <c r="L19" s="208">
        <f t="shared" si="0"/>
        <v>0</v>
      </c>
      <c r="M19" s="205">
        <f t="shared" si="2"/>
        <v>21.674579999999999</v>
      </c>
      <c r="N19" s="53" t="s">
        <v>20</v>
      </c>
    </row>
    <row r="20" spans="1:14" ht="41.4" x14ac:dyDescent="0.25">
      <c r="A20" s="228" t="s">
        <v>410</v>
      </c>
      <c r="B20" s="208">
        <v>0</v>
      </c>
      <c r="C20" s="208">
        <v>0</v>
      </c>
      <c r="D20" s="208">
        <v>18110.16</v>
      </c>
      <c r="E20" s="208">
        <v>0</v>
      </c>
      <c r="F20" s="208">
        <v>0</v>
      </c>
      <c r="G20" s="208">
        <v>0</v>
      </c>
      <c r="H20" s="208">
        <v>0</v>
      </c>
      <c r="I20" s="321">
        <v>0</v>
      </c>
      <c r="J20" s="321">
        <v>0</v>
      </c>
      <c r="K20" s="208">
        <f t="shared" si="0"/>
        <v>0</v>
      </c>
      <c r="L20" s="208">
        <f t="shared" si="0"/>
        <v>0</v>
      </c>
      <c r="M20" s="205">
        <f t="shared" si="2"/>
        <v>18110.16</v>
      </c>
      <c r="N20" s="53" t="s">
        <v>20</v>
      </c>
    </row>
    <row r="21" spans="1:14" x14ac:dyDescent="0.25">
      <c r="A21" s="228" t="s">
        <v>384</v>
      </c>
      <c r="B21" s="208">
        <v>0</v>
      </c>
      <c r="C21" s="208">
        <v>0</v>
      </c>
      <c r="D21" s="208">
        <v>78477.36</v>
      </c>
      <c r="E21" s="208">
        <v>0</v>
      </c>
      <c r="F21" s="208">
        <v>0</v>
      </c>
      <c r="G21" s="208">
        <v>0</v>
      </c>
      <c r="H21" s="208">
        <v>0</v>
      </c>
      <c r="I21" s="321">
        <v>32.234409999999997</v>
      </c>
      <c r="J21" s="321">
        <f>24.12872+4.67267</f>
        <v>28.801390000000001</v>
      </c>
      <c r="K21" s="208">
        <f t="shared" si="0"/>
        <v>0</v>
      </c>
      <c r="L21" s="208">
        <f t="shared" si="0"/>
        <v>0</v>
      </c>
      <c r="M21" s="205">
        <f t="shared" si="2"/>
        <v>78538.395799999998</v>
      </c>
      <c r="N21" s="53" t="s">
        <v>20</v>
      </c>
    </row>
    <row r="22" spans="1:14" x14ac:dyDescent="0.25">
      <c r="A22" s="228" t="s">
        <v>413</v>
      </c>
      <c r="B22" s="208">
        <v>0</v>
      </c>
      <c r="C22" s="208">
        <v>0</v>
      </c>
      <c r="D22" s="208">
        <v>0</v>
      </c>
      <c r="E22" s="208">
        <v>0</v>
      </c>
      <c r="F22" s="208">
        <v>0</v>
      </c>
      <c r="G22" s="208">
        <v>0</v>
      </c>
      <c r="H22" s="208">
        <v>0</v>
      </c>
      <c r="I22" s="321">
        <v>1084.77944</v>
      </c>
      <c r="J22" s="208">
        <v>0</v>
      </c>
      <c r="K22" s="208">
        <f t="shared" si="0"/>
        <v>0</v>
      </c>
      <c r="L22" s="208">
        <f t="shared" si="0"/>
        <v>0</v>
      </c>
      <c r="M22" s="205">
        <f t="shared" si="2"/>
        <v>1084.77944</v>
      </c>
      <c r="N22" s="53" t="s">
        <v>20</v>
      </c>
    </row>
    <row r="23" spans="1:14" x14ac:dyDescent="0.25">
      <c r="A23" s="228" t="s">
        <v>254</v>
      </c>
      <c r="B23" s="208">
        <v>0</v>
      </c>
      <c r="C23" s="208">
        <v>0</v>
      </c>
      <c r="D23" s="208">
        <v>0</v>
      </c>
      <c r="E23" s="208">
        <v>0</v>
      </c>
      <c r="F23" s="208">
        <v>0</v>
      </c>
      <c r="G23" s="208">
        <v>0</v>
      </c>
      <c r="H23" s="208">
        <v>0</v>
      </c>
      <c r="I23" s="321">
        <f>-237.5+0.006+0.001</f>
        <v>-237.49299999999999</v>
      </c>
      <c r="J23" s="208">
        <v>0</v>
      </c>
      <c r="K23" s="208">
        <f t="shared" ref="K23" si="3">B23+F23</f>
        <v>0</v>
      </c>
      <c r="L23" s="208">
        <f t="shared" ref="L23" si="4">C23+G23</f>
        <v>0</v>
      </c>
      <c r="M23" s="205">
        <f t="shared" ref="M23" si="5">D23+E23+H23+I23+J23</f>
        <v>-237.49299999999999</v>
      </c>
      <c r="N23" s="53" t="s">
        <v>20</v>
      </c>
    </row>
    <row r="24" spans="1:14" x14ac:dyDescent="0.25">
      <c r="A24" s="325" t="s">
        <v>139</v>
      </c>
      <c r="B24" s="270">
        <v>0</v>
      </c>
      <c r="C24" s="270">
        <v>0</v>
      </c>
      <c r="D24" s="270">
        <v>0</v>
      </c>
      <c r="E24" s="270">
        <v>0</v>
      </c>
      <c r="F24" s="270">
        <v>0</v>
      </c>
      <c r="G24" s="270">
        <v>0</v>
      </c>
      <c r="H24" s="270">
        <v>0</v>
      </c>
      <c r="I24" s="270">
        <v>0</v>
      </c>
      <c r="J24" s="270">
        <v>7108</v>
      </c>
      <c r="K24" s="270">
        <f t="shared" si="0"/>
        <v>0</v>
      </c>
      <c r="L24" s="270">
        <f t="shared" si="0"/>
        <v>0</v>
      </c>
      <c r="M24" s="271">
        <f t="shared" si="2"/>
        <v>7108</v>
      </c>
      <c r="N24" s="53" t="s">
        <v>20</v>
      </c>
    </row>
    <row r="25" spans="1:14" x14ac:dyDescent="0.25">
      <c r="A25" s="16" t="s">
        <v>131</v>
      </c>
      <c r="B25" s="143">
        <f t="shared" ref="B25:M25" si="6">SUM(B9:B24)</f>
        <v>0</v>
      </c>
      <c r="C25" s="143">
        <f t="shared" si="6"/>
        <v>0</v>
      </c>
      <c r="D25" s="143">
        <f t="shared" si="6"/>
        <v>264106.5</v>
      </c>
      <c r="E25" s="143">
        <f t="shared" si="6"/>
        <v>0</v>
      </c>
      <c r="F25" s="143">
        <f t="shared" si="6"/>
        <v>0</v>
      </c>
      <c r="G25" s="143">
        <f t="shared" si="6"/>
        <v>0</v>
      </c>
      <c r="H25" s="143">
        <f t="shared" si="6"/>
        <v>0</v>
      </c>
      <c r="I25" s="143">
        <f t="shared" si="6"/>
        <v>2592.1868200000004</v>
      </c>
      <c r="J25" s="143">
        <f t="shared" si="6"/>
        <v>9000.1904200000008</v>
      </c>
      <c r="K25" s="143">
        <f t="shared" si="6"/>
        <v>0</v>
      </c>
      <c r="L25" s="143">
        <f t="shared" si="6"/>
        <v>0</v>
      </c>
      <c r="M25" s="144">
        <f t="shared" si="6"/>
        <v>275698.87724</v>
      </c>
      <c r="N25" s="53" t="s">
        <v>20</v>
      </c>
    </row>
    <row r="26" spans="1:14" x14ac:dyDescent="0.25">
      <c r="A26" s="272" t="s">
        <v>130</v>
      </c>
      <c r="B26" s="225"/>
      <c r="C26" s="225"/>
      <c r="D26" s="225">
        <v>-9000</v>
      </c>
      <c r="E26" s="225"/>
      <c r="F26" s="225"/>
      <c r="G26" s="225"/>
      <c r="H26" s="225"/>
      <c r="I26" s="225"/>
      <c r="J26" s="225"/>
      <c r="K26" s="225"/>
      <c r="L26" s="225"/>
      <c r="M26" s="226">
        <f>D26+E26+H26+I26+J26</f>
        <v>-9000</v>
      </c>
      <c r="N26" s="53" t="s">
        <v>20</v>
      </c>
    </row>
    <row r="27" spans="1:14" x14ac:dyDescent="0.25">
      <c r="A27" s="273" t="s">
        <v>150</v>
      </c>
      <c r="B27" s="230"/>
      <c r="C27" s="230"/>
      <c r="D27" s="230">
        <f>SUM(D25:D26)</f>
        <v>255106.5</v>
      </c>
      <c r="E27" s="230"/>
      <c r="F27" s="230"/>
      <c r="G27" s="230"/>
      <c r="H27" s="230"/>
      <c r="I27" s="230"/>
      <c r="J27" s="230"/>
      <c r="K27" s="230"/>
      <c r="L27" s="230"/>
      <c r="M27" s="231">
        <f>SUM(M25:M26)</f>
        <v>266698.87724</v>
      </c>
      <c r="N27" s="53" t="s">
        <v>20</v>
      </c>
    </row>
    <row r="28" spans="1:14" x14ac:dyDescent="0.25">
      <c r="A28" s="198" t="s">
        <v>26</v>
      </c>
      <c r="B28" s="234"/>
      <c r="C28" s="234">
        <v>0</v>
      </c>
      <c r="D28" s="234"/>
      <c r="E28" s="234"/>
      <c r="F28" s="234"/>
      <c r="G28" s="234">
        <v>0</v>
      </c>
      <c r="H28" s="234"/>
      <c r="I28" s="234">
        <v>0</v>
      </c>
      <c r="J28" s="234"/>
      <c r="K28" s="234"/>
      <c r="L28" s="234">
        <f t="shared" ref="L28" si="7">C28+G28</f>
        <v>0</v>
      </c>
      <c r="M28" s="235"/>
      <c r="N28" s="53" t="s">
        <v>20</v>
      </c>
    </row>
    <row r="29" spans="1:14" x14ac:dyDescent="0.25">
      <c r="A29" s="195" t="s">
        <v>132</v>
      </c>
      <c r="B29" s="208"/>
      <c r="C29" s="208">
        <f>C25+C28</f>
        <v>0</v>
      </c>
      <c r="D29" s="208"/>
      <c r="E29" s="208"/>
      <c r="F29" s="208"/>
      <c r="G29" s="208">
        <f>G25+G28</f>
        <v>0</v>
      </c>
      <c r="H29" s="208"/>
      <c r="I29" s="208">
        <f>I25+I28</f>
        <v>2592.1868200000004</v>
      </c>
      <c r="J29" s="208"/>
      <c r="K29" s="208"/>
      <c r="L29" s="208">
        <f>L25+L28</f>
        <v>0</v>
      </c>
      <c r="M29" s="205"/>
      <c r="N29" s="53" t="s">
        <v>20</v>
      </c>
    </row>
    <row r="30" spans="1:14" x14ac:dyDescent="0.25">
      <c r="A30" s="195"/>
      <c r="B30" s="208"/>
      <c r="C30" s="208"/>
      <c r="D30" s="208"/>
      <c r="E30" s="208"/>
      <c r="F30" s="208"/>
      <c r="G30" s="208"/>
      <c r="H30" s="208"/>
      <c r="I30" s="208"/>
      <c r="J30" s="208"/>
      <c r="K30" s="208"/>
      <c r="L30" s="208"/>
      <c r="M30" s="205"/>
      <c r="N30" s="53" t="s">
        <v>20</v>
      </c>
    </row>
    <row r="31" spans="1:14" x14ac:dyDescent="0.25">
      <c r="A31" s="195" t="s">
        <v>27</v>
      </c>
      <c r="B31" s="208"/>
      <c r="C31" s="208"/>
      <c r="D31" s="208"/>
      <c r="E31" s="208"/>
      <c r="F31" s="208"/>
      <c r="G31" s="208"/>
      <c r="H31" s="208"/>
      <c r="I31" s="208"/>
      <c r="J31" s="208"/>
      <c r="K31" s="208"/>
      <c r="L31" s="208"/>
      <c r="M31" s="205"/>
      <c r="N31" s="53" t="s">
        <v>20</v>
      </c>
    </row>
    <row r="32" spans="1:14" x14ac:dyDescent="0.25">
      <c r="A32" s="236" t="s">
        <v>28</v>
      </c>
      <c r="B32" s="208"/>
      <c r="C32" s="208">
        <v>0</v>
      </c>
      <c r="D32" s="208"/>
      <c r="E32" s="208"/>
      <c r="F32" s="208"/>
      <c r="G32" s="208">
        <v>0</v>
      </c>
      <c r="H32" s="208"/>
      <c r="I32" s="208">
        <v>0</v>
      </c>
      <c r="J32" s="208"/>
      <c r="K32" s="208"/>
      <c r="L32" s="208">
        <f t="shared" ref="L32:L33" si="8">C32+G32</f>
        <v>0</v>
      </c>
      <c r="M32" s="205"/>
      <c r="N32" s="53" t="s">
        <v>20</v>
      </c>
    </row>
    <row r="33" spans="1:14" x14ac:dyDescent="0.25">
      <c r="A33" s="237" t="s">
        <v>29</v>
      </c>
      <c r="B33" s="238"/>
      <c r="C33" s="238">
        <v>0</v>
      </c>
      <c r="D33" s="238"/>
      <c r="E33" s="238"/>
      <c r="F33" s="238"/>
      <c r="G33" s="238">
        <v>0</v>
      </c>
      <c r="H33" s="238"/>
      <c r="I33" s="238">
        <v>0</v>
      </c>
      <c r="J33" s="238"/>
      <c r="K33" s="238"/>
      <c r="L33" s="238">
        <f t="shared" si="8"/>
        <v>0</v>
      </c>
      <c r="M33" s="239"/>
      <c r="N33" s="53" t="s">
        <v>20</v>
      </c>
    </row>
    <row r="34" spans="1:14" ht="14.4" thickBot="1" x14ac:dyDescent="0.3">
      <c r="A34" s="240" t="s">
        <v>133</v>
      </c>
      <c r="B34" s="241"/>
      <c r="C34" s="241">
        <f>C29+C32+C33</f>
        <v>0</v>
      </c>
      <c r="D34" s="241"/>
      <c r="E34" s="241"/>
      <c r="F34" s="241"/>
      <c r="G34" s="241">
        <f>G29+G32+G33</f>
        <v>0</v>
      </c>
      <c r="H34" s="241"/>
      <c r="I34" s="241">
        <f>I29+I32+I33</f>
        <v>2592.1868200000004</v>
      </c>
      <c r="J34" s="241"/>
      <c r="K34" s="241"/>
      <c r="L34" s="241">
        <f>SUM(L29,L32:L33)</f>
        <v>0</v>
      </c>
      <c r="M34" s="242"/>
      <c r="N34" s="53" t="s">
        <v>20</v>
      </c>
    </row>
    <row r="35" spans="1:14" x14ac:dyDescent="0.25">
      <c r="A35" s="178" t="s">
        <v>249</v>
      </c>
      <c r="N35" s="53" t="s">
        <v>20</v>
      </c>
    </row>
    <row r="36" spans="1:14" x14ac:dyDescent="0.25">
      <c r="N36" s="53" t="s">
        <v>20</v>
      </c>
    </row>
    <row r="37" spans="1:14" x14ac:dyDescent="0.25">
      <c r="A37" s="8" t="s">
        <v>445</v>
      </c>
      <c r="J37" s="326"/>
      <c r="N37" s="53" t="s">
        <v>20</v>
      </c>
    </row>
    <row r="38" spans="1:14" x14ac:dyDescent="0.25">
      <c r="A38" s="668" t="s">
        <v>425</v>
      </c>
      <c r="B38" s="668"/>
      <c r="C38" s="668"/>
      <c r="D38" s="668"/>
      <c r="E38" s="668"/>
      <c r="F38" s="668"/>
      <c r="G38" s="668"/>
      <c r="H38" s="668"/>
      <c r="I38" s="668"/>
      <c r="J38" s="668"/>
      <c r="K38" s="668"/>
      <c r="L38" s="668"/>
      <c r="M38" s="668"/>
      <c r="N38" s="53" t="s">
        <v>20</v>
      </c>
    </row>
    <row r="39" spans="1:14" x14ac:dyDescent="0.25">
      <c r="A39" s="721"/>
      <c r="B39" s="721"/>
      <c r="C39" s="721"/>
      <c r="D39" s="721"/>
      <c r="E39" s="721"/>
      <c r="F39" s="721"/>
      <c r="G39" s="721"/>
      <c r="H39" s="721"/>
      <c r="I39" s="721"/>
      <c r="J39" s="721"/>
      <c r="K39" s="721"/>
      <c r="L39" s="721"/>
      <c r="M39" s="721"/>
      <c r="N39" s="53" t="s">
        <v>20</v>
      </c>
    </row>
    <row r="40" spans="1:14" x14ac:dyDescent="0.25">
      <c r="A40" s="8" t="s">
        <v>151</v>
      </c>
      <c r="N40" s="53" t="s">
        <v>20</v>
      </c>
    </row>
    <row r="41" spans="1:14" x14ac:dyDescent="0.25">
      <c r="A41" s="668" t="s">
        <v>456</v>
      </c>
      <c r="B41" s="668"/>
      <c r="C41" s="668"/>
      <c r="D41" s="668"/>
      <c r="E41" s="668"/>
      <c r="F41" s="668"/>
      <c r="G41" s="668"/>
      <c r="H41" s="668"/>
      <c r="I41" s="668"/>
      <c r="J41" s="668"/>
      <c r="K41" s="668"/>
      <c r="L41" s="668"/>
      <c r="M41" s="668"/>
      <c r="N41" s="53" t="s">
        <v>20</v>
      </c>
    </row>
    <row r="42" spans="1:14" x14ac:dyDescent="0.25">
      <c r="A42" s="721"/>
      <c r="B42" s="721"/>
      <c r="C42" s="721"/>
      <c r="D42" s="721"/>
      <c r="E42" s="721"/>
      <c r="F42" s="721"/>
      <c r="G42" s="721"/>
      <c r="H42" s="721"/>
      <c r="I42" s="721"/>
      <c r="J42" s="721"/>
      <c r="K42" s="721"/>
      <c r="L42" s="721"/>
      <c r="M42" s="721"/>
      <c r="N42" s="53" t="s">
        <v>20</v>
      </c>
    </row>
    <row r="43" spans="1:14" x14ac:dyDescent="0.25">
      <c r="A43" s="8" t="s">
        <v>152</v>
      </c>
      <c r="N43" s="53" t="s">
        <v>20</v>
      </c>
    </row>
    <row r="44" spans="1:14" x14ac:dyDescent="0.25">
      <c r="A44" s="668" t="s">
        <v>477</v>
      </c>
      <c r="B44" s="668"/>
      <c r="C44" s="668"/>
      <c r="D44" s="668"/>
      <c r="E44" s="668"/>
      <c r="F44" s="668"/>
      <c r="G44" s="668"/>
      <c r="H44" s="668"/>
      <c r="I44" s="668"/>
      <c r="J44" s="668"/>
      <c r="K44" s="668"/>
      <c r="L44" s="668"/>
      <c r="M44" s="668"/>
      <c r="N44" s="53" t="s">
        <v>20</v>
      </c>
    </row>
    <row r="45" spans="1:14" x14ac:dyDescent="0.25">
      <c r="A45" s="721"/>
      <c r="B45" s="721"/>
      <c r="C45" s="721"/>
      <c r="D45" s="721"/>
      <c r="E45" s="721"/>
      <c r="F45" s="721"/>
      <c r="G45" s="721"/>
      <c r="H45" s="721"/>
      <c r="I45" s="721"/>
      <c r="J45" s="721"/>
      <c r="K45" s="721"/>
      <c r="L45" s="721"/>
      <c r="M45" s="721"/>
      <c r="N45" s="53" t="s">
        <v>20</v>
      </c>
    </row>
    <row r="46" spans="1:14" x14ac:dyDescent="0.25">
      <c r="N46" s="7" t="s">
        <v>21</v>
      </c>
    </row>
  </sheetData>
  <customSheetViews>
    <customSheetView guid="{5B2D5037-506A-47D5-AF28-C337BC9133BD}" scale="90" showPageBreaks="1" printArea="1" view="pageBreakPreview" topLeftCell="A13">
      <selection activeCell="I61" sqref="I61"/>
      <pageMargins left="0.7" right="0.7" top="0.66" bottom="0.66" header="0.3" footer="0.3"/>
      <printOptions horizontalCentered="1"/>
      <pageSetup scale="60" orientation="landscape" r:id="rId1"/>
      <headerFooter>
        <oddHeader>&amp;L&amp;"Arial,Bold"&amp;12G. Crosswalk of 2013 Availability</oddHeader>
        <oddFooter>&amp;C&amp;"Arial,Regular"Exhibit G - Crosswalk of 2013 Availability&amp;R&amp;"Arial,Regular"Juvenile Justice Programs</oddFooter>
      </headerFooter>
    </customSheetView>
    <customSheetView guid="{08380F1E-0CB7-4B3B-924E-2A270EA8DD30}" scale="90" showPageBreaks="1" printArea="1" view="pageBreakPreview" topLeftCell="A7">
      <selection activeCell="I61" sqref="I61"/>
      <pageMargins left="0.7" right="0.7" top="0.66" bottom="0.66" header="0.3" footer="0.3"/>
      <printOptions horizontalCentered="1"/>
      <pageSetup scale="63" orientation="landscape" r:id="rId2"/>
      <headerFooter>
        <oddHeader>&amp;L&amp;"Arial,Bold"&amp;12G. Crosswalk of 2013 Availability</oddHeader>
        <oddFooter>&amp;C&amp;"Arial,Regular"Exhibit G - Crosswalk of 2013 Availability&amp;R&amp;"Arial,Regular"Juvenile Justice Programs</oddFooter>
      </headerFooter>
    </customSheetView>
    <customSheetView guid="{D19943A8-2C2A-430A-A724-8C7C332697C8}" scale="90" showPageBreaks="1" printArea="1" view="pageBreakPreview" topLeftCell="A7">
      <selection activeCell="I61" sqref="I61"/>
      <pageMargins left="0.7" right="0.7" top="0.66" bottom="0.66" header="0.3" footer="0.3"/>
      <printOptions horizontalCentered="1"/>
      <pageSetup scale="63" orientation="landscape" r:id="rId3"/>
      <headerFooter>
        <oddHeader>&amp;L&amp;"Arial,Bold"&amp;12G. Crosswalk of 2013 Availability</oddHeader>
        <oddFooter>&amp;C&amp;"Arial,Regular"Exhibit G - Crosswalk of 2013 Availability&amp;R&amp;"Arial,Regular"Juvenile Justice Programs</oddFooter>
      </headerFooter>
    </customSheetView>
    <customSheetView guid="{C6D68C6D-939C-4DFA-9385-A3F05DFB5EDA}" scale="90" showPageBreaks="1" printArea="1" view="pageBreakPreview" topLeftCell="A7">
      <selection activeCell="I61" sqref="I61"/>
      <pageMargins left="0.7" right="0.7" top="0.66" bottom="0.66" header="0.3" footer="0.3"/>
      <printOptions horizontalCentered="1"/>
      <pageSetup scale="63" orientation="landscape" r:id="rId4"/>
      <headerFooter>
        <oddHeader>&amp;L&amp;"Arial,Bold"&amp;12G. Crosswalk of 2013 Availability</oddHeader>
        <oddFooter>&amp;C&amp;"Arial,Regular"Exhibit G - Crosswalk of 2013 Availability&amp;R&amp;"Arial,Regular"Juvenile Justice Programs</oddFooter>
      </headerFooter>
    </customSheetView>
  </customSheetViews>
  <mergeCells count="14">
    <mergeCell ref="A45:M45"/>
    <mergeCell ref="A1:M1"/>
    <mergeCell ref="A2:M2"/>
    <mergeCell ref="A3:M3"/>
    <mergeCell ref="A4:M4"/>
    <mergeCell ref="A7:A8"/>
    <mergeCell ref="B7:D7"/>
    <mergeCell ref="F7:H7"/>
    <mergeCell ref="K7:M7"/>
    <mergeCell ref="A38:M38"/>
    <mergeCell ref="A39:M39"/>
    <mergeCell ref="A41:M41"/>
    <mergeCell ref="A42:M42"/>
    <mergeCell ref="A44:M44"/>
  </mergeCells>
  <printOptions horizontalCentered="1"/>
  <pageMargins left="0.7" right="0.7" top="0.66" bottom="0.66" header="0.3" footer="0.3"/>
  <pageSetup scale="60" orientation="landscape" r:id="rId5"/>
  <headerFooter>
    <oddHeader>&amp;L&amp;"Arial,Bold"&amp;12G. Crosswalk of 2013 Availability</oddHeader>
    <oddFooter>&amp;C&amp;"Arial,Regular"Exhibit G - Crosswalk of 2013 Availability&amp;R&amp;"Arial,Regular"Juvenile Justice Programs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view="pageBreakPreview" zoomScale="80" zoomScaleNormal="100" zoomScaleSheetLayoutView="80" workbookViewId="0">
      <selection activeCell="G29" sqref="G29"/>
    </sheetView>
  </sheetViews>
  <sheetFormatPr defaultColWidth="9.109375" defaultRowHeight="13.8" x14ac:dyDescent="0.25"/>
  <cols>
    <col min="1" max="1" width="37.10937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44</v>
      </c>
      <c r="B1" s="633"/>
      <c r="C1" s="633"/>
      <c r="D1" s="633"/>
      <c r="E1" s="633"/>
      <c r="F1" s="633"/>
      <c r="G1" s="633"/>
      <c r="H1" s="633"/>
      <c r="I1" s="633"/>
      <c r="J1" s="633"/>
      <c r="K1" s="633"/>
      <c r="L1" s="633"/>
      <c r="M1" s="633"/>
      <c r="N1" s="53" t="s">
        <v>20</v>
      </c>
      <c r="O1" s="9"/>
      <c r="P1" s="9"/>
      <c r="Q1" s="9"/>
      <c r="R1" s="9"/>
      <c r="S1" s="9"/>
      <c r="T1" s="9"/>
      <c r="U1" s="9"/>
    </row>
    <row r="2" spans="1:21" ht="15" x14ac:dyDescent="0.2">
      <c r="A2" s="634" t="str">
        <f>'[2]B. Summ of Req. - JJ'!A2:D2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'[2]B. Summ of Req. - JJ'!A3:D3</f>
        <v>Juvenile Justice Programs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x14ac:dyDescent="0.25">
      <c r="A7" s="638" t="s">
        <v>157</v>
      </c>
      <c r="B7" s="641" t="s">
        <v>45</v>
      </c>
      <c r="C7" s="641"/>
      <c r="D7" s="641"/>
      <c r="E7" s="641" t="s">
        <v>158</v>
      </c>
      <c r="F7" s="641"/>
      <c r="G7" s="641"/>
      <c r="H7" s="641" t="s">
        <v>24</v>
      </c>
      <c r="I7" s="641"/>
      <c r="J7" s="641"/>
      <c r="K7" s="641" t="s">
        <v>46</v>
      </c>
      <c r="L7" s="641"/>
      <c r="M7" s="642"/>
      <c r="N7" s="53" t="s">
        <v>20</v>
      </c>
    </row>
    <row r="8" spans="1:21" ht="27.6" x14ac:dyDescent="0.25">
      <c r="A8" s="639"/>
      <c r="B8" s="222" t="s">
        <v>47</v>
      </c>
      <c r="C8" s="222" t="s">
        <v>48</v>
      </c>
      <c r="D8" s="222" t="s">
        <v>4</v>
      </c>
      <c r="E8" s="222" t="s">
        <v>47</v>
      </c>
      <c r="F8" s="222" t="s">
        <v>48</v>
      </c>
      <c r="G8" s="222" t="s">
        <v>4</v>
      </c>
      <c r="H8" s="222" t="s">
        <v>47</v>
      </c>
      <c r="I8" s="222" t="s">
        <v>48</v>
      </c>
      <c r="J8" s="222" t="s">
        <v>4</v>
      </c>
      <c r="K8" s="222" t="s">
        <v>47</v>
      </c>
      <c r="L8" s="222" t="s">
        <v>48</v>
      </c>
      <c r="M8" s="223" t="s">
        <v>4</v>
      </c>
      <c r="N8" s="53" t="s">
        <v>20</v>
      </c>
    </row>
    <row r="9" spans="1:21" ht="14.25" x14ac:dyDescent="0.2">
      <c r="A9" s="184" t="s">
        <v>182</v>
      </c>
      <c r="B9" s="225">
        <v>0</v>
      </c>
      <c r="C9" s="225">
        <v>0</v>
      </c>
      <c r="D9" s="225">
        <v>6000</v>
      </c>
      <c r="E9" s="225">
        <v>0</v>
      </c>
      <c r="F9" s="225">
        <v>0</v>
      </c>
      <c r="G9" s="225">
        <v>6000</v>
      </c>
      <c r="H9" s="225">
        <v>0</v>
      </c>
      <c r="I9" s="225">
        <v>0</v>
      </c>
      <c r="J9" s="225">
        <v>6000</v>
      </c>
      <c r="K9" s="225">
        <f>H9-E9</f>
        <v>0</v>
      </c>
      <c r="L9" s="225">
        <f t="shared" ref="L9:M10" si="0">I9-F9</f>
        <v>0</v>
      </c>
      <c r="M9" s="226">
        <f t="shared" si="0"/>
        <v>0</v>
      </c>
      <c r="N9" s="53" t="s">
        <v>20</v>
      </c>
    </row>
    <row r="10" spans="1:21" ht="14.25" x14ac:dyDescent="0.2">
      <c r="A10" s="274" t="s">
        <v>264</v>
      </c>
      <c r="B10" s="230">
        <v>0</v>
      </c>
      <c r="C10" s="230">
        <v>0</v>
      </c>
      <c r="D10" s="230">
        <f>28+115+240.876</f>
        <v>383.87599999999998</v>
      </c>
      <c r="E10" s="230">
        <v>0</v>
      </c>
      <c r="F10" s="230">
        <v>0</v>
      </c>
      <c r="G10" s="230">
        <v>384</v>
      </c>
      <c r="H10" s="230">
        <v>0</v>
      </c>
      <c r="I10" s="230">
        <v>0</v>
      </c>
      <c r="J10" s="230">
        <v>384</v>
      </c>
      <c r="K10" s="230">
        <f t="shared" ref="K10" si="1">H10-E10</f>
        <v>0</v>
      </c>
      <c r="L10" s="230">
        <f t="shared" si="0"/>
        <v>0</v>
      </c>
      <c r="M10" s="231">
        <f t="shared" si="0"/>
        <v>0</v>
      </c>
      <c r="N10" s="53" t="s">
        <v>20</v>
      </c>
    </row>
    <row r="11" spans="1:21" x14ac:dyDescent="0.25">
      <c r="A11" s="16" t="s">
        <v>148</v>
      </c>
      <c r="B11" s="143">
        <f t="shared" ref="B11:M11" si="2">SUM(B9:B10)</f>
        <v>0</v>
      </c>
      <c r="C11" s="143">
        <f t="shared" si="2"/>
        <v>0</v>
      </c>
      <c r="D11" s="143">
        <f t="shared" si="2"/>
        <v>6383.8760000000002</v>
      </c>
      <c r="E11" s="143">
        <f t="shared" si="2"/>
        <v>0</v>
      </c>
      <c r="F11" s="143">
        <f t="shared" si="2"/>
        <v>0</v>
      </c>
      <c r="G11" s="143">
        <f t="shared" si="2"/>
        <v>6384</v>
      </c>
      <c r="H11" s="143">
        <f t="shared" si="2"/>
        <v>0</v>
      </c>
      <c r="I11" s="143">
        <f t="shared" si="2"/>
        <v>0</v>
      </c>
      <c r="J11" s="143">
        <f t="shared" si="2"/>
        <v>6384</v>
      </c>
      <c r="K11" s="143">
        <f t="shared" si="2"/>
        <v>0</v>
      </c>
      <c r="L11" s="143">
        <f t="shared" si="2"/>
        <v>0</v>
      </c>
      <c r="M11" s="144">
        <f t="shared" si="2"/>
        <v>0</v>
      </c>
      <c r="N11" s="53" t="s">
        <v>20</v>
      </c>
    </row>
    <row r="12" spans="1:21" ht="14.4" thickBot="1" x14ac:dyDescent="0.3">
      <c r="N12" s="53" t="s">
        <v>20</v>
      </c>
    </row>
    <row r="13" spans="1:21" ht="18" customHeight="1" x14ac:dyDescent="0.25">
      <c r="A13" s="638" t="s">
        <v>140</v>
      </c>
      <c r="B13" s="641" t="s">
        <v>45</v>
      </c>
      <c r="C13" s="641"/>
      <c r="D13" s="641"/>
      <c r="E13" s="641" t="s">
        <v>158</v>
      </c>
      <c r="F13" s="641"/>
      <c r="G13" s="641"/>
      <c r="H13" s="641" t="s">
        <v>24</v>
      </c>
      <c r="I13" s="641"/>
      <c r="J13" s="641"/>
      <c r="K13" s="641" t="s">
        <v>46</v>
      </c>
      <c r="L13" s="641"/>
      <c r="M13" s="642"/>
      <c r="N13" s="53" t="s">
        <v>20</v>
      </c>
    </row>
    <row r="14" spans="1:21" ht="27.6" x14ac:dyDescent="0.25">
      <c r="A14" s="639"/>
      <c r="B14" s="222" t="s">
        <v>47</v>
      </c>
      <c r="C14" s="222" t="s">
        <v>48</v>
      </c>
      <c r="D14" s="222" t="s">
        <v>4</v>
      </c>
      <c r="E14" s="222" t="s">
        <v>47</v>
      </c>
      <c r="F14" s="222" t="s">
        <v>48</v>
      </c>
      <c r="G14" s="222" t="s">
        <v>4</v>
      </c>
      <c r="H14" s="222" t="s">
        <v>47</v>
      </c>
      <c r="I14" s="222" t="s">
        <v>48</v>
      </c>
      <c r="J14" s="222" t="s">
        <v>4</v>
      </c>
      <c r="K14" s="222" t="s">
        <v>47</v>
      </c>
      <c r="L14" s="222" t="s">
        <v>48</v>
      </c>
      <c r="M14" s="223" t="s">
        <v>4</v>
      </c>
      <c r="N14" s="53" t="s">
        <v>20</v>
      </c>
    </row>
    <row r="15" spans="1:21" x14ac:dyDescent="0.25">
      <c r="A15" s="296" t="s">
        <v>260</v>
      </c>
      <c r="B15" s="247">
        <v>0</v>
      </c>
      <c r="C15" s="247">
        <v>0</v>
      </c>
      <c r="D15" s="247">
        <v>6384</v>
      </c>
      <c r="E15" s="247">
        <v>0</v>
      </c>
      <c r="F15" s="247">
        <v>0</v>
      </c>
      <c r="G15" s="247">
        <v>6384</v>
      </c>
      <c r="H15" s="247">
        <v>0</v>
      </c>
      <c r="I15" s="247">
        <v>0</v>
      </c>
      <c r="J15" s="247">
        <v>6384</v>
      </c>
      <c r="K15" s="247">
        <f>H15-E15</f>
        <v>0</v>
      </c>
      <c r="L15" s="247">
        <f t="shared" ref="L15:M15" si="3">I15-F15</f>
        <v>0</v>
      </c>
      <c r="M15" s="327">
        <f t="shared" si="3"/>
        <v>0</v>
      </c>
      <c r="N15" s="53" t="s">
        <v>20</v>
      </c>
    </row>
    <row r="16" spans="1:21" x14ac:dyDescent="0.25">
      <c r="A16" s="16" t="s">
        <v>148</v>
      </c>
      <c r="B16" s="143">
        <f t="shared" ref="B16:M16" si="4">SUM(B15:B15)</f>
        <v>0</v>
      </c>
      <c r="C16" s="143">
        <f t="shared" si="4"/>
        <v>0</v>
      </c>
      <c r="D16" s="143">
        <f t="shared" si="4"/>
        <v>6384</v>
      </c>
      <c r="E16" s="143">
        <f t="shared" si="4"/>
        <v>0</v>
      </c>
      <c r="F16" s="143">
        <f t="shared" si="4"/>
        <v>0</v>
      </c>
      <c r="G16" s="143">
        <f t="shared" si="4"/>
        <v>6384</v>
      </c>
      <c r="H16" s="143">
        <f t="shared" si="4"/>
        <v>0</v>
      </c>
      <c r="I16" s="143">
        <f t="shared" si="4"/>
        <v>0</v>
      </c>
      <c r="J16" s="143">
        <f t="shared" si="4"/>
        <v>6384</v>
      </c>
      <c r="K16" s="143">
        <f t="shared" si="4"/>
        <v>0</v>
      </c>
      <c r="L16" s="143">
        <f t="shared" si="4"/>
        <v>0</v>
      </c>
      <c r="M16" s="144">
        <f t="shared" si="4"/>
        <v>0</v>
      </c>
      <c r="N16" s="53" t="s">
        <v>20</v>
      </c>
    </row>
    <row r="17" spans="14:14" x14ac:dyDescent="0.25">
      <c r="N17" s="53" t="s">
        <v>20</v>
      </c>
    </row>
    <row r="18" spans="14:14" x14ac:dyDescent="0.25">
      <c r="N18" s="53" t="s">
        <v>21</v>
      </c>
    </row>
  </sheetData>
  <customSheetViews>
    <customSheetView guid="{5B2D5037-506A-47D5-AF28-C337BC9133BD}" scale="80" showPageBreaks="1" printArea="1" view="pageBreakPreview">
      <selection activeCell="G29" sqref="G29"/>
      <pageMargins left="0.7" right="0.7" top="0.75" bottom="0.75" header="0.3" footer="0.3"/>
      <printOptions horizontalCentered="1"/>
      <pageSetup scale="79" orientation="landscape" r:id="rId1"/>
      <headerFooter>
        <oddHeader>&amp;L&amp;"Arial,Bold"&amp;12H. Summary of Reimbursable Resources</oddHeader>
        <oddFooter>&amp;C&amp;"Arial,Regular"Exhibit H - Summary of Reimbursable Resources&amp;R&amp;"Arial,Regular"Juvenile Justice Programs</oddFooter>
      </headerFooter>
    </customSheetView>
    <customSheetView guid="{08380F1E-0CB7-4B3B-924E-2A270EA8DD30}" scale="80" showPageBreaks="1" printArea="1" view="pageBreakPreview">
      <selection activeCell="G29" sqref="G29"/>
      <pageMargins left="0.7" right="0.7" top="0.75" bottom="0.75" header="0.3" footer="0.3"/>
      <printOptions horizontalCentered="1"/>
      <pageSetup scale="79" orientation="landscape" r:id="rId2"/>
      <headerFooter>
        <oddHeader>&amp;L&amp;"Arial,Bold"&amp;12H. Summary of Reimbursable Resources</oddHeader>
        <oddFooter>&amp;C&amp;"Arial,Regular"Exhibit H - Summary of Reimbursable Resources&amp;R&amp;"Arial,Regular"Juvenile Justice Programs</oddFooter>
      </headerFooter>
    </customSheetView>
    <customSheetView guid="{D19943A8-2C2A-430A-A724-8C7C332697C8}" scale="80" showPageBreaks="1" printArea="1" view="pageBreakPreview">
      <selection activeCell="G29" sqref="G29"/>
      <pageMargins left="0.7" right="0.7" top="0.75" bottom="0.75" header="0.3" footer="0.3"/>
      <printOptions horizontalCentered="1"/>
      <pageSetup scale="79" orientation="landscape" r:id="rId3"/>
      <headerFooter>
        <oddHeader>&amp;L&amp;"Arial,Bold"&amp;12H. Summary of Reimbursable Resources</oddHeader>
        <oddFooter>&amp;C&amp;"Arial,Regular"Exhibit H - Summary of Reimbursable Resources&amp;R&amp;"Arial,Regular"Juvenile Justice Programs</oddFooter>
      </headerFooter>
    </customSheetView>
    <customSheetView guid="{C6D68C6D-939C-4DFA-9385-A3F05DFB5EDA}" scale="80" showPageBreaks="1" printArea="1" view="pageBreakPreview">
      <selection activeCell="G29" sqref="G29"/>
      <pageMargins left="0.7" right="0.7" top="0.75" bottom="0.75" header="0.3" footer="0.3"/>
      <printOptions horizontalCentered="1"/>
      <pageSetup scale="79" orientation="landscape" r:id="rId4"/>
      <headerFooter>
        <oddHeader>&amp;L&amp;"Arial,Bold"&amp;12H. Summary of Reimbursable Resources</oddHeader>
        <oddFooter>&amp;C&amp;"Arial,Regular"Exhibit H - Summary of Reimbursable Resources&amp;R&amp;"Arial,Regular"Juvenile Justice Programs</oddFooter>
      </headerFooter>
    </customSheetView>
  </customSheetViews>
  <mergeCells count="16">
    <mergeCell ref="A7:A8"/>
    <mergeCell ref="B7:D7"/>
    <mergeCell ref="E7:G7"/>
    <mergeCell ref="H7:J7"/>
    <mergeCell ref="K7:M7"/>
    <mergeCell ref="A13:A14"/>
    <mergeCell ref="B13:D13"/>
    <mergeCell ref="E13:G13"/>
    <mergeCell ref="H13:J13"/>
    <mergeCell ref="K13:M13"/>
    <mergeCell ref="A6:M6"/>
    <mergeCell ref="A1:M1"/>
    <mergeCell ref="A2:M2"/>
    <mergeCell ref="A3:M3"/>
    <mergeCell ref="A4:M4"/>
    <mergeCell ref="A5:M5"/>
  </mergeCells>
  <printOptions horizontalCentered="1"/>
  <pageMargins left="0.7" right="0.7" top="0.75" bottom="0.75" header="0.3" footer="0.3"/>
  <pageSetup scale="79" orientation="landscape" r:id="rId5"/>
  <headerFooter>
    <oddHeader>&amp;L&amp;"Arial,Bold"&amp;12H. Summary of Reimbursable Resources</oddHeader>
    <oddFooter>&amp;C&amp;"Arial,Regular"Exhibit H - Summary of Reimbursable Resources&amp;R&amp;"Arial,Regular"Juvenile Justice Programs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zoomScale="80" zoomScaleNormal="100" zoomScaleSheetLayoutView="80" workbookViewId="0">
      <selection activeCell="I28" sqref="I28"/>
    </sheetView>
  </sheetViews>
  <sheetFormatPr defaultColWidth="9.109375" defaultRowHeight="13.8" x14ac:dyDescent="0.25"/>
  <cols>
    <col min="1" max="1" width="63.5546875" style="178" customWidth="1"/>
    <col min="2" max="2" width="8.6640625" style="178" customWidth="1"/>
    <col min="3" max="3" width="12.6640625" style="178" customWidth="1"/>
    <col min="4" max="4" width="8.6640625" style="178" customWidth="1"/>
    <col min="5" max="5" width="12.6640625" style="178" customWidth="1"/>
    <col min="6" max="6" width="8.6640625" style="178" customWidth="1"/>
    <col min="7" max="7" width="12.6640625" style="178" customWidth="1"/>
    <col min="8" max="8" width="8.6640625" style="178" customWidth="1"/>
    <col min="9" max="9" width="12.6640625" style="178" customWidth="1"/>
    <col min="10" max="10" width="8.6640625" style="178" customWidth="1"/>
    <col min="11" max="11" width="12.6640625" style="178" customWidth="1"/>
    <col min="12" max="12" width="8.66406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98</v>
      </c>
      <c r="B1" s="633"/>
      <c r="C1" s="633"/>
      <c r="D1" s="633"/>
      <c r="E1" s="633"/>
      <c r="F1" s="633"/>
      <c r="G1" s="633"/>
      <c r="H1" s="633"/>
      <c r="I1" s="633"/>
      <c r="J1" s="633"/>
      <c r="K1" s="633"/>
      <c r="L1" s="633"/>
      <c r="M1" s="633"/>
      <c r="N1" s="53" t="s">
        <v>20</v>
      </c>
      <c r="O1" s="9"/>
      <c r="P1" s="9"/>
      <c r="Q1" s="9"/>
      <c r="R1" s="9"/>
      <c r="S1" s="9"/>
      <c r="T1" s="9"/>
      <c r="U1" s="9"/>
    </row>
    <row r="2" spans="1:21" ht="15" x14ac:dyDescent="0.2">
      <c r="A2" s="634" t="str">
        <f>'[2]B. Summ of Req. - JJ'!A2:D2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'[2]B. Summ of Req. - JJ'!A3:D3</f>
        <v>Juvenile Justice Programs</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x14ac:dyDescent="0.25">
      <c r="A6" s="722" t="s">
        <v>99</v>
      </c>
      <c r="B6" s="679" t="s">
        <v>395</v>
      </c>
      <c r="C6" s="725"/>
      <c r="D6" s="725"/>
      <c r="E6" s="725"/>
      <c r="F6" s="725"/>
      <c r="G6" s="725"/>
      <c r="H6" s="679" t="s">
        <v>395</v>
      </c>
      <c r="I6" s="725"/>
      <c r="J6" s="725"/>
      <c r="K6" s="725"/>
      <c r="L6" s="725"/>
      <c r="M6" s="680"/>
      <c r="N6" s="53" t="s">
        <v>20</v>
      </c>
    </row>
    <row r="7" spans="1:21" ht="15" customHeight="1" x14ac:dyDescent="0.25">
      <c r="A7" s="723"/>
      <c r="B7" s="679" t="s">
        <v>268</v>
      </c>
      <c r="C7" s="680"/>
      <c r="D7" s="679" t="s">
        <v>268</v>
      </c>
      <c r="E7" s="680"/>
      <c r="F7" s="679" t="s">
        <v>268</v>
      </c>
      <c r="G7" s="680"/>
      <c r="H7" s="679" t="s">
        <v>268</v>
      </c>
      <c r="I7" s="680"/>
      <c r="J7" s="679" t="s">
        <v>268</v>
      </c>
      <c r="K7" s="680"/>
      <c r="L7" s="679" t="s">
        <v>268</v>
      </c>
      <c r="M7" s="680"/>
      <c r="N7" s="53" t="s">
        <v>20</v>
      </c>
    </row>
    <row r="8" spans="1:21" ht="56.25" customHeight="1" x14ac:dyDescent="0.25">
      <c r="A8" s="723"/>
      <c r="B8" s="679" t="s">
        <v>398</v>
      </c>
      <c r="C8" s="680"/>
      <c r="D8" s="679" t="s">
        <v>399</v>
      </c>
      <c r="E8" s="680"/>
      <c r="F8" s="679" t="s">
        <v>405</v>
      </c>
      <c r="G8" s="680"/>
      <c r="H8" s="679" t="s">
        <v>400</v>
      </c>
      <c r="I8" s="680"/>
      <c r="J8" s="679" t="s">
        <v>260</v>
      </c>
      <c r="K8" s="680"/>
      <c r="L8" s="679" t="s">
        <v>401</v>
      </c>
      <c r="M8" s="680"/>
      <c r="N8" s="53" t="s">
        <v>20</v>
      </c>
    </row>
    <row r="9" spans="1:21" ht="27.6" x14ac:dyDescent="0.25">
      <c r="A9" s="724"/>
      <c r="B9" s="222" t="s">
        <v>3</v>
      </c>
      <c r="C9" s="222" t="s">
        <v>4</v>
      </c>
      <c r="D9" s="222" t="s">
        <v>3</v>
      </c>
      <c r="E9" s="222" t="s">
        <v>4</v>
      </c>
      <c r="F9" s="222" t="s">
        <v>3</v>
      </c>
      <c r="G9" s="222" t="s">
        <v>4</v>
      </c>
      <c r="H9" s="222" t="s">
        <v>3</v>
      </c>
      <c r="I9" s="222" t="s">
        <v>4</v>
      </c>
      <c r="J9" s="222" t="s">
        <v>3</v>
      </c>
      <c r="K9" s="222" t="s">
        <v>4</v>
      </c>
      <c r="L9" s="222" t="s">
        <v>3</v>
      </c>
      <c r="M9" s="222" t="s">
        <v>4</v>
      </c>
      <c r="N9" s="53" t="s">
        <v>20</v>
      </c>
    </row>
    <row r="10" spans="1:21" x14ac:dyDescent="0.25">
      <c r="A10" s="275" t="s">
        <v>80</v>
      </c>
      <c r="B10" s="234"/>
      <c r="C10" s="234">
        <v>0</v>
      </c>
      <c r="D10" s="234"/>
      <c r="E10" s="234">
        <v>5</v>
      </c>
      <c r="F10" s="234"/>
      <c r="G10" s="234">
        <v>1</v>
      </c>
      <c r="H10" s="234"/>
      <c r="I10" s="234">
        <v>6</v>
      </c>
      <c r="J10" s="234"/>
      <c r="K10" s="234">
        <v>1</v>
      </c>
      <c r="L10" s="234"/>
      <c r="M10" s="234">
        <v>1</v>
      </c>
      <c r="N10" s="53" t="s">
        <v>20</v>
      </c>
    </row>
    <row r="11" spans="1:21" x14ac:dyDescent="0.25">
      <c r="A11" s="275" t="s">
        <v>81</v>
      </c>
      <c r="B11" s="234"/>
      <c r="C11" s="234">
        <v>13</v>
      </c>
      <c r="D11" s="234"/>
      <c r="E11" s="234">
        <v>437</v>
      </c>
      <c r="F11" s="234"/>
      <c r="G11" s="234">
        <v>51</v>
      </c>
      <c r="H11" s="234"/>
      <c r="I11" s="234">
        <v>514</v>
      </c>
      <c r="J11" s="234"/>
      <c r="K11" s="234">
        <v>51</v>
      </c>
      <c r="L11" s="234"/>
      <c r="M11" s="234">
        <v>51</v>
      </c>
      <c r="N11" s="53" t="s">
        <v>20</v>
      </c>
    </row>
    <row r="12" spans="1:21" x14ac:dyDescent="0.25">
      <c r="A12" s="275" t="s">
        <v>82</v>
      </c>
      <c r="B12" s="234"/>
      <c r="C12" s="234">
        <v>0</v>
      </c>
      <c r="D12" s="234"/>
      <c r="E12" s="234">
        <v>0</v>
      </c>
      <c r="F12" s="234"/>
      <c r="G12" s="234">
        <v>0</v>
      </c>
      <c r="H12" s="234"/>
      <c r="I12" s="234">
        <v>0</v>
      </c>
      <c r="J12" s="234"/>
      <c r="K12" s="234">
        <v>0</v>
      </c>
      <c r="L12" s="234"/>
      <c r="M12" s="234">
        <v>0</v>
      </c>
      <c r="N12" s="53" t="s">
        <v>20</v>
      </c>
    </row>
    <row r="13" spans="1:21" x14ac:dyDescent="0.25">
      <c r="A13" s="275" t="s">
        <v>83</v>
      </c>
      <c r="B13" s="234"/>
      <c r="C13" s="234">
        <v>43</v>
      </c>
      <c r="D13" s="234"/>
      <c r="E13" s="234">
        <v>1481</v>
      </c>
      <c r="F13" s="234"/>
      <c r="G13" s="234">
        <v>174</v>
      </c>
      <c r="H13" s="234"/>
      <c r="I13" s="234">
        <v>1742</v>
      </c>
      <c r="J13" s="234"/>
      <c r="K13" s="234">
        <v>174</v>
      </c>
      <c r="L13" s="234"/>
      <c r="M13" s="234">
        <v>174</v>
      </c>
      <c r="N13" s="53" t="s">
        <v>20</v>
      </c>
    </row>
    <row r="14" spans="1:21" x14ac:dyDescent="0.25">
      <c r="A14" s="275" t="s">
        <v>88</v>
      </c>
      <c r="B14" s="234"/>
      <c r="C14" s="234">
        <v>0</v>
      </c>
      <c r="D14" s="234"/>
      <c r="E14" s="234">
        <v>0</v>
      </c>
      <c r="F14" s="234"/>
      <c r="G14" s="234">
        <v>0</v>
      </c>
      <c r="H14" s="234"/>
      <c r="I14" s="234">
        <v>1</v>
      </c>
      <c r="J14" s="234"/>
      <c r="K14" s="234">
        <v>0</v>
      </c>
      <c r="L14" s="234"/>
      <c r="M14" s="234">
        <v>0</v>
      </c>
      <c r="N14" s="53" t="s">
        <v>20</v>
      </c>
    </row>
    <row r="15" spans="1:21" x14ac:dyDescent="0.25">
      <c r="A15" s="277" t="s">
        <v>91</v>
      </c>
      <c r="B15" s="276"/>
      <c r="C15" s="276">
        <v>444</v>
      </c>
      <c r="D15" s="276"/>
      <c r="E15" s="276">
        <v>15077</v>
      </c>
      <c r="F15" s="276"/>
      <c r="G15" s="276">
        <v>1774</v>
      </c>
      <c r="H15" s="276"/>
      <c r="I15" s="276">
        <v>17737</v>
      </c>
      <c r="J15" s="276"/>
      <c r="K15" s="276">
        <v>1774</v>
      </c>
      <c r="L15" s="276"/>
      <c r="M15" s="276">
        <v>1774</v>
      </c>
      <c r="N15" s="53" t="s">
        <v>20</v>
      </c>
    </row>
    <row r="16" spans="1:21" x14ac:dyDescent="0.25">
      <c r="A16" s="66" t="s">
        <v>145</v>
      </c>
      <c r="B16" s="143">
        <f t="shared" ref="B16:M16" si="0">SUM(B10:B15)</f>
        <v>0</v>
      </c>
      <c r="C16" s="143">
        <f t="shared" si="0"/>
        <v>500</v>
      </c>
      <c r="D16" s="143">
        <f t="shared" si="0"/>
        <v>0</v>
      </c>
      <c r="E16" s="143">
        <f t="shared" si="0"/>
        <v>17000</v>
      </c>
      <c r="F16" s="143">
        <f t="shared" si="0"/>
        <v>0</v>
      </c>
      <c r="G16" s="143">
        <f t="shared" si="0"/>
        <v>2000</v>
      </c>
      <c r="H16" s="143">
        <f t="shared" si="0"/>
        <v>0</v>
      </c>
      <c r="I16" s="143">
        <f t="shared" si="0"/>
        <v>20000</v>
      </c>
      <c r="J16" s="143">
        <f t="shared" si="0"/>
        <v>0</v>
      </c>
      <c r="K16" s="143">
        <f t="shared" si="0"/>
        <v>2000</v>
      </c>
      <c r="L16" s="143">
        <f t="shared" si="0"/>
        <v>0</v>
      </c>
      <c r="M16" s="143">
        <f t="shared" si="0"/>
        <v>2000</v>
      </c>
      <c r="N16" s="53" t="s">
        <v>20</v>
      </c>
    </row>
    <row r="17" spans="1:14" x14ac:dyDescent="0.25">
      <c r="A17" s="65"/>
      <c r="B17" s="64"/>
      <c r="C17" s="64"/>
      <c r="D17" s="64"/>
      <c r="E17" s="64"/>
      <c r="F17" s="64"/>
      <c r="G17" s="64"/>
      <c r="H17" s="64"/>
      <c r="I17" s="64"/>
      <c r="J17" s="64"/>
      <c r="K17" s="64"/>
      <c r="L17" s="64"/>
      <c r="M17" s="64"/>
      <c r="N17" s="53" t="s">
        <v>20</v>
      </c>
    </row>
    <row r="18" spans="1:14" x14ac:dyDescent="0.25">
      <c r="A18" s="278"/>
      <c r="B18" s="278"/>
      <c r="C18" s="278"/>
      <c r="D18" s="278"/>
      <c r="E18" s="278"/>
      <c r="F18" s="278"/>
      <c r="G18" s="278"/>
      <c r="H18" s="278"/>
      <c r="I18" s="278"/>
      <c r="J18" s="278"/>
      <c r="K18" s="278"/>
      <c r="L18" s="278"/>
      <c r="M18" s="278"/>
      <c r="N18" s="53" t="s">
        <v>20</v>
      </c>
    </row>
    <row r="19" spans="1:14" ht="15" customHeight="1" x14ac:dyDescent="0.25">
      <c r="A19" s="722" t="s">
        <v>99</v>
      </c>
      <c r="B19" s="679" t="s">
        <v>395</v>
      </c>
      <c r="C19" s="725"/>
      <c r="D19" s="725"/>
      <c r="E19" s="725"/>
      <c r="F19" s="725"/>
      <c r="G19" s="725"/>
      <c r="H19" s="679" t="s">
        <v>395</v>
      </c>
      <c r="I19" s="725"/>
      <c r="J19" s="725"/>
      <c r="K19" s="725"/>
      <c r="L19" s="695" t="s">
        <v>17</v>
      </c>
      <c r="M19" s="726"/>
      <c r="N19" s="53" t="s">
        <v>20</v>
      </c>
    </row>
    <row r="20" spans="1:14" ht="15" customHeight="1" x14ac:dyDescent="0.25">
      <c r="A20" s="723"/>
      <c r="B20" s="679" t="s">
        <v>268</v>
      </c>
      <c r="C20" s="680"/>
      <c r="D20" s="679" t="s">
        <v>268</v>
      </c>
      <c r="E20" s="680"/>
      <c r="F20" s="679" t="s">
        <v>419</v>
      </c>
      <c r="G20" s="680"/>
      <c r="H20" s="679" t="s">
        <v>419</v>
      </c>
      <c r="I20" s="680"/>
      <c r="J20" s="679" t="s">
        <v>419</v>
      </c>
      <c r="K20" s="680"/>
      <c r="L20" s="727"/>
      <c r="M20" s="728"/>
      <c r="N20" s="53" t="s">
        <v>20</v>
      </c>
    </row>
    <row r="21" spans="1:14" ht="74.25" customHeight="1" x14ac:dyDescent="0.25">
      <c r="A21" s="723"/>
      <c r="B21" s="679" t="s">
        <v>402</v>
      </c>
      <c r="C21" s="680"/>
      <c r="D21" s="679" t="s">
        <v>403</v>
      </c>
      <c r="E21" s="680"/>
      <c r="F21" s="679" t="s">
        <v>367</v>
      </c>
      <c r="G21" s="680"/>
      <c r="H21" s="679" t="s">
        <v>410</v>
      </c>
      <c r="I21" s="680"/>
      <c r="J21" s="679" t="s">
        <v>384</v>
      </c>
      <c r="K21" s="680"/>
      <c r="L21" s="729"/>
      <c r="M21" s="716"/>
      <c r="N21" s="53" t="s">
        <v>20</v>
      </c>
    </row>
    <row r="22" spans="1:14" ht="27.6" x14ac:dyDescent="0.25">
      <c r="A22" s="724"/>
      <c r="B22" s="222" t="s">
        <v>3</v>
      </c>
      <c r="C22" s="222" t="s">
        <v>4</v>
      </c>
      <c r="D22" s="222" t="s">
        <v>3</v>
      </c>
      <c r="E22" s="222" t="s">
        <v>4</v>
      </c>
      <c r="F22" s="222" t="s">
        <v>3</v>
      </c>
      <c r="G22" s="222" t="s">
        <v>4</v>
      </c>
      <c r="H22" s="222" t="s">
        <v>3</v>
      </c>
      <c r="I22" s="222" t="s">
        <v>4</v>
      </c>
      <c r="J22" s="222" t="s">
        <v>3</v>
      </c>
      <c r="K22" s="222" t="s">
        <v>4</v>
      </c>
      <c r="L22" s="222" t="s">
        <v>3</v>
      </c>
      <c r="M22" s="222" t="s">
        <v>4</v>
      </c>
      <c r="N22" s="53" t="s">
        <v>20</v>
      </c>
    </row>
    <row r="23" spans="1:14" x14ac:dyDescent="0.25">
      <c r="A23" s="275" t="s">
        <v>80</v>
      </c>
      <c r="B23" s="234"/>
      <c r="C23" s="234">
        <v>9</v>
      </c>
      <c r="D23" s="234"/>
      <c r="E23" s="234">
        <v>11</v>
      </c>
      <c r="F23" s="234"/>
      <c r="G23" s="234">
        <v>0</v>
      </c>
      <c r="H23" s="234"/>
      <c r="I23" s="234">
        <v>-5</v>
      </c>
      <c r="J23" s="234"/>
      <c r="K23" s="234">
        <v>-6</v>
      </c>
      <c r="L23" s="234"/>
      <c r="M23" s="234">
        <f>C10+E10+G10+I10+K10+M10+C23+E23+G23+I23+K23</f>
        <v>23</v>
      </c>
      <c r="N23" s="53" t="s">
        <v>20</v>
      </c>
    </row>
    <row r="24" spans="1:14" x14ac:dyDescent="0.25">
      <c r="A24" s="275" t="s">
        <v>81</v>
      </c>
      <c r="B24" s="234"/>
      <c r="C24" s="234">
        <v>771</v>
      </c>
      <c r="D24" s="234"/>
      <c r="E24" s="234">
        <v>925</v>
      </c>
      <c r="F24" s="234"/>
      <c r="G24" s="234">
        <v>-39</v>
      </c>
      <c r="H24" s="234"/>
      <c r="I24" s="234">
        <v>-463</v>
      </c>
      <c r="J24" s="234"/>
      <c r="K24" s="234">
        <v>-514</v>
      </c>
      <c r="L24" s="234"/>
      <c r="M24" s="234">
        <f t="shared" ref="M24:M28" si="1">C11+E11+G11+I11+K11+M11+C24+E24+G24+I24+K24</f>
        <v>1797</v>
      </c>
      <c r="N24" s="53" t="s">
        <v>20</v>
      </c>
    </row>
    <row r="25" spans="1:14" x14ac:dyDescent="0.25">
      <c r="A25" s="275" t="s">
        <v>82</v>
      </c>
      <c r="B25" s="234"/>
      <c r="C25" s="234">
        <v>0</v>
      </c>
      <c r="D25" s="234"/>
      <c r="E25" s="234">
        <v>0.56000000000000005</v>
      </c>
      <c r="F25" s="234"/>
      <c r="G25" s="234">
        <v>0</v>
      </c>
      <c r="H25" s="234"/>
      <c r="I25" s="234">
        <v>0</v>
      </c>
      <c r="J25" s="234"/>
      <c r="K25" s="234">
        <v>0</v>
      </c>
      <c r="L25" s="234"/>
      <c r="M25" s="234">
        <f t="shared" si="1"/>
        <v>0.56000000000000005</v>
      </c>
      <c r="N25" s="53" t="s">
        <v>20</v>
      </c>
    </row>
    <row r="26" spans="1:14" x14ac:dyDescent="0.25">
      <c r="A26" s="275" t="s">
        <v>83</v>
      </c>
      <c r="B26" s="234"/>
      <c r="C26" s="234">
        <v>2613</v>
      </c>
      <c r="D26" s="234"/>
      <c r="E26" s="234">
        <v>3135</v>
      </c>
      <c r="F26" s="234"/>
      <c r="G26" s="234">
        <v>-131</v>
      </c>
      <c r="H26" s="234"/>
      <c r="I26" s="234">
        <v>-1568</v>
      </c>
      <c r="J26" s="234"/>
      <c r="K26" s="234">
        <v>-1742</v>
      </c>
      <c r="L26" s="234"/>
      <c r="M26" s="234">
        <f t="shared" si="1"/>
        <v>6095</v>
      </c>
      <c r="N26" s="53" t="s">
        <v>20</v>
      </c>
    </row>
    <row r="27" spans="1:14" x14ac:dyDescent="0.25">
      <c r="A27" s="275" t="s">
        <v>88</v>
      </c>
      <c r="B27" s="234"/>
      <c r="C27" s="234">
        <v>1</v>
      </c>
      <c r="D27" s="234"/>
      <c r="E27" s="234">
        <v>1</v>
      </c>
      <c r="F27" s="234"/>
      <c r="G27" s="234">
        <v>0</v>
      </c>
      <c r="H27" s="234"/>
      <c r="I27" s="234">
        <v>0</v>
      </c>
      <c r="J27" s="234"/>
      <c r="K27" s="234">
        <v>-0.54</v>
      </c>
      <c r="L27" s="234"/>
      <c r="M27" s="234">
        <f t="shared" si="1"/>
        <v>2.46</v>
      </c>
      <c r="N27" s="53" t="s">
        <v>20</v>
      </c>
    </row>
    <row r="28" spans="1:14" x14ac:dyDescent="0.25">
      <c r="A28" s="277" t="s">
        <v>91</v>
      </c>
      <c r="B28" s="276"/>
      <c r="C28" s="276">
        <v>26606</v>
      </c>
      <c r="D28" s="276"/>
      <c r="E28" s="276">
        <v>31927</v>
      </c>
      <c r="F28" s="276"/>
      <c r="G28" s="276">
        <v>-1330</v>
      </c>
      <c r="H28" s="276"/>
      <c r="I28" s="276">
        <v>-15964</v>
      </c>
      <c r="J28" s="276"/>
      <c r="K28" s="276">
        <v>-17737</v>
      </c>
      <c r="L28" s="276"/>
      <c r="M28" s="276">
        <f t="shared" si="1"/>
        <v>62082</v>
      </c>
      <c r="N28" s="53" t="s">
        <v>20</v>
      </c>
    </row>
    <row r="29" spans="1:14" x14ac:dyDescent="0.25">
      <c r="A29" s="66" t="s">
        <v>145</v>
      </c>
      <c r="B29" s="143">
        <f t="shared" ref="B29:K29" si="2">SUM(B23:B28)</f>
        <v>0</v>
      </c>
      <c r="C29" s="143">
        <f t="shared" si="2"/>
        <v>30000</v>
      </c>
      <c r="D29" s="143">
        <f t="shared" si="2"/>
        <v>0</v>
      </c>
      <c r="E29" s="143">
        <f t="shared" si="2"/>
        <v>35999.56</v>
      </c>
      <c r="F29" s="143">
        <f t="shared" si="2"/>
        <v>0</v>
      </c>
      <c r="G29" s="143">
        <f t="shared" si="2"/>
        <v>-1500</v>
      </c>
      <c r="H29" s="143">
        <f t="shared" si="2"/>
        <v>0</v>
      </c>
      <c r="I29" s="143">
        <f t="shared" si="2"/>
        <v>-18000</v>
      </c>
      <c r="J29" s="143">
        <f t="shared" si="2"/>
        <v>0</v>
      </c>
      <c r="K29" s="143">
        <f t="shared" si="2"/>
        <v>-19999.54</v>
      </c>
      <c r="L29" s="143">
        <f t="shared" ref="L29:M29" si="3">SUM(L23:L28)</f>
        <v>0</v>
      </c>
      <c r="M29" s="143">
        <f t="shared" si="3"/>
        <v>70000.02</v>
      </c>
      <c r="N29" s="53" t="s">
        <v>20</v>
      </c>
    </row>
    <row r="30" spans="1:14" x14ac:dyDescent="0.25">
      <c r="N30" s="53" t="s">
        <v>21</v>
      </c>
    </row>
  </sheetData>
  <customSheetViews>
    <customSheetView guid="{5B2D5037-506A-47D5-AF28-C337BC9133BD}" scale="80" showPageBreaks="1" printArea="1" view="pageBreakPreview">
      <selection activeCell="I28" sqref="I28"/>
      <pageMargins left="0.7" right="0.7" top="0.52" bottom="0.39" header="0.3" footer="0.23"/>
      <printOptions horizontalCentered="1"/>
      <pageSetup scale="63" fitToHeight="2" orientation="landscape" r:id="rId1"/>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08380F1E-0CB7-4B3B-924E-2A270EA8DD30}" scale="80" showPageBreaks="1" printArea="1" view="pageBreakPreview">
      <selection activeCell="I28" sqref="I28"/>
      <pageMargins left="0.7" right="0.7" top="0.52" bottom="0.39" header="0.3" footer="0.23"/>
      <printOptions horizontalCentered="1"/>
      <pageSetup scale="63" fitToHeight="2" orientation="landscape" r:id="rId2"/>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D19943A8-2C2A-430A-A724-8C7C332697C8}" scale="80" showPageBreaks="1" printArea="1" view="pageBreakPreview">
      <selection activeCell="I28" sqref="I28"/>
      <pageMargins left="0.7" right="0.7" top="0.52" bottom="0.39" header="0.3" footer="0.23"/>
      <printOptions horizontalCentered="1"/>
      <pageSetup scale="63" fitToHeight="2" orientation="landscape" r:id="rId3"/>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 guid="{C6D68C6D-939C-4DFA-9385-A3F05DFB5EDA}" scale="80" showPageBreaks="1" printArea="1" view="pageBreakPreview">
      <selection activeCell="I28" sqref="I28"/>
      <pageMargins left="0.7" right="0.7" top="0.52" bottom="0.39" header="0.3" footer="0.23"/>
      <printOptions horizontalCentered="1"/>
      <pageSetup scale="63" fitToHeight="2" orientation="landscape" r:id="rId4"/>
      <headerFooter>
        <oddHeader xml:space="preserve">&amp;L&amp;"Arial,Bold"&amp;12J. Financial Analysis of Program Changes
</oddHeader>
        <oddFooter>&amp;C&amp;"Arial,Regular"Exhibit J - Financial Analysis of Program Changes&amp;R&amp;"Arial,Regular"Juvenile Justice Programs</oddFooter>
      </headerFooter>
    </customSheetView>
  </customSheetViews>
  <mergeCells count="34">
    <mergeCell ref="A19:A22"/>
    <mergeCell ref="B19:G19"/>
    <mergeCell ref="H19:K19"/>
    <mergeCell ref="L19:M21"/>
    <mergeCell ref="B20:C20"/>
    <mergeCell ref="D20:E20"/>
    <mergeCell ref="F20:G20"/>
    <mergeCell ref="H20:I20"/>
    <mergeCell ref="J20:K20"/>
    <mergeCell ref="B21:C21"/>
    <mergeCell ref="D21:E21"/>
    <mergeCell ref="F21:G21"/>
    <mergeCell ref="H21:I21"/>
    <mergeCell ref="J21:K21"/>
    <mergeCell ref="A1:M1"/>
    <mergeCell ref="A2:M2"/>
    <mergeCell ref="A3:M3"/>
    <mergeCell ref="A4:M4"/>
    <mergeCell ref="A5:M5"/>
    <mergeCell ref="A6:A9"/>
    <mergeCell ref="B6:G6"/>
    <mergeCell ref="H6:M6"/>
    <mergeCell ref="B7:C7"/>
    <mergeCell ref="D7:E7"/>
    <mergeCell ref="F7:G7"/>
    <mergeCell ref="H7:I7"/>
    <mergeCell ref="J7:K7"/>
    <mergeCell ref="L7:M7"/>
    <mergeCell ref="B8:C8"/>
    <mergeCell ref="D8:E8"/>
    <mergeCell ref="F8:G8"/>
    <mergeCell ref="H8:I8"/>
    <mergeCell ref="J8:K8"/>
    <mergeCell ref="L8:M8"/>
  </mergeCells>
  <printOptions horizontalCentered="1"/>
  <pageMargins left="0.7" right="0.7" top="0.52" bottom="0.39" header="0.3" footer="0.23"/>
  <pageSetup scale="63" fitToHeight="2" orientation="landscape" r:id="rId5"/>
  <headerFooter>
    <oddHeader xml:space="preserve">&amp;L&amp;"Arial,Bold"&amp;12J. Financial Analysis of Program Changes
</oddHeader>
    <oddFooter>&amp;C&amp;"Arial,Regular"Exhibit J - Financial Analysis of Program Changes&amp;R&amp;"Arial,Regular"Juvenile Justice Programs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zoomScale="80" zoomScaleNormal="100" zoomScaleSheetLayoutView="80" workbookViewId="0">
      <pane xSplit="1" ySplit="7" topLeftCell="C8" activePane="bottomRight" state="frozen"/>
      <selection pane="topRight" activeCell="B1" sqref="B1"/>
      <selection pane="bottomLeft" activeCell="A8" sqref="A8"/>
      <selection pane="bottomRight" activeCell="A43" sqref="A43:XFD43"/>
    </sheetView>
  </sheetViews>
  <sheetFormatPr defaultColWidth="9.109375" defaultRowHeight="13.8" x14ac:dyDescent="0.25"/>
  <cols>
    <col min="1" max="1" width="86.5546875" style="178" customWidth="1"/>
    <col min="2" max="2" width="8.33203125" style="178" customWidth="1"/>
    <col min="3" max="3" width="12.6640625" style="178" customWidth="1"/>
    <col min="4" max="4" width="8.33203125" style="178" customWidth="1"/>
    <col min="5" max="5" width="12.6640625" style="178" customWidth="1"/>
    <col min="6" max="6" width="8.33203125" style="178" customWidth="1"/>
    <col min="7" max="7" width="12.6640625" style="178" customWidth="1"/>
    <col min="8" max="8" width="8.33203125" style="178" customWidth="1"/>
    <col min="9" max="9" width="12.6640625" style="178" customWidth="1"/>
    <col min="10" max="10" width="14" style="7" bestFit="1" customWidth="1"/>
    <col min="11" max="11" width="4.5546875" style="178" customWidth="1"/>
    <col min="12" max="12" width="11.6640625" style="178" customWidth="1"/>
    <col min="13" max="13" width="8.33203125" style="178" customWidth="1"/>
    <col min="14" max="14" width="12.6640625" style="178" customWidth="1"/>
    <col min="15" max="16" width="8.33203125" style="178" customWidth="1"/>
    <col min="17" max="17" width="12.6640625" style="178" customWidth="1"/>
    <col min="18" max="16384" width="9.109375" style="178"/>
  </cols>
  <sheetData>
    <row r="1" spans="1:17" ht="18" x14ac:dyDescent="0.25">
      <c r="A1" s="633" t="s">
        <v>67</v>
      </c>
      <c r="B1" s="633"/>
      <c r="C1" s="633"/>
      <c r="D1" s="633"/>
      <c r="E1" s="633"/>
      <c r="F1" s="633"/>
      <c r="G1" s="633"/>
      <c r="H1" s="633"/>
      <c r="I1" s="633"/>
      <c r="J1" s="53" t="s">
        <v>20</v>
      </c>
      <c r="K1" s="9"/>
      <c r="L1" s="9"/>
      <c r="M1" s="9"/>
      <c r="N1" s="9"/>
      <c r="O1" s="9"/>
      <c r="P1" s="9"/>
      <c r="Q1" s="9"/>
    </row>
    <row r="2" spans="1:17" ht="15" x14ac:dyDescent="0.2">
      <c r="A2" s="634" t="str">
        <f>'B. Summ of Req. by DU - JJ'!A2:M2</f>
        <v>Office of Justice Programs</v>
      </c>
      <c r="B2" s="634"/>
      <c r="C2" s="634"/>
      <c r="D2" s="634"/>
      <c r="E2" s="634"/>
      <c r="F2" s="634"/>
      <c r="G2" s="634"/>
      <c r="H2" s="634"/>
      <c r="I2" s="634"/>
      <c r="J2" s="53" t="s">
        <v>20</v>
      </c>
      <c r="K2" s="10"/>
      <c r="L2" s="10"/>
      <c r="M2" s="10"/>
      <c r="N2" s="10"/>
      <c r="O2" s="10"/>
      <c r="P2" s="10"/>
      <c r="Q2" s="10"/>
    </row>
    <row r="3" spans="1:17" ht="15" x14ac:dyDescent="0.2">
      <c r="A3" s="634" t="str">
        <f>'B. Summ of Req. by DU - JJ'!A3:M3</f>
        <v>Juvenile Justice Programs</v>
      </c>
      <c r="B3" s="634"/>
      <c r="C3" s="634"/>
      <c r="D3" s="634"/>
      <c r="E3" s="634"/>
      <c r="F3" s="634"/>
      <c r="G3" s="634"/>
      <c r="H3" s="634"/>
      <c r="I3" s="634"/>
      <c r="J3" s="53" t="s">
        <v>20</v>
      </c>
      <c r="K3" s="221"/>
      <c r="L3" s="221"/>
      <c r="M3" s="221"/>
      <c r="N3" s="221"/>
      <c r="O3" s="221"/>
      <c r="P3" s="221"/>
      <c r="Q3" s="221"/>
    </row>
    <row r="4" spans="1:17" ht="14.25" x14ac:dyDescent="0.2">
      <c r="A4" s="637" t="s">
        <v>1</v>
      </c>
      <c r="B4" s="637"/>
      <c r="C4" s="637"/>
      <c r="D4" s="637"/>
      <c r="E4" s="637"/>
      <c r="F4" s="637"/>
      <c r="G4" s="637"/>
      <c r="H4" s="637"/>
      <c r="I4" s="637"/>
      <c r="J4" s="53" t="s">
        <v>20</v>
      </c>
      <c r="K4" s="11"/>
      <c r="L4" s="11"/>
      <c r="M4" s="11"/>
      <c r="N4" s="11"/>
      <c r="O4" s="11"/>
      <c r="P4" s="11"/>
      <c r="Q4" s="11"/>
    </row>
    <row r="5" spans="1:17" ht="15" thickBot="1" x14ac:dyDescent="0.25">
      <c r="A5" s="734"/>
      <c r="B5" s="734"/>
      <c r="C5" s="734"/>
      <c r="D5" s="734"/>
      <c r="E5" s="734"/>
      <c r="F5" s="734"/>
      <c r="G5" s="734"/>
      <c r="H5" s="734"/>
      <c r="I5" s="734"/>
      <c r="J5" s="53" t="s">
        <v>20</v>
      </c>
      <c r="K5" s="11"/>
      <c r="L5" s="11"/>
      <c r="M5" s="11"/>
      <c r="N5" s="11"/>
      <c r="O5" s="11"/>
      <c r="P5" s="11"/>
      <c r="Q5" s="11"/>
    </row>
    <row r="6" spans="1:17" x14ac:dyDescent="0.25">
      <c r="A6" s="638" t="s">
        <v>68</v>
      </c>
      <c r="B6" s="641" t="s">
        <v>45</v>
      </c>
      <c r="C6" s="641"/>
      <c r="D6" s="641" t="s">
        <v>420</v>
      </c>
      <c r="E6" s="641"/>
      <c r="F6" s="641" t="s">
        <v>24</v>
      </c>
      <c r="G6" s="641"/>
      <c r="H6" s="641" t="s">
        <v>46</v>
      </c>
      <c r="I6" s="642"/>
      <c r="J6" s="53" t="s">
        <v>20</v>
      </c>
    </row>
    <row r="7" spans="1:17" ht="27.6" x14ac:dyDescent="0.25">
      <c r="A7" s="639"/>
      <c r="B7" s="222" t="s">
        <v>30</v>
      </c>
      <c r="C7" s="222" t="s">
        <v>4</v>
      </c>
      <c r="D7" s="222" t="s">
        <v>30</v>
      </c>
      <c r="E7" s="222" t="s">
        <v>4</v>
      </c>
      <c r="F7" s="222" t="s">
        <v>30</v>
      </c>
      <c r="G7" s="222" t="s">
        <v>4</v>
      </c>
      <c r="H7" s="222" t="s">
        <v>30</v>
      </c>
      <c r="I7" s="223" t="s">
        <v>4</v>
      </c>
      <c r="J7" s="53" t="s">
        <v>20</v>
      </c>
    </row>
    <row r="8" spans="1:17" ht="14.25" x14ac:dyDescent="0.2">
      <c r="A8" s="232" t="s">
        <v>69</v>
      </c>
      <c r="B8" s="225">
        <v>0</v>
      </c>
      <c r="C8" s="225">
        <v>0</v>
      </c>
      <c r="D8" s="225">
        <v>0</v>
      </c>
      <c r="E8" s="225">
        <v>0</v>
      </c>
      <c r="F8" s="225">
        <v>0</v>
      </c>
      <c r="G8" s="225">
        <v>0</v>
      </c>
      <c r="H8" s="225">
        <f>F8-D8</f>
        <v>0</v>
      </c>
      <c r="I8" s="226">
        <f>G8-E8</f>
        <v>0</v>
      </c>
      <c r="J8" s="53" t="s">
        <v>20</v>
      </c>
    </row>
    <row r="9" spans="1:17" ht="14.25" x14ac:dyDescent="0.2">
      <c r="A9" s="177" t="s">
        <v>70</v>
      </c>
      <c r="B9" s="208">
        <v>0</v>
      </c>
      <c r="C9" s="208">
        <v>0</v>
      </c>
      <c r="D9" s="208">
        <v>0</v>
      </c>
      <c r="E9" s="208">
        <v>0</v>
      </c>
      <c r="F9" s="208">
        <v>0</v>
      </c>
      <c r="G9" s="208">
        <v>0</v>
      </c>
      <c r="H9" s="208">
        <f t="shared" ref="H9:I13" si="0">F9-D9</f>
        <v>0</v>
      </c>
      <c r="I9" s="205">
        <f t="shared" si="0"/>
        <v>0</v>
      </c>
      <c r="J9" s="53" t="s">
        <v>20</v>
      </c>
    </row>
    <row r="10" spans="1:17" ht="14.25" x14ac:dyDescent="0.2">
      <c r="A10" s="177" t="s">
        <v>146</v>
      </c>
      <c r="B10" s="208">
        <f>SUM(B11:B12)</f>
        <v>0</v>
      </c>
      <c r="C10" s="208">
        <f t="shared" ref="C10:G10" si="1">SUM(C11:C12)</f>
        <v>0</v>
      </c>
      <c r="D10" s="208">
        <f t="shared" si="1"/>
        <v>0</v>
      </c>
      <c r="E10" s="208">
        <f t="shared" si="1"/>
        <v>0</v>
      </c>
      <c r="F10" s="208">
        <f t="shared" si="1"/>
        <v>0</v>
      </c>
      <c r="G10" s="208">
        <f t="shared" si="1"/>
        <v>0</v>
      </c>
      <c r="H10" s="208">
        <f t="shared" si="0"/>
        <v>0</v>
      </c>
      <c r="I10" s="205">
        <f t="shared" si="0"/>
        <v>0</v>
      </c>
      <c r="J10" s="53" t="s">
        <v>20</v>
      </c>
    </row>
    <row r="11" spans="1:17" ht="14.25" x14ac:dyDescent="0.2">
      <c r="A11" s="60" t="s">
        <v>29</v>
      </c>
      <c r="B11" s="169">
        <v>0</v>
      </c>
      <c r="C11" s="169">
        <v>0</v>
      </c>
      <c r="D11" s="169">
        <v>0</v>
      </c>
      <c r="E11" s="169">
        <v>0</v>
      </c>
      <c r="F11" s="169">
        <v>0</v>
      </c>
      <c r="G11" s="169">
        <v>0</v>
      </c>
      <c r="H11" s="169">
        <f t="shared" si="0"/>
        <v>0</v>
      </c>
      <c r="I11" s="170">
        <f t="shared" si="0"/>
        <v>0</v>
      </c>
      <c r="J11" s="53" t="s">
        <v>20</v>
      </c>
    </row>
    <row r="12" spans="1:17" ht="14.25" x14ac:dyDescent="0.2">
      <c r="A12" s="60" t="s">
        <v>71</v>
      </c>
      <c r="B12" s="169">
        <v>0</v>
      </c>
      <c r="C12" s="169">
        <v>0</v>
      </c>
      <c r="D12" s="169">
        <v>0</v>
      </c>
      <c r="E12" s="169">
        <v>0</v>
      </c>
      <c r="F12" s="169">
        <v>0</v>
      </c>
      <c r="G12" s="169">
        <v>0</v>
      </c>
      <c r="H12" s="169">
        <f t="shared" si="0"/>
        <v>0</v>
      </c>
      <c r="I12" s="170">
        <f t="shared" si="0"/>
        <v>0</v>
      </c>
      <c r="J12" s="53" t="s">
        <v>20</v>
      </c>
    </row>
    <row r="13" spans="1:17" ht="14.25" x14ac:dyDescent="0.2">
      <c r="A13" s="177" t="s">
        <v>72</v>
      </c>
      <c r="B13" s="230">
        <v>0</v>
      </c>
      <c r="C13" s="230">
        <v>0</v>
      </c>
      <c r="D13" s="230">
        <v>0</v>
      </c>
      <c r="E13" s="230">
        <v>0</v>
      </c>
      <c r="F13" s="230">
        <v>0</v>
      </c>
      <c r="G13" s="230">
        <v>0</v>
      </c>
      <c r="H13" s="230">
        <f t="shared" si="0"/>
        <v>0</v>
      </c>
      <c r="I13" s="231">
        <f t="shared" si="0"/>
        <v>0</v>
      </c>
      <c r="J13" s="53" t="s">
        <v>20</v>
      </c>
    </row>
    <row r="14" spans="1:17" ht="15" x14ac:dyDescent="0.25">
      <c r="A14" s="62" t="s">
        <v>25</v>
      </c>
      <c r="B14" s="127">
        <f>SUM(B8:B10,B13)</f>
        <v>0</v>
      </c>
      <c r="C14" s="127">
        <f t="shared" ref="C14:I14" si="2">SUM(C8:C10,C13)</f>
        <v>0</v>
      </c>
      <c r="D14" s="127">
        <f t="shared" si="2"/>
        <v>0</v>
      </c>
      <c r="E14" s="127">
        <f t="shared" si="2"/>
        <v>0</v>
      </c>
      <c r="F14" s="127">
        <f t="shared" si="2"/>
        <v>0</v>
      </c>
      <c r="G14" s="127">
        <f t="shared" si="2"/>
        <v>0</v>
      </c>
      <c r="H14" s="127">
        <f t="shared" si="2"/>
        <v>0</v>
      </c>
      <c r="I14" s="133">
        <f t="shared" si="2"/>
        <v>0</v>
      </c>
      <c r="J14" s="53" t="s">
        <v>20</v>
      </c>
    </row>
    <row r="15" spans="1:17" ht="15" x14ac:dyDescent="0.25">
      <c r="A15" s="61" t="s">
        <v>73</v>
      </c>
      <c r="B15" s="208"/>
      <c r="C15" s="208"/>
      <c r="D15" s="208"/>
      <c r="E15" s="208"/>
      <c r="F15" s="208"/>
      <c r="G15" s="208"/>
      <c r="H15" s="208"/>
      <c r="I15" s="205"/>
      <c r="J15" s="53" t="s">
        <v>20</v>
      </c>
    </row>
    <row r="16" spans="1:17" ht="14.25" x14ac:dyDescent="0.2">
      <c r="A16" s="177" t="s">
        <v>74</v>
      </c>
      <c r="B16" s="208"/>
      <c r="C16" s="208">
        <v>0</v>
      </c>
      <c r="D16" s="208"/>
      <c r="E16" s="208">
        <v>0</v>
      </c>
      <c r="F16" s="208"/>
      <c r="G16" s="208">
        <v>0</v>
      </c>
      <c r="H16" s="208"/>
      <c r="I16" s="205">
        <f t="shared" ref="I16:I36" si="3">G16-E16</f>
        <v>0</v>
      </c>
      <c r="J16" s="53" t="s">
        <v>20</v>
      </c>
    </row>
    <row r="17" spans="1:10" ht="14.25" x14ac:dyDescent="0.2">
      <c r="A17" s="177" t="s">
        <v>75</v>
      </c>
      <c r="B17" s="208"/>
      <c r="C17" s="208">
        <v>0</v>
      </c>
      <c r="D17" s="208"/>
      <c r="E17" s="208">
        <v>0</v>
      </c>
      <c r="F17" s="208"/>
      <c r="G17" s="208">
        <v>0</v>
      </c>
      <c r="H17" s="208"/>
      <c r="I17" s="205">
        <f t="shared" si="3"/>
        <v>0</v>
      </c>
      <c r="J17" s="53" t="s">
        <v>20</v>
      </c>
    </row>
    <row r="18" spans="1:10" ht="14.25" x14ac:dyDescent="0.2">
      <c r="A18" s="177" t="s">
        <v>76</v>
      </c>
      <c r="B18" s="208"/>
      <c r="C18" s="208">
        <v>0</v>
      </c>
      <c r="D18" s="208"/>
      <c r="E18" s="208">
        <v>0</v>
      </c>
      <c r="F18" s="208"/>
      <c r="G18" s="208">
        <v>0</v>
      </c>
      <c r="H18" s="208"/>
      <c r="I18" s="205">
        <f t="shared" si="3"/>
        <v>0</v>
      </c>
      <c r="J18" s="53" t="s">
        <v>20</v>
      </c>
    </row>
    <row r="19" spans="1:10" ht="14.25" x14ac:dyDescent="0.2">
      <c r="A19" s="177" t="s">
        <v>147</v>
      </c>
      <c r="B19" s="208"/>
      <c r="C19" s="208">
        <v>0</v>
      </c>
      <c r="D19" s="208"/>
      <c r="E19" s="208">
        <v>0</v>
      </c>
      <c r="F19" s="208"/>
      <c r="G19" s="208">
        <v>0</v>
      </c>
      <c r="H19" s="208"/>
      <c r="I19" s="205">
        <f t="shared" si="3"/>
        <v>0</v>
      </c>
      <c r="J19" s="53" t="s">
        <v>20</v>
      </c>
    </row>
    <row r="20" spans="1:10" x14ac:dyDescent="0.25">
      <c r="A20" s="177" t="s">
        <v>77</v>
      </c>
      <c r="B20" s="208"/>
      <c r="C20" s="208">
        <v>0</v>
      </c>
      <c r="D20" s="208"/>
      <c r="E20" s="208">
        <v>0</v>
      </c>
      <c r="F20" s="208"/>
      <c r="G20" s="208">
        <v>0</v>
      </c>
      <c r="H20" s="208"/>
      <c r="I20" s="205">
        <f t="shared" si="3"/>
        <v>0</v>
      </c>
      <c r="J20" s="53" t="s">
        <v>20</v>
      </c>
    </row>
    <row r="21" spans="1:10" x14ac:dyDescent="0.25">
      <c r="A21" s="177" t="s">
        <v>78</v>
      </c>
      <c r="B21" s="208"/>
      <c r="C21" s="208">
        <v>0</v>
      </c>
      <c r="D21" s="208"/>
      <c r="E21" s="208">
        <v>0</v>
      </c>
      <c r="F21" s="208"/>
      <c r="G21" s="208">
        <v>0</v>
      </c>
      <c r="H21" s="208"/>
      <c r="I21" s="205">
        <f t="shared" si="3"/>
        <v>0</v>
      </c>
      <c r="J21" s="53" t="s">
        <v>20</v>
      </c>
    </row>
    <row r="22" spans="1:10" x14ac:dyDescent="0.25">
      <c r="A22" s="177" t="s">
        <v>79</v>
      </c>
      <c r="B22" s="208"/>
      <c r="C22" s="208">
        <v>0</v>
      </c>
      <c r="D22" s="208"/>
      <c r="E22" s="208">
        <v>0</v>
      </c>
      <c r="F22" s="208"/>
      <c r="G22" s="208">
        <v>0</v>
      </c>
      <c r="H22" s="208"/>
      <c r="I22" s="205">
        <f t="shared" si="3"/>
        <v>0</v>
      </c>
      <c r="J22" s="53" t="s">
        <v>20</v>
      </c>
    </row>
    <row r="23" spans="1:10" x14ac:dyDescent="0.25">
      <c r="A23" s="177" t="s">
        <v>80</v>
      </c>
      <c r="B23" s="208"/>
      <c r="C23" s="208">
        <v>76</v>
      </c>
      <c r="D23" s="208"/>
      <c r="E23" s="208">
        <f>(C23/$C$37)*266699</f>
        <v>78.742566333864275</v>
      </c>
      <c r="F23" s="208"/>
      <c r="G23" s="208">
        <f>(C23/$C$37)*332500</f>
        <v>98.170234256633393</v>
      </c>
      <c r="H23" s="208"/>
      <c r="I23" s="205">
        <f t="shared" si="3"/>
        <v>19.427667922769118</v>
      </c>
      <c r="J23" s="53" t="s">
        <v>20</v>
      </c>
    </row>
    <row r="24" spans="1:10" x14ac:dyDescent="0.25">
      <c r="A24" s="177" t="s">
        <v>81</v>
      </c>
      <c r="B24" s="208"/>
      <c r="C24" s="208">
        <v>6618</v>
      </c>
      <c r="D24" s="208"/>
      <c r="E24" s="208">
        <f>(C24/$C$37)*266699</f>
        <v>6856.8197894409695</v>
      </c>
      <c r="F24" s="208"/>
      <c r="G24" s="208">
        <f t="shared" ref="G24:G26" si="4">(C24/$C$37)*332500</f>
        <v>8548.5606619789451</v>
      </c>
      <c r="H24" s="208"/>
      <c r="I24" s="205">
        <f t="shared" si="3"/>
        <v>1691.7408725379755</v>
      </c>
      <c r="J24" s="53" t="s">
        <v>20</v>
      </c>
    </row>
    <row r="25" spans="1:10" x14ac:dyDescent="0.25">
      <c r="A25" s="177" t="s">
        <v>82</v>
      </c>
      <c r="B25" s="208"/>
      <c r="C25" s="208">
        <v>4</v>
      </c>
      <c r="D25" s="208"/>
      <c r="E25" s="208">
        <f>(C25/$C$37)*266699</f>
        <v>4.1443455965191722</v>
      </c>
      <c r="F25" s="208"/>
      <c r="G25" s="208">
        <f t="shared" si="4"/>
        <v>5.1668544345596521</v>
      </c>
      <c r="H25" s="208"/>
      <c r="I25" s="205">
        <f t="shared" si="3"/>
        <v>1.0225088380404799</v>
      </c>
      <c r="J25" s="53" t="s">
        <v>20</v>
      </c>
    </row>
    <row r="26" spans="1:10" x14ac:dyDescent="0.25">
      <c r="A26" s="177" t="s">
        <v>83</v>
      </c>
      <c r="B26" s="208"/>
      <c r="C26" s="208">
        <v>22416</v>
      </c>
      <c r="D26" s="208"/>
      <c r="E26" s="208">
        <f>(C26/$C$37)*266699</f>
        <v>23224.912722893438</v>
      </c>
      <c r="F26" s="208"/>
      <c r="G26" s="208">
        <f t="shared" si="4"/>
        <v>28955.052251272289</v>
      </c>
      <c r="H26" s="208"/>
      <c r="I26" s="205">
        <f t="shared" si="3"/>
        <v>5730.1395283788515</v>
      </c>
      <c r="J26" s="53" t="s">
        <v>20</v>
      </c>
    </row>
    <row r="27" spans="1:10" x14ac:dyDescent="0.25">
      <c r="A27" s="177" t="s">
        <v>84</v>
      </c>
      <c r="B27" s="208"/>
      <c r="C27" s="208">
        <v>0</v>
      </c>
      <c r="D27" s="208"/>
      <c r="E27" s="208">
        <v>0</v>
      </c>
      <c r="F27" s="208"/>
      <c r="G27" s="208">
        <v>0</v>
      </c>
      <c r="H27" s="208"/>
      <c r="I27" s="205">
        <f t="shared" si="3"/>
        <v>0</v>
      </c>
      <c r="J27" s="53" t="s">
        <v>20</v>
      </c>
    </row>
    <row r="28" spans="1:10" x14ac:dyDescent="0.25">
      <c r="A28" s="177" t="s">
        <v>85</v>
      </c>
      <c r="B28" s="208"/>
      <c r="C28" s="208">
        <v>0</v>
      </c>
      <c r="D28" s="208"/>
      <c r="E28" s="208">
        <v>0</v>
      </c>
      <c r="F28" s="208"/>
      <c r="G28" s="208">
        <v>0</v>
      </c>
      <c r="H28" s="208"/>
      <c r="I28" s="205">
        <f t="shared" si="3"/>
        <v>0</v>
      </c>
      <c r="J28" s="53" t="s">
        <v>20</v>
      </c>
    </row>
    <row r="29" spans="1:10" x14ac:dyDescent="0.25">
      <c r="A29" s="177" t="s">
        <v>34</v>
      </c>
      <c r="B29" s="208"/>
      <c r="C29" s="208">
        <v>0</v>
      </c>
      <c r="D29" s="208"/>
      <c r="E29" s="208">
        <v>0</v>
      </c>
      <c r="F29" s="208"/>
      <c r="G29" s="208">
        <v>0</v>
      </c>
      <c r="H29" s="208"/>
      <c r="I29" s="205">
        <f t="shared" si="3"/>
        <v>0</v>
      </c>
      <c r="J29" s="53" t="s">
        <v>20</v>
      </c>
    </row>
    <row r="30" spans="1:10" x14ac:dyDescent="0.25">
      <c r="A30" s="177" t="s">
        <v>86</v>
      </c>
      <c r="B30" s="208"/>
      <c r="C30" s="208">
        <v>0</v>
      </c>
      <c r="D30" s="208"/>
      <c r="E30" s="208">
        <v>0</v>
      </c>
      <c r="F30" s="208"/>
      <c r="G30" s="208">
        <v>0</v>
      </c>
      <c r="H30" s="208"/>
      <c r="I30" s="205">
        <f t="shared" si="3"/>
        <v>0</v>
      </c>
      <c r="J30" s="53" t="s">
        <v>20</v>
      </c>
    </row>
    <row r="31" spans="1:10" x14ac:dyDescent="0.25">
      <c r="A31" s="177" t="s">
        <v>87</v>
      </c>
      <c r="B31" s="208"/>
      <c r="C31" s="208">
        <v>0</v>
      </c>
      <c r="D31" s="208"/>
      <c r="E31" s="208">
        <v>0</v>
      </c>
      <c r="F31" s="208"/>
      <c r="G31" s="208">
        <v>0</v>
      </c>
      <c r="H31" s="208"/>
      <c r="I31" s="205">
        <f t="shared" si="3"/>
        <v>0</v>
      </c>
      <c r="J31" s="53" t="s">
        <v>20</v>
      </c>
    </row>
    <row r="32" spans="1:10" x14ac:dyDescent="0.25">
      <c r="A32" s="177" t="s">
        <v>88</v>
      </c>
      <c r="B32" s="208"/>
      <c r="C32" s="208">
        <v>7</v>
      </c>
      <c r="D32" s="208"/>
      <c r="E32" s="208">
        <v>7</v>
      </c>
      <c r="F32" s="208"/>
      <c r="G32" s="208">
        <v>0</v>
      </c>
      <c r="H32" s="208"/>
      <c r="I32" s="205">
        <f t="shared" si="3"/>
        <v>-7</v>
      </c>
      <c r="J32" s="53" t="s">
        <v>20</v>
      </c>
    </row>
    <row r="33" spans="1:10" x14ac:dyDescent="0.25">
      <c r="A33" s="177" t="s">
        <v>89</v>
      </c>
      <c r="B33" s="208"/>
      <c r="C33" s="208">
        <v>0</v>
      </c>
      <c r="D33" s="208"/>
      <c r="E33" s="208">
        <v>0</v>
      </c>
      <c r="F33" s="208"/>
      <c r="G33" s="208">
        <v>9</v>
      </c>
      <c r="H33" s="208"/>
      <c r="I33" s="205">
        <f t="shared" si="3"/>
        <v>9</v>
      </c>
      <c r="J33" s="53" t="s">
        <v>20</v>
      </c>
    </row>
    <row r="34" spans="1:10" x14ac:dyDescent="0.25">
      <c r="A34" s="177" t="s">
        <v>90</v>
      </c>
      <c r="B34" s="208"/>
      <c r="C34" s="208">
        <v>0</v>
      </c>
      <c r="D34" s="208"/>
      <c r="E34" s="208">
        <v>0</v>
      </c>
      <c r="F34" s="208"/>
      <c r="G34" s="208">
        <v>0</v>
      </c>
      <c r="H34" s="208"/>
      <c r="I34" s="205">
        <f t="shared" si="3"/>
        <v>0</v>
      </c>
      <c r="J34" s="53" t="s">
        <v>20</v>
      </c>
    </row>
    <row r="35" spans="1:10" x14ac:dyDescent="0.25">
      <c r="A35" s="177" t="s">
        <v>91</v>
      </c>
      <c r="B35" s="208"/>
      <c r="C35" s="208">
        <v>228289</v>
      </c>
      <c r="D35" s="208"/>
      <c r="E35" s="208">
        <f>(C35/$C$37)*266699</f>
        <v>236527.12797094131</v>
      </c>
      <c r="F35" s="208"/>
      <c r="G35" s="208">
        <f t="shared" ref="G35" si="5">(C35/$C$37)*332500</f>
        <v>294884.00800279708</v>
      </c>
      <c r="H35" s="208"/>
      <c r="I35" s="205">
        <f t="shared" si="3"/>
        <v>58356.880031855777</v>
      </c>
      <c r="J35" s="53" t="s">
        <v>20</v>
      </c>
    </row>
    <row r="36" spans="1:10" x14ac:dyDescent="0.25">
      <c r="A36" s="177" t="s">
        <v>92</v>
      </c>
      <c r="B36" s="208"/>
      <c r="C36" s="208">
        <v>0</v>
      </c>
      <c r="D36" s="208"/>
      <c r="E36" s="208">
        <v>0</v>
      </c>
      <c r="F36" s="208"/>
      <c r="G36" s="208">
        <v>0</v>
      </c>
      <c r="H36" s="208"/>
      <c r="I36" s="205">
        <f t="shared" si="3"/>
        <v>0</v>
      </c>
      <c r="J36" s="53" t="s">
        <v>20</v>
      </c>
    </row>
    <row r="37" spans="1:10" x14ac:dyDescent="0.25">
      <c r="A37" s="62" t="s">
        <v>93</v>
      </c>
      <c r="B37" s="70"/>
      <c r="C37" s="70">
        <f>SUM(C14:C36)</f>
        <v>257410</v>
      </c>
      <c r="D37" s="70"/>
      <c r="E37" s="70">
        <f t="shared" ref="E37:I37" si="6">SUM(E14:E36)</f>
        <v>266698.74739520613</v>
      </c>
      <c r="F37" s="70"/>
      <c r="G37" s="70">
        <f t="shared" si="6"/>
        <v>332499.95800473948</v>
      </c>
      <c r="H37" s="70"/>
      <c r="I37" s="73">
        <f t="shared" si="6"/>
        <v>65801.210609533417</v>
      </c>
      <c r="J37" s="53" t="s">
        <v>20</v>
      </c>
    </row>
    <row r="38" spans="1:10" x14ac:dyDescent="0.25">
      <c r="A38" s="177" t="s">
        <v>462</v>
      </c>
      <c r="B38" s="208"/>
      <c r="C38" s="208">
        <v>-5381</v>
      </c>
      <c r="D38" s="208"/>
      <c r="E38" s="208">
        <v>-2592</v>
      </c>
      <c r="F38" s="208"/>
      <c r="G38" s="208">
        <v>0</v>
      </c>
      <c r="H38" s="208"/>
      <c r="I38" s="205">
        <f>G38-E38</f>
        <v>2592</v>
      </c>
      <c r="J38" s="53" t="s">
        <v>20</v>
      </c>
    </row>
    <row r="39" spans="1:10" x14ac:dyDescent="0.25">
      <c r="A39" s="177" t="s">
        <v>463</v>
      </c>
      <c r="B39" s="208"/>
      <c r="C39" s="208">
        <v>5250</v>
      </c>
      <c r="D39" s="208"/>
      <c r="E39" s="208">
        <v>0</v>
      </c>
      <c r="F39" s="208"/>
      <c r="G39" s="208">
        <v>0</v>
      </c>
      <c r="H39" s="208"/>
      <c r="I39" s="205">
        <f t="shared" ref="I39:I42" si="7">G39-E39</f>
        <v>0</v>
      </c>
      <c r="J39" s="53" t="s">
        <v>20</v>
      </c>
    </row>
    <row r="40" spans="1:10" x14ac:dyDescent="0.25">
      <c r="A40" s="177" t="s">
        <v>139</v>
      </c>
      <c r="B40" s="208"/>
      <c r="C40" s="208">
        <v>-7088</v>
      </c>
      <c r="D40" s="208"/>
      <c r="E40" s="208">
        <v>-9000</v>
      </c>
      <c r="F40" s="208"/>
      <c r="G40" s="208">
        <v>0</v>
      </c>
      <c r="H40" s="208"/>
      <c r="I40" s="205">
        <f t="shared" si="7"/>
        <v>9000</v>
      </c>
      <c r="J40" s="53" t="s">
        <v>20</v>
      </c>
    </row>
    <row r="41" spans="1:10" x14ac:dyDescent="0.25">
      <c r="A41" s="177" t="s">
        <v>464</v>
      </c>
      <c r="B41" s="208"/>
      <c r="C41" s="208">
        <v>9717</v>
      </c>
      <c r="D41" s="208"/>
      <c r="E41" s="208">
        <v>9000</v>
      </c>
      <c r="F41" s="208"/>
      <c r="G41" s="208">
        <v>-8000</v>
      </c>
      <c r="H41" s="208"/>
      <c r="I41" s="205">
        <f t="shared" si="7"/>
        <v>-17000</v>
      </c>
      <c r="J41" s="53" t="s">
        <v>20</v>
      </c>
    </row>
    <row r="42" spans="1:10" x14ac:dyDescent="0.25">
      <c r="A42" s="177" t="s">
        <v>465</v>
      </c>
      <c r="B42" s="208"/>
      <c r="C42" s="208">
        <v>2592</v>
      </c>
      <c r="D42" s="208"/>
      <c r="E42" s="208">
        <v>0</v>
      </c>
      <c r="F42" s="208"/>
      <c r="G42" s="208">
        <v>0</v>
      </c>
      <c r="H42" s="208"/>
      <c r="I42" s="205">
        <f t="shared" si="7"/>
        <v>0</v>
      </c>
      <c r="J42" s="53" t="s">
        <v>20</v>
      </c>
    </row>
    <row r="43" spans="1:10" ht="14.4" thickBot="1" x14ac:dyDescent="0.3">
      <c r="A43" s="63" t="s">
        <v>94</v>
      </c>
      <c r="B43" s="171">
        <f t="shared" ref="B43:I43" si="8">SUM(B37:B42)</f>
        <v>0</v>
      </c>
      <c r="C43" s="171">
        <f t="shared" si="8"/>
        <v>262500</v>
      </c>
      <c r="D43" s="171">
        <f t="shared" si="8"/>
        <v>0</v>
      </c>
      <c r="E43" s="171">
        <f t="shared" si="8"/>
        <v>264106.74739520613</v>
      </c>
      <c r="F43" s="171">
        <f t="shared" si="8"/>
        <v>0</v>
      </c>
      <c r="G43" s="171">
        <f t="shared" si="8"/>
        <v>324499.95800473948</v>
      </c>
      <c r="H43" s="171">
        <f t="shared" si="8"/>
        <v>0</v>
      </c>
      <c r="I43" s="172">
        <f t="shared" si="8"/>
        <v>60393.210609533417</v>
      </c>
      <c r="J43" s="53" t="s">
        <v>20</v>
      </c>
    </row>
    <row r="44" spans="1:10" x14ac:dyDescent="0.25">
      <c r="A44" s="279" t="s">
        <v>26</v>
      </c>
      <c r="B44" s="280"/>
      <c r="C44" s="280"/>
      <c r="D44" s="280"/>
      <c r="E44" s="280"/>
      <c r="F44" s="280"/>
      <c r="G44" s="280"/>
      <c r="H44" s="280"/>
      <c r="I44" s="281"/>
      <c r="J44" s="53" t="s">
        <v>20</v>
      </c>
    </row>
    <row r="45" spans="1:10" x14ac:dyDescent="0.25">
      <c r="A45" s="177" t="s">
        <v>95</v>
      </c>
      <c r="B45" s="208">
        <v>0</v>
      </c>
      <c r="C45" s="208"/>
      <c r="D45" s="208">
        <v>0</v>
      </c>
      <c r="E45" s="208"/>
      <c r="F45" s="208">
        <v>0</v>
      </c>
      <c r="G45" s="208"/>
      <c r="H45" s="208">
        <f>F45-D45</f>
        <v>0</v>
      </c>
      <c r="I45" s="205"/>
      <c r="J45" s="53" t="s">
        <v>20</v>
      </c>
    </row>
    <row r="46" spans="1:10" x14ac:dyDescent="0.25">
      <c r="A46" s="177"/>
      <c r="B46" s="208"/>
      <c r="C46" s="208"/>
      <c r="D46" s="208"/>
      <c r="E46" s="208"/>
      <c r="F46" s="208"/>
      <c r="G46" s="208"/>
      <c r="H46" s="208"/>
      <c r="I46" s="205"/>
      <c r="J46" s="53" t="s">
        <v>20</v>
      </c>
    </row>
    <row r="47" spans="1:10" x14ac:dyDescent="0.25">
      <c r="A47" s="177" t="s">
        <v>96</v>
      </c>
      <c r="B47" s="208"/>
      <c r="C47" s="208">
        <v>0</v>
      </c>
      <c r="D47" s="208"/>
      <c r="E47" s="208">
        <v>0</v>
      </c>
      <c r="F47" s="208"/>
      <c r="G47" s="208">
        <v>0</v>
      </c>
      <c r="H47" s="208"/>
      <c r="I47" s="205">
        <f t="shared" ref="I47:I48" si="9">G47-E47</f>
        <v>0</v>
      </c>
      <c r="J47" s="53" t="s">
        <v>20</v>
      </c>
    </row>
    <row r="48" spans="1:10" ht="14.4" thickBot="1" x14ac:dyDescent="0.3">
      <c r="A48" s="282" t="s">
        <v>97</v>
      </c>
      <c r="B48" s="283"/>
      <c r="C48" s="283">
        <v>0</v>
      </c>
      <c r="D48" s="283"/>
      <c r="E48" s="283">
        <v>0</v>
      </c>
      <c r="F48" s="283"/>
      <c r="G48" s="283">
        <v>0</v>
      </c>
      <c r="H48" s="283"/>
      <c r="I48" s="284">
        <f t="shared" si="9"/>
        <v>0</v>
      </c>
      <c r="J48" s="53" t="s">
        <v>20</v>
      </c>
    </row>
    <row r="49" spans="1:10" x14ac:dyDescent="0.25">
      <c r="J49" s="53" t="s">
        <v>20</v>
      </c>
    </row>
    <row r="50" spans="1:10" x14ac:dyDescent="0.25">
      <c r="A50" s="178" t="s">
        <v>271</v>
      </c>
      <c r="J50" s="7" t="s">
        <v>21</v>
      </c>
    </row>
  </sheetData>
  <customSheetViews>
    <customSheetView guid="{5B2D5037-506A-47D5-AF28-C337BC9133BD}" scale="80" showPageBreaks="1" printArea="1" view="pageBreakPreview">
      <pane xSplit="1" ySplit="7" topLeftCell="C8" activePane="bottomRight" state="frozen"/>
      <selection pane="bottomRight" activeCell="A43" sqref="A43:XFD43"/>
      <pageMargins left="0.6" right="0.6" top="0.56999999999999995" bottom="0.55000000000000004" header="0.3" footer="0.3"/>
      <printOptions horizontalCentered="1"/>
      <pageSetup scale="70" orientation="landscape" r:id="rId1"/>
      <headerFooter>
        <oddHeader>&amp;L&amp;"Arial,Bold"&amp;12L. Summary of Requirements by Object Class</oddHeader>
        <oddFooter>&amp;C&amp;"Arial,Regular"Exhibit L - Summary of Requirements by Object Class&amp;R&amp;"Arial,Regular"Juvenile Justice Programs</oddFooter>
      </headerFooter>
    </customSheetView>
    <customSheetView guid="{08380F1E-0CB7-4B3B-924E-2A270EA8DD30}" scale="80" showPageBreaks="1" printArea="1" view="pageBreakPreview">
      <pane xSplit="1" ySplit="7" topLeftCell="B8" activePane="bottomRight" state="frozen"/>
      <selection pane="bottomRight" activeCell="E36" sqref="E36"/>
      <pageMargins left="0.6" right="0.6" top="0.56999999999999995" bottom="0.55000000000000004" header="0.3" footer="0.3"/>
      <printOptions horizontalCentered="1"/>
      <pageSetup scale="70" orientation="landscape" r:id="rId2"/>
      <headerFooter>
        <oddHeader>&amp;L&amp;"Arial,Bold"&amp;12L. Summary of Requirements by Object Class</oddHeader>
        <oddFooter>&amp;C&amp;"Arial,Regular"Exhibit L - Summary of Requirements by Object Class&amp;R&amp;"Arial,Regular"Juvenile Justice Programs</oddFooter>
      </headerFooter>
    </customSheetView>
    <customSheetView guid="{D19943A8-2C2A-430A-A724-8C7C332697C8}" scale="80" showPageBreaks="1" printArea="1" view="pageBreakPreview">
      <pane xSplit="1" ySplit="7" topLeftCell="B8" activePane="bottomRight" state="frozen"/>
      <selection pane="bottomRight" activeCell="E36" sqref="E36"/>
      <pageMargins left="0.6" right="0.6" top="0.56999999999999995" bottom="0.55000000000000004" header="0.3" footer="0.3"/>
      <printOptions horizontalCentered="1"/>
      <pageSetup scale="70" orientation="landscape" r:id="rId3"/>
      <headerFooter>
        <oddHeader>&amp;L&amp;"Arial,Bold"&amp;12L. Summary of Requirements by Object Class</oddHeader>
        <oddFooter>&amp;C&amp;"Arial,Regular"Exhibit L - Summary of Requirements by Object Class&amp;R&amp;"Arial,Regular"Juvenile Justice Programs</oddFooter>
      </headerFooter>
    </customSheetView>
    <customSheetView guid="{C6D68C6D-939C-4DFA-9385-A3F05DFB5EDA}" scale="80" showPageBreaks="1" printArea="1" view="pageBreakPreview">
      <pane xSplit="1" ySplit="7" topLeftCell="B8" activePane="bottomRight" state="frozen"/>
      <selection pane="bottomRight" activeCell="E36" sqref="E36"/>
      <pageMargins left="0.6" right="0.6" top="0.56999999999999995" bottom="0.55000000000000004" header="0.3" footer="0.3"/>
      <printOptions horizontalCentered="1"/>
      <pageSetup scale="70" orientation="landscape" r:id="rId4"/>
      <headerFooter>
        <oddHeader>&amp;L&amp;"Arial,Bold"&amp;12L. Summary of Requirements by Object Class</oddHeader>
        <oddFooter>&amp;C&amp;"Arial,Regular"Exhibit L - Summary of Requirements by Object Class&amp;R&amp;"Arial,Regular"Juvenile Justice Programs</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0" orientation="landscape" r:id="rId5"/>
  <headerFooter>
    <oddHeader>&amp;L&amp;"Arial,Bold"&amp;12L. Summary of Requirements by Object Class</oddHeader>
    <oddFooter>&amp;C&amp;"Arial,Regular"Exhibit L - Summary of Requirements by Object Class&amp;R&amp;"Arial,Regular"Juvenile Justice Programs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topLeftCell="B43" zoomScale="90" zoomScaleNormal="100" zoomScaleSheetLayoutView="90" workbookViewId="0">
      <selection activeCell="D13" sqref="D13"/>
    </sheetView>
  </sheetViews>
  <sheetFormatPr defaultColWidth="9.109375" defaultRowHeight="13.8" x14ac:dyDescent="0.25"/>
  <cols>
    <col min="1" max="1" width="113.5546875" style="178" customWidth="1"/>
    <col min="2" max="3" width="14.5546875" style="199" customWidth="1"/>
    <col min="4" max="4" width="14.5546875" style="200" customWidth="1"/>
    <col min="5" max="5" width="11.5546875" style="7" bestFit="1" customWidth="1"/>
    <col min="6" max="6" width="4.88671875" style="178" customWidth="1"/>
    <col min="7" max="16384" width="9.109375" style="178"/>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421</v>
      </c>
      <c r="B3" s="635"/>
      <c r="C3" s="635"/>
      <c r="D3" s="635"/>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7.25" x14ac:dyDescent="0.25">
      <c r="A8" s="90" t="s">
        <v>153</v>
      </c>
      <c r="B8" s="91">
        <v>0</v>
      </c>
      <c r="C8" s="92">
        <v>0</v>
      </c>
      <c r="D8" s="93">
        <v>100300</v>
      </c>
      <c r="E8" s="7" t="s">
        <v>20</v>
      </c>
    </row>
    <row r="9" spans="1:5" ht="15" x14ac:dyDescent="0.25">
      <c r="A9" s="201" t="s">
        <v>5</v>
      </c>
      <c r="B9" s="130"/>
      <c r="C9" s="25"/>
      <c r="D9" s="203">
        <v>0</v>
      </c>
      <c r="E9" s="7" t="s">
        <v>20</v>
      </c>
    </row>
    <row r="10" spans="1:5" ht="16.2" x14ac:dyDescent="0.25">
      <c r="A10" s="89" t="s">
        <v>154</v>
      </c>
      <c r="B10" s="126">
        <f t="shared" ref="B10:C10" si="0">SUM(B8:B9)</f>
        <v>0</v>
      </c>
      <c r="C10" s="127">
        <f t="shared" si="0"/>
        <v>0</v>
      </c>
      <c r="D10" s="204">
        <f>SUM(D8:D9)</f>
        <v>100300</v>
      </c>
      <c r="E10" s="7" t="s">
        <v>20</v>
      </c>
    </row>
    <row r="11" spans="1:5" ht="13.95" x14ac:dyDescent="0.25">
      <c r="A11" s="67" t="s">
        <v>8</v>
      </c>
      <c r="B11" s="126">
        <v>0</v>
      </c>
      <c r="C11" s="127">
        <v>0</v>
      </c>
      <c r="D11" s="128">
        <v>78300</v>
      </c>
      <c r="E11" s="7" t="s">
        <v>20</v>
      </c>
    </row>
    <row r="12" spans="1:5" ht="13.95" x14ac:dyDescent="0.25">
      <c r="A12" s="201" t="s">
        <v>6</v>
      </c>
      <c r="B12" s="69"/>
      <c r="C12" s="70"/>
      <c r="D12" s="205">
        <v>0</v>
      </c>
      <c r="E12" s="7" t="s">
        <v>20</v>
      </c>
    </row>
    <row r="13" spans="1:5" ht="13.95" x14ac:dyDescent="0.25">
      <c r="A13" s="201" t="s">
        <v>156</v>
      </c>
      <c r="B13" s="173"/>
      <c r="C13" s="174"/>
      <c r="D13" s="202">
        <v>100</v>
      </c>
      <c r="E13" s="7" t="s">
        <v>20</v>
      </c>
    </row>
    <row r="14" spans="1:5" ht="13.95" x14ac:dyDescent="0.25">
      <c r="A14" s="201" t="s">
        <v>137</v>
      </c>
      <c r="B14" s="130"/>
      <c r="C14" s="25"/>
      <c r="D14" s="203">
        <v>0</v>
      </c>
      <c r="E14" s="7" t="s">
        <v>20</v>
      </c>
    </row>
    <row r="15" spans="1:5" ht="13.95" x14ac:dyDescent="0.25">
      <c r="A15" s="72" t="s">
        <v>122</v>
      </c>
      <c r="B15" s="69">
        <f t="shared" ref="B15:C15" si="1">SUM(B11:B14)</f>
        <v>0</v>
      </c>
      <c r="C15" s="70">
        <f t="shared" si="1"/>
        <v>0</v>
      </c>
      <c r="D15" s="73">
        <f>SUM(D11:D14)</f>
        <v>78400</v>
      </c>
      <c r="E15" s="7" t="s">
        <v>20</v>
      </c>
    </row>
    <row r="16" spans="1:5" ht="13.95" x14ac:dyDescent="0.25">
      <c r="A16" s="78" t="s">
        <v>13</v>
      </c>
      <c r="B16" s="132">
        <f>B15</f>
        <v>0</v>
      </c>
      <c r="C16" s="127">
        <f>C15</f>
        <v>0</v>
      </c>
      <c r="D16" s="133">
        <f>D15</f>
        <v>78400</v>
      </c>
      <c r="E16" s="7" t="s">
        <v>20</v>
      </c>
    </row>
    <row r="17" spans="1:5" ht="15" x14ac:dyDescent="0.25">
      <c r="A17" s="201" t="s">
        <v>468</v>
      </c>
      <c r="B17" s="132"/>
      <c r="C17" s="127"/>
      <c r="D17" s="495">
        <v>-100</v>
      </c>
    </row>
    <row r="18" spans="1:5" ht="13.95" x14ac:dyDescent="0.25">
      <c r="A18" s="78" t="s">
        <v>14</v>
      </c>
      <c r="B18" s="132"/>
      <c r="C18" s="127"/>
      <c r="D18" s="133"/>
      <c r="E18" s="7" t="s">
        <v>20</v>
      </c>
    </row>
    <row r="19" spans="1:5" ht="13.95" x14ac:dyDescent="0.25">
      <c r="A19" s="182" t="s">
        <v>15</v>
      </c>
      <c r="B19" s="79"/>
      <c r="C19" s="70"/>
      <c r="D19" s="80"/>
      <c r="E19" s="7" t="s">
        <v>20</v>
      </c>
    </row>
    <row r="20" spans="1:5" ht="13.95" x14ac:dyDescent="0.25">
      <c r="A20" s="189" t="s">
        <v>422</v>
      </c>
      <c r="B20" s="209">
        <v>0</v>
      </c>
      <c r="C20" s="208">
        <v>0</v>
      </c>
      <c r="D20" s="210">
        <v>3000</v>
      </c>
      <c r="E20" s="7" t="s">
        <v>20</v>
      </c>
    </row>
    <row r="21" spans="1:5" ht="13.95" x14ac:dyDescent="0.25">
      <c r="A21" s="189" t="s">
        <v>16</v>
      </c>
      <c r="B21" s="209">
        <f>SUM(B20:B20)</f>
        <v>0</v>
      </c>
      <c r="C21" s="208">
        <f>SUM(C20:C20)</f>
        <v>0</v>
      </c>
      <c r="D21" s="210">
        <f>SUM(D20:D20)</f>
        <v>3000</v>
      </c>
      <c r="E21" s="7" t="s">
        <v>20</v>
      </c>
    </row>
    <row r="22" spans="1:5" ht="13.95" x14ac:dyDescent="0.25">
      <c r="A22" s="72" t="s">
        <v>17</v>
      </c>
      <c r="B22" s="130">
        <f>B21</f>
        <v>0</v>
      </c>
      <c r="C22" s="25">
        <f>C21</f>
        <v>0</v>
      </c>
      <c r="D22" s="135">
        <f>D21</f>
        <v>3000</v>
      </c>
      <c r="E22" s="7" t="s">
        <v>20</v>
      </c>
    </row>
    <row r="23" spans="1:5" ht="13.95" x14ac:dyDescent="0.25">
      <c r="A23" s="85" t="s">
        <v>18</v>
      </c>
      <c r="B23" s="126">
        <f>B16+B22</f>
        <v>0</v>
      </c>
      <c r="C23" s="127">
        <f>C16+C22</f>
        <v>0</v>
      </c>
      <c r="D23" s="128">
        <f>D16+D22+D17</f>
        <v>81300</v>
      </c>
      <c r="E23" s="7" t="s">
        <v>20</v>
      </c>
    </row>
    <row r="24" spans="1:5" ht="13.95" x14ac:dyDescent="0.25">
      <c r="A24" s="201" t="s">
        <v>143</v>
      </c>
      <c r="B24" s="130"/>
      <c r="C24" s="25"/>
      <c r="D24" s="203">
        <v>0</v>
      </c>
      <c r="E24" s="7" t="s">
        <v>20</v>
      </c>
    </row>
    <row r="25" spans="1:5" s="8" customFormat="1" ht="13.95" x14ac:dyDescent="0.25">
      <c r="A25" s="111" t="s">
        <v>125</v>
      </c>
      <c r="B25" s="108">
        <f t="shared" ref="B25:C25" si="2">SUM(B23:B24)</f>
        <v>0</v>
      </c>
      <c r="C25" s="109">
        <f t="shared" si="2"/>
        <v>0</v>
      </c>
      <c r="D25" s="110">
        <f>SUM(D23:D24)</f>
        <v>81300</v>
      </c>
      <c r="E25" s="7" t="s">
        <v>20</v>
      </c>
    </row>
    <row r="26" spans="1:5" ht="14.4" thickBot="1" x14ac:dyDescent="0.3">
      <c r="A26" s="217"/>
      <c r="B26" s="218">
        <f>B23-B15</f>
        <v>0</v>
      </c>
      <c r="C26" s="219">
        <f>C23-C15</f>
        <v>0</v>
      </c>
      <c r="D26" s="220">
        <f>D23-D11</f>
        <v>3000</v>
      </c>
      <c r="E26" s="7" t="s">
        <v>20</v>
      </c>
    </row>
    <row r="27" spans="1:5" ht="13.95" x14ac:dyDescent="0.25">
      <c r="A27" s="7"/>
      <c r="E27" s="7" t="s">
        <v>20</v>
      </c>
    </row>
    <row r="28" spans="1:5" ht="13.95" x14ac:dyDescent="0.25">
      <c r="A28" s="715" t="s">
        <v>206</v>
      </c>
      <c r="B28" s="715"/>
      <c r="C28" s="715"/>
      <c r="D28" s="715"/>
      <c r="E28" s="7" t="s">
        <v>20</v>
      </c>
    </row>
    <row r="29" spans="1:5" ht="13.95" x14ac:dyDescent="0.25">
      <c r="E29" s="7" t="s">
        <v>21</v>
      </c>
    </row>
  </sheetData>
  <customSheetViews>
    <customSheetView guid="{5B2D5037-506A-47D5-AF28-C337BC9133BD}" scale="90" showPageBreaks="1" printArea="1" view="pageBreakPreview" topLeftCell="B43">
      <selection activeCell="D13" sqref="D13"/>
      <pageMargins left="0.7" right="0.7" top="0.63" bottom="0.63" header="0.3" footer="0.3"/>
      <printOptions horizontalCentered="1"/>
      <pageSetup scale="69" orientation="landscape" r:id="rId1"/>
      <headerFooter>
        <oddHeader>&amp;L&amp;"Arial,Bold"&amp;12B. Summary of Requirements</oddHeader>
        <oddFooter>&amp;C&amp;"Arial,Regular"Exhibit B - Summary of Requirements&amp;R&amp;"Arial,Regular"Public Safety Officers' Benefits</oddFooter>
      </headerFooter>
    </customSheetView>
    <customSheetView guid="{08380F1E-0CB7-4B3B-924E-2A270EA8DD30}" scale="90" showPageBreaks="1" printArea="1" view="pageBreakPreview" topLeftCell="B1">
      <selection activeCell="D13" sqref="D13"/>
      <pageMargins left="0.7" right="0.7" top="0.63" bottom="0.63" header="0.3" footer="0.3"/>
      <printOptions horizontalCentered="1"/>
      <pageSetup scale="69" orientation="landscape" r:id="rId2"/>
      <headerFooter>
        <oddHeader>&amp;L&amp;"Arial,Bold"&amp;12B. Summary of Requirements</oddHeader>
        <oddFooter>&amp;C&amp;"Arial,Regular"Exhibit B - Summary of Requirements&amp;R&amp;"Arial,Regular"Public Safety Officers' Benefits</oddFooter>
      </headerFooter>
    </customSheetView>
    <customSheetView guid="{D19943A8-2C2A-430A-A724-8C7C332697C8}" scale="90" showPageBreaks="1" printArea="1" view="pageBreakPreview">
      <selection activeCell="A16" sqref="A16"/>
      <pageMargins left="0.7" right="0.7" top="0.63" bottom="0.63" header="0.3" footer="0.3"/>
      <printOptions horizontalCentered="1"/>
      <pageSetup scale="69" orientation="landscape" r:id="rId3"/>
      <headerFooter>
        <oddHeader>&amp;L&amp;"Arial,Bold"&amp;12B. Summary of Requirements</oddHeader>
        <oddFooter>&amp;C&amp;"Arial,Regular"Exhibit B - Summary of Requirements&amp;R&amp;"Arial,Regular"Public Safety Officers' Benefits</oddFooter>
      </headerFooter>
    </customSheetView>
    <customSheetView guid="{C6D68C6D-939C-4DFA-9385-A3F05DFB5EDA}" scale="90" showPageBreaks="1" printArea="1" view="pageBreakPreview" topLeftCell="B1">
      <selection activeCell="D13" sqref="D13"/>
      <pageMargins left="0.7" right="0.7" top="0.63" bottom="0.63" header="0.3" footer="0.3"/>
      <printOptions horizontalCentered="1"/>
      <pageSetup scale="69" orientation="landscape" r:id="rId4"/>
      <headerFooter>
        <oddHeader>&amp;L&amp;"Arial,Bold"&amp;12B. Summary of Requirements</oddHeader>
        <oddFooter>&amp;C&amp;"Arial,Regular"Exhibit B - Summary of Requirements&amp;R&amp;"Arial,Regular"Public Safety Officers' Benefits</oddFooter>
      </headerFooter>
    </customSheetView>
  </customSheetViews>
  <mergeCells count="6">
    <mergeCell ref="A28:D28"/>
    <mergeCell ref="A1:D1"/>
    <mergeCell ref="A2:D2"/>
    <mergeCell ref="A3:D3"/>
    <mergeCell ref="A4:D4"/>
    <mergeCell ref="B6:D6"/>
  </mergeCells>
  <printOptions horizontalCentered="1"/>
  <pageMargins left="0.7" right="0.7" top="0.63" bottom="0.63" header="0.3" footer="0.3"/>
  <pageSetup scale="69" orientation="landscape" r:id="rId5"/>
  <headerFooter>
    <oddHeader>&amp;L&amp;"Arial,Bold"&amp;12B. Summary of Requirements</oddHeader>
    <oddFooter>&amp;C&amp;"Arial,Regular"Exhibit B - Summary of Requirements&amp;R&amp;"Arial,Regular"Public Safety Officers' Benefits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topLeftCell="A4" zoomScale="80" zoomScaleNormal="100" zoomScaleSheetLayoutView="80" workbookViewId="0">
      <selection activeCell="L24" sqref="L24"/>
    </sheetView>
  </sheetViews>
  <sheetFormatPr defaultColWidth="9.109375" defaultRowHeight="13.8" x14ac:dyDescent="0.25"/>
  <cols>
    <col min="1" max="1" width="43.33203125" style="178" customWidth="1"/>
    <col min="2" max="3" width="8.33203125" style="178" customWidth="1"/>
    <col min="4" max="4" width="12.6640625" style="178" customWidth="1"/>
    <col min="5" max="6" width="8.33203125" style="178" customWidth="1"/>
    <col min="7" max="7" width="12.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0</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421</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ht="45.75" customHeight="1" x14ac:dyDescent="0.25">
      <c r="A7" s="638" t="s">
        <v>134</v>
      </c>
      <c r="B7" s="641" t="s">
        <v>126</v>
      </c>
      <c r="C7" s="641"/>
      <c r="D7" s="641"/>
      <c r="E7" s="641" t="s">
        <v>207</v>
      </c>
      <c r="F7" s="641"/>
      <c r="G7" s="641"/>
      <c r="H7" s="641" t="s">
        <v>155</v>
      </c>
      <c r="I7" s="641"/>
      <c r="J7" s="641"/>
      <c r="K7" s="641" t="s">
        <v>13</v>
      </c>
      <c r="L7" s="641"/>
      <c r="M7" s="642"/>
      <c r="N7" s="53" t="s">
        <v>20</v>
      </c>
    </row>
    <row r="8" spans="1:21" ht="27.6" x14ac:dyDescent="0.25">
      <c r="A8" s="639"/>
      <c r="B8" s="222" t="s">
        <v>3</v>
      </c>
      <c r="C8" s="222" t="s">
        <v>128</v>
      </c>
      <c r="D8" s="222" t="s">
        <v>4</v>
      </c>
      <c r="E8" s="222" t="s">
        <v>3</v>
      </c>
      <c r="F8" s="222" t="s">
        <v>149</v>
      </c>
      <c r="G8" s="222" t="s">
        <v>4</v>
      </c>
      <c r="H8" s="222" t="s">
        <v>3</v>
      </c>
      <c r="I8" s="222" t="s">
        <v>149</v>
      </c>
      <c r="J8" s="222" t="s">
        <v>4</v>
      </c>
      <c r="K8" s="222" t="s">
        <v>3</v>
      </c>
      <c r="L8" s="222" t="s">
        <v>149</v>
      </c>
      <c r="M8" s="223" t="s">
        <v>4</v>
      </c>
      <c r="N8" s="53" t="s">
        <v>20</v>
      </c>
    </row>
    <row r="9" spans="1:21" ht="13.95" x14ac:dyDescent="0.25">
      <c r="A9" s="184" t="s">
        <v>423</v>
      </c>
      <c r="B9" s="225">
        <v>0</v>
      </c>
      <c r="C9" s="225">
        <v>0</v>
      </c>
      <c r="D9" s="225">
        <v>84000</v>
      </c>
      <c r="E9" s="225">
        <v>0</v>
      </c>
      <c r="F9" s="225">
        <v>0</v>
      </c>
      <c r="G9" s="225">
        <v>62000</v>
      </c>
      <c r="H9" s="225">
        <v>0</v>
      </c>
      <c r="I9" s="225">
        <v>0</v>
      </c>
      <c r="J9" s="289">
        <v>-100</v>
      </c>
      <c r="K9" s="225">
        <f>E9+H9</f>
        <v>0</v>
      </c>
      <c r="L9" s="225">
        <f t="shared" ref="L9:M13" si="0">F9+I9</f>
        <v>0</v>
      </c>
      <c r="M9" s="226">
        <f t="shared" si="0"/>
        <v>61900</v>
      </c>
      <c r="N9" s="53" t="s">
        <v>20</v>
      </c>
    </row>
    <row r="10" spans="1:21" ht="13.95" x14ac:dyDescent="0.25">
      <c r="A10" s="195" t="s">
        <v>424</v>
      </c>
      <c r="B10" s="208">
        <v>0</v>
      </c>
      <c r="C10" s="208">
        <v>0</v>
      </c>
      <c r="D10" s="208">
        <v>16300</v>
      </c>
      <c r="E10" s="208">
        <v>0</v>
      </c>
      <c r="F10" s="208">
        <v>0</v>
      </c>
      <c r="G10" s="208">
        <v>16400</v>
      </c>
      <c r="H10" s="208">
        <v>0</v>
      </c>
      <c r="I10" s="208">
        <v>0</v>
      </c>
      <c r="J10" s="208">
        <v>0</v>
      </c>
      <c r="K10" s="208">
        <f t="shared" ref="K10" si="1">E10+H10</f>
        <v>0</v>
      </c>
      <c r="L10" s="208">
        <f t="shared" si="0"/>
        <v>0</v>
      </c>
      <c r="M10" s="205">
        <f t="shared" si="0"/>
        <v>16400</v>
      </c>
      <c r="N10" s="53" t="s">
        <v>20</v>
      </c>
    </row>
    <row r="11" spans="1:21" ht="13.95" x14ac:dyDescent="0.25">
      <c r="A11" s="16" t="s">
        <v>131</v>
      </c>
      <c r="B11" s="143">
        <f t="shared" ref="B11:M11" si="2">SUM(B9:B10)</f>
        <v>0</v>
      </c>
      <c r="C11" s="143">
        <f t="shared" si="2"/>
        <v>0</v>
      </c>
      <c r="D11" s="143">
        <f t="shared" si="2"/>
        <v>100300</v>
      </c>
      <c r="E11" s="143">
        <f t="shared" si="2"/>
        <v>0</v>
      </c>
      <c r="F11" s="143">
        <f t="shared" si="2"/>
        <v>0</v>
      </c>
      <c r="G11" s="143">
        <f t="shared" si="2"/>
        <v>78400</v>
      </c>
      <c r="H11" s="143">
        <f t="shared" si="2"/>
        <v>0</v>
      </c>
      <c r="I11" s="143">
        <f t="shared" si="2"/>
        <v>0</v>
      </c>
      <c r="J11" s="194">
        <f t="shared" si="2"/>
        <v>-100</v>
      </c>
      <c r="K11" s="143">
        <f t="shared" si="2"/>
        <v>0</v>
      </c>
      <c r="L11" s="143">
        <f t="shared" si="2"/>
        <v>0</v>
      </c>
      <c r="M11" s="144">
        <f t="shared" si="2"/>
        <v>78300</v>
      </c>
      <c r="N11" s="53" t="s">
        <v>20</v>
      </c>
    </row>
    <row r="12" spans="1:21" x14ac:dyDescent="0.25">
      <c r="A12" s="232" t="s">
        <v>130</v>
      </c>
      <c r="B12" s="145"/>
      <c r="C12" s="145"/>
      <c r="D12" s="225">
        <v>0</v>
      </c>
      <c r="E12" s="145"/>
      <c r="F12" s="145"/>
      <c r="G12" s="225">
        <v>0</v>
      </c>
      <c r="H12" s="145"/>
      <c r="I12" s="145"/>
      <c r="J12" s="225">
        <v>0</v>
      </c>
      <c r="K12" s="145"/>
      <c r="L12" s="145"/>
      <c r="M12" s="226">
        <f t="shared" si="0"/>
        <v>0</v>
      </c>
      <c r="N12" s="53" t="s">
        <v>20</v>
      </c>
    </row>
    <row r="13" spans="1:21" x14ac:dyDescent="0.25">
      <c r="A13" s="233" t="s">
        <v>150</v>
      </c>
      <c r="B13" s="25"/>
      <c r="C13" s="25"/>
      <c r="D13" s="230">
        <f>SUM(D11:D12)</f>
        <v>100300</v>
      </c>
      <c r="E13" s="25"/>
      <c r="F13" s="25"/>
      <c r="G13" s="230">
        <f>SUM(G11:G12)</f>
        <v>78400</v>
      </c>
      <c r="H13" s="25"/>
      <c r="I13" s="25"/>
      <c r="J13" s="458">
        <f>SUM(J11:J12)</f>
        <v>-100</v>
      </c>
      <c r="K13" s="25"/>
      <c r="L13" s="25"/>
      <c r="M13" s="231">
        <f t="shared" si="0"/>
        <v>78300</v>
      </c>
      <c r="N13" s="53" t="s">
        <v>20</v>
      </c>
    </row>
    <row r="14" spans="1:21" x14ac:dyDescent="0.25">
      <c r="A14" s="198" t="s">
        <v>26</v>
      </c>
      <c r="B14" s="234"/>
      <c r="C14" s="234">
        <v>0</v>
      </c>
      <c r="D14" s="234"/>
      <c r="E14" s="234"/>
      <c r="F14" s="234">
        <v>0</v>
      </c>
      <c r="G14" s="234"/>
      <c r="H14" s="234"/>
      <c r="I14" s="234">
        <v>0</v>
      </c>
      <c r="J14" s="234"/>
      <c r="K14" s="234"/>
      <c r="L14" s="234">
        <f t="shared" ref="L14:L15" si="3">F14+I14</f>
        <v>0</v>
      </c>
      <c r="M14" s="235"/>
      <c r="N14" s="53" t="s">
        <v>20</v>
      </c>
    </row>
    <row r="15" spans="1:21" x14ac:dyDescent="0.25">
      <c r="A15" s="195" t="s">
        <v>132</v>
      </c>
      <c r="B15" s="208"/>
      <c r="C15" s="208">
        <f>C11+C14</f>
        <v>0</v>
      </c>
      <c r="D15" s="208"/>
      <c r="E15" s="208"/>
      <c r="F15" s="208">
        <f>F11+F14</f>
        <v>0</v>
      </c>
      <c r="G15" s="208"/>
      <c r="H15" s="208"/>
      <c r="I15" s="208">
        <f>I11+I14</f>
        <v>0</v>
      </c>
      <c r="J15" s="208"/>
      <c r="K15" s="208"/>
      <c r="L15" s="208">
        <f t="shared" si="3"/>
        <v>0</v>
      </c>
      <c r="M15" s="205"/>
      <c r="N15" s="53" t="s">
        <v>20</v>
      </c>
    </row>
    <row r="16" spans="1:21" x14ac:dyDescent="0.25">
      <c r="A16" s="195"/>
      <c r="B16" s="208"/>
      <c r="C16" s="208"/>
      <c r="D16" s="208"/>
      <c r="E16" s="208"/>
      <c r="F16" s="208"/>
      <c r="G16" s="208"/>
      <c r="H16" s="208"/>
      <c r="I16" s="208"/>
      <c r="J16" s="208"/>
      <c r="K16" s="208"/>
      <c r="L16" s="208"/>
      <c r="M16" s="205"/>
      <c r="N16" s="53" t="s">
        <v>20</v>
      </c>
    </row>
    <row r="17" spans="1:14" x14ac:dyDescent="0.25">
      <c r="A17" s="195" t="s">
        <v>27</v>
      </c>
      <c r="B17" s="208"/>
      <c r="C17" s="208"/>
      <c r="D17" s="208"/>
      <c r="E17" s="208"/>
      <c r="F17" s="208"/>
      <c r="G17" s="208"/>
      <c r="H17" s="208"/>
      <c r="I17" s="208"/>
      <c r="J17" s="208"/>
      <c r="K17" s="208"/>
      <c r="L17" s="208"/>
      <c r="M17" s="205"/>
      <c r="N17" s="53" t="s">
        <v>20</v>
      </c>
    </row>
    <row r="18" spans="1:14" x14ac:dyDescent="0.25">
      <c r="A18" s="236" t="s">
        <v>28</v>
      </c>
      <c r="B18" s="208"/>
      <c r="C18" s="208">
        <v>0</v>
      </c>
      <c r="D18" s="208"/>
      <c r="E18" s="208"/>
      <c r="F18" s="208">
        <v>0</v>
      </c>
      <c r="G18" s="208"/>
      <c r="H18" s="208"/>
      <c r="I18" s="208">
        <v>0</v>
      </c>
      <c r="J18" s="208"/>
      <c r="K18" s="208"/>
      <c r="L18" s="208">
        <f t="shared" ref="L18:L20" si="4">F18+I18</f>
        <v>0</v>
      </c>
      <c r="M18" s="205"/>
      <c r="N18" s="53" t="s">
        <v>20</v>
      </c>
    </row>
    <row r="19" spans="1:14" x14ac:dyDescent="0.25">
      <c r="A19" s="237" t="s">
        <v>29</v>
      </c>
      <c r="B19" s="238"/>
      <c r="C19" s="238">
        <v>0</v>
      </c>
      <c r="D19" s="238"/>
      <c r="E19" s="238"/>
      <c r="F19" s="238">
        <v>0</v>
      </c>
      <c r="G19" s="238"/>
      <c r="H19" s="238"/>
      <c r="I19" s="238">
        <v>0</v>
      </c>
      <c r="J19" s="238"/>
      <c r="K19" s="238"/>
      <c r="L19" s="238">
        <f t="shared" si="4"/>
        <v>0</v>
      </c>
      <c r="M19" s="239"/>
      <c r="N19" s="53" t="s">
        <v>20</v>
      </c>
    </row>
    <row r="20" spans="1:14" ht="14.4" thickBot="1" x14ac:dyDescent="0.3">
      <c r="A20" s="240" t="s">
        <v>133</v>
      </c>
      <c r="B20" s="241"/>
      <c r="C20" s="241">
        <f>C15+C18+C19</f>
        <v>0</v>
      </c>
      <c r="D20" s="241"/>
      <c r="E20" s="241"/>
      <c r="F20" s="241">
        <f>F15+F18+F19</f>
        <v>0</v>
      </c>
      <c r="G20" s="241"/>
      <c r="H20" s="241"/>
      <c r="I20" s="241">
        <f>I15+I18+I19</f>
        <v>0</v>
      </c>
      <c r="J20" s="241"/>
      <c r="K20" s="241"/>
      <c r="L20" s="241">
        <f t="shared" si="4"/>
        <v>0</v>
      </c>
      <c r="M20" s="242"/>
      <c r="N20" s="53" t="s">
        <v>20</v>
      </c>
    </row>
    <row r="21" spans="1:14" ht="14.4" thickBot="1" x14ac:dyDescent="0.3">
      <c r="N21" s="53" t="s">
        <v>20</v>
      </c>
    </row>
    <row r="22" spans="1:14" x14ac:dyDescent="0.25">
      <c r="A22" s="638" t="s">
        <v>134</v>
      </c>
      <c r="B22" s="641" t="s">
        <v>22</v>
      </c>
      <c r="C22" s="641"/>
      <c r="D22" s="641"/>
      <c r="E22" s="641" t="s">
        <v>23</v>
      </c>
      <c r="F22" s="641"/>
      <c r="G22" s="641"/>
      <c r="H22" s="641" t="s">
        <v>24</v>
      </c>
      <c r="I22" s="641"/>
      <c r="J22" s="642"/>
      <c r="N22" s="53" t="s">
        <v>20</v>
      </c>
    </row>
    <row r="23" spans="1:14" ht="27.6" x14ac:dyDescent="0.25">
      <c r="A23" s="639"/>
      <c r="B23" s="222" t="s">
        <v>3</v>
      </c>
      <c r="C23" s="222" t="s">
        <v>149</v>
      </c>
      <c r="D23" s="222" t="s">
        <v>4</v>
      </c>
      <c r="E23" s="222" t="s">
        <v>3</v>
      </c>
      <c r="F23" s="222" t="s">
        <v>149</v>
      </c>
      <c r="G23" s="222" t="s">
        <v>4</v>
      </c>
      <c r="H23" s="222" t="s">
        <v>3</v>
      </c>
      <c r="I23" s="222" t="s">
        <v>149</v>
      </c>
      <c r="J23" s="223" t="s">
        <v>4</v>
      </c>
      <c r="N23" s="53" t="s">
        <v>20</v>
      </c>
    </row>
    <row r="24" spans="1:14" x14ac:dyDescent="0.25">
      <c r="A24" s="184" t="str">
        <f>A9</f>
        <v>PSOB Death Benefits</v>
      </c>
      <c r="B24" s="225">
        <v>0</v>
      </c>
      <c r="C24" s="225">
        <v>0</v>
      </c>
      <c r="D24" s="225">
        <v>3000</v>
      </c>
      <c r="E24" s="225">
        <v>0</v>
      </c>
      <c r="F24" s="225">
        <v>0</v>
      </c>
      <c r="G24" s="225">
        <v>0</v>
      </c>
      <c r="H24" s="225">
        <f t="shared" ref="H24:J25" si="5">K9+B24+E24</f>
        <v>0</v>
      </c>
      <c r="I24" s="225">
        <f t="shared" si="5"/>
        <v>0</v>
      </c>
      <c r="J24" s="226">
        <f t="shared" si="5"/>
        <v>64900</v>
      </c>
      <c r="N24" s="53" t="s">
        <v>20</v>
      </c>
    </row>
    <row r="25" spans="1:14" x14ac:dyDescent="0.25">
      <c r="A25" s="195" t="str">
        <f>A10</f>
        <v>PSOB Disability and Education Benefits</v>
      </c>
      <c r="B25" s="208">
        <v>0</v>
      </c>
      <c r="C25" s="208">
        <v>0</v>
      </c>
      <c r="D25" s="208">
        <v>0</v>
      </c>
      <c r="E25" s="208">
        <v>0</v>
      </c>
      <c r="F25" s="208">
        <v>0</v>
      </c>
      <c r="G25" s="208">
        <v>0</v>
      </c>
      <c r="H25" s="208">
        <f t="shared" si="5"/>
        <v>0</v>
      </c>
      <c r="I25" s="208">
        <f t="shared" si="5"/>
        <v>0</v>
      </c>
      <c r="J25" s="205">
        <f t="shared" si="5"/>
        <v>16400</v>
      </c>
      <c r="N25" s="53" t="s">
        <v>20</v>
      </c>
    </row>
    <row r="26" spans="1:14" x14ac:dyDescent="0.25">
      <c r="A26" s="16" t="s">
        <v>131</v>
      </c>
      <c r="B26" s="143">
        <f t="shared" ref="B26:J26" si="6">SUM(B24:B25)</f>
        <v>0</v>
      </c>
      <c r="C26" s="143">
        <f t="shared" si="6"/>
        <v>0</v>
      </c>
      <c r="D26" s="143">
        <f t="shared" si="6"/>
        <v>3000</v>
      </c>
      <c r="E26" s="143">
        <f t="shared" si="6"/>
        <v>0</v>
      </c>
      <c r="F26" s="143">
        <f t="shared" si="6"/>
        <v>0</v>
      </c>
      <c r="G26" s="143">
        <f t="shared" si="6"/>
        <v>0</v>
      </c>
      <c r="H26" s="143">
        <f t="shared" si="6"/>
        <v>0</v>
      </c>
      <c r="I26" s="143">
        <f t="shared" si="6"/>
        <v>0</v>
      </c>
      <c r="J26" s="144">
        <f t="shared" si="6"/>
        <v>81300</v>
      </c>
      <c r="N26" s="53" t="s">
        <v>20</v>
      </c>
    </row>
    <row r="27" spans="1:14" x14ac:dyDescent="0.25">
      <c r="A27" s="232" t="s">
        <v>130</v>
      </c>
      <c r="B27" s="145"/>
      <c r="C27" s="145"/>
      <c r="D27" s="225">
        <v>0</v>
      </c>
      <c r="E27" s="145"/>
      <c r="F27" s="145"/>
      <c r="G27" s="225">
        <v>0</v>
      </c>
      <c r="H27" s="145"/>
      <c r="I27" s="145"/>
      <c r="J27" s="226">
        <f>M12+D27+G27</f>
        <v>0</v>
      </c>
      <c r="N27" s="53" t="s">
        <v>20</v>
      </c>
    </row>
    <row r="28" spans="1:14" x14ac:dyDescent="0.25">
      <c r="A28" s="233" t="s">
        <v>150</v>
      </c>
      <c r="B28" s="25"/>
      <c r="C28" s="25"/>
      <c r="D28" s="230">
        <f>SUM(D26:D27)</f>
        <v>3000</v>
      </c>
      <c r="E28" s="25"/>
      <c r="F28" s="25"/>
      <c r="G28" s="230">
        <f>SUM(G26:G27)</f>
        <v>0</v>
      </c>
      <c r="H28" s="25"/>
      <c r="I28" s="25"/>
      <c r="J28" s="231">
        <f>M13+D28+G28</f>
        <v>81300</v>
      </c>
      <c r="N28" s="53" t="s">
        <v>20</v>
      </c>
    </row>
    <row r="29" spans="1:14" x14ac:dyDescent="0.25">
      <c r="A29" s="198" t="s">
        <v>26</v>
      </c>
      <c r="B29" s="234"/>
      <c r="C29" s="234">
        <v>0</v>
      </c>
      <c r="D29" s="234"/>
      <c r="E29" s="234"/>
      <c r="F29" s="234">
        <v>0</v>
      </c>
      <c r="G29" s="234"/>
      <c r="H29" s="234"/>
      <c r="I29" s="234">
        <f t="shared" ref="I29:I35" si="7">L14+C29+F29</f>
        <v>0</v>
      </c>
      <c r="J29" s="235"/>
      <c r="N29" s="53" t="s">
        <v>20</v>
      </c>
    </row>
    <row r="30" spans="1:14" x14ac:dyDescent="0.25">
      <c r="A30" s="195" t="s">
        <v>132</v>
      </c>
      <c r="B30" s="208"/>
      <c r="C30" s="208">
        <f>C26+C29</f>
        <v>0</v>
      </c>
      <c r="D30" s="208"/>
      <c r="E30" s="208"/>
      <c r="F30" s="208">
        <f>F26+F29</f>
        <v>0</v>
      </c>
      <c r="G30" s="208"/>
      <c r="H30" s="208"/>
      <c r="I30" s="208">
        <f t="shared" si="7"/>
        <v>0</v>
      </c>
      <c r="J30" s="205"/>
      <c r="N30" s="53" t="s">
        <v>20</v>
      </c>
    </row>
    <row r="31" spans="1:14" x14ac:dyDescent="0.25">
      <c r="A31" s="195"/>
      <c r="B31" s="208"/>
      <c r="C31" s="208"/>
      <c r="D31" s="208"/>
      <c r="E31" s="208"/>
      <c r="F31" s="208"/>
      <c r="G31" s="208"/>
      <c r="H31" s="208"/>
      <c r="I31" s="208">
        <f t="shared" si="7"/>
        <v>0</v>
      </c>
      <c r="J31" s="205"/>
      <c r="N31" s="53" t="s">
        <v>20</v>
      </c>
    </row>
    <row r="32" spans="1:14" x14ac:dyDescent="0.25">
      <c r="A32" s="195" t="s">
        <v>27</v>
      </c>
      <c r="B32" s="208"/>
      <c r="C32" s="208"/>
      <c r="D32" s="208"/>
      <c r="E32" s="208"/>
      <c r="F32" s="208"/>
      <c r="G32" s="208"/>
      <c r="H32" s="208"/>
      <c r="I32" s="208">
        <f t="shared" si="7"/>
        <v>0</v>
      </c>
      <c r="J32" s="205"/>
      <c r="N32" s="53" t="s">
        <v>20</v>
      </c>
    </row>
    <row r="33" spans="1:14" x14ac:dyDescent="0.25">
      <c r="A33" s="236" t="s">
        <v>28</v>
      </c>
      <c r="B33" s="208"/>
      <c r="C33" s="208">
        <v>0</v>
      </c>
      <c r="D33" s="208"/>
      <c r="E33" s="208"/>
      <c r="F33" s="208">
        <v>0</v>
      </c>
      <c r="G33" s="208"/>
      <c r="H33" s="208"/>
      <c r="I33" s="208">
        <f t="shared" si="7"/>
        <v>0</v>
      </c>
      <c r="J33" s="205"/>
      <c r="N33" s="53" t="s">
        <v>20</v>
      </c>
    </row>
    <row r="34" spans="1:14" x14ac:dyDescent="0.25">
      <c r="A34" s="237" t="s">
        <v>29</v>
      </c>
      <c r="B34" s="238"/>
      <c r="C34" s="238">
        <v>0</v>
      </c>
      <c r="D34" s="238"/>
      <c r="E34" s="238"/>
      <c r="F34" s="238">
        <v>0</v>
      </c>
      <c r="G34" s="238"/>
      <c r="H34" s="238"/>
      <c r="I34" s="238">
        <f t="shared" si="7"/>
        <v>0</v>
      </c>
      <c r="J34" s="239"/>
      <c r="N34" s="53" t="s">
        <v>20</v>
      </c>
    </row>
    <row r="35" spans="1:14" ht="14.4" thickBot="1" x14ac:dyDescent="0.3">
      <c r="A35" s="240" t="s">
        <v>133</v>
      </c>
      <c r="B35" s="241"/>
      <c r="C35" s="241">
        <f>C30+C33+C34</f>
        <v>0</v>
      </c>
      <c r="D35" s="241"/>
      <c r="E35" s="241"/>
      <c r="F35" s="241">
        <f>F30+F33+F34</f>
        <v>0</v>
      </c>
      <c r="G35" s="241"/>
      <c r="H35" s="241"/>
      <c r="I35" s="241">
        <f t="shared" si="7"/>
        <v>0</v>
      </c>
      <c r="J35" s="242"/>
      <c r="N35" s="53" t="s">
        <v>20</v>
      </c>
    </row>
    <row r="36" spans="1:14" x14ac:dyDescent="0.25">
      <c r="N36" s="7" t="s">
        <v>21</v>
      </c>
    </row>
    <row r="37" spans="1:14" x14ac:dyDescent="0.25">
      <c r="A37" s="328" t="s">
        <v>432</v>
      </c>
    </row>
  </sheetData>
  <customSheetViews>
    <customSheetView guid="{5B2D5037-506A-47D5-AF28-C337BC9133BD}" scale="80" showPageBreaks="1" printArea="1" view="pageBreakPreview" topLeftCell="A4">
      <selection activeCell="L24" sqref="L24"/>
      <pageMargins left="0.7" right="0.7" top="0.75" bottom="0.75" header="0.3" footer="0.3"/>
      <printOptions horizontalCentered="1"/>
      <pageSetup scale="76" orientation="landscape" r:id="rId1"/>
      <headerFooter>
        <oddHeader>&amp;L&amp;"Arial,Bold"&amp;12B. Summary of Requirements</oddHeader>
        <oddFooter>&amp;C&amp;"Arial,Regular"Exhibit B - Summary of Requirements&amp;R&amp;"Arial,Regular"Public Safety Officers' Benefits</oddFooter>
      </headerFooter>
    </customSheetView>
    <customSheetView guid="{08380F1E-0CB7-4B3B-924E-2A270EA8DD30}" scale="80" showPageBreaks="1" printArea="1" view="pageBreakPreview">
      <selection activeCell="L24" sqref="L24"/>
      <pageMargins left="0.7" right="0.7" top="0.75" bottom="0.75" header="0.3" footer="0.3"/>
      <printOptions horizontalCentered="1"/>
      <pageSetup scale="76" orientation="landscape" r:id="rId2"/>
      <headerFooter>
        <oddHeader>&amp;L&amp;"Arial,Bold"&amp;12B. Summary of Requirements</oddHeader>
        <oddFooter>&amp;C&amp;"Arial,Regular"Exhibit B - Summary of Requirements&amp;R&amp;"Arial,Regular"Public Safety Officers' Benefits</oddFooter>
      </headerFooter>
    </customSheetView>
    <customSheetView guid="{D19943A8-2C2A-430A-A724-8C7C332697C8}" scale="80" showPageBreaks="1" printArea="1" view="pageBreakPreview">
      <selection activeCell="M10" sqref="M10"/>
      <pageMargins left="0.7" right="0.7" top="0.75" bottom="0.75" header="0.3" footer="0.3"/>
      <printOptions horizontalCentered="1"/>
      <pageSetup scale="76" orientation="landscape" r:id="rId3"/>
      <headerFooter>
        <oddHeader>&amp;L&amp;"Arial,Bold"&amp;12B. Summary of Requirements</oddHeader>
        <oddFooter>&amp;C&amp;"Arial,Regular"Exhibit B - Summary of Requirements&amp;R&amp;"Arial,Regular"Public Safety Officers' Benefits</oddFooter>
      </headerFooter>
    </customSheetView>
    <customSheetView guid="{C6D68C6D-939C-4DFA-9385-A3F05DFB5EDA}" scale="80" showPageBreaks="1" printArea="1" view="pageBreakPreview">
      <selection activeCell="L24" sqref="L24"/>
      <pageMargins left="0.7" right="0.7" top="0.75" bottom="0.75" header="0.3" footer="0.3"/>
      <printOptions horizontalCentered="1"/>
      <pageSetup scale="76" orientation="landscape" r:id="rId4"/>
      <headerFooter>
        <oddHeader>&amp;L&amp;"Arial,Bold"&amp;12B. Summary of Requirements</oddHeader>
        <oddFooter>&amp;C&amp;"Arial,Regular"Exhibit B - Summary of Requirements&amp;R&amp;"Arial,Regular"Public Safety Officers' Benefits</oddFooter>
      </headerFooter>
    </customSheetView>
  </customSheetViews>
  <mergeCells count="15">
    <mergeCell ref="A22:A23"/>
    <mergeCell ref="B22:D22"/>
    <mergeCell ref="E22:G22"/>
    <mergeCell ref="H22:J22"/>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6" orientation="landscape" r:id="rId5"/>
  <headerFooter>
    <oddHeader>&amp;L&amp;"Arial,Bold"&amp;12B. Summary of Requirements</oddHeader>
    <oddFooter>&amp;C&amp;"Arial,Regular"Exhibit B - Summary of Requirements&amp;R&amp;"Arial,Regular"Public Safety Officers' Benefits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BreakPreview" topLeftCell="B1" zoomScale="80" zoomScaleNormal="100" zoomScaleSheetLayoutView="80" workbookViewId="0">
      <selection activeCell="N9" sqref="N9"/>
    </sheetView>
  </sheetViews>
  <sheetFormatPr defaultColWidth="9.109375" defaultRowHeight="13.8" x14ac:dyDescent="0.25"/>
  <cols>
    <col min="1" max="1" width="61" style="12" customWidth="1"/>
    <col min="2" max="3" width="8.33203125" style="12" customWidth="1"/>
    <col min="4" max="4" width="12.6640625" style="12" customWidth="1"/>
    <col min="5" max="5" width="7.109375" style="12" customWidth="1"/>
    <col min="6" max="6" width="8.6640625" style="12" customWidth="1"/>
    <col min="7" max="7" width="12.6640625" style="12" customWidth="1"/>
    <col min="8" max="9" width="8.33203125" style="12" customWidth="1"/>
    <col min="10" max="12" width="12.6640625" style="12" customWidth="1"/>
    <col min="13" max="14" width="8.33203125" style="12" customWidth="1"/>
    <col min="15" max="15" width="12.6640625" style="12" customWidth="1"/>
    <col min="16" max="16" width="14" style="7" bestFit="1" customWidth="1"/>
    <col min="17" max="17" width="4.5546875" style="12" customWidth="1"/>
    <col min="18" max="19" width="8.33203125" style="12" customWidth="1"/>
    <col min="20" max="20" width="12.6640625" style="12" customWidth="1"/>
    <col min="21" max="22" width="8.33203125" style="12" customWidth="1"/>
    <col min="23" max="23" width="12.6640625" style="12" customWidth="1"/>
    <col min="24" max="16384" width="9.109375" style="12"/>
  </cols>
  <sheetData>
    <row r="1" spans="1:23" ht="18" x14ac:dyDescent="0.25">
      <c r="A1" s="633" t="s">
        <v>39</v>
      </c>
      <c r="B1" s="633"/>
      <c r="C1" s="633"/>
      <c r="D1" s="633"/>
      <c r="E1" s="633"/>
      <c r="F1" s="633"/>
      <c r="G1" s="633"/>
      <c r="H1" s="633"/>
      <c r="I1" s="633"/>
      <c r="J1" s="633"/>
      <c r="K1" s="633"/>
      <c r="L1" s="633"/>
      <c r="M1" s="633"/>
      <c r="N1" s="633"/>
      <c r="O1" s="633"/>
      <c r="P1" s="53" t="s">
        <v>20</v>
      </c>
      <c r="Q1" s="9"/>
      <c r="R1" s="9"/>
      <c r="S1" s="9"/>
      <c r="T1" s="9"/>
      <c r="U1" s="9"/>
      <c r="V1" s="9"/>
      <c r="W1" s="9"/>
    </row>
    <row r="2" spans="1:23" ht="15" x14ac:dyDescent="0.2">
      <c r="A2" s="634" t="s">
        <v>160</v>
      </c>
      <c r="B2" s="634"/>
      <c r="C2" s="634"/>
      <c r="D2" s="634"/>
      <c r="E2" s="634"/>
      <c r="F2" s="634"/>
      <c r="G2" s="634"/>
      <c r="H2" s="634"/>
      <c r="I2" s="634"/>
      <c r="J2" s="634"/>
      <c r="K2" s="634"/>
      <c r="L2" s="634"/>
      <c r="M2" s="634"/>
      <c r="N2" s="634"/>
      <c r="O2" s="634"/>
      <c r="P2" s="53" t="s">
        <v>20</v>
      </c>
      <c r="Q2" s="10"/>
      <c r="R2" s="10"/>
      <c r="S2" s="10"/>
      <c r="T2" s="10"/>
      <c r="U2" s="10"/>
      <c r="V2" s="10"/>
      <c r="W2" s="10"/>
    </row>
    <row r="3" spans="1:23" ht="14.25" x14ac:dyDescent="0.2">
      <c r="A3" s="635" t="s">
        <v>169</v>
      </c>
      <c r="B3" s="640"/>
      <c r="C3" s="640"/>
      <c r="D3" s="640"/>
      <c r="E3" s="640"/>
      <c r="F3" s="640"/>
      <c r="G3" s="640"/>
      <c r="H3" s="640"/>
      <c r="I3" s="640"/>
      <c r="J3" s="640"/>
      <c r="K3" s="640"/>
      <c r="L3" s="640"/>
      <c r="M3" s="640"/>
      <c r="N3" s="640"/>
      <c r="O3" s="640"/>
      <c r="P3" s="53" t="s">
        <v>20</v>
      </c>
      <c r="Q3" s="13"/>
      <c r="R3" s="13"/>
      <c r="S3" s="13"/>
      <c r="T3" s="13"/>
      <c r="U3" s="13"/>
      <c r="V3" s="13"/>
      <c r="W3" s="13"/>
    </row>
    <row r="4" spans="1:23" ht="14.25" x14ac:dyDescent="0.2">
      <c r="A4" s="637" t="s">
        <v>1</v>
      </c>
      <c r="B4" s="637"/>
      <c r="C4" s="637"/>
      <c r="D4" s="637"/>
      <c r="E4" s="637"/>
      <c r="F4" s="637"/>
      <c r="G4" s="637"/>
      <c r="H4" s="637"/>
      <c r="I4" s="637"/>
      <c r="J4" s="637"/>
      <c r="K4" s="637"/>
      <c r="L4" s="637"/>
      <c r="M4" s="637"/>
      <c r="N4" s="637"/>
      <c r="O4" s="637"/>
      <c r="P4" s="53" t="s">
        <v>20</v>
      </c>
      <c r="Q4" s="11"/>
      <c r="R4" s="11"/>
      <c r="S4" s="11"/>
      <c r="T4" s="11"/>
      <c r="U4" s="11"/>
      <c r="V4" s="11"/>
      <c r="W4" s="11"/>
    </row>
    <row r="5" spans="1:23" ht="14.25" x14ac:dyDescent="0.2">
      <c r="A5" s="11"/>
      <c r="B5" s="11"/>
      <c r="C5" s="11"/>
      <c r="D5" s="11"/>
      <c r="E5" s="11"/>
      <c r="F5" s="11"/>
      <c r="G5" s="11"/>
      <c r="H5" s="11"/>
      <c r="I5" s="11"/>
      <c r="J5" s="11"/>
      <c r="K5" s="11"/>
      <c r="L5" s="11"/>
      <c r="M5" s="11"/>
      <c r="N5" s="11"/>
      <c r="O5" s="11"/>
      <c r="P5" s="53" t="s">
        <v>20</v>
      </c>
      <c r="Q5" s="11"/>
      <c r="R5" s="11"/>
      <c r="S5" s="11"/>
      <c r="T5" s="11"/>
      <c r="U5" s="11"/>
      <c r="V5" s="11"/>
      <c r="W5" s="11"/>
    </row>
    <row r="6" spans="1:23" ht="15" thickBot="1" x14ac:dyDescent="0.25">
      <c r="A6" s="52"/>
      <c r="B6" s="52"/>
      <c r="C6" s="52"/>
      <c r="D6" s="52"/>
      <c r="E6" s="52"/>
      <c r="F6" s="52"/>
      <c r="G6" s="52"/>
      <c r="H6" s="52"/>
      <c r="I6" s="52"/>
      <c r="J6" s="52"/>
      <c r="K6" s="52"/>
      <c r="L6" s="52"/>
      <c r="M6" s="52"/>
      <c r="N6" s="52"/>
      <c r="O6" s="52"/>
      <c r="P6" s="53" t="s">
        <v>20</v>
      </c>
      <c r="Q6" s="11"/>
      <c r="R6" s="11"/>
      <c r="S6" s="11"/>
      <c r="T6" s="11"/>
      <c r="U6" s="11"/>
      <c r="V6" s="11"/>
      <c r="W6" s="11"/>
    </row>
    <row r="7" spans="1:23" ht="33.75" customHeight="1" x14ac:dyDescent="0.25">
      <c r="A7" s="638" t="s">
        <v>134</v>
      </c>
      <c r="B7" s="641" t="s">
        <v>159</v>
      </c>
      <c r="C7" s="641"/>
      <c r="D7" s="641"/>
      <c r="E7" s="641" t="s">
        <v>130</v>
      </c>
      <c r="F7" s="670"/>
      <c r="G7" s="671"/>
      <c r="H7" s="641" t="s">
        <v>40</v>
      </c>
      <c r="I7" s="641"/>
      <c r="J7" s="641"/>
      <c r="K7" s="122" t="s">
        <v>41</v>
      </c>
      <c r="L7" s="122" t="s">
        <v>139</v>
      </c>
      <c r="M7" s="641" t="s">
        <v>45</v>
      </c>
      <c r="N7" s="641"/>
      <c r="O7" s="642"/>
      <c r="P7" s="53" t="s">
        <v>20</v>
      </c>
    </row>
    <row r="8" spans="1:23" ht="27.6" x14ac:dyDescent="0.25">
      <c r="A8" s="639"/>
      <c r="B8" s="14" t="s">
        <v>3</v>
      </c>
      <c r="C8" s="117" t="s">
        <v>128</v>
      </c>
      <c r="D8" s="14" t="s">
        <v>4</v>
      </c>
      <c r="E8" s="14" t="s">
        <v>3</v>
      </c>
      <c r="F8" s="117" t="s">
        <v>128</v>
      </c>
      <c r="G8" s="14" t="s">
        <v>4</v>
      </c>
      <c r="H8" s="14" t="s">
        <v>3</v>
      </c>
      <c r="I8" s="14" t="s">
        <v>128</v>
      </c>
      <c r="J8" s="14" t="s">
        <v>4</v>
      </c>
      <c r="K8" s="22" t="s">
        <v>4</v>
      </c>
      <c r="L8" s="14" t="s">
        <v>4</v>
      </c>
      <c r="M8" s="14" t="s">
        <v>3</v>
      </c>
      <c r="N8" s="14" t="s">
        <v>128</v>
      </c>
      <c r="O8" s="15" t="s">
        <v>4</v>
      </c>
      <c r="P8" s="53" t="s">
        <v>20</v>
      </c>
    </row>
    <row r="9" spans="1:23" x14ac:dyDescent="0.25">
      <c r="A9" s="184" t="s">
        <v>169</v>
      </c>
      <c r="B9" s="140">
        <v>702</v>
      </c>
      <c r="C9" s="140">
        <v>628</v>
      </c>
      <c r="D9" s="140">
        <v>175057</v>
      </c>
      <c r="E9" s="140">
        <v>0</v>
      </c>
      <c r="F9" s="140">
        <v>0</v>
      </c>
      <c r="G9" s="193">
        <v>-13</v>
      </c>
      <c r="H9" s="140">
        <v>0</v>
      </c>
      <c r="I9" s="140">
        <v>0</v>
      </c>
      <c r="J9" s="140">
        <v>0</v>
      </c>
      <c r="K9" s="140">
        <v>2550</v>
      </c>
      <c r="L9" s="140">
        <v>350</v>
      </c>
      <c r="M9" s="140">
        <f t="shared" ref="M9:N9" si="0">B9+H9</f>
        <v>702</v>
      </c>
      <c r="N9" s="140">
        <f t="shared" si="0"/>
        <v>628</v>
      </c>
      <c r="O9" s="141">
        <f>D9+J9+K9+L9+G9</f>
        <v>177944</v>
      </c>
      <c r="P9" s="53" t="s">
        <v>20</v>
      </c>
    </row>
    <row r="10" spans="1:23" x14ac:dyDescent="0.25">
      <c r="A10" s="16" t="s">
        <v>131</v>
      </c>
      <c r="B10" s="143">
        <f t="shared" ref="B10:O10" si="1">SUM(B9:B9)</f>
        <v>702</v>
      </c>
      <c r="C10" s="143">
        <f t="shared" si="1"/>
        <v>628</v>
      </c>
      <c r="D10" s="143">
        <f t="shared" si="1"/>
        <v>175057</v>
      </c>
      <c r="E10" s="143">
        <f t="shared" si="1"/>
        <v>0</v>
      </c>
      <c r="F10" s="143">
        <f t="shared" si="1"/>
        <v>0</v>
      </c>
      <c r="G10" s="194">
        <f t="shared" si="1"/>
        <v>-13</v>
      </c>
      <c r="H10" s="143">
        <f t="shared" si="1"/>
        <v>0</v>
      </c>
      <c r="I10" s="143">
        <f t="shared" si="1"/>
        <v>0</v>
      </c>
      <c r="J10" s="143">
        <f t="shared" si="1"/>
        <v>0</v>
      </c>
      <c r="K10" s="143">
        <f t="shared" si="1"/>
        <v>2550</v>
      </c>
      <c r="L10" s="143">
        <f t="shared" si="1"/>
        <v>350</v>
      </c>
      <c r="M10" s="143">
        <f t="shared" si="1"/>
        <v>702</v>
      </c>
      <c r="N10" s="143">
        <f t="shared" si="1"/>
        <v>628</v>
      </c>
      <c r="O10" s="144">
        <f t="shared" si="1"/>
        <v>177944</v>
      </c>
      <c r="P10" s="53" t="s">
        <v>20</v>
      </c>
    </row>
    <row r="11" spans="1:23" x14ac:dyDescent="0.25">
      <c r="A11" s="95" t="s">
        <v>26</v>
      </c>
      <c r="B11" s="150"/>
      <c r="C11" s="150">
        <v>0</v>
      </c>
      <c r="D11" s="150"/>
      <c r="E11" s="150"/>
      <c r="F11" s="150">
        <v>0</v>
      </c>
      <c r="G11" s="150"/>
      <c r="H11" s="150"/>
      <c r="I11" s="150">
        <v>0</v>
      </c>
      <c r="J11" s="150"/>
      <c r="K11" s="150"/>
      <c r="L11" s="150"/>
      <c r="M11" s="150"/>
      <c r="N11" s="150">
        <f>C11+I11+F11</f>
        <v>0</v>
      </c>
      <c r="O11" s="151"/>
      <c r="P11" s="53" t="s">
        <v>20</v>
      </c>
    </row>
    <row r="12" spans="1:23" x14ac:dyDescent="0.25">
      <c r="A12" s="118" t="s">
        <v>132</v>
      </c>
      <c r="B12" s="24"/>
      <c r="C12" s="24">
        <f>C10+C11</f>
        <v>628</v>
      </c>
      <c r="D12" s="24"/>
      <c r="E12" s="24"/>
      <c r="F12" s="24">
        <f>F10+F11</f>
        <v>0</v>
      </c>
      <c r="G12" s="24"/>
      <c r="H12" s="24"/>
      <c r="I12" s="24">
        <f>I10+I11</f>
        <v>0</v>
      </c>
      <c r="J12" s="24"/>
      <c r="K12" s="24"/>
      <c r="L12" s="24"/>
      <c r="M12" s="24"/>
      <c r="N12" s="150">
        <f>N10+N11</f>
        <v>628</v>
      </c>
      <c r="O12" s="142"/>
      <c r="P12" s="53" t="s">
        <v>20</v>
      </c>
    </row>
    <row r="13" spans="1:23" x14ac:dyDescent="0.25">
      <c r="A13" s="18"/>
      <c r="B13" s="24"/>
      <c r="C13" s="24"/>
      <c r="D13" s="24"/>
      <c r="E13" s="24"/>
      <c r="F13" s="24"/>
      <c r="G13" s="24"/>
      <c r="H13" s="24"/>
      <c r="I13" s="24"/>
      <c r="J13" s="24"/>
      <c r="K13" s="24"/>
      <c r="L13" s="24"/>
      <c r="M13" s="24"/>
      <c r="N13" s="24"/>
      <c r="O13" s="142"/>
      <c r="P13" s="53" t="s">
        <v>20</v>
      </c>
    </row>
    <row r="14" spans="1:23" x14ac:dyDescent="0.25">
      <c r="A14" s="18" t="s">
        <v>27</v>
      </c>
      <c r="B14" s="24"/>
      <c r="C14" s="24"/>
      <c r="D14" s="24"/>
      <c r="E14" s="24"/>
      <c r="F14" s="24"/>
      <c r="G14" s="24"/>
      <c r="H14" s="24"/>
      <c r="I14" s="24"/>
      <c r="J14" s="24"/>
      <c r="K14" s="24"/>
      <c r="L14" s="24"/>
      <c r="M14" s="24"/>
      <c r="N14" s="24"/>
      <c r="O14" s="142"/>
      <c r="P14" s="53" t="s">
        <v>20</v>
      </c>
    </row>
    <row r="15" spans="1:23" x14ac:dyDescent="0.25">
      <c r="A15" s="19" t="s">
        <v>28</v>
      </c>
      <c r="B15" s="24"/>
      <c r="C15" s="24">
        <v>0</v>
      </c>
      <c r="D15" s="24"/>
      <c r="E15" s="24"/>
      <c r="F15" s="24">
        <v>0</v>
      </c>
      <c r="G15" s="24"/>
      <c r="H15" s="24"/>
      <c r="I15" s="24">
        <v>0</v>
      </c>
      <c r="J15" s="24"/>
      <c r="K15" s="24"/>
      <c r="L15" s="24"/>
      <c r="M15" s="24"/>
      <c r="N15" s="24">
        <f>C15+I15+F15</f>
        <v>0</v>
      </c>
      <c r="O15" s="142"/>
      <c r="P15" s="53" t="s">
        <v>20</v>
      </c>
    </row>
    <row r="16" spans="1:23" x14ac:dyDescent="0.25">
      <c r="A16" s="20" t="s">
        <v>29</v>
      </c>
      <c r="B16" s="152"/>
      <c r="C16" s="152">
        <v>0</v>
      </c>
      <c r="D16" s="152"/>
      <c r="E16" s="152"/>
      <c r="F16" s="152">
        <v>0</v>
      </c>
      <c r="G16" s="152"/>
      <c r="H16" s="152"/>
      <c r="I16" s="152">
        <v>0</v>
      </c>
      <c r="J16" s="152"/>
      <c r="K16" s="152"/>
      <c r="L16" s="152"/>
      <c r="M16" s="152"/>
      <c r="N16" s="24">
        <f>C16+I16+F15</f>
        <v>0</v>
      </c>
      <c r="O16" s="153"/>
      <c r="P16" s="53" t="s">
        <v>20</v>
      </c>
    </row>
    <row r="17" spans="1:16" ht="14.4" thickBot="1" x14ac:dyDescent="0.3">
      <c r="A17" s="119" t="s">
        <v>133</v>
      </c>
      <c r="B17" s="154"/>
      <c r="C17" s="154">
        <f>C12+C15+C16</f>
        <v>628</v>
      </c>
      <c r="D17" s="154"/>
      <c r="E17" s="154"/>
      <c r="F17" s="154">
        <f>F12+F15+F16</f>
        <v>0</v>
      </c>
      <c r="G17" s="154"/>
      <c r="H17" s="154"/>
      <c r="I17" s="154">
        <f>I12+I15+I16</f>
        <v>0</v>
      </c>
      <c r="J17" s="154"/>
      <c r="K17" s="154"/>
      <c r="L17" s="154"/>
      <c r="M17" s="154"/>
      <c r="N17" s="154">
        <f>SUM(N12,N15:N16)</f>
        <v>628</v>
      </c>
      <c r="O17" s="155"/>
      <c r="P17" s="53" t="s">
        <v>20</v>
      </c>
    </row>
    <row r="18" spans="1:16" x14ac:dyDescent="0.25">
      <c r="P18" s="53" t="s">
        <v>20</v>
      </c>
    </row>
    <row r="19" spans="1:16" x14ac:dyDescent="0.25">
      <c r="A19" s="8" t="s">
        <v>40</v>
      </c>
      <c r="P19" s="53" t="s">
        <v>20</v>
      </c>
    </row>
    <row r="20" spans="1:16" x14ac:dyDescent="0.25">
      <c r="A20" s="668" t="s">
        <v>425</v>
      </c>
      <c r="B20" s="669"/>
      <c r="C20" s="669"/>
      <c r="D20" s="669"/>
      <c r="E20" s="669"/>
      <c r="F20" s="669"/>
      <c r="G20" s="669"/>
      <c r="H20" s="669"/>
      <c r="I20" s="669"/>
      <c r="J20" s="669"/>
      <c r="K20" s="669"/>
      <c r="L20" s="669"/>
      <c r="M20" s="669"/>
      <c r="N20" s="669"/>
      <c r="O20" s="669"/>
      <c r="P20" s="53" t="s">
        <v>20</v>
      </c>
    </row>
    <row r="21" spans="1:16" x14ac:dyDescent="0.25">
      <c r="A21" s="667"/>
      <c r="B21" s="667"/>
      <c r="C21" s="667"/>
      <c r="D21" s="667"/>
      <c r="E21" s="667"/>
      <c r="F21" s="667"/>
      <c r="G21" s="667"/>
      <c r="H21" s="667"/>
      <c r="I21" s="667"/>
      <c r="J21" s="667"/>
      <c r="K21" s="667"/>
      <c r="L21" s="667"/>
      <c r="M21" s="667"/>
      <c r="N21" s="667"/>
      <c r="O21" s="667"/>
      <c r="P21" s="53" t="s">
        <v>20</v>
      </c>
    </row>
    <row r="22" spans="1:16" x14ac:dyDescent="0.25">
      <c r="A22" s="8" t="s">
        <v>151</v>
      </c>
      <c r="P22" s="53" t="s">
        <v>20</v>
      </c>
    </row>
    <row r="23" spans="1:16" x14ac:dyDescent="0.25">
      <c r="A23" s="668" t="s">
        <v>446</v>
      </c>
      <c r="B23" s="669"/>
      <c r="C23" s="669"/>
      <c r="D23" s="669"/>
      <c r="E23" s="669"/>
      <c r="F23" s="669"/>
      <c r="G23" s="669"/>
      <c r="H23" s="669"/>
      <c r="I23" s="669"/>
      <c r="J23" s="669"/>
      <c r="K23" s="669"/>
      <c r="L23" s="669"/>
      <c r="M23" s="669"/>
      <c r="N23" s="669"/>
      <c r="O23" s="669"/>
      <c r="P23" s="53" t="s">
        <v>20</v>
      </c>
    </row>
    <row r="24" spans="1:16" x14ac:dyDescent="0.25">
      <c r="A24" s="667"/>
      <c r="B24" s="667"/>
      <c r="C24" s="667"/>
      <c r="D24" s="667"/>
      <c r="E24" s="667"/>
      <c r="F24" s="667"/>
      <c r="G24" s="667"/>
      <c r="H24" s="667"/>
      <c r="I24" s="667"/>
      <c r="J24" s="667"/>
      <c r="K24" s="667"/>
      <c r="L24" s="667"/>
      <c r="M24" s="667"/>
      <c r="N24" s="667"/>
      <c r="O24" s="667"/>
      <c r="P24" s="53" t="s">
        <v>20</v>
      </c>
    </row>
    <row r="25" spans="1:16" x14ac:dyDescent="0.25">
      <c r="A25" s="8" t="s">
        <v>152</v>
      </c>
      <c r="P25" s="53" t="s">
        <v>20</v>
      </c>
    </row>
    <row r="26" spans="1:16" x14ac:dyDescent="0.25">
      <c r="A26" s="668" t="s">
        <v>447</v>
      </c>
      <c r="B26" s="668"/>
      <c r="C26" s="668"/>
      <c r="D26" s="668"/>
      <c r="E26" s="668"/>
      <c r="F26" s="668"/>
      <c r="G26" s="668"/>
      <c r="H26" s="668"/>
      <c r="I26" s="668"/>
      <c r="J26" s="668"/>
      <c r="K26" s="668"/>
      <c r="L26" s="668"/>
      <c r="M26" s="668"/>
      <c r="N26" s="668"/>
      <c r="O26" s="668"/>
      <c r="P26" s="53" t="s">
        <v>20</v>
      </c>
    </row>
    <row r="27" spans="1:16" x14ac:dyDescent="0.25">
      <c r="A27" s="667"/>
      <c r="B27" s="667"/>
      <c r="C27" s="667"/>
      <c r="D27" s="667"/>
      <c r="E27" s="667"/>
      <c r="F27" s="667"/>
      <c r="G27" s="667"/>
      <c r="H27" s="667"/>
      <c r="I27" s="667"/>
      <c r="J27" s="667"/>
      <c r="K27" s="667"/>
      <c r="L27" s="667"/>
      <c r="M27" s="667"/>
      <c r="N27" s="667"/>
      <c r="O27" s="667"/>
      <c r="P27" s="53" t="s">
        <v>20</v>
      </c>
    </row>
    <row r="28" spans="1:16" x14ac:dyDescent="0.25">
      <c r="A28" s="178" t="s">
        <v>457</v>
      </c>
      <c r="P28" s="53" t="s">
        <v>20</v>
      </c>
    </row>
    <row r="29" spans="1:16" x14ac:dyDescent="0.25">
      <c r="P29" s="53" t="s">
        <v>20</v>
      </c>
    </row>
    <row r="30" spans="1:16" x14ac:dyDescent="0.25">
      <c r="P30" s="7" t="s">
        <v>21</v>
      </c>
    </row>
  </sheetData>
  <customSheetViews>
    <customSheetView guid="{5B2D5037-506A-47D5-AF28-C337BC9133BD}" scale="80" showPageBreaks="1" printArea="1" view="pageBreakPreview" topLeftCell="B1">
      <selection activeCell="N9" sqref="N9"/>
      <pageMargins left="0.7" right="0.7" top="0.64" bottom="0.61" header="0.3" footer="0.3"/>
      <printOptions horizontalCentered="1"/>
      <pageSetup scale="60" orientation="landscape" r:id="rId1"/>
      <headerFooter>
        <oddHeader>&amp;L&amp;"Arial,Bold"&amp;12F. Crosswalk of 2012 Availability</oddHeader>
        <oddFooter>&amp;C&amp;"Arial,Regular"Exhibit F - Crosswalk of 2012 Availability&amp;R&amp;"Arial,Regular"Salaries and Expenses/Management and Administration</oddFooter>
      </headerFooter>
    </customSheetView>
    <customSheetView guid="{08380F1E-0CB7-4B3B-924E-2A270EA8DD30}" scale="80" showPageBreaks="1" printArea="1" view="pageBreakPreview">
      <selection activeCell="N9" sqref="N9"/>
      <pageMargins left="0.7" right="0.7" top="0.64" bottom="0.61" header="0.3" footer="0.3"/>
      <printOptions horizontalCentered="1"/>
      <pageSetup scale="60" orientation="landscape" r:id="rId2"/>
      <headerFooter>
        <oddHeader>&amp;L&amp;"Arial,Bold"&amp;12F. Crosswalk of 2012 Availability</oddHeader>
        <oddFooter>&amp;C&amp;"Arial,Regular"Exhibit F - Crosswalk of 2012 Availability&amp;R&amp;"Arial,Regular"Salaries and Expenses/Management and Administration</oddFooter>
      </headerFooter>
    </customSheetView>
    <customSheetView guid="{D19943A8-2C2A-430A-A724-8C7C332697C8}" scale="80" showPageBreaks="1" printArea="1" view="pageBreakPreview">
      <selection activeCell="N9" sqref="N9"/>
      <pageMargins left="0.7" right="0.7" top="0.64" bottom="0.61" header="0.3" footer="0.3"/>
      <printOptions horizontalCentered="1"/>
      <pageSetup scale="60" orientation="landscape" r:id="rId3"/>
      <headerFooter>
        <oddHeader>&amp;L&amp;"Arial,Bold"&amp;12F. Crosswalk of 2012 Availability</oddHeader>
        <oddFooter>&amp;C&amp;"Arial,Regular"Exhibit F - Crosswalk of 2012 Availability&amp;R&amp;"Arial,Regular"Salaries and Expenses/Management and Administration</oddFooter>
      </headerFooter>
    </customSheetView>
    <customSheetView guid="{C6D68C6D-939C-4DFA-9385-A3F05DFB5EDA}" scale="80" showPageBreaks="1" printArea="1" view="pageBreakPreview">
      <selection activeCell="N9" sqref="N9"/>
      <pageMargins left="0.7" right="0.7" top="0.64" bottom="0.61" header="0.3" footer="0.3"/>
      <printOptions horizontalCentered="1"/>
      <pageSetup scale="60" orientation="landscape" r:id="rId4"/>
      <headerFooter>
        <oddHeader>&amp;L&amp;"Arial,Bold"&amp;12F. Crosswalk of 2012 Availability</oddHeader>
        <oddFooter>&amp;C&amp;"Arial,Regular"Exhibit F - Crosswalk of 2012 Availability&amp;R&amp;"Arial,Regular"Salaries and Expenses/Management and Administration</oddFooter>
      </headerFooter>
    </customSheetView>
  </customSheetViews>
  <mergeCells count="15">
    <mergeCell ref="A7:A8"/>
    <mergeCell ref="B7:D7"/>
    <mergeCell ref="H7:J7"/>
    <mergeCell ref="M7:O7"/>
    <mergeCell ref="A1:O1"/>
    <mergeCell ref="A2:O2"/>
    <mergeCell ref="A3:O3"/>
    <mergeCell ref="A4:O4"/>
    <mergeCell ref="E7:G7"/>
    <mergeCell ref="A27:O27"/>
    <mergeCell ref="A20:O20"/>
    <mergeCell ref="A21:O21"/>
    <mergeCell ref="A23:O23"/>
    <mergeCell ref="A24:O24"/>
    <mergeCell ref="A26:O26"/>
  </mergeCells>
  <printOptions horizontalCentered="1"/>
  <pageMargins left="0.7" right="0.7" top="0.64" bottom="0.61" header="0.3" footer="0.3"/>
  <pageSetup scale="60" orientation="landscape" r:id="rId5"/>
  <headerFooter>
    <oddHeader>&amp;L&amp;"Arial,Bold"&amp;12F. Crosswalk of 2012 Availability</oddHeader>
    <oddFooter>&amp;C&amp;"Arial,Regular"Exhibit F - Crosswalk of 2012 Availability&amp;R&amp;"Arial,Regular"Salaries and Expenses/Management and Administration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topLeftCell="B1" zoomScale="80" zoomScaleNormal="100" zoomScaleSheetLayoutView="80" workbookViewId="0">
      <selection activeCell="J8" sqref="J8"/>
    </sheetView>
  </sheetViews>
  <sheetFormatPr defaultColWidth="9.109375" defaultRowHeight="13.8" x14ac:dyDescent="0.25"/>
  <cols>
    <col min="1" max="1" width="42" style="178" customWidth="1"/>
    <col min="2" max="2" width="47.5546875" style="178" customWidth="1"/>
    <col min="3" max="3" width="11.33203125" style="178" customWidth="1"/>
    <col min="4" max="4" width="10.44140625" style="178" customWidth="1"/>
    <col min="5" max="5" width="10.88671875" style="178" customWidth="1"/>
    <col min="6" max="6" width="14.5546875" style="178" customWidth="1"/>
    <col min="7" max="7" width="12" style="7" customWidth="1"/>
    <col min="8" max="8" width="10.44140625" style="178" customWidth="1"/>
    <col min="9" max="9" width="10.88671875" style="178" customWidth="1"/>
    <col min="10" max="10" width="14.5546875" style="178" customWidth="1"/>
    <col min="11" max="11" width="12.6640625" style="178" customWidth="1"/>
    <col min="12" max="13" width="8.33203125" style="178" customWidth="1"/>
    <col min="14" max="14" width="12.6640625" style="178" customWidth="1"/>
    <col min="15" max="16384" width="9.109375" style="178"/>
  </cols>
  <sheetData>
    <row r="1" spans="1:14" ht="17.399999999999999" x14ac:dyDescent="0.3">
      <c r="A1" s="633" t="s">
        <v>220</v>
      </c>
      <c r="B1" s="633"/>
      <c r="C1" s="633"/>
      <c r="D1" s="633"/>
      <c r="E1" s="633"/>
      <c r="F1" s="633"/>
      <c r="G1" s="295"/>
      <c r="H1" s="9"/>
      <c r="I1" s="9"/>
      <c r="J1" s="9"/>
      <c r="K1" s="295" t="s">
        <v>20</v>
      </c>
      <c r="L1" s="9"/>
      <c r="M1" s="9"/>
      <c r="N1" s="9"/>
    </row>
    <row r="2" spans="1:14" ht="17.399999999999999" x14ac:dyDescent="0.3">
      <c r="A2" s="634" t="s">
        <v>160</v>
      </c>
      <c r="B2" s="634"/>
      <c r="C2" s="634"/>
      <c r="D2" s="634"/>
      <c r="E2" s="634"/>
      <c r="F2" s="634"/>
      <c r="G2" s="295"/>
      <c r="H2" s="10"/>
      <c r="I2" s="10"/>
      <c r="J2" s="10"/>
      <c r="K2" s="295" t="s">
        <v>20</v>
      </c>
      <c r="L2" s="10"/>
      <c r="M2" s="10"/>
      <c r="N2" s="10"/>
    </row>
    <row r="3" spans="1:14" ht="17.399999999999999" x14ac:dyDescent="0.3">
      <c r="A3" s="635" t="s">
        <v>421</v>
      </c>
      <c r="B3" s="635"/>
      <c r="C3" s="635"/>
      <c r="D3" s="635"/>
      <c r="E3" s="635"/>
      <c r="F3" s="635"/>
      <c r="G3" s="295"/>
      <c r="H3" s="221"/>
      <c r="I3" s="221"/>
      <c r="J3" s="221"/>
      <c r="K3" s="295" t="s">
        <v>20</v>
      </c>
      <c r="L3" s="221"/>
      <c r="M3" s="221"/>
      <c r="N3" s="221"/>
    </row>
    <row r="4" spans="1:14" ht="17.399999999999999" x14ac:dyDescent="0.3">
      <c r="A4" s="637" t="s">
        <v>1</v>
      </c>
      <c r="B4" s="637"/>
      <c r="C4" s="637"/>
      <c r="D4" s="637"/>
      <c r="E4" s="637"/>
      <c r="F4" s="637"/>
      <c r="G4" s="295"/>
      <c r="H4" s="11"/>
      <c r="I4" s="11"/>
      <c r="J4" s="11"/>
      <c r="K4" s="295" t="s">
        <v>20</v>
      </c>
      <c r="L4" s="11"/>
      <c r="M4" s="11"/>
      <c r="N4" s="11"/>
    </row>
    <row r="5" spans="1:14" ht="18" thickBot="1" x14ac:dyDescent="0.35">
      <c r="A5" s="734"/>
      <c r="B5" s="734"/>
      <c r="C5" s="734"/>
      <c r="D5" s="734"/>
      <c r="E5" s="734"/>
      <c r="F5" s="734"/>
      <c r="G5" s="295"/>
      <c r="H5" s="11"/>
      <c r="I5" s="11"/>
      <c r="J5" s="11"/>
      <c r="K5" s="295" t="s">
        <v>20</v>
      </c>
      <c r="L5" s="11"/>
      <c r="M5" s="11"/>
      <c r="N5" s="11"/>
    </row>
    <row r="6" spans="1:14" ht="33.75" customHeight="1" x14ac:dyDescent="0.3">
      <c r="A6" s="638" t="s">
        <v>31</v>
      </c>
      <c r="B6" s="673" t="s">
        <v>217</v>
      </c>
      <c r="C6" s="674" t="s">
        <v>421</v>
      </c>
      <c r="D6" s="670"/>
      <c r="E6" s="670"/>
      <c r="F6" s="671"/>
      <c r="G6" s="641" t="s">
        <v>219</v>
      </c>
      <c r="H6" s="641"/>
      <c r="I6" s="641"/>
      <c r="J6" s="641"/>
      <c r="K6" s="295" t="s">
        <v>20</v>
      </c>
    </row>
    <row r="7" spans="1:14" ht="27.6" x14ac:dyDescent="0.3">
      <c r="A7" s="639"/>
      <c r="B7" s="716"/>
      <c r="C7" s="222" t="s">
        <v>3</v>
      </c>
      <c r="D7" s="222" t="s">
        <v>215</v>
      </c>
      <c r="E7" s="222" t="s">
        <v>149</v>
      </c>
      <c r="F7" s="222" t="s">
        <v>4</v>
      </c>
      <c r="G7" s="222" t="s">
        <v>3</v>
      </c>
      <c r="H7" s="222" t="s">
        <v>215</v>
      </c>
      <c r="I7" s="222" t="s">
        <v>149</v>
      </c>
      <c r="J7" s="222" t="s">
        <v>4</v>
      </c>
      <c r="K7" s="295" t="s">
        <v>20</v>
      </c>
    </row>
    <row r="8" spans="1:14" ht="17.399999999999999" x14ac:dyDescent="0.3">
      <c r="A8" s="184" t="s">
        <v>423</v>
      </c>
      <c r="B8" s="302" t="s">
        <v>421</v>
      </c>
      <c r="C8" s="225">
        <v>0</v>
      </c>
      <c r="D8" s="225">
        <v>0</v>
      </c>
      <c r="E8" s="225">
        <v>0</v>
      </c>
      <c r="F8" s="225">
        <v>3000</v>
      </c>
      <c r="G8" s="225">
        <v>0</v>
      </c>
      <c r="H8" s="225">
        <v>0</v>
      </c>
      <c r="I8" s="225">
        <v>0</v>
      </c>
      <c r="J8" s="225">
        <f>F8</f>
        <v>3000</v>
      </c>
      <c r="K8" s="295" t="s">
        <v>20</v>
      </c>
    </row>
    <row r="9" spans="1:14" ht="18" thickBot="1" x14ac:dyDescent="0.35">
      <c r="A9" s="246" t="s">
        <v>218</v>
      </c>
      <c r="B9" s="245"/>
      <c r="C9" s="244">
        <f t="shared" ref="C9:J9" si="0">SUM(C8:C8)</f>
        <v>0</v>
      </c>
      <c r="D9" s="244">
        <f t="shared" si="0"/>
        <v>0</v>
      </c>
      <c r="E9" s="244">
        <f t="shared" si="0"/>
        <v>0</v>
      </c>
      <c r="F9" s="244">
        <f t="shared" si="0"/>
        <v>3000</v>
      </c>
      <c r="G9" s="244">
        <f t="shared" si="0"/>
        <v>0</v>
      </c>
      <c r="H9" s="244">
        <f t="shared" si="0"/>
        <v>0</v>
      </c>
      <c r="I9" s="244">
        <f t="shared" si="0"/>
        <v>0</v>
      </c>
      <c r="J9" s="244">
        <f t="shared" si="0"/>
        <v>3000</v>
      </c>
      <c r="K9" s="295" t="s">
        <v>20</v>
      </c>
    </row>
    <row r="10" spans="1:14" ht="17.399999999999999" x14ac:dyDescent="0.3">
      <c r="G10" s="295"/>
      <c r="K10" s="295" t="s">
        <v>20</v>
      </c>
    </row>
    <row r="11" spans="1:14" ht="17.399999999999999" x14ac:dyDescent="0.3">
      <c r="G11" s="295"/>
      <c r="K11" s="295" t="s">
        <v>20</v>
      </c>
    </row>
    <row r="12" spans="1:14" x14ac:dyDescent="0.25">
      <c r="K12" s="7" t="s">
        <v>21</v>
      </c>
    </row>
    <row r="13" spans="1:14" x14ac:dyDescent="0.25">
      <c r="B13" s="243"/>
    </row>
  </sheetData>
  <customSheetViews>
    <customSheetView guid="{5B2D5037-506A-47D5-AF28-C337BC9133BD}" scale="80" showPageBreaks="1" printArea="1" view="pageBreakPreview" topLeftCell="B1">
      <selection activeCell="J8" sqref="J8"/>
      <pageMargins left="0.7" right="0.7" top="0.66" bottom="0.65" header="0.3" footer="0.3"/>
      <printOptions horizontalCentered="1"/>
      <pageSetup scale="60" orientation="landscape" r:id="rId1"/>
      <headerFooter>
        <oddHeader xml:space="preserve">&amp;L&amp;"Arial,Bold"&amp;12C. Program Changes by Decision Unit
</oddHeader>
        <oddFooter>&amp;C&amp;"Arial,Regular"Exhibit C - Program Changes by Decision Unit</oddFooter>
      </headerFooter>
    </customSheetView>
    <customSheetView guid="{08380F1E-0CB7-4B3B-924E-2A270EA8DD30}" scale="80" showPageBreaks="1" printArea="1" view="pageBreakPreview" topLeftCell="B1">
      <selection activeCell="J8" sqref="J8"/>
      <pageMargins left="0.7" right="0.7" top="0.66" bottom="0.65" header="0.3" footer="0.3"/>
      <printOptions horizontalCentered="1"/>
      <pageSetup scale="60" orientation="landscape" r:id="rId2"/>
      <headerFooter>
        <oddHeader xml:space="preserve">&amp;L&amp;"Arial,Bold"&amp;12C. Program Changes by Decision Unit
</oddHeader>
        <oddFooter>&amp;C&amp;"Arial,Regular"Exhibit C - Program Changes by Decision Unit</oddFooter>
      </headerFooter>
    </customSheetView>
    <customSheetView guid="{D19943A8-2C2A-430A-A724-8C7C332697C8}" scale="80" showPageBreaks="1" printArea="1" view="pageBreakPreview" topLeftCell="B1">
      <selection activeCell="J8" sqref="J8"/>
      <pageMargins left="0.7" right="0.7" top="0.66" bottom="0.65" header="0.3" footer="0.3"/>
      <printOptions horizontalCentered="1"/>
      <pageSetup scale="60" orientation="landscape" r:id="rId3"/>
      <headerFooter>
        <oddHeader xml:space="preserve">&amp;L&amp;"Arial,Bold"&amp;12C. Program Changes by Decision Unit
</oddHeader>
        <oddFooter>&amp;C&amp;"Arial,Regular"Exhibit C - Program Changes by Decision Unit</oddFooter>
      </headerFooter>
    </customSheetView>
    <customSheetView guid="{C6D68C6D-939C-4DFA-9385-A3F05DFB5EDA}" scale="80" showPageBreaks="1" printArea="1" view="pageBreakPreview" topLeftCell="B1">
      <selection activeCell="J8" sqref="J8"/>
      <pageMargins left="0.7" right="0.7" top="0.66" bottom="0.65" header="0.3" footer="0.3"/>
      <printOptions horizontalCentered="1"/>
      <pageSetup scale="60" orientation="landscape" r:id="rId4"/>
      <headerFooter>
        <oddHeader xml:space="preserve">&amp;L&amp;"Arial,Bold"&amp;12C. Program Changes by Decision Unit
</oddHeader>
        <oddFooter>&amp;C&amp;"Arial,Regular"Exhibit C - Program Changes by Decision Unit</oddFooter>
      </headerFooter>
    </customSheetView>
  </customSheetViews>
  <mergeCells count="9">
    <mergeCell ref="G6:J6"/>
    <mergeCell ref="A1:F1"/>
    <mergeCell ref="A2:F2"/>
    <mergeCell ref="A3:F3"/>
    <mergeCell ref="A4:F4"/>
    <mergeCell ref="A5:F5"/>
    <mergeCell ref="A6:A7"/>
    <mergeCell ref="B6:B7"/>
    <mergeCell ref="C6:F6"/>
  </mergeCells>
  <printOptions horizontalCentered="1"/>
  <pageMargins left="0.7" right="0.7" top="0.66" bottom="0.65" header="0.3" footer="0.3"/>
  <pageSetup scale="60" orientation="landscape" r:id="rId5"/>
  <headerFooter>
    <oddHeader xml:space="preserve">&amp;L&amp;"Arial,Bold"&amp;12C. Program Changes by Decision Unit
</oddHeader>
    <oddFooter>&amp;C&amp;"Arial,Regular"Exhibit C - Program Changes by Decision Unit</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topLeftCell="A16" zoomScale="80" zoomScaleNormal="100" zoomScaleSheetLayoutView="80" workbookViewId="0">
      <selection activeCell="F24" sqref="F24"/>
    </sheetView>
  </sheetViews>
  <sheetFormatPr defaultColWidth="9.109375" defaultRowHeight="13.8" x14ac:dyDescent="0.25"/>
  <cols>
    <col min="1" max="1" width="7.44140625" style="178" bestFit="1" customWidth="1"/>
    <col min="2" max="2" width="58.109375" style="178" customWidth="1"/>
    <col min="3" max="3" width="8.6640625" style="178" customWidth="1"/>
    <col min="4" max="4" width="12.6640625" style="178" customWidth="1"/>
    <col min="5" max="5" width="8.6640625" style="178" customWidth="1"/>
    <col min="6" max="6" width="12.6640625" style="178" customWidth="1"/>
    <col min="7" max="7" width="8.6640625" style="178" customWidth="1"/>
    <col min="8" max="8" width="12.6640625" style="178" customWidth="1"/>
    <col min="9" max="9" width="8.6640625" style="178" customWidth="1"/>
    <col min="10" max="10" width="12.6640625" style="178" customWidth="1"/>
    <col min="11" max="11" width="8.6640625" style="178" customWidth="1"/>
    <col min="12" max="12" width="12.6640625" style="178" customWidth="1"/>
    <col min="13" max="13" width="8.6640625" style="178" customWidth="1"/>
    <col min="14" max="14" width="12.6640625" style="178" customWidth="1"/>
    <col min="15" max="15" width="14" style="7" bestFit="1" customWidth="1"/>
    <col min="16" max="16" width="4.5546875" style="178" customWidth="1"/>
    <col min="17" max="18" width="8.33203125" style="178" customWidth="1"/>
    <col min="19" max="19" width="12.6640625" style="178" customWidth="1"/>
    <col min="20" max="21" width="8.33203125" style="178" customWidth="1"/>
    <col min="22" max="22" width="12.6640625" style="178" customWidth="1"/>
    <col min="23" max="16384" width="9.109375" style="178"/>
  </cols>
  <sheetData>
    <row r="1" spans="1:22" ht="18" x14ac:dyDescent="0.25">
      <c r="A1" s="633" t="s">
        <v>221</v>
      </c>
      <c r="B1" s="633"/>
      <c r="C1" s="633"/>
      <c r="D1" s="633"/>
      <c r="E1" s="633"/>
      <c r="F1" s="633"/>
      <c r="G1" s="633"/>
      <c r="H1" s="633"/>
      <c r="I1" s="633"/>
      <c r="J1" s="633"/>
      <c r="K1" s="633"/>
      <c r="L1" s="633"/>
      <c r="M1" s="633"/>
      <c r="N1" s="633"/>
      <c r="O1" s="53" t="s">
        <v>20</v>
      </c>
      <c r="P1" s="9"/>
      <c r="Q1" s="9"/>
      <c r="R1" s="9"/>
      <c r="S1" s="9"/>
      <c r="T1" s="9"/>
      <c r="U1" s="9"/>
      <c r="V1" s="9"/>
    </row>
    <row r="2" spans="1:22" ht="15" x14ac:dyDescent="0.2">
      <c r="A2" s="634" t="s">
        <v>160</v>
      </c>
      <c r="B2" s="634"/>
      <c r="C2" s="634"/>
      <c r="D2" s="634"/>
      <c r="E2" s="634"/>
      <c r="F2" s="634"/>
      <c r="G2" s="634"/>
      <c r="H2" s="634"/>
      <c r="I2" s="634"/>
      <c r="J2" s="634"/>
      <c r="K2" s="634"/>
      <c r="L2" s="634"/>
      <c r="M2" s="634"/>
      <c r="N2" s="634"/>
      <c r="O2" s="53" t="s">
        <v>20</v>
      </c>
      <c r="P2" s="10"/>
      <c r="Q2" s="10"/>
      <c r="R2" s="10"/>
      <c r="S2" s="10"/>
      <c r="T2" s="10"/>
      <c r="U2" s="10"/>
      <c r="V2" s="10"/>
    </row>
    <row r="3" spans="1:22" ht="14.25" x14ac:dyDescent="0.2">
      <c r="A3" s="635" t="s">
        <v>421</v>
      </c>
      <c r="B3" s="635"/>
      <c r="C3" s="635"/>
      <c r="D3" s="635"/>
      <c r="E3" s="635"/>
      <c r="F3" s="635"/>
      <c r="G3" s="635"/>
      <c r="H3" s="635"/>
      <c r="I3" s="635"/>
      <c r="J3" s="635"/>
      <c r="K3" s="635"/>
      <c r="L3" s="635"/>
      <c r="M3" s="635"/>
      <c r="N3" s="635"/>
      <c r="O3" s="53" t="s">
        <v>20</v>
      </c>
      <c r="P3" s="221"/>
      <c r="Q3" s="221"/>
      <c r="R3" s="221"/>
      <c r="S3" s="221"/>
      <c r="T3" s="221"/>
      <c r="U3" s="221"/>
      <c r="V3" s="221"/>
    </row>
    <row r="4" spans="1:22" ht="14.25" x14ac:dyDescent="0.2">
      <c r="A4" s="637" t="s">
        <v>1</v>
      </c>
      <c r="B4" s="637"/>
      <c r="C4" s="637"/>
      <c r="D4" s="637"/>
      <c r="E4" s="637"/>
      <c r="F4" s="637"/>
      <c r="G4" s="637"/>
      <c r="H4" s="637"/>
      <c r="I4" s="637"/>
      <c r="J4" s="637"/>
      <c r="K4" s="637"/>
      <c r="L4" s="637"/>
      <c r="M4" s="637"/>
      <c r="N4" s="637"/>
      <c r="O4" s="53" t="s">
        <v>20</v>
      </c>
      <c r="P4" s="11"/>
      <c r="Q4" s="11"/>
      <c r="R4" s="11"/>
      <c r="S4" s="11"/>
      <c r="T4" s="11"/>
      <c r="U4" s="11"/>
      <c r="V4" s="11"/>
    </row>
    <row r="5" spans="1:22" ht="14.25" x14ac:dyDescent="0.2">
      <c r="A5" s="635"/>
      <c r="B5" s="635"/>
      <c r="C5" s="635"/>
      <c r="D5" s="635"/>
      <c r="E5" s="635"/>
      <c r="F5" s="635"/>
      <c r="G5" s="635"/>
      <c r="H5" s="635"/>
      <c r="I5" s="635"/>
      <c r="J5" s="635"/>
      <c r="K5" s="635"/>
      <c r="L5" s="635"/>
      <c r="M5" s="635"/>
      <c r="N5" s="635"/>
      <c r="O5" s="53" t="s">
        <v>20</v>
      </c>
      <c r="P5" s="11"/>
      <c r="Q5" s="11"/>
      <c r="R5" s="11"/>
      <c r="S5" s="11"/>
      <c r="T5" s="11"/>
      <c r="U5" s="11"/>
      <c r="V5" s="11"/>
    </row>
    <row r="6" spans="1:22" ht="15" thickBot="1" x14ac:dyDescent="0.25">
      <c r="A6" s="717"/>
      <c r="B6" s="717"/>
      <c r="C6" s="717"/>
      <c r="D6" s="717"/>
      <c r="E6" s="717"/>
      <c r="F6" s="717"/>
      <c r="G6" s="717"/>
      <c r="H6" s="717"/>
      <c r="I6" s="717"/>
      <c r="J6" s="717"/>
      <c r="K6" s="717"/>
      <c r="L6" s="717"/>
      <c r="M6" s="717"/>
      <c r="N6" s="717"/>
      <c r="O6" s="53" t="s">
        <v>20</v>
      </c>
      <c r="P6" s="11"/>
      <c r="Q6" s="11"/>
      <c r="R6" s="11"/>
      <c r="S6" s="11"/>
      <c r="T6" s="11"/>
      <c r="U6" s="11"/>
      <c r="V6" s="11"/>
    </row>
    <row r="7" spans="1:22" ht="33.75" customHeight="1" x14ac:dyDescent="0.25">
      <c r="A7" s="677" t="s">
        <v>222</v>
      </c>
      <c r="B7" s="719"/>
      <c r="C7" s="641" t="s">
        <v>223</v>
      </c>
      <c r="D7" s="641"/>
      <c r="E7" s="641" t="s">
        <v>207</v>
      </c>
      <c r="F7" s="641"/>
      <c r="G7" s="641" t="s">
        <v>13</v>
      </c>
      <c r="H7" s="641"/>
      <c r="I7" s="641" t="s">
        <v>22</v>
      </c>
      <c r="J7" s="641"/>
      <c r="K7" s="641" t="s">
        <v>23</v>
      </c>
      <c r="L7" s="641"/>
      <c r="M7" s="641" t="s">
        <v>18</v>
      </c>
      <c r="N7" s="642"/>
      <c r="O7" s="53" t="s">
        <v>20</v>
      </c>
    </row>
    <row r="8" spans="1:22" ht="41.4" x14ac:dyDescent="0.25">
      <c r="A8" s="678"/>
      <c r="B8" s="720"/>
      <c r="C8" s="222" t="s">
        <v>224</v>
      </c>
      <c r="D8" s="222" t="s">
        <v>225</v>
      </c>
      <c r="E8" s="222" t="s">
        <v>224</v>
      </c>
      <c r="F8" s="222" t="s">
        <v>225</v>
      </c>
      <c r="G8" s="222" t="s">
        <v>224</v>
      </c>
      <c r="H8" s="222" t="s">
        <v>225</v>
      </c>
      <c r="I8" s="222" t="s">
        <v>224</v>
      </c>
      <c r="J8" s="222" t="s">
        <v>225</v>
      </c>
      <c r="K8" s="222" t="s">
        <v>224</v>
      </c>
      <c r="L8" s="222" t="s">
        <v>225</v>
      </c>
      <c r="M8" s="222" t="s">
        <v>224</v>
      </c>
      <c r="N8" s="223" t="s">
        <v>225</v>
      </c>
      <c r="O8" s="53" t="s">
        <v>20</v>
      </c>
    </row>
    <row r="9" spans="1:22" ht="41.4" x14ac:dyDescent="0.25">
      <c r="A9" s="253" t="s">
        <v>226</v>
      </c>
      <c r="B9" s="254" t="s">
        <v>227</v>
      </c>
      <c r="C9" s="255"/>
      <c r="D9" s="255"/>
      <c r="E9" s="255"/>
      <c r="F9" s="255"/>
      <c r="G9" s="255"/>
      <c r="H9" s="255"/>
      <c r="I9" s="255"/>
      <c r="J9" s="255"/>
      <c r="K9" s="255"/>
      <c r="L9" s="255"/>
      <c r="M9" s="255"/>
      <c r="N9" s="256"/>
      <c r="O9" s="53" t="s">
        <v>20</v>
      </c>
    </row>
    <row r="10" spans="1:22" ht="27.6" x14ac:dyDescent="0.25">
      <c r="A10" s="257">
        <v>1.1000000000000001</v>
      </c>
      <c r="B10" s="258" t="s">
        <v>228</v>
      </c>
      <c r="C10" s="208">
        <v>0</v>
      </c>
      <c r="D10" s="259">
        <v>0</v>
      </c>
      <c r="E10" s="208">
        <v>0</v>
      </c>
      <c r="F10" s="208">
        <v>0</v>
      </c>
      <c r="G10" s="208">
        <v>0</v>
      </c>
      <c r="H10" s="208">
        <v>0</v>
      </c>
      <c r="I10" s="208">
        <v>0</v>
      </c>
      <c r="J10" s="208">
        <v>0</v>
      </c>
      <c r="K10" s="208">
        <v>0</v>
      </c>
      <c r="L10" s="208">
        <v>0</v>
      </c>
      <c r="M10" s="208">
        <f>G10+I10+K10</f>
        <v>0</v>
      </c>
      <c r="N10" s="205">
        <f t="shared" ref="N10:N12" si="0">H10+J10+L10</f>
        <v>0</v>
      </c>
      <c r="O10" s="53" t="s">
        <v>20</v>
      </c>
    </row>
    <row r="11" spans="1:22" ht="13.95" x14ac:dyDescent="0.25">
      <c r="A11" s="257">
        <v>1.2</v>
      </c>
      <c r="B11" s="260" t="s">
        <v>229</v>
      </c>
      <c r="C11" s="208">
        <v>0</v>
      </c>
      <c r="D11" s="208">
        <v>0</v>
      </c>
      <c r="E11" s="208">
        <v>0</v>
      </c>
      <c r="F11" s="208">
        <v>0</v>
      </c>
      <c r="G11" s="208">
        <v>0</v>
      </c>
      <c r="H11" s="208">
        <v>0</v>
      </c>
      <c r="I11" s="208">
        <v>0</v>
      </c>
      <c r="J11" s="208">
        <v>0</v>
      </c>
      <c r="K11" s="208">
        <v>0</v>
      </c>
      <c r="L11" s="208">
        <v>0</v>
      </c>
      <c r="M11" s="208">
        <f t="shared" ref="M11:M12" si="1">G11+I11+K11</f>
        <v>0</v>
      </c>
      <c r="N11" s="205">
        <f t="shared" si="0"/>
        <v>0</v>
      </c>
      <c r="O11" s="53" t="s">
        <v>20</v>
      </c>
    </row>
    <row r="12" spans="1:22" ht="13.95" x14ac:dyDescent="0.25">
      <c r="A12" s="257">
        <v>1.3</v>
      </c>
      <c r="B12" s="260" t="s">
        <v>230</v>
      </c>
      <c r="C12" s="208">
        <v>0</v>
      </c>
      <c r="D12" s="208">
        <v>0</v>
      </c>
      <c r="E12" s="208">
        <v>0</v>
      </c>
      <c r="F12" s="208">
        <v>0</v>
      </c>
      <c r="G12" s="208">
        <v>0</v>
      </c>
      <c r="H12" s="208">
        <v>0</v>
      </c>
      <c r="I12" s="208">
        <v>0</v>
      </c>
      <c r="J12" s="208">
        <v>0</v>
      </c>
      <c r="K12" s="208">
        <v>0</v>
      </c>
      <c r="L12" s="208">
        <v>0</v>
      </c>
      <c r="M12" s="208">
        <f t="shared" si="1"/>
        <v>0</v>
      </c>
      <c r="N12" s="205">
        <f t="shared" si="0"/>
        <v>0</v>
      </c>
      <c r="O12" s="53" t="s">
        <v>20</v>
      </c>
    </row>
    <row r="13" spans="1:22" ht="13.95" x14ac:dyDescent="0.25">
      <c r="A13" s="261"/>
      <c r="B13" s="262" t="s">
        <v>231</v>
      </c>
      <c r="C13" s="25">
        <f>SUM(C10:C12)</f>
        <v>0</v>
      </c>
      <c r="D13" s="25">
        <f t="shared" ref="D13:N13" si="2">SUM(D10:D12)</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6">
        <f t="shared" si="2"/>
        <v>0</v>
      </c>
      <c r="O13" s="53" t="s">
        <v>20</v>
      </c>
    </row>
    <row r="14" spans="1:22" ht="27.6" x14ac:dyDescent="0.25">
      <c r="A14" s="253" t="s">
        <v>232</v>
      </c>
      <c r="B14" s="254" t="s">
        <v>233</v>
      </c>
      <c r="C14" s="255"/>
      <c r="D14" s="255"/>
      <c r="E14" s="255"/>
      <c r="F14" s="255"/>
      <c r="G14" s="255"/>
      <c r="H14" s="255"/>
      <c r="I14" s="255"/>
      <c r="J14" s="255"/>
      <c r="K14" s="255"/>
      <c r="L14" s="255"/>
      <c r="M14" s="255"/>
      <c r="N14" s="256"/>
      <c r="O14" s="53" t="s">
        <v>20</v>
      </c>
    </row>
    <row r="15" spans="1:22" ht="13.95" x14ac:dyDescent="0.25">
      <c r="A15" s="257">
        <v>2.1</v>
      </c>
      <c r="B15" s="258" t="s">
        <v>234</v>
      </c>
      <c r="C15" s="208">
        <v>0</v>
      </c>
      <c r="D15" s="208">
        <v>0</v>
      </c>
      <c r="E15" s="208">
        <v>0</v>
      </c>
      <c r="F15" s="208">
        <v>0</v>
      </c>
      <c r="G15" s="208">
        <v>0</v>
      </c>
      <c r="H15" s="208">
        <v>0</v>
      </c>
      <c r="I15" s="208">
        <v>0</v>
      </c>
      <c r="J15" s="208">
        <v>0</v>
      </c>
      <c r="K15" s="208">
        <v>0</v>
      </c>
      <c r="L15" s="208">
        <v>0</v>
      </c>
      <c r="M15" s="208">
        <f>G15+I15+K15</f>
        <v>0</v>
      </c>
      <c r="N15" s="205">
        <f t="shared" ref="N15:N20" si="3">H15+J15+L15</f>
        <v>0</v>
      </c>
      <c r="O15" s="53" t="s">
        <v>20</v>
      </c>
    </row>
    <row r="16" spans="1:22" ht="13.95" x14ac:dyDescent="0.25">
      <c r="A16" s="257">
        <v>2.2000000000000002</v>
      </c>
      <c r="B16" s="260" t="s">
        <v>235</v>
      </c>
      <c r="C16" s="208">
        <v>0</v>
      </c>
      <c r="D16" s="208">
        <v>0</v>
      </c>
      <c r="E16" s="208">
        <v>0</v>
      </c>
      <c r="F16" s="208">
        <v>0</v>
      </c>
      <c r="G16" s="208">
        <v>0</v>
      </c>
      <c r="H16" s="208">
        <v>0</v>
      </c>
      <c r="I16" s="208">
        <v>0</v>
      </c>
      <c r="J16" s="208">
        <v>0</v>
      </c>
      <c r="K16" s="208">
        <v>0</v>
      </c>
      <c r="L16" s="208">
        <v>0</v>
      </c>
      <c r="M16" s="208">
        <f t="shared" ref="M16:M20" si="4">G16+I16+K16</f>
        <v>0</v>
      </c>
      <c r="N16" s="205">
        <f t="shared" si="3"/>
        <v>0</v>
      </c>
      <c r="O16" s="53" t="s">
        <v>20</v>
      </c>
    </row>
    <row r="17" spans="1:15" ht="13.95" x14ac:dyDescent="0.25">
      <c r="A17" s="257">
        <v>2.2999999999999998</v>
      </c>
      <c r="B17" s="260" t="s">
        <v>236</v>
      </c>
      <c r="C17" s="208">
        <v>0</v>
      </c>
      <c r="D17" s="208">
        <v>0</v>
      </c>
      <c r="E17" s="208">
        <v>0</v>
      </c>
      <c r="F17" s="208">
        <v>0</v>
      </c>
      <c r="G17" s="208">
        <v>0</v>
      </c>
      <c r="H17" s="208">
        <v>0</v>
      </c>
      <c r="I17" s="208">
        <v>0</v>
      </c>
      <c r="J17" s="208">
        <v>0</v>
      </c>
      <c r="K17" s="208">
        <v>0</v>
      </c>
      <c r="L17" s="208">
        <v>0</v>
      </c>
      <c r="M17" s="208">
        <f t="shared" si="4"/>
        <v>0</v>
      </c>
      <c r="N17" s="205">
        <f t="shared" si="3"/>
        <v>0</v>
      </c>
      <c r="O17" s="53" t="s">
        <v>20</v>
      </c>
    </row>
    <row r="18" spans="1:15" ht="27.6" x14ac:dyDescent="0.25">
      <c r="A18" s="257">
        <v>2.4</v>
      </c>
      <c r="B18" s="258" t="s">
        <v>237</v>
      </c>
      <c r="C18" s="208">
        <v>0</v>
      </c>
      <c r="D18" s="208">
        <v>0</v>
      </c>
      <c r="E18" s="208">
        <v>0</v>
      </c>
      <c r="F18" s="208">
        <v>0</v>
      </c>
      <c r="G18" s="208">
        <v>0</v>
      </c>
      <c r="H18" s="208">
        <v>0</v>
      </c>
      <c r="I18" s="208">
        <v>0</v>
      </c>
      <c r="J18" s="208">
        <v>0</v>
      </c>
      <c r="K18" s="208">
        <v>0</v>
      </c>
      <c r="L18" s="208">
        <v>0</v>
      </c>
      <c r="M18" s="208">
        <f t="shared" si="4"/>
        <v>0</v>
      </c>
      <c r="N18" s="205">
        <f t="shared" si="3"/>
        <v>0</v>
      </c>
      <c r="O18" s="53" t="s">
        <v>20</v>
      </c>
    </row>
    <row r="19" spans="1:15" ht="13.95" x14ac:dyDescent="0.25">
      <c r="A19" s="257">
        <v>2.5</v>
      </c>
      <c r="B19" s="260" t="s">
        <v>238</v>
      </c>
      <c r="C19" s="208">
        <v>0</v>
      </c>
      <c r="D19" s="208">
        <v>0</v>
      </c>
      <c r="E19" s="208">
        <v>0</v>
      </c>
      <c r="F19" s="208">
        <v>0</v>
      </c>
      <c r="G19" s="208">
        <v>0</v>
      </c>
      <c r="H19" s="208">
        <v>0</v>
      </c>
      <c r="I19" s="208">
        <v>0</v>
      </c>
      <c r="J19" s="208">
        <v>0</v>
      </c>
      <c r="K19" s="208">
        <v>0</v>
      </c>
      <c r="L19" s="208">
        <v>0</v>
      </c>
      <c r="M19" s="208">
        <f t="shared" si="4"/>
        <v>0</v>
      </c>
      <c r="N19" s="205">
        <f t="shared" si="3"/>
        <v>0</v>
      </c>
      <c r="O19" s="53" t="s">
        <v>20</v>
      </c>
    </row>
    <row r="20" spans="1:15" ht="13.95" x14ac:dyDescent="0.25">
      <c r="A20" s="257">
        <v>2.6</v>
      </c>
      <c r="B20" s="260" t="s">
        <v>441</v>
      </c>
      <c r="C20" s="208">
        <v>0</v>
      </c>
      <c r="D20" s="208">
        <v>0</v>
      </c>
      <c r="E20" s="208">
        <v>0</v>
      </c>
      <c r="F20" s="208">
        <v>0</v>
      </c>
      <c r="G20" s="208">
        <v>0</v>
      </c>
      <c r="H20" s="208">
        <v>0</v>
      </c>
      <c r="I20" s="208">
        <v>0</v>
      </c>
      <c r="J20" s="208">
        <v>0</v>
      </c>
      <c r="K20" s="208">
        <v>0</v>
      </c>
      <c r="L20" s="208">
        <v>0</v>
      </c>
      <c r="M20" s="208">
        <f t="shared" si="4"/>
        <v>0</v>
      </c>
      <c r="N20" s="205">
        <f t="shared" si="3"/>
        <v>0</v>
      </c>
      <c r="O20" s="53" t="s">
        <v>20</v>
      </c>
    </row>
    <row r="21" spans="1:15" ht="13.95" x14ac:dyDescent="0.25">
      <c r="A21" s="261"/>
      <c r="B21" s="262" t="s">
        <v>239</v>
      </c>
      <c r="C21" s="25">
        <f t="shared" ref="C21:M21" si="5">SUM(C15:C20)</f>
        <v>0</v>
      </c>
      <c r="D21" s="25">
        <f t="shared" si="5"/>
        <v>0</v>
      </c>
      <c r="E21" s="25">
        <f t="shared" si="5"/>
        <v>0</v>
      </c>
      <c r="F21" s="25">
        <f t="shared" si="5"/>
        <v>0</v>
      </c>
      <c r="G21" s="25">
        <f t="shared" si="5"/>
        <v>0</v>
      </c>
      <c r="H21" s="25">
        <f t="shared" si="5"/>
        <v>0</v>
      </c>
      <c r="I21" s="25">
        <f t="shared" si="5"/>
        <v>0</v>
      </c>
      <c r="J21" s="25">
        <f t="shared" si="5"/>
        <v>0</v>
      </c>
      <c r="K21" s="25">
        <f t="shared" si="5"/>
        <v>0</v>
      </c>
      <c r="L21" s="25">
        <f t="shared" si="5"/>
        <v>0</v>
      </c>
      <c r="M21" s="25">
        <f t="shared" si="5"/>
        <v>0</v>
      </c>
      <c r="N21" s="26">
        <f>SUM(N15:N20)</f>
        <v>0</v>
      </c>
      <c r="O21" s="53" t="s">
        <v>20</v>
      </c>
    </row>
    <row r="22" spans="1:15" ht="41.4" x14ac:dyDescent="0.25">
      <c r="A22" s="253" t="s">
        <v>240</v>
      </c>
      <c r="B22" s="254" t="s">
        <v>241</v>
      </c>
      <c r="C22" s="255"/>
      <c r="D22" s="255"/>
      <c r="E22" s="255"/>
      <c r="F22" s="255"/>
      <c r="G22" s="255"/>
      <c r="H22" s="255"/>
      <c r="I22" s="255"/>
      <c r="J22" s="255"/>
      <c r="K22" s="255"/>
      <c r="L22" s="255"/>
      <c r="M22" s="255"/>
      <c r="N22" s="256"/>
      <c r="O22" s="53" t="s">
        <v>20</v>
      </c>
    </row>
    <row r="23" spans="1:15" ht="41.4" x14ac:dyDescent="0.25">
      <c r="A23" s="257">
        <v>3.1</v>
      </c>
      <c r="B23" s="258" t="s">
        <v>242</v>
      </c>
      <c r="C23" s="208">
        <v>0</v>
      </c>
      <c r="D23" s="208">
        <v>100300</v>
      </c>
      <c r="E23" s="208">
        <v>0</v>
      </c>
      <c r="F23" s="208">
        <v>78400</v>
      </c>
      <c r="G23" s="208">
        <v>0</v>
      </c>
      <c r="H23" s="208">
        <v>78300</v>
      </c>
      <c r="I23" s="208">
        <v>0</v>
      </c>
      <c r="J23" s="208">
        <v>3000</v>
      </c>
      <c r="K23" s="208">
        <v>0</v>
      </c>
      <c r="L23" s="208">
        <v>0</v>
      </c>
      <c r="M23" s="208">
        <f t="shared" ref="M23:N26" si="6">G23+I23+K23</f>
        <v>0</v>
      </c>
      <c r="N23" s="205">
        <f t="shared" si="6"/>
        <v>81300</v>
      </c>
      <c r="O23" s="53" t="s">
        <v>20</v>
      </c>
    </row>
    <row r="24" spans="1:15" ht="41.4" x14ac:dyDescent="0.25">
      <c r="A24" s="257">
        <v>3.2</v>
      </c>
      <c r="B24" s="258" t="s">
        <v>243</v>
      </c>
      <c r="C24" s="208">
        <v>0</v>
      </c>
      <c r="D24" s="208">
        <v>0</v>
      </c>
      <c r="E24" s="208">
        <v>0</v>
      </c>
      <c r="F24" s="208">
        <v>0</v>
      </c>
      <c r="G24" s="208">
        <v>0</v>
      </c>
      <c r="H24" s="208">
        <v>0</v>
      </c>
      <c r="I24" s="208">
        <v>0</v>
      </c>
      <c r="J24" s="208">
        <v>0</v>
      </c>
      <c r="K24" s="208">
        <v>0</v>
      </c>
      <c r="L24" s="208">
        <v>0</v>
      </c>
      <c r="M24" s="208">
        <f t="shared" si="6"/>
        <v>0</v>
      </c>
      <c r="N24" s="205">
        <f t="shared" si="6"/>
        <v>0</v>
      </c>
      <c r="O24" s="53" t="s">
        <v>20</v>
      </c>
    </row>
    <row r="25" spans="1:15" ht="41.4" x14ac:dyDescent="0.25">
      <c r="A25" s="257">
        <v>3.3</v>
      </c>
      <c r="B25" s="258" t="s">
        <v>244</v>
      </c>
      <c r="C25" s="208">
        <v>0</v>
      </c>
      <c r="D25" s="208">
        <v>0</v>
      </c>
      <c r="E25" s="208">
        <v>0</v>
      </c>
      <c r="F25" s="208">
        <v>0</v>
      </c>
      <c r="G25" s="208">
        <v>0</v>
      </c>
      <c r="H25" s="208">
        <v>0</v>
      </c>
      <c r="I25" s="208">
        <v>0</v>
      </c>
      <c r="J25" s="208">
        <v>0</v>
      </c>
      <c r="K25" s="208">
        <v>0</v>
      </c>
      <c r="L25" s="208">
        <v>0</v>
      </c>
      <c r="M25" s="208">
        <f t="shared" si="6"/>
        <v>0</v>
      </c>
      <c r="N25" s="205">
        <f t="shared" si="6"/>
        <v>0</v>
      </c>
      <c r="O25" s="53" t="s">
        <v>20</v>
      </c>
    </row>
    <row r="26" spans="1:15" ht="27.6" x14ac:dyDescent="0.25">
      <c r="A26" s="257">
        <v>3.4</v>
      </c>
      <c r="B26" s="258" t="s">
        <v>245</v>
      </c>
      <c r="C26" s="208">
        <v>0</v>
      </c>
      <c r="D26" s="208">
        <v>0</v>
      </c>
      <c r="E26" s="208">
        <v>0</v>
      </c>
      <c r="F26" s="208">
        <v>0</v>
      </c>
      <c r="G26" s="208">
        <v>0</v>
      </c>
      <c r="H26" s="208">
        <v>0</v>
      </c>
      <c r="I26" s="208">
        <v>0</v>
      </c>
      <c r="J26" s="208">
        <v>0</v>
      </c>
      <c r="K26" s="208">
        <v>0</v>
      </c>
      <c r="L26" s="208">
        <v>0</v>
      </c>
      <c r="M26" s="208">
        <f t="shared" si="6"/>
        <v>0</v>
      </c>
      <c r="N26" s="205">
        <f t="shared" si="6"/>
        <v>0</v>
      </c>
      <c r="O26" s="53" t="s">
        <v>20</v>
      </c>
    </row>
    <row r="27" spans="1:15" x14ac:dyDescent="0.25">
      <c r="A27" s="261"/>
      <c r="B27" s="263" t="s">
        <v>246</v>
      </c>
      <c r="C27" s="25">
        <f>SUM(C23:C26)</f>
        <v>0</v>
      </c>
      <c r="D27" s="25">
        <f t="shared" ref="D27:N27" si="7">SUM(D23:D26)</f>
        <v>100300</v>
      </c>
      <c r="E27" s="25">
        <f t="shared" si="7"/>
        <v>0</v>
      </c>
      <c r="F27" s="25">
        <f t="shared" si="7"/>
        <v>78400</v>
      </c>
      <c r="G27" s="25">
        <f t="shared" si="7"/>
        <v>0</v>
      </c>
      <c r="H27" s="25">
        <f t="shared" si="7"/>
        <v>78300</v>
      </c>
      <c r="I27" s="25">
        <f t="shared" si="7"/>
        <v>0</v>
      </c>
      <c r="J27" s="25">
        <f t="shared" si="7"/>
        <v>3000</v>
      </c>
      <c r="K27" s="25">
        <f t="shared" si="7"/>
        <v>0</v>
      </c>
      <c r="L27" s="25">
        <f t="shared" si="7"/>
        <v>0</v>
      </c>
      <c r="M27" s="25">
        <f t="shared" si="7"/>
        <v>0</v>
      </c>
      <c r="N27" s="26">
        <f t="shared" si="7"/>
        <v>81300</v>
      </c>
      <c r="O27" s="53" t="s">
        <v>20</v>
      </c>
    </row>
    <row r="28" spans="1:15" ht="14.4" thickBot="1" x14ac:dyDescent="0.3">
      <c r="A28" s="264"/>
      <c r="B28" s="265" t="s">
        <v>247</v>
      </c>
      <c r="C28" s="244">
        <f>C27+C21+C13</f>
        <v>0</v>
      </c>
      <c r="D28" s="244">
        <f t="shared" ref="D28:N28" si="8">D27+D21+D13</f>
        <v>100300</v>
      </c>
      <c r="E28" s="244">
        <f t="shared" si="8"/>
        <v>0</v>
      </c>
      <c r="F28" s="244">
        <f t="shared" si="8"/>
        <v>78400</v>
      </c>
      <c r="G28" s="244">
        <f t="shared" si="8"/>
        <v>0</v>
      </c>
      <c r="H28" s="244">
        <f t="shared" si="8"/>
        <v>78300</v>
      </c>
      <c r="I28" s="244">
        <f t="shared" si="8"/>
        <v>0</v>
      </c>
      <c r="J28" s="244">
        <f t="shared" si="8"/>
        <v>3000</v>
      </c>
      <c r="K28" s="244">
        <f t="shared" si="8"/>
        <v>0</v>
      </c>
      <c r="L28" s="244">
        <f t="shared" si="8"/>
        <v>0</v>
      </c>
      <c r="M28" s="244">
        <f t="shared" si="8"/>
        <v>0</v>
      </c>
      <c r="N28" s="266">
        <f t="shared" si="8"/>
        <v>81300</v>
      </c>
      <c r="O28" s="53" t="s">
        <v>20</v>
      </c>
    </row>
    <row r="29" spans="1:15" x14ac:dyDescent="0.25">
      <c r="O29" s="53" t="s">
        <v>20</v>
      </c>
    </row>
    <row r="30" spans="1:15" x14ac:dyDescent="0.25">
      <c r="A30" s="718" t="s">
        <v>248</v>
      </c>
      <c r="B30" s="718"/>
      <c r="C30" s="718"/>
      <c r="D30" s="718"/>
      <c r="E30" s="718"/>
      <c r="F30" s="718"/>
      <c r="G30" s="718"/>
      <c r="H30" s="718"/>
      <c r="I30" s="718"/>
      <c r="J30" s="718"/>
      <c r="K30" s="718"/>
      <c r="L30" s="718"/>
      <c r="M30" s="718"/>
      <c r="N30" s="718"/>
      <c r="O30" s="53" t="s">
        <v>20</v>
      </c>
    </row>
    <row r="31" spans="1:15" x14ac:dyDescent="0.25">
      <c r="O31" s="53" t="s">
        <v>21</v>
      </c>
    </row>
    <row r="32" spans="1:15" x14ac:dyDescent="0.25">
      <c r="A32" s="328" t="s">
        <v>432</v>
      </c>
    </row>
  </sheetData>
  <customSheetViews>
    <customSheetView guid="{5B2D5037-506A-47D5-AF28-C337BC9133BD}" scale="80" showPageBreaks="1" printArea="1" view="pageBreakPreview" topLeftCell="A16">
      <selection activeCell="F24" sqref="F24"/>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08380F1E-0CB7-4B3B-924E-2A270EA8DD30}" scale="80" showPageBreaks="1" printArea="1" view="pageBreakPreview" topLeftCell="A16">
      <selection activeCell="F24" sqref="F24"/>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D19943A8-2C2A-430A-A724-8C7C332697C8}" scale="80" showPageBreaks="1" printArea="1" view="pageBreakPreview" topLeftCell="A16">
      <selection activeCell="F24" sqref="F24"/>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 guid="{C6D68C6D-939C-4DFA-9385-A3F05DFB5EDA}" scale="80" showPageBreaks="1" printArea="1" view="pageBreakPreview" topLeftCell="A16">
      <selection activeCell="F24" sqref="F24"/>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Objective&amp;R&amp;"Arial,Regular"Public Safety Officers' Benefits</oddFooter>
      </headerFooter>
    </customSheetView>
  </customSheetViews>
  <mergeCells count="14">
    <mergeCell ref="M7:N7"/>
    <mergeCell ref="A30:N30"/>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5"/>
  <headerFooter>
    <oddHeader>&amp;L&amp;"Arial,Bold"&amp;12D. Resources by DOJ Strategic Goal and Strategic Objective</oddHeader>
    <oddFooter>&amp;C&amp;"Arial,Regular"Exhibit D - Resources by DOJ Strategic Goal and Strategic Objective&amp;R&amp;"Arial,Regular"Public Safety Officers' Benefits</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BreakPreview" zoomScale="80" zoomScaleNormal="100" zoomScaleSheetLayoutView="80" workbookViewId="0">
      <selection activeCell="N49" sqref="N49"/>
    </sheetView>
  </sheetViews>
  <sheetFormatPr defaultColWidth="9.109375" defaultRowHeight="13.8" x14ac:dyDescent="0.25"/>
  <cols>
    <col min="1" max="1" width="44.109375" style="178" customWidth="1"/>
    <col min="2" max="3" width="8.33203125" style="178" customWidth="1"/>
    <col min="4" max="4" width="12.6640625" style="178" customWidth="1"/>
    <col min="5" max="5" width="7.109375" style="178" customWidth="1"/>
    <col min="6" max="6" width="8.6640625" style="178" customWidth="1"/>
    <col min="7" max="7" width="12.6640625" style="178" customWidth="1"/>
    <col min="8" max="9" width="8.33203125" style="178" customWidth="1"/>
    <col min="10" max="12" width="12.6640625" style="178" customWidth="1"/>
    <col min="13" max="14" width="8.33203125" style="178" customWidth="1"/>
    <col min="15" max="15" width="12.6640625" style="178" customWidth="1"/>
    <col min="16" max="16" width="14" style="7" bestFit="1" customWidth="1"/>
    <col min="17" max="17" width="4.5546875" style="178" customWidth="1"/>
    <col min="18" max="19" width="8.33203125" style="178" customWidth="1"/>
    <col min="20" max="20" width="12.6640625" style="178" customWidth="1"/>
    <col min="21" max="22" width="8.33203125" style="178" customWidth="1"/>
    <col min="23" max="23" width="12.6640625" style="178" customWidth="1"/>
    <col min="24" max="16384" width="9.109375" style="178"/>
  </cols>
  <sheetData>
    <row r="1" spans="1:23" ht="18" x14ac:dyDescent="0.25">
      <c r="A1" s="633" t="s">
        <v>39</v>
      </c>
      <c r="B1" s="633"/>
      <c r="C1" s="633"/>
      <c r="D1" s="633"/>
      <c r="E1" s="633"/>
      <c r="F1" s="633"/>
      <c r="G1" s="633"/>
      <c r="H1" s="633"/>
      <c r="I1" s="633"/>
      <c r="J1" s="633"/>
      <c r="K1" s="633"/>
      <c r="L1" s="633"/>
      <c r="M1" s="633"/>
      <c r="N1" s="633"/>
      <c r="O1" s="633"/>
      <c r="P1" s="53" t="s">
        <v>20</v>
      </c>
      <c r="Q1" s="9"/>
      <c r="R1" s="9"/>
      <c r="S1" s="9"/>
      <c r="T1" s="9"/>
      <c r="U1" s="9"/>
      <c r="V1" s="9"/>
      <c r="W1" s="9"/>
    </row>
    <row r="2" spans="1:23" ht="15" x14ac:dyDescent="0.2">
      <c r="A2" s="634" t="s">
        <v>160</v>
      </c>
      <c r="B2" s="634"/>
      <c r="C2" s="634"/>
      <c r="D2" s="634"/>
      <c r="E2" s="634"/>
      <c r="F2" s="634"/>
      <c r="G2" s="634"/>
      <c r="H2" s="634"/>
      <c r="I2" s="634"/>
      <c r="J2" s="634"/>
      <c r="K2" s="634"/>
      <c r="L2" s="634"/>
      <c r="M2" s="634"/>
      <c r="N2" s="634"/>
      <c r="O2" s="634"/>
      <c r="P2" s="53" t="s">
        <v>20</v>
      </c>
      <c r="Q2" s="10"/>
      <c r="R2" s="10"/>
      <c r="S2" s="10"/>
      <c r="T2" s="10"/>
      <c r="U2" s="10"/>
      <c r="V2" s="10"/>
      <c r="W2" s="10"/>
    </row>
    <row r="3" spans="1:23" ht="14.25" x14ac:dyDescent="0.2">
      <c r="A3" s="635" t="s">
        <v>421</v>
      </c>
      <c r="B3" s="635"/>
      <c r="C3" s="635"/>
      <c r="D3" s="635"/>
      <c r="E3" s="635"/>
      <c r="F3" s="635"/>
      <c r="G3" s="635"/>
      <c r="H3" s="635"/>
      <c r="I3" s="635"/>
      <c r="J3" s="635"/>
      <c r="K3" s="635"/>
      <c r="L3" s="635"/>
      <c r="M3" s="635"/>
      <c r="N3" s="635"/>
      <c r="O3" s="635"/>
      <c r="P3" s="53" t="s">
        <v>20</v>
      </c>
      <c r="Q3" s="221"/>
      <c r="R3" s="221"/>
      <c r="S3" s="221"/>
      <c r="T3" s="221"/>
      <c r="U3" s="221"/>
      <c r="V3" s="221"/>
      <c r="W3" s="221"/>
    </row>
    <row r="4" spans="1:23" ht="14.25" x14ac:dyDescent="0.2">
      <c r="A4" s="637" t="s">
        <v>1</v>
      </c>
      <c r="B4" s="637"/>
      <c r="C4" s="637"/>
      <c r="D4" s="637"/>
      <c r="E4" s="637"/>
      <c r="F4" s="637"/>
      <c r="G4" s="637"/>
      <c r="H4" s="637"/>
      <c r="I4" s="637"/>
      <c r="J4" s="637"/>
      <c r="K4" s="637"/>
      <c r="L4" s="637"/>
      <c r="M4" s="637"/>
      <c r="N4" s="637"/>
      <c r="O4" s="637"/>
      <c r="P4" s="53" t="s">
        <v>20</v>
      </c>
      <c r="Q4" s="11"/>
      <c r="R4" s="11"/>
      <c r="S4" s="11"/>
      <c r="T4" s="11"/>
      <c r="U4" s="11"/>
      <c r="V4" s="11"/>
      <c r="W4" s="11"/>
    </row>
    <row r="5" spans="1:23" ht="14.25" x14ac:dyDescent="0.2">
      <c r="A5" s="11"/>
      <c r="B5" s="11"/>
      <c r="C5" s="11"/>
      <c r="D5" s="11"/>
      <c r="E5" s="11"/>
      <c r="F5" s="11"/>
      <c r="G5" s="11"/>
      <c r="H5" s="11"/>
      <c r="I5" s="11"/>
      <c r="J5" s="11"/>
      <c r="K5" s="11"/>
      <c r="L5" s="11"/>
      <c r="M5" s="11"/>
      <c r="N5" s="11"/>
      <c r="O5" s="11"/>
      <c r="P5" s="53" t="s">
        <v>20</v>
      </c>
      <c r="Q5" s="11"/>
      <c r="R5" s="11"/>
      <c r="S5" s="11"/>
      <c r="T5" s="11"/>
      <c r="U5" s="11"/>
      <c r="V5" s="11"/>
      <c r="W5" s="11"/>
    </row>
    <row r="6" spans="1:23" ht="15" thickBot="1" x14ac:dyDescent="0.25">
      <c r="A6" s="52"/>
      <c r="B6" s="52"/>
      <c r="C6" s="52"/>
      <c r="D6" s="52"/>
      <c r="E6" s="52"/>
      <c r="F6" s="52"/>
      <c r="G6" s="52"/>
      <c r="H6" s="52"/>
      <c r="I6" s="52"/>
      <c r="J6" s="52"/>
      <c r="K6" s="52"/>
      <c r="L6" s="52"/>
      <c r="M6" s="52"/>
      <c r="N6" s="52"/>
      <c r="O6" s="52"/>
      <c r="P6" s="53" t="s">
        <v>20</v>
      </c>
      <c r="Q6" s="11"/>
      <c r="R6" s="11"/>
      <c r="S6" s="11"/>
      <c r="T6" s="11"/>
      <c r="U6" s="11"/>
      <c r="V6" s="11"/>
      <c r="W6" s="11"/>
    </row>
    <row r="7" spans="1:23" ht="33.75" customHeight="1" x14ac:dyDescent="0.25">
      <c r="A7" s="638" t="s">
        <v>134</v>
      </c>
      <c r="B7" s="641" t="s">
        <v>159</v>
      </c>
      <c r="C7" s="641"/>
      <c r="D7" s="641"/>
      <c r="E7" s="641" t="s">
        <v>130</v>
      </c>
      <c r="F7" s="670"/>
      <c r="G7" s="671"/>
      <c r="H7" s="641" t="s">
        <v>40</v>
      </c>
      <c r="I7" s="641"/>
      <c r="J7" s="641"/>
      <c r="K7" s="192" t="s">
        <v>41</v>
      </c>
      <c r="L7" s="192" t="s">
        <v>139</v>
      </c>
      <c r="M7" s="641" t="s">
        <v>45</v>
      </c>
      <c r="N7" s="641"/>
      <c r="O7" s="642"/>
      <c r="P7" s="53" t="s">
        <v>20</v>
      </c>
    </row>
    <row r="8" spans="1:23" ht="27.6" x14ac:dyDescent="0.25">
      <c r="A8" s="639"/>
      <c r="B8" s="222" t="s">
        <v>3</v>
      </c>
      <c r="C8" s="222" t="s">
        <v>128</v>
      </c>
      <c r="D8" s="222" t="s">
        <v>4</v>
      </c>
      <c r="E8" s="222" t="s">
        <v>3</v>
      </c>
      <c r="F8" s="222" t="s">
        <v>128</v>
      </c>
      <c r="G8" s="222" t="s">
        <v>4</v>
      </c>
      <c r="H8" s="222" t="s">
        <v>3</v>
      </c>
      <c r="I8" s="222" t="s">
        <v>128</v>
      </c>
      <c r="J8" s="222" t="s">
        <v>4</v>
      </c>
      <c r="K8" s="222" t="s">
        <v>4</v>
      </c>
      <c r="L8" s="222" t="s">
        <v>4</v>
      </c>
      <c r="M8" s="222" t="s">
        <v>3</v>
      </c>
      <c r="N8" s="222" t="s">
        <v>128</v>
      </c>
      <c r="O8" s="223" t="s">
        <v>4</v>
      </c>
      <c r="P8" s="53" t="s">
        <v>20</v>
      </c>
    </row>
    <row r="9" spans="1:23" x14ac:dyDescent="0.25">
      <c r="A9" s="184" t="s">
        <v>423</v>
      </c>
      <c r="B9" s="225">
        <v>0</v>
      </c>
      <c r="C9" s="225">
        <v>0</v>
      </c>
      <c r="D9" s="225">
        <v>84000</v>
      </c>
      <c r="E9" s="225">
        <v>0</v>
      </c>
      <c r="F9" s="225">
        <v>0</v>
      </c>
      <c r="G9" s="225">
        <v>0</v>
      </c>
      <c r="H9" s="225">
        <v>0</v>
      </c>
      <c r="I9" s="225">
        <v>0</v>
      </c>
      <c r="J9" s="225">
        <v>0</v>
      </c>
      <c r="K9" s="225">
        <v>2049</v>
      </c>
      <c r="L9" s="225">
        <v>399</v>
      </c>
      <c r="M9" s="225">
        <f t="shared" ref="M9:N10" si="0">B9+H9</f>
        <v>0</v>
      </c>
      <c r="N9" s="225">
        <f t="shared" si="0"/>
        <v>0</v>
      </c>
      <c r="O9" s="226">
        <f>D9+J9+K9+L9+G9</f>
        <v>86448</v>
      </c>
      <c r="P9" s="53" t="s">
        <v>20</v>
      </c>
    </row>
    <row r="10" spans="1:23" x14ac:dyDescent="0.25">
      <c r="A10" s="195" t="s">
        <v>424</v>
      </c>
      <c r="B10" s="208">
        <v>0</v>
      </c>
      <c r="C10" s="208">
        <v>0</v>
      </c>
      <c r="D10" s="208">
        <v>16300</v>
      </c>
      <c r="E10" s="208">
        <v>0</v>
      </c>
      <c r="F10" s="208">
        <v>0</v>
      </c>
      <c r="G10" s="290">
        <v>-40</v>
      </c>
      <c r="H10" s="208">
        <v>0</v>
      </c>
      <c r="I10" s="208">
        <v>0</v>
      </c>
      <c r="J10" s="208">
        <v>0</v>
      </c>
      <c r="K10" s="208">
        <v>2279</v>
      </c>
      <c r="L10" s="208">
        <v>14</v>
      </c>
      <c r="M10" s="208">
        <f t="shared" si="0"/>
        <v>0</v>
      </c>
      <c r="N10" s="208">
        <f t="shared" si="0"/>
        <v>0</v>
      </c>
      <c r="O10" s="205">
        <f>D10+J10+K10+L10+G10</f>
        <v>18553</v>
      </c>
      <c r="P10" s="53" t="s">
        <v>20</v>
      </c>
    </row>
    <row r="11" spans="1:23" x14ac:dyDescent="0.25">
      <c r="A11" s="16" t="s">
        <v>131</v>
      </c>
      <c r="B11" s="143">
        <f t="shared" ref="B11:O11" si="1">SUM(B9:B10)</f>
        <v>0</v>
      </c>
      <c r="C11" s="143">
        <f t="shared" si="1"/>
        <v>0</v>
      </c>
      <c r="D11" s="143">
        <f t="shared" si="1"/>
        <v>100300</v>
      </c>
      <c r="E11" s="143">
        <f t="shared" si="1"/>
        <v>0</v>
      </c>
      <c r="F11" s="143">
        <f t="shared" si="1"/>
        <v>0</v>
      </c>
      <c r="G11" s="194">
        <f t="shared" si="1"/>
        <v>-40</v>
      </c>
      <c r="H11" s="143">
        <f t="shared" si="1"/>
        <v>0</v>
      </c>
      <c r="I11" s="143">
        <f t="shared" si="1"/>
        <v>0</v>
      </c>
      <c r="J11" s="143">
        <f t="shared" si="1"/>
        <v>0</v>
      </c>
      <c r="K11" s="143">
        <f t="shared" si="1"/>
        <v>4328</v>
      </c>
      <c r="L11" s="143">
        <f t="shared" si="1"/>
        <v>413</v>
      </c>
      <c r="M11" s="143">
        <f t="shared" si="1"/>
        <v>0</v>
      </c>
      <c r="N11" s="143">
        <f t="shared" si="1"/>
        <v>0</v>
      </c>
      <c r="O11" s="144">
        <f t="shared" si="1"/>
        <v>105001</v>
      </c>
      <c r="P11" s="53" t="s">
        <v>20</v>
      </c>
    </row>
    <row r="12" spans="1:23" x14ac:dyDescent="0.25">
      <c r="A12" s="198" t="s">
        <v>26</v>
      </c>
      <c r="B12" s="234"/>
      <c r="C12" s="234">
        <v>0</v>
      </c>
      <c r="D12" s="234"/>
      <c r="E12" s="234"/>
      <c r="F12" s="234">
        <v>0</v>
      </c>
      <c r="G12" s="234"/>
      <c r="H12" s="234"/>
      <c r="I12" s="234">
        <v>0</v>
      </c>
      <c r="J12" s="234"/>
      <c r="K12" s="234"/>
      <c r="L12" s="234"/>
      <c r="M12" s="234"/>
      <c r="N12" s="234">
        <f>C12+I12+F12</f>
        <v>0</v>
      </c>
      <c r="O12" s="235"/>
      <c r="P12" s="53" t="s">
        <v>20</v>
      </c>
    </row>
    <row r="13" spans="1:23" x14ac:dyDescent="0.25">
      <c r="A13" s="195" t="s">
        <v>132</v>
      </c>
      <c r="B13" s="208"/>
      <c r="C13" s="208">
        <f>C11+C12</f>
        <v>0</v>
      </c>
      <c r="D13" s="208"/>
      <c r="E13" s="208"/>
      <c r="F13" s="208">
        <f>F11+F12</f>
        <v>0</v>
      </c>
      <c r="G13" s="208"/>
      <c r="H13" s="208"/>
      <c r="I13" s="208">
        <f>I11+I12</f>
        <v>0</v>
      </c>
      <c r="J13" s="208"/>
      <c r="K13" s="208"/>
      <c r="L13" s="208"/>
      <c r="M13" s="208"/>
      <c r="N13" s="234">
        <f>N11+N12</f>
        <v>0</v>
      </c>
      <c r="O13" s="205"/>
      <c r="P13" s="53" t="s">
        <v>20</v>
      </c>
    </row>
    <row r="14" spans="1:23" x14ac:dyDescent="0.25">
      <c r="A14" s="195"/>
      <c r="B14" s="208"/>
      <c r="C14" s="208"/>
      <c r="D14" s="208"/>
      <c r="E14" s="208"/>
      <c r="F14" s="208"/>
      <c r="G14" s="208"/>
      <c r="H14" s="208"/>
      <c r="I14" s="208"/>
      <c r="J14" s="208"/>
      <c r="K14" s="208"/>
      <c r="L14" s="208"/>
      <c r="M14" s="208"/>
      <c r="N14" s="208"/>
      <c r="O14" s="205"/>
      <c r="P14" s="53" t="s">
        <v>20</v>
      </c>
    </row>
    <row r="15" spans="1:23" x14ac:dyDescent="0.25">
      <c r="A15" s="195" t="s">
        <v>27</v>
      </c>
      <c r="B15" s="208"/>
      <c r="C15" s="208"/>
      <c r="D15" s="208"/>
      <c r="E15" s="208"/>
      <c r="F15" s="208"/>
      <c r="G15" s="208"/>
      <c r="H15" s="208"/>
      <c r="I15" s="208"/>
      <c r="J15" s="208"/>
      <c r="K15" s="208"/>
      <c r="L15" s="208"/>
      <c r="M15" s="208"/>
      <c r="N15" s="208"/>
      <c r="O15" s="205"/>
      <c r="P15" s="53" t="s">
        <v>20</v>
      </c>
    </row>
    <row r="16" spans="1:23" x14ac:dyDescent="0.25">
      <c r="A16" s="236" t="s">
        <v>28</v>
      </c>
      <c r="B16" s="208"/>
      <c r="C16" s="208">
        <v>0</v>
      </c>
      <c r="D16" s="208"/>
      <c r="E16" s="208"/>
      <c r="F16" s="208">
        <v>0</v>
      </c>
      <c r="G16" s="208"/>
      <c r="H16" s="208"/>
      <c r="I16" s="208">
        <v>0</v>
      </c>
      <c r="J16" s="208"/>
      <c r="K16" s="208"/>
      <c r="L16" s="208"/>
      <c r="M16" s="208"/>
      <c r="N16" s="208">
        <f>C16+I16+F16</f>
        <v>0</v>
      </c>
      <c r="O16" s="205"/>
      <c r="P16" s="53" t="s">
        <v>20</v>
      </c>
    </row>
    <row r="17" spans="1:16" x14ac:dyDescent="0.25">
      <c r="A17" s="237" t="s">
        <v>29</v>
      </c>
      <c r="B17" s="238"/>
      <c r="C17" s="238">
        <v>0</v>
      </c>
      <c r="D17" s="238"/>
      <c r="E17" s="238"/>
      <c r="F17" s="238">
        <v>0</v>
      </c>
      <c r="G17" s="238"/>
      <c r="H17" s="238"/>
      <c r="I17" s="238">
        <v>0</v>
      </c>
      <c r="J17" s="238"/>
      <c r="K17" s="238"/>
      <c r="L17" s="238"/>
      <c r="M17" s="238"/>
      <c r="N17" s="208">
        <f>C17+I17+F16</f>
        <v>0</v>
      </c>
      <c r="O17" s="239"/>
      <c r="P17" s="53" t="s">
        <v>20</v>
      </c>
    </row>
    <row r="18" spans="1:16" ht="14.4" thickBot="1" x14ac:dyDescent="0.3">
      <c r="A18" s="240" t="s">
        <v>133</v>
      </c>
      <c r="B18" s="241"/>
      <c r="C18" s="241">
        <f>C13+C16+C17</f>
        <v>0</v>
      </c>
      <c r="D18" s="241"/>
      <c r="E18" s="241"/>
      <c r="F18" s="241">
        <f>F13+F16+F17</f>
        <v>0</v>
      </c>
      <c r="G18" s="241"/>
      <c r="H18" s="241"/>
      <c r="I18" s="241">
        <f>I13+I16+I17</f>
        <v>0</v>
      </c>
      <c r="J18" s="241"/>
      <c r="K18" s="241"/>
      <c r="L18" s="241"/>
      <c r="M18" s="241"/>
      <c r="N18" s="241">
        <f>SUM(N13,N16:N17)</f>
        <v>0</v>
      </c>
      <c r="O18" s="242"/>
      <c r="P18" s="53" t="s">
        <v>20</v>
      </c>
    </row>
    <row r="19" spans="1:16" x14ac:dyDescent="0.25">
      <c r="P19" s="53" t="s">
        <v>20</v>
      </c>
    </row>
    <row r="20" spans="1:16" x14ac:dyDescent="0.25">
      <c r="A20" s="8" t="s">
        <v>445</v>
      </c>
      <c r="P20" s="53" t="s">
        <v>20</v>
      </c>
    </row>
    <row r="21" spans="1:16" x14ac:dyDescent="0.25">
      <c r="A21" s="668" t="s">
        <v>425</v>
      </c>
      <c r="B21" s="668"/>
      <c r="C21" s="668"/>
      <c r="D21" s="668"/>
      <c r="E21" s="668"/>
      <c r="F21" s="668"/>
      <c r="G21" s="668"/>
      <c r="H21" s="668"/>
      <c r="I21" s="668"/>
      <c r="J21" s="668"/>
      <c r="K21" s="668"/>
      <c r="L21" s="668"/>
      <c r="M21" s="668"/>
      <c r="N21" s="668"/>
      <c r="O21" s="668"/>
      <c r="P21" s="53" t="s">
        <v>20</v>
      </c>
    </row>
    <row r="22" spans="1:16" x14ac:dyDescent="0.25">
      <c r="A22" s="721"/>
      <c r="B22" s="721"/>
      <c r="C22" s="721"/>
      <c r="D22" s="721"/>
      <c r="E22" s="721"/>
      <c r="F22" s="721"/>
      <c r="G22" s="721"/>
      <c r="H22" s="721"/>
      <c r="I22" s="721"/>
      <c r="J22" s="721"/>
      <c r="K22" s="721"/>
      <c r="L22" s="721"/>
      <c r="M22" s="721"/>
      <c r="N22" s="721"/>
      <c r="O22" s="721"/>
      <c r="P22" s="53" t="s">
        <v>20</v>
      </c>
    </row>
    <row r="23" spans="1:16" x14ac:dyDescent="0.25">
      <c r="A23" s="8" t="s">
        <v>151</v>
      </c>
      <c r="P23" s="53" t="s">
        <v>20</v>
      </c>
    </row>
    <row r="24" spans="1:16" x14ac:dyDescent="0.25">
      <c r="A24" s="668" t="s">
        <v>452</v>
      </c>
      <c r="B24" s="668"/>
      <c r="C24" s="668"/>
      <c r="D24" s="668"/>
      <c r="E24" s="668"/>
      <c r="F24" s="668"/>
      <c r="G24" s="668"/>
      <c r="H24" s="668"/>
      <c r="I24" s="668"/>
      <c r="J24" s="668"/>
      <c r="K24" s="668"/>
      <c r="L24" s="668"/>
      <c r="M24" s="668"/>
      <c r="N24" s="668"/>
      <c r="O24" s="668"/>
      <c r="P24" s="53" t="s">
        <v>20</v>
      </c>
    </row>
    <row r="25" spans="1:16" x14ac:dyDescent="0.25">
      <c r="A25" s="721"/>
      <c r="B25" s="721"/>
      <c r="C25" s="721"/>
      <c r="D25" s="721"/>
      <c r="E25" s="721"/>
      <c r="F25" s="721"/>
      <c r="G25" s="721"/>
      <c r="H25" s="721"/>
      <c r="I25" s="721"/>
      <c r="J25" s="721"/>
      <c r="K25" s="721"/>
      <c r="L25" s="721"/>
      <c r="M25" s="721"/>
      <c r="N25" s="721"/>
      <c r="O25" s="721"/>
      <c r="P25" s="53" t="s">
        <v>20</v>
      </c>
    </row>
    <row r="26" spans="1:16" x14ac:dyDescent="0.25">
      <c r="A26" s="8" t="s">
        <v>152</v>
      </c>
      <c r="P26" s="53" t="s">
        <v>20</v>
      </c>
    </row>
    <row r="27" spans="1:16" x14ac:dyDescent="0.25">
      <c r="A27" s="668" t="s">
        <v>453</v>
      </c>
      <c r="B27" s="668"/>
      <c r="C27" s="668"/>
      <c r="D27" s="668"/>
      <c r="E27" s="668"/>
      <c r="F27" s="668"/>
      <c r="G27" s="668"/>
      <c r="H27" s="668"/>
      <c r="I27" s="668"/>
      <c r="J27" s="668"/>
      <c r="K27" s="668"/>
      <c r="L27" s="668"/>
      <c r="M27" s="668"/>
      <c r="N27" s="668"/>
      <c r="O27" s="668"/>
      <c r="P27" s="53" t="s">
        <v>20</v>
      </c>
    </row>
    <row r="28" spans="1:16" x14ac:dyDescent="0.25">
      <c r="A28" s="721"/>
      <c r="B28" s="721"/>
      <c r="C28" s="721"/>
      <c r="D28" s="721"/>
      <c r="E28" s="721"/>
      <c r="F28" s="721"/>
      <c r="G28" s="721"/>
      <c r="H28" s="721"/>
      <c r="I28" s="721"/>
      <c r="J28" s="721"/>
      <c r="K28" s="721"/>
      <c r="L28" s="721"/>
      <c r="M28" s="721"/>
      <c r="N28" s="721"/>
      <c r="O28" s="721"/>
      <c r="P28" s="53" t="s">
        <v>20</v>
      </c>
    </row>
    <row r="29" spans="1:16" x14ac:dyDescent="0.25">
      <c r="A29" s="178" t="s">
        <v>458</v>
      </c>
      <c r="P29" s="53" t="s">
        <v>20</v>
      </c>
    </row>
    <row r="30" spans="1:16" x14ac:dyDescent="0.25">
      <c r="P30" s="7" t="s">
        <v>21</v>
      </c>
    </row>
  </sheetData>
  <customSheetViews>
    <customSheetView guid="{5B2D5037-506A-47D5-AF28-C337BC9133BD}" scale="80" showPageBreaks="1" printArea="1" view="pageBreakPreview">
      <selection activeCell="N49" sqref="N49"/>
      <pageMargins left="0.7" right="0.7" top="0.64" bottom="0.61" header="0.3" footer="0.3"/>
      <printOptions horizontalCentered="1"/>
      <pageSetup scale="64" orientation="landscape" r:id="rId1"/>
      <headerFooter>
        <oddHeader>&amp;L&amp;"Arial,Bold"&amp;12F. Crosswalk of 2012 Availability</oddHeader>
        <oddFooter>&amp;C&amp;"Arial,Regular"Exhibit F - Crosswalk of 2012 Availability&amp;R&amp;"Arial,Regular"Public Safety Officers' Benefits</oddFooter>
      </headerFooter>
    </customSheetView>
    <customSheetView guid="{08380F1E-0CB7-4B3B-924E-2A270EA8DD30}" scale="80" showPageBreaks="1" printArea="1" view="pageBreakPreview">
      <selection activeCell="N49" sqref="N49"/>
      <pageMargins left="0.7" right="0.7" top="0.64" bottom="0.61" header="0.3" footer="0.3"/>
      <printOptions horizontalCentered="1"/>
      <pageSetup scale="64" orientation="landscape" r:id="rId2"/>
      <headerFooter>
        <oddHeader>&amp;L&amp;"Arial,Bold"&amp;12F. Crosswalk of 2012 Availability</oddHeader>
        <oddFooter>&amp;C&amp;"Arial,Regular"Exhibit F - Crosswalk of 2012 Availability&amp;R&amp;"Arial,Regular"Public Safety Officers' Benefits</oddFooter>
      </headerFooter>
    </customSheetView>
    <customSheetView guid="{D19943A8-2C2A-430A-A724-8C7C332697C8}" scale="80" showPageBreaks="1" printArea="1" view="pageBreakPreview">
      <selection activeCell="N49" sqref="N49"/>
      <pageMargins left="0.7" right="0.7" top="0.64" bottom="0.61" header="0.3" footer="0.3"/>
      <printOptions horizontalCentered="1"/>
      <pageSetup scale="64" orientation="landscape" r:id="rId3"/>
      <headerFooter>
        <oddHeader>&amp;L&amp;"Arial,Bold"&amp;12F. Crosswalk of 2012 Availability</oddHeader>
        <oddFooter>&amp;C&amp;"Arial,Regular"Exhibit F - Crosswalk of 2012 Availability&amp;R&amp;"Arial,Regular"Public Safety Officers' Benefits</oddFooter>
      </headerFooter>
    </customSheetView>
    <customSheetView guid="{C6D68C6D-939C-4DFA-9385-A3F05DFB5EDA}" scale="80" showPageBreaks="1" printArea="1" view="pageBreakPreview">
      <selection activeCell="N49" sqref="N49"/>
      <pageMargins left="0.7" right="0.7" top="0.64" bottom="0.61" header="0.3" footer="0.3"/>
      <printOptions horizontalCentered="1"/>
      <pageSetup scale="64" orientation="landscape" r:id="rId4"/>
      <headerFooter>
        <oddHeader>&amp;L&amp;"Arial,Bold"&amp;12F. Crosswalk of 2012 Availability</oddHeader>
        <oddFooter>&amp;C&amp;"Arial,Regular"Exhibit F - Crosswalk of 2012 Availability&amp;R&amp;"Arial,Regular"Public Safety Officers' Benefits</oddFooter>
      </headerFooter>
    </customSheetView>
  </customSheetViews>
  <mergeCells count="15">
    <mergeCell ref="A28:O28"/>
    <mergeCell ref="A1:O1"/>
    <mergeCell ref="A2:O2"/>
    <mergeCell ref="A3:O3"/>
    <mergeCell ref="A4:O4"/>
    <mergeCell ref="A7:A8"/>
    <mergeCell ref="B7:D7"/>
    <mergeCell ref="E7:G7"/>
    <mergeCell ref="H7:J7"/>
    <mergeCell ref="M7:O7"/>
    <mergeCell ref="A21:O21"/>
    <mergeCell ref="A22:O22"/>
    <mergeCell ref="A24:O24"/>
    <mergeCell ref="A25:O25"/>
    <mergeCell ref="A27:O27"/>
  </mergeCells>
  <printOptions horizontalCentered="1"/>
  <pageMargins left="0.7" right="0.7" top="0.64" bottom="0.61" header="0.3" footer="0.3"/>
  <pageSetup scale="64" orientation="landscape" r:id="rId5"/>
  <headerFooter>
    <oddHeader>&amp;L&amp;"Arial,Bold"&amp;12F. Crosswalk of 2012 Availability</oddHeader>
    <oddFooter>&amp;C&amp;"Arial,Regular"Exhibit F - Crosswalk of 2012 Availability&amp;R&amp;"Arial,Regular"Public Safety Officers' Benefits</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view="pageBreakPreview" zoomScale="80" zoomScaleNormal="100" zoomScaleSheetLayoutView="80" workbookViewId="0">
      <selection activeCell="D11" sqref="D11"/>
    </sheetView>
  </sheetViews>
  <sheetFormatPr defaultColWidth="9.109375" defaultRowHeight="13.8" x14ac:dyDescent="0.25"/>
  <cols>
    <col min="1" max="1" width="37.109375" style="178" customWidth="1"/>
    <col min="2" max="3" width="8.33203125" style="178" customWidth="1"/>
    <col min="4" max="4" width="12.6640625" style="178" customWidth="1"/>
    <col min="5" max="5" width="15" style="178" customWidth="1"/>
    <col min="6" max="7" width="8.33203125" style="178" customWidth="1"/>
    <col min="8"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421</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11"/>
      <c r="C5" s="11"/>
      <c r="D5" s="11"/>
      <c r="E5" s="11"/>
      <c r="F5" s="11"/>
      <c r="G5" s="11"/>
      <c r="H5" s="11"/>
      <c r="I5" s="11"/>
      <c r="J5" s="11"/>
      <c r="K5" s="11"/>
      <c r="L5" s="11"/>
      <c r="M5" s="11"/>
      <c r="N5" s="53" t="s">
        <v>20</v>
      </c>
      <c r="O5" s="11"/>
      <c r="P5" s="11"/>
      <c r="Q5" s="11"/>
      <c r="R5" s="11"/>
      <c r="S5" s="11"/>
      <c r="T5" s="11"/>
      <c r="U5" s="11"/>
    </row>
    <row r="6" spans="1:21" ht="15" thickBot="1" x14ac:dyDescent="0.25">
      <c r="A6" s="52"/>
      <c r="B6" s="52"/>
      <c r="C6" s="52"/>
      <c r="D6" s="52"/>
      <c r="E6" s="52"/>
      <c r="F6" s="52"/>
      <c r="G6" s="52"/>
      <c r="H6" s="52"/>
      <c r="I6" s="52"/>
      <c r="J6" s="52"/>
      <c r="K6" s="52"/>
      <c r="L6" s="52"/>
      <c r="M6" s="52"/>
      <c r="N6" s="53" t="s">
        <v>20</v>
      </c>
      <c r="O6" s="11"/>
      <c r="P6" s="11"/>
      <c r="Q6" s="11"/>
      <c r="R6" s="11"/>
      <c r="S6" s="11"/>
      <c r="T6" s="11"/>
      <c r="U6" s="11"/>
    </row>
    <row r="7" spans="1:21" ht="33.75" customHeight="1" x14ac:dyDescent="0.25">
      <c r="A7" s="638" t="s">
        <v>134</v>
      </c>
      <c r="B7" s="641" t="s">
        <v>451</v>
      </c>
      <c r="C7" s="641"/>
      <c r="D7" s="641"/>
      <c r="E7" s="192" t="s">
        <v>138</v>
      </c>
      <c r="F7" s="641" t="s">
        <v>40</v>
      </c>
      <c r="G7" s="641"/>
      <c r="H7" s="641"/>
      <c r="I7" s="192" t="s">
        <v>41</v>
      </c>
      <c r="J7" s="192" t="s">
        <v>139</v>
      </c>
      <c r="K7" s="641" t="s">
        <v>43</v>
      </c>
      <c r="L7" s="641"/>
      <c r="M7" s="642"/>
      <c r="N7" s="53" t="s">
        <v>20</v>
      </c>
    </row>
    <row r="8" spans="1:21" ht="27.6" x14ac:dyDescent="0.25">
      <c r="A8" s="639"/>
      <c r="B8" s="222" t="s">
        <v>3</v>
      </c>
      <c r="C8" s="222" t="s">
        <v>129</v>
      </c>
      <c r="D8" s="222" t="s">
        <v>4</v>
      </c>
      <c r="E8" s="222" t="s">
        <v>4</v>
      </c>
      <c r="F8" s="222" t="s">
        <v>3</v>
      </c>
      <c r="G8" s="222" t="s">
        <v>129</v>
      </c>
      <c r="H8" s="222" t="s">
        <v>4</v>
      </c>
      <c r="I8" s="222" t="s">
        <v>4</v>
      </c>
      <c r="J8" s="222" t="s">
        <v>4</v>
      </c>
      <c r="K8" s="222" t="s">
        <v>3</v>
      </c>
      <c r="L8" s="222" t="s">
        <v>129</v>
      </c>
      <c r="M8" s="223" t="s">
        <v>4</v>
      </c>
      <c r="N8" s="53" t="s">
        <v>20</v>
      </c>
    </row>
    <row r="9" spans="1:21" x14ac:dyDescent="0.25">
      <c r="A9" s="184" t="s">
        <v>426</v>
      </c>
      <c r="B9" s="225">
        <v>0</v>
      </c>
      <c r="C9" s="225">
        <v>0</v>
      </c>
      <c r="D9" s="225">
        <v>62000</v>
      </c>
      <c r="E9" s="225">
        <v>0</v>
      </c>
      <c r="F9" s="225">
        <v>0</v>
      </c>
      <c r="G9" s="225">
        <v>0</v>
      </c>
      <c r="H9" s="225">
        <v>0</v>
      </c>
      <c r="I9" s="225">
        <v>6460</v>
      </c>
      <c r="J9" s="225">
        <v>107</v>
      </c>
      <c r="K9" s="225">
        <f>B9+F9</f>
        <v>0</v>
      </c>
      <c r="L9" s="225">
        <f>C9+G9</f>
        <v>0</v>
      </c>
      <c r="M9" s="226">
        <f>D9+E9+H9+I9+J9</f>
        <v>68567</v>
      </c>
      <c r="N9" s="53" t="s">
        <v>20</v>
      </c>
    </row>
    <row r="10" spans="1:21" x14ac:dyDescent="0.25">
      <c r="A10" s="195" t="s">
        <v>427</v>
      </c>
      <c r="B10" s="208">
        <v>0</v>
      </c>
      <c r="C10" s="208">
        <v>0</v>
      </c>
      <c r="D10" s="208">
        <v>16400</v>
      </c>
      <c r="E10" s="208">
        <v>0</v>
      </c>
      <c r="F10" s="208">
        <v>0</v>
      </c>
      <c r="G10" s="208">
        <v>0</v>
      </c>
      <c r="H10" s="208">
        <v>0</v>
      </c>
      <c r="I10" s="208">
        <v>6387</v>
      </c>
      <c r="J10" s="208">
        <v>0</v>
      </c>
      <c r="K10" s="208">
        <f t="shared" ref="K10:L10" si="0">B10+F10</f>
        <v>0</v>
      </c>
      <c r="L10" s="208">
        <f t="shared" si="0"/>
        <v>0</v>
      </c>
      <c r="M10" s="205">
        <f t="shared" ref="M10" si="1">D10+E10+H10+I10+J10</f>
        <v>22787</v>
      </c>
      <c r="N10" s="53" t="s">
        <v>20</v>
      </c>
    </row>
    <row r="11" spans="1:21" x14ac:dyDescent="0.25">
      <c r="A11" s="16" t="s">
        <v>131</v>
      </c>
      <c r="B11" s="143">
        <f t="shared" ref="B11:M11" si="2">SUM(B9:B10)</f>
        <v>0</v>
      </c>
      <c r="C11" s="143">
        <f t="shared" si="2"/>
        <v>0</v>
      </c>
      <c r="D11" s="143">
        <f t="shared" si="2"/>
        <v>78400</v>
      </c>
      <c r="E11" s="143">
        <f t="shared" si="2"/>
        <v>0</v>
      </c>
      <c r="F11" s="143">
        <f t="shared" si="2"/>
        <v>0</v>
      </c>
      <c r="G11" s="143">
        <f t="shared" si="2"/>
        <v>0</v>
      </c>
      <c r="H11" s="143">
        <f t="shared" si="2"/>
        <v>0</v>
      </c>
      <c r="I11" s="143">
        <f t="shared" si="2"/>
        <v>12847</v>
      </c>
      <c r="J11" s="143">
        <f t="shared" si="2"/>
        <v>107</v>
      </c>
      <c r="K11" s="143">
        <f t="shared" si="2"/>
        <v>0</v>
      </c>
      <c r="L11" s="143">
        <f t="shared" si="2"/>
        <v>0</v>
      </c>
      <c r="M11" s="144">
        <f t="shared" si="2"/>
        <v>91354</v>
      </c>
      <c r="N11" s="53" t="s">
        <v>20</v>
      </c>
    </row>
    <row r="12" spans="1:21" x14ac:dyDescent="0.25">
      <c r="A12" s="272" t="s">
        <v>130</v>
      </c>
      <c r="B12" s="225"/>
      <c r="C12" s="225"/>
      <c r="D12" s="225">
        <v>0</v>
      </c>
      <c r="E12" s="225"/>
      <c r="F12" s="225"/>
      <c r="G12" s="225"/>
      <c r="H12" s="225"/>
      <c r="I12" s="225"/>
      <c r="J12" s="225"/>
      <c r="K12" s="225"/>
      <c r="L12" s="225"/>
      <c r="M12" s="226">
        <f>D12+E12+H12+I12+J12</f>
        <v>0</v>
      </c>
      <c r="N12" s="53" t="s">
        <v>20</v>
      </c>
    </row>
    <row r="13" spans="1:21" x14ac:dyDescent="0.25">
      <c r="A13" s="273" t="s">
        <v>150</v>
      </c>
      <c r="B13" s="230"/>
      <c r="C13" s="230"/>
      <c r="D13" s="230">
        <f>SUM(D11:D12)</f>
        <v>78400</v>
      </c>
      <c r="E13" s="230"/>
      <c r="F13" s="230"/>
      <c r="G13" s="230"/>
      <c r="H13" s="230"/>
      <c r="I13" s="230"/>
      <c r="J13" s="230"/>
      <c r="K13" s="230"/>
      <c r="L13" s="230"/>
      <c r="M13" s="231">
        <f>SUM(M11:M12)</f>
        <v>91354</v>
      </c>
      <c r="N13" s="53" t="s">
        <v>20</v>
      </c>
    </row>
    <row r="14" spans="1:21" x14ac:dyDescent="0.25">
      <c r="A14" s="198" t="s">
        <v>26</v>
      </c>
      <c r="B14" s="234"/>
      <c r="C14" s="234">
        <v>0</v>
      </c>
      <c r="D14" s="234"/>
      <c r="E14" s="234"/>
      <c r="F14" s="234"/>
      <c r="G14" s="234">
        <v>0</v>
      </c>
      <c r="H14" s="234"/>
      <c r="I14" s="234">
        <v>0</v>
      </c>
      <c r="J14" s="234"/>
      <c r="K14" s="234"/>
      <c r="L14" s="234">
        <f t="shared" ref="L14" si="3">C14+G14</f>
        <v>0</v>
      </c>
      <c r="M14" s="235"/>
      <c r="N14" s="53" t="s">
        <v>20</v>
      </c>
    </row>
    <row r="15" spans="1:21" x14ac:dyDescent="0.25">
      <c r="A15" s="195" t="s">
        <v>132</v>
      </c>
      <c r="B15" s="208"/>
      <c r="C15" s="208">
        <f>C11+C14</f>
        <v>0</v>
      </c>
      <c r="D15" s="208"/>
      <c r="E15" s="208"/>
      <c r="F15" s="208"/>
      <c r="G15" s="208">
        <f>G11+G14</f>
        <v>0</v>
      </c>
      <c r="H15" s="208"/>
      <c r="I15" s="208">
        <f>I11+I14</f>
        <v>12847</v>
      </c>
      <c r="J15" s="208"/>
      <c r="K15" s="208"/>
      <c r="L15" s="208">
        <f>L11+L14</f>
        <v>0</v>
      </c>
      <c r="M15" s="205"/>
      <c r="N15" s="53" t="s">
        <v>20</v>
      </c>
    </row>
    <row r="16" spans="1:21" x14ac:dyDescent="0.25">
      <c r="A16" s="195"/>
      <c r="B16" s="208"/>
      <c r="C16" s="208"/>
      <c r="D16" s="208"/>
      <c r="E16" s="208"/>
      <c r="F16" s="208"/>
      <c r="G16" s="208"/>
      <c r="H16" s="208"/>
      <c r="I16" s="208"/>
      <c r="J16" s="208"/>
      <c r="K16" s="208"/>
      <c r="L16" s="208"/>
      <c r="M16" s="205"/>
      <c r="N16" s="53" t="s">
        <v>20</v>
      </c>
    </row>
    <row r="17" spans="1:14" x14ac:dyDescent="0.25">
      <c r="A17" s="195" t="s">
        <v>27</v>
      </c>
      <c r="B17" s="208"/>
      <c r="C17" s="208"/>
      <c r="D17" s="208"/>
      <c r="E17" s="208"/>
      <c r="F17" s="208"/>
      <c r="G17" s="208"/>
      <c r="H17" s="208"/>
      <c r="I17" s="208"/>
      <c r="J17" s="208"/>
      <c r="K17" s="208"/>
      <c r="L17" s="208"/>
      <c r="M17" s="205"/>
      <c r="N17" s="53" t="s">
        <v>20</v>
      </c>
    </row>
    <row r="18" spans="1:14" x14ac:dyDescent="0.25">
      <c r="A18" s="236" t="s">
        <v>28</v>
      </c>
      <c r="B18" s="208"/>
      <c r="C18" s="208">
        <v>0</v>
      </c>
      <c r="D18" s="208"/>
      <c r="E18" s="208"/>
      <c r="F18" s="208"/>
      <c r="G18" s="208">
        <v>0</v>
      </c>
      <c r="H18" s="208"/>
      <c r="I18" s="208">
        <v>0</v>
      </c>
      <c r="J18" s="208"/>
      <c r="K18" s="208"/>
      <c r="L18" s="208">
        <f t="shared" ref="L18:L19" si="4">C18+G18</f>
        <v>0</v>
      </c>
      <c r="M18" s="205"/>
      <c r="N18" s="53" t="s">
        <v>20</v>
      </c>
    </row>
    <row r="19" spans="1:14" x14ac:dyDescent="0.25">
      <c r="A19" s="237" t="s">
        <v>29</v>
      </c>
      <c r="B19" s="238"/>
      <c r="C19" s="238">
        <v>0</v>
      </c>
      <c r="D19" s="238"/>
      <c r="E19" s="238"/>
      <c r="F19" s="238"/>
      <c r="G19" s="238">
        <v>0</v>
      </c>
      <c r="H19" s="238"/>
      <c r="I19" s="238">
        <v>0</v>
      </c>
      <c r="J19" s="238"/>
      <c r="K19" s="238"/>
      <c r="L19" s="238">
        <f t="shared" si="4"/>
        <v>0</v>
      </c>
      <c r="M19" s="239"/>
      <c r="N19" s="53" t="s">
        <v>20</v>
      </c>
    </row>
    <row r="20" spans="1:14" ht="14.4" thickBot="1" x14ac:dyDescent="0.3">
      <c r="A20" s="240" t="s">
        <v>133</v>
      </c>
      <c r="B20" s="241"/>
      <c r="C20" s="241">
        <f>C15+C18+C19</f>
        <v>0</v>
      </c>
      <c r="D20" s="241"/>
      <c r="E20" s="241"/>
      <c r="F20" s="241"/>
      <c r="G20" s="241">
        <f>G15+G18+G19</f>
        <v>0</v>
      </c>
      <c r="H20" s="241"/>
      <c r="I20" s="241">
        <f>I15+I18+I19</f>
        <v>12847</v>
      </c>
      <c r="J20" s="241"/>
      <c r="K20" s="241"/>
      <c r="L20" s="241">
        <f>SUM(L15,L18:L19)</f>
        <v>0</v>
      </c>
      <c r="M20" s="242"/>
      <c r="N20" s="53" t="s">
        <v>20</v>
      </c>
    </row>
    <row r="21" spans="1:14" x14ac:dyDescent="0.25">
      <c r="A21" s="668" t="s">
        <v>432</v>
      </c>
      <c r="B21" s="668"/>
      <c r="C21" s="668"/>
      <c r="D21" s="668"/>
      <c r="E21" s="668"/>
      <c r="F21" s="668"/>
      <c r="G21" s="668"/>
      <c r="H21" s="668"/>
      <c r="I21" s="668"/>
      <c r="J21" s="668"/>
      <c r="K21" s="668"/>
      <c r="L21" s="668"/>
      <c r="M21" s="668"/>
      <c r="N21" s="53" t="s">
        <v>20</v>
      </c>
    </row>
    <row r="22" spans="1:14" x14ac:dyDescent="0.25">
      <c r="A22" s="455"/>
      <c r="B22" s="455"/>
      <c r="C22" s="455"/>
      <c r="D22" s="455"/>
      <c r="E22" s="455"/>
      <c r="F22" s="455"/>
      <c r="G22" s="455"/>
      <c r="H22" s="455"/>
      <c r="I22" s="455"/>
      <c r="J22" s="455"/>
      <c r="K22" s="455"/>
      <c r="L22" s="455"/>
      <c r="M22" s="455"/>
      <c r="N22" s="53"/>
    </row>
    <row r="23" spans="1:14" x14ac:dyDescent="0.25">
      <c r="A23" s="8" t="s">
        <v>445</v>
      </c>
      <c r="N23" s="53" t="s">
        <v>20</v>
      </c>
    </row>
    <row r="24" spans="1:14" x14ac:dyDescent="0.25">
      <c r="A24" s="668" t="s">
        <v>425</v>
      </c>
      <c r="B24" s="668"/>
      <c r="C24" s="668"/>
      <c r="D24" s="668"/>
      <c r="E24" s="668"/>
      <c r="F24" s="668"/>
      <c r="G24" s="668"/>
      <c r="H24" s="668"/>
      <c r="I24" s="668"/>
      <c r="J24" s="668"/>
      <c r="K24" s="668"/>
      <c r="L24" s="668"/>
      <c r="M24" s="668"/>
      <c r="N24" s="53" t="s">
        <v>20</v>
      </c>
    </row>
    <row r="25" spans="1:14" x14ac:dyDescent="0.25">
      <c r="A25" s="721"/>
      <c r="B25" s="721"/>
      <c r="C25" s="721"/>
      <c r="D25" s="721"/>
      <c r="E25" s="721"/>
      <c r="F25" s="721"/>
      <c r="G25" s="721"/>
      <c r="H25" s="721"/>
      <c r="I25" s="721"/>
      <c r="J25" s="721"/>
      <c r="K25" s="721"/>
      <c r="L25" s="721"/>
      <c r="M25" s="721"/>
      <c r="N25" s="53" t="s">
        <v>20</v>
      </c>
    </row>
    <row r="26" spans="1:14" x14ac:dyDescent="0.25">
      <c r="A26" s="8" t="s">
        <v>151</v>
      </c>
      <c r="N26" s="53" t="s">
        <v>20</v>
      </c>
    </row>
    <row r="27" spans="1:14" x14ac:dyDescent="0.25">
      <c r="A27" s="668" t="s">
        <v>454</v>
      </c>
      <c r="B27" s="668"/>
      <c r="C27" s="668"/>
      <c r="D27" s="668"/>
      <c r="E27" s="668"/>
      <c r="F27" s="668"/>
      <c r="G27" s="668"/>
      <c r="H27" s="668"/>
      <c r="I27" s="668"/>
      <c r="J27" s="668"/>
      <c r="K27" s="668"/>
      <c r="L27" s="668"/>
      <c r="M27" s="668"/>
      <c r="N27" s="53" t="s">
        <v>20</v>
      </c>
    </row>
    <row r="28" spans="1:14" x14ac:dyDescent="0.25">
      <c r="A28" s="721"/>
      <c r="B28" s="721"/>
      <c r="C28" s="721"/>
      <c r="D28" s="721"/>
      <c r="E28" s="721"/>
      <c r="F28" s="721"/>
      <c r="G28" s="721"/>
      <c r="H28" s="721"/>
      <c r="I28" s="721"/>
      <c r="J28" s="721"/>
      <c r="K28" s="721"/>
      <c r="L28" s="721"/>
      <c r="M28" s="721"/>
      <c r="N28" s="53" t="s">
        <v>20</v>
      </c>
    </row>
    <row r="29" spans="1:14" x14ac:dyDescent="0.25">
      <c r="A29" s="8" t="s">
        <v>152</v>
      </c>
      <c r="N29" s="53" t="s">
        <v>20</v>
      </c>
    </row>
    <row r="30" spans="1:14" x14ac:dyDescent="0.25">
      <c r="A30" s="668" t="s">
        <v>455</v>
      </c>
      <c r="B30" s="668"/>
      <c r="C30" s="668"/>
      <c r="D30" s="668"/>
      <c r="E30" s="668"/>
      <c r="F30" s="668"/>
      <c r="G30" s="668"/>
      <c r="H30" s="668"/>
      <c r="I30" s="668"/>
      <c r="J30" s="668"/>
      <c r="K30" s="668"/>
      <c r="L30" s="668"/>
      <c r="M30" s="668"/>
      <c r="N30" s="53" t="s">
        <v>20</v>
      </c>
    </row>
    <row r="31" spans="1:14" x14ac:dyDescent="0.25">
      <c r="A31" s="721"/>
      <c r="B31" s="721"/>
      <c r="C31" s="721"/>
      <c r="D31" s="721"/>
      <c r="E31" s="721"/>
      <c r="F31" s="721"/>
      <c r="G31" s="721"/>
      <c r="H31" s="721"/>
      <c r="I31" s="721"/>
      <c r="J31" s="721"/>
      <c r="K31" s="721"/>
      <c r="L31" s="721"/>
      <c r="M31" s="721"/>
      <c r="N31" s="53" t="s">
        <v>20</v>
      </c>
    </row>
    <row r="32" spans="1:14" x14ac:dyDescent="0.25">
      <c r="N32" s="53" t="s">
        <v>20</v>
      </c>
    </row>
    <row r="33" spans="14:14" x14ac:dyDescent="0.25">
      <c r="N33" s="7" t="s">
        <v>21</v>
      </c>
    </row>
  </sheetData>
  <customSheetViews>
    <customSheetView guid="{5B2D5037-506A-47D5-AF28-C337BC9133BD}" scale="80" showPageBreaks="1" printArea="1" view="pageBreakPreview">
      <selection activeCell="D11" sqref="D11"/>
      <pageMargins left="0.7" right="0.7" top="0.66" bottom="0.66" header="0.3" footer="0.3"/>
      <printOptions horizontalCentered="1"/>
      <pageSetup scale="73" orientation="landscape" r:id="rId1"/>
      <headerFooter>
        <oddHeader>&amp;L&amp;"Arial,Bold"&amp;12G. Crosswalk of 2013 Availability</oddHeader>
        <oddFooter>&amp;C&amp;"Arial,Regular"Exhibit G - Crosswalk of 2013 Availability&amp;R&amp;"Arial,Regular"Public Safety Officers' Benefits</oddFooter>
      </headerFooter>
    </customSheetView>
    <customSheetView guid="{08380F1E-0CB7-4B3B-924E-2A270EA8DD30}" scale="80" showPageBreaks="1" printArea="1" view="pageBreakPreview">
      <selection activeCell="D11" sqref="D11"/>
      <pageMargins left="0.7" right="0.7" top="0.66" bottom="0.66" header="0.3" footer="0.3"/>
      <printOptions horizontalCentered="1"/>
      <pageSetup scale="73" orientation="landscape" r:id="rId2"/>
      <headerFooter>
        <oddHeader>&amp;L&amp;"Arial,Bold"&amp;12G. Crosswalk of 2013 Availability</oddHeader>
        <oddFooter>&amp;C&amp;"Arial,Regular"Exhibit G - Crosswalk of 2013 Availability&amp;R&amp;"Arial,Regular"Public Safety Officers' Benefits</oddFooter>
      </headerFooter>
    </customSheetView>
    <customSheetView guid="{D19943A8-2C2A-430A-A724-8C7C332697C8}" scale="80" showPageBreaks="1" printArea="1" view="pageBreakPreview">
      <selection activeCell="D11" sqref="D11"/>
      <pageMargins left="0.7" right="0.7" top="0.66" bottom="0.66" header="0.3" footer="0.3"/>
      <printOptions horizontalCentered="1"/>
      <pageSetup scale="73" orientation="landscape" r:id="rId3"/>
      <headerFooter>
        <oddHeader>&amp;L&amp;"Arial,Bold"&amp;12G. Crosswalk of 2013 Availability</oddHeader>
        <oddFooter>&amp;C&amp;"Arial,Regular"Exhibit G - Crosswalk of 2013 Availability&amp;R&amp;"Arial,Regular"Public Safety Officers' Benefits</oddFooter>
      </headerFooter>
    </customSheetView>
    <customSheetView guid="{C6D68C6D-939C-4DFA-9385-A3F05DFB5EDA}" scale="80" showPageBreaks="1" printArea="1" view="pageBreakPreview">
      <selection activeCell="D11" sqref="D11"/>
      <pageMargins left="0.7" right="0.7" top="0.66" bottom="0.66" header="0.3" footer="0.3"/>
      <printOptions horizontalCentered="1"/>
      <pageSetup scale="73" orientation="landscape" r:id="rId4"/>
      <headerFooter>
        <oddHeader>&amp;L&amp;"Arial,Bold"&amp;12G. Crosswalk of 2013 Availability</oddHeader>
        <oddFooter>&amp;C&amp;"Arial,Regular"Exhibit G - Crosswalk of 2013 Availability&amp;R&amp;"Arial,Regular"Public Safety Officers' Benefits</oddFooter>
      </headerFooter>
    </customSheetView>
  </customSheetViews>
  <mergeCells count="15">
    <mergeCell ref="A31:M31"/>
    <mergeCell ref="A1:M1"/>
    <mergeCell ref="A2:M2"/>
    <mergeCell ref="A3:M3"/>
    <mergeCell ref="A4:M4"/>
    <mergeCell ref="A7:A8"/>
    <mergeCell ref="B7:D7"/>
    <mergeCell ref="F7:H7"/>
    <mergeCell ref="K7:M7"/>
    <mergeCell ref="A24:M24"/>
    <mergeCell ref="A25:M25"/>
    <mergeCell ref="A27:M27"/>
    <mergeCell ref="A28:M28"/>
    <mergeCell ref="A30:M30"/>
    <mergeCell ref="A21:M21"/>
  </mergeCells>
  <printOptions horizontalCentered="1"/>
  <pageMargins left="0.7" right="0.7" top="0.66" bottom="0.66" header="0.3" footer="0.3"/>
  <pageSetup scale="73" orientation="landscape" r:id="rId5"/>
  <headerFooter>
    <oddHeader>&amp;L&amp;"Arial,Bold"&amp;12G. Crosswalk of 2013 Availability</oddHeader>
    <oddFooter>&amp;C&amp;"Arial,Regular"Exhibit G - Crosswalk of 2013 Availability&amp;R&amp;"Arial,Regular"Public Safety Officers' Benefits</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view="pageBreakPreview" zoomScaleNormal="100" zoomScaleSheetLayoutView="100" workbookViewId="0">
      <selection activeCell="H10" sqref="H10"/>
    </sheetView>
  </sheetViews>
  <sheetFormatPr defaultColWidth="9.109375" defaultRowHeight="13.8" x14ac:dyDescent="0.25"/>
  <cols>
    <col min="1" max="1" width="63.5546875" style="178" customWidth="1"/>
    <col min="2" max="2" width="12.109375" style="178" customWidth="1"/>
    <col min="3" max="3" width="32.109375" style="178" customWidth="1"/>
    <col min="4" max="4" width="12" style="178" customWidth="1"/>
    <col min="5" max="5" width="14.5546875" style="178" customWidth="1"/>
    <col min="6" max="6" width="14" style="7" bestFit="1" customWidth="1"/>
    <col min="7" max="7" width="4.5546875" style="178" customWidth="1"/>
    <col min="8" max="9" width="8.33203125" style="178" customWidth="1"/>
    <col min="10" max="10" width="12.6640625" style="178" customWidth="1"/>
    <col min="11" max="12" width="8.33203125" style="178" customWidth="1"/>
    <col min="13" max="13" width="12.6640625" style="178" customWidth="1"/>
    <col min="14" max="16384" width="9.109375" style="178"/>
  </cols>
  <sheetData>
    <row r="1" spans="1:13" ht="17.399999999999999" x14ac:dyDescent="0.3">
      <c r="A1" s="753" t="s">
        <v>98</v>
      </c>
      <c r="B1" s="753"/>
      <c r="C1" s="753"/>
      <c r="D1" s="753"/>
      <c r="E1" s="753"/>
      <c r="F1" s="53" t="s">
        <v>20</v>
      </c>
      <c r="G1" s="9"/>
      <c r="H1" s="9"/>
      <c r="I1" s="9"/>
      <c r="J1" s="9"/>
      <c r="K1" s="9"/>
      <c r="L1" s="9"/>
      <c r="M1" s="9"/>
    </row>
    <row r="2" spans="1:13" ht="15" x14ac:dyDescent="0.25">
      <c r="A2" s="635" t="s">
        <v>160</v>
      </c>
      <c r="B2" s="635"/>
      <c r="C2" s="635"/>
      <c r="D2" s="635"/>
      <c r="E2" s="635"/>
      <c r="F2" s="53" t="s">
        <v>20</v>
      </c>
      <c r="G2" s="10"/>
      <c r="H2" s="10"/>
      <c r="I2" s="10"/>
      <c r="J2" s="10"/>
      <c r="K2" s="10"/>
      <c r="L2" s="10"/>
      <c r="M2" s="10"/>
    </row>
    <row r="3" spans="1:13" ht="13.95" x14ac:dyDescent="0.25">
      <c r="A3" s="635" t="s">
        <v>421</v>
      </c>
      <c r="B3" s="635"/>
      <c r="C3" s="635"/>
      <c r="D3" s="635"/>
      <c r="E3" s="635"/>
      <c r="F3" s="53" t="s">
        <v>20</v>
      </c>
      <c r="G3" s="221"/>
      <c r="H3" s="221"/>
      <c r="I3" s="221"/>
      <c r="J3" s="221"/>
      <c r="K3" s="221"/>
      <c r="L3" s="221"/>
      <c r="M3" s="221"/>
    </row>
    <row r="4" spans="1:13" ht="13.95" x14ac:dyDescent="0.25">
      <c r="A4" s="635" t="s">
        <v>1</v>
      </c>
      <c r="B4" s="635"/>
      <c r="C4" s="635"/>
      <c r="D4" s="635"/>
      <c r="E4" s="635"/>
      <c r="F4" s="53" t="s">
        <v>20</v>
      </c>
      <c r="G4" s="11"/>
      <c r="H4" s="11"/>
      <c r="I4" s="11"/>
      <c r="J4" s="11"/>
      <c r="K4" s="11"/>
      <c r="L4" s="11"/>
      <c r="M4" s="11"/>
    </row>
    <row r="5" spans="1:13" ht="13.95" x14ac:dyDescent="0.25">
      <c r="A5" s="635"/>
      <c r="B5" s="635"/>
      <c r="C5" s="635"/>
      <c r="D5" s="435"/>
      <c r="E5" s="435"/>
      <c r="F5" s="53" t="s">
        <v>20</v>
      </c>
      <c r="G5" s="11"/>
      <c r="H5" s="11"/>
      <c r="I5" s="11"/>
      <c r="J5" s="11"/>
      <c r="K5" s="11"/>
      <c r="L5" s="11"/>
      <c r="M5" s="11"/>
    </row>
    <row r="6" spans="1:13" ht="15" customHeight="1" x14ac:dyDescent="0.25">
      <c r="A6" s="722" t="s">
        <v>421</v>
      </c>
      <c r="B6" s="695" t="s">
        <v>428</v>
      </c>
      <c r="C6" s="726"/>
      <c r="D6" s="695" t="s">
        <v>17</v>
      </c>
      <c r="E6" s="726"/>
      <c r="F6" s="53" t="s">
        <v>20</v>
      </c>
    </row>
    <row r="7" spans="1:13" ht="29.25" customHeight="1" x14ac:dyDescent="0.25">
      <c r="A7" s="723"/>
      <c r="B7" s="729"/>
      <c r="C7" s="716"/>
      <c r="D7" s="729"/>
      <c r="E7" s="716"/>
      <c r="F7" s="53" t="s">
        <v>20</v>
      </c>
    </row>
    <row r="8" spans="1:13" x14ac:dyDescent="0.25">
      <c r="A8" s="724"/>
      <c r="B8" s="222" t="s">
        <v>3</v>
      </c>
      <c r="C8" s="222" t="s">
        <v>4</v>
      </c>
      <c r="D8" s="222" t="s">
        <v>3</v>
      </c>
      <c r="E8" s="222" t="s">
        <v>4</v>
      </c>
      <c r="F8" s="53" t="s">
        <v>20</v>
      </c>
    </row>
    <row r="9" spans="1:13" x14ac:dyDescent="0.25">
      <c r="A9" s="277" t="s">
        <v>429</v>
      </c>
      <c r="B9" s="276">
        <v>0</v>
      </c>
      <c r="C9" s="276">
        <v>3000</v>
      </c>
      <c r="D9" s="276"/>
      <c r="E9" s="234">
        <f t="shared" ref="E9" si="0">C9</f>
        <v>3000</v>
      </c>
      <c r="F9" s="53" t="s">
        <v>20</v>
      </c>
    </row>
    <row r="10" spans="1:13" x14ac:dyDescent="0.25">
      <c r="A10" s="66" t="s">
        <v>145</v>
      </c>
      <c r="B10" s="143">
        <f>SUM(B9:B9)</f>
        <v>0</v>
      </c>
      <c r="C10" s="143">
        <f>SUM(C9:C9)</f>
        <v>3000</v>
      </c>
      <c r="D10" s="143">
        <f>SUM(D9:D9)</f>
        <v>0</v>
      </c>
      <c r="E10" s="143">
        <f>SUM(E9:E9)</f>
        <v>3000</v>
      </c>
      <c r="F10" s="53" t="s">
        <v>20</v>
      </c>
    </row>
    <row r="11" spans="1:13" x14ac:dyDescent="0.25">
      <c r="A11" s="65"/>
      <c r="B11" s="64"/>
      <c r="C11" s="64"/>
      <c r="D11" s="64"/>
      <c r="E11" s="64"/>
      <c r="F11" s="53" t="s">
        <v>20</v>
      </c>
    </row>
    <row r="12" spans="1:13" x14ac:dyDescent="0.25">
      <c r="A12" s="278"/>
      <c r="B12" s="278"/>
      <c r="C12" s="278"/>
      <c r="F12" s="53" t="s">
        <v>20</v>
      </c>
    </row>
    <row r="13" spans="1:13" ht="15" x14ac:dyDescent="0.25">
      <c r="A13" s="369"/>
      <c r="B13" s="369"/>
      <c r="C13" s="369"/>
      <c r="D13" s="369"/>
      <c r="E13" s="369"/>
      <c r="F13" s="53" t="s">
        <v>21</v>
      </c>
    </row>
  </sheetData>
  <customSheetViews>
    <customSheetView guid="{5B2D5037-506A-47D5-AF28-C337BC9133BD}" showPageBreaks="1" printArea="1" view="pageBreakPreview">
      <selection activeCell="H10" sqref="H10"/>
      <pageMargins left="0.7" right="0.7" top="0.52" bottom="0.39" header="0.3" footer="0.23"/>
      <printOptions horizontalCentered="1"/>
      <pageSetup scale="70" fitToHeight="2" orientation="landscape" r:id="rId1"/>
      <headerFooter>
        <oddHeader xml:space="preserve">&amp;L&amp;"Arial,Bold"&amp;12J. Financial Analysis of Program Changes
</oddHeader>
        <oddFooter>&amp;C&amp;"Arial,Regular"Exhibit J - Financial Analysis of Program Changes&amp;R&amp;"Arial,Regular"Public Safety Officers' Benefits</oddFooter>
      </headerFooter>
    </customSheetView>
    <customSheetView guid="{08380F1E-0CB7-4B3B-924E-2A270EA8DD30}" showPageBreaks="1" printArea="1" view="pageBreakPreview">
      <selection activeCell="H10" sqref="H10"/>
      <pageMargins left="0.7" right="0.7" top="0.52" bottom="0.39" header="0.3" footer="0.23"/>
      <printOptions horizontalCentered="1"/>
      <pageSetup scale="70" fitToHeight="2" orientation="landscape" r:id="rId2"/>
      <headerFooter>
        <oddHeader xml:space="preserve">&amp;L&amp;"Arial,Bold"&amp;12J. Financial Analysis of Program Changes
</oddHeader>
        <oddFooter>&amp;C&amp;"Arial,Regular"Exhibit J - Financial Analysis of Program Changes&amp;R&amp;"Arial,Regular"Public Safety Officers' Benefits</oddFooter>
      </headerFooter>
    </customSheetView>
    <customSheetView guid="{D19943A8-2C2A-430A-A724-8C7C332697C8}" showPageBreaks="1" printArea="1" view="pageBreakPreview">
      <selection activeCell="H10" sqref="H10"/>
      <pageMargins left="0.7" right="0.7" top="0.52" bottom="0.39" header="0.3" footer="0.23"/>
      <printOptions horizontalCentered="1"/>
      <pageSetup scale="70" fitToHeight="2" orientation="landscape" r:id="rId3"/>
      <headerFooter>
        <oddHeader xml:space="preserve">&amp;L&amp;"Arial,Bold"&amp;12J. Financial Analysis of Program Changes
</oddHeader>
        <oddFooter>&amp;C&amp;"Arial,Regular"Exhibit J - Financial Analysis of Program Changes&amp;R&amp;"Arial,Regular"Public Safety Officers' Benefits</oddFooter>
      </headerFooter>
    </customSheetView>
    <customSheetView guid="{C6D68C6D-939C-4DFA-9385-A3F05DFB5EDA}" showPageBreaks="1" printArea="1" view="pageBreakPreview">
      <selection activeCell="H10" sqref="H10"/>
      <pageMargins left="0.7" right="0.7" top="0.52" bottom="0.39" header="0.3" footer="0.23"/>
      <printOptions horizontalCentered="1"/>
      <pageSetup scale="70" fitToHeight="2" orientation="landscape" r:id="rId4"/>
      <headerFooter>
        <oddHeader xml:space="preserve">&amp;L&amp;"Arial,Bold"&amp;12J. Financial Analysis of Program Changes
</oddHeader>
        <oddFooter>&amp;C&amp;"Arial,Regular"Exhibit J - Financial Analysis of Program Changes&amp;R&amp;"Arial,Regular"Public Safety Officers' Benefits</oddFooter>
      </headerFooter>
    </customSheetView>
  </customSheetViews>
  <mergeCells count="8">
    <mergeCell ref="A6:A8"/>
    <mergeCell ref="B6:C7"/>
    <mergeCell ref="D6:E7"/>
    <mergeCell ref="A1:E1"/>
    <mergeCell ref="A2:E2"/>
    <mergeCell ref="A3:E3"/>
    <mergeCell ref="A4:E4"/>
    <mergeCell ref="A5:C5"/>
  </mergeCells>
  <printOptions horizontalCentered="1"/>
  <pageMargins left="0.7" right="0.7" top="0.52" bottom="0.39" header="0.3" footer="0.23"/>
  <pageSetup scale="70" fitToHeight="2" orientation="landscape" r:id="rId5"/>
  <headerFooter>
    <oddHeader xml:space="preserve">&amp;L&amp;"Arial,Bold"&amp;12J. Financial Analysis of Program Changes
</oddHeader>
    <oddFooter>&amp;C&amp;"Arial,Regular"Exhibit J - Financial Analysis of Program Changes&amp;R&amp;"Arial,Regular"Public Safety Officers' Benefits</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view="pageBreakPreview" zoomScale="90" zoomScaleNormal="100" zoomScaleSheetLayoutView="90" workbookViewId="0">
      <pane xSplit="1" ySplit="7" topLeftCell="E11" activePane="bottomRight" state="frozen"/>
      <selection pane="topRight" activeCell="B1" sqref="B1"/>
      <selection pane="bottomLeft" activeCell="A8" sqref="A8"/>
      <selection pane="bottomRight" activeCell="A32" sqref="A32"/>
    </sheetView>
  </sheetViews>
  <sheetFormatPr defaultColWidth="9.109375" defaultRowHeight="13.8" x14ac:dyDescent="0.25"/>
  <cols>
    <col min="1" max="1" width="86.5546875" style="178" customWidth="1"/>
    <col min="2" max="2" width="8.33203125" style="178" customWidth="1"/>
    <col min="3" max="3" width="12.6640625" style="178" customWidth="1"/>
    <col min="4" max="4" width="8.33203125" style="178" customWidth="1"/>
    <col min="5" max="5" width="12.6640625" style="178" customWidth="1"/>
    <col min="6" max="6" width="8.33203125" style="178" customWidth="1"/>
    <col min="7" max="7" width="12.6640625" style="178" customWidth="1"/>
    <col min="8" max="8" width="8.33203125" style="178" customWidth="1"/>
    <col min="9" max="9" width="12.6640625" style="178" customWidth="1"/>
    <col min="10" max="10" width="14" style="7" bestFit="1" customWidth="1"/>
    <col min="11" max="11" width="4.5546875" style="178" customWidth="1"/>
    <col min="12" max="13" width="8.33203125" style="178" customWidth="1"/>
    <col min="14" max="14" width="12.6640625" style="178" customWidth="1"/>
    <col min="15" max="16" width="8.33203125" style="178" customWidth="1"/>
    <col min="17" max="17" width="12.6640625" style="178" customWidth="1"/>
    <col min="18" max="16384" width="9.109375" style="178"/>
  </cols>
  <sheetData>
    <row r="1" spans="1:17" ht="18" x14ac:dyDescent="0.25">
      <c r="A1" s="633" t="s">
        <v>67</v>
      </c>
      <c r="B1" s="633"/>
      <c r="C1" s="633"/>
      <c r="D1" s="633"/>
      <c r="E1" s="633"/>
      <c r="F1" s="633"/>
      <c r="G1" s="633"/>
      <c r="H1" s="633"/>
      <c r="I1" s="633"/>
      <c r="J1" s="53" t="s">
        <v>20</v>
      </c>
      <c r="K1" s="9"/>
      <c r="L1" s="9"/>
      <c r="M1" s="9"/>
      <c r="N1" s="9"/>
      <c r="O1" s="9"/>
      <c r="P1" s="9"/>
      <c r="Q1" s="9"/>
    </row>
    <row r="2" spans="1:17" ht="15" x14ac:dyDescent="0.2">
      <c r="A2" s="634" t="s">
        <v>160</v>
      </c>
      <c r="B2" s="634"/>
      <c r="C2" s="634"/>
      <c r="D2" s="634"/>
      <c r="E2" s="634"/>
      <c r="F2" s="634"/>
      <c r="G2" s="634"/>
      <c r="H2" s="634"/>
      <c r="I2" s="634"/>
      <c r="J2" s="53" t="s">
        <v>20</v>
      </c>
      <c r="K2" s="10"/>
      <c r="L2" s="10"/>
      <c r="M2" s="10"/>
      <c r="N2" s="10"/>
      <c r="O2" s="10"/>
      <c r="P2" s="10"/>
      <c r="Q2" s="10"/>
    </row>
    <row r="3" spans="1:17" ht="14.25" x14ac:dyDescent="0.2">
      <c r="A3" s="635" t="s">
        <v>421</v>
      </c>
      <c r="B3" s="635"/>
      <c r="C3" s="635"/>
      <c r="D3" s="635"/>
      <c r="E3" s="635"/>
      <c r="F3" s="635"/>
      <c r="G3" s="635"/>
      <c r="H3" s="635"/>
      <c r="I3" s="635"/>
      <c r="J3" s="53" t="s">
        <v>20</v>
      </c>
      <c r="K3" s="221"/>
      <c r="L3" s="221"/>
      <c r="M3" s="221"/>
      <c r="N3" s="221"/>
      <c r="O3" s="221"/>
      <c r="P3" s="221"/>
      <c r="Q3" s="221"/>
    </row>
    <row r="4" spans="1:17" ht="14.25" x14ac:dyDescent="0.2">
      <c r="A4" s="637" t="s">
        <v>1</v>
      </c>
      <c r="B4" s="637"/>
      <c r="C4" s="637"/>
      <c r="D4" s="637"/>
      <c r="E4" s="637"/>
      <c r="F4" s="637"/>
      <c r="G4" s="637"/>
      <c r="H4" s="637"/>
      <c r="I4" s="637"/>
      <c r="J4" s="53" t="s">
        <v>20</v>
      </c>
      <c r="K4" s="11"/>
      <c r="L4" s="11"/>
      <c r="M4" s="11"/>
      <c r="N4" s="11"/>
      <c r="O4" s="11"/>
      <c r="P4" s="11"/>
      <c r="Q4" s="11"/>
    </row>
    <row r="5" spans="1:17" ht="15" thickBot="1" x14ac:dyDescent="0.25">
      <c r="A5" s="637"/>
      <c r="B5" s="637"/>
      <c r="C5" s="637"/>
      <c r="D5" s="637"/>
      <c r="E5" s="637"/>
      <c r="F5" s="637"/>
      <c r="G5" s="637"/>
      <c r="H5" s="637"/>
      <c r="I5" s="637"/>
      <c r="J5" s="53" t="s">
        <v>20</v>
      </c>
      <c r="K5" s="11"/>
      <c r="L5" s="11"/>
      <c r="M5" s="11"/>
      <c r="N5" s="11"/>
      <c r="O5" s="11"/>
      <c r="P5" s="11"/>
      <c r="Q5" s="11"/>
    </row>
    <row r="6" spans="1:17" x14ac:dyDescent="0.25">
      <c r="A6" s="638" t="s">
        <v>68</v>
      </c>
      <c r="B6" s="641" t="s">
        <v>45</v>
      </c>
      <c r="C6" s="641"/>
      <c r="D6" s="641" t="s">
        <v>420</v>
      </c>
      <c r="E6" s="641"/>
      <c r="F6" s="641" t="s">
        <v>24</v>
      </c>
      <c r="G6" s="641"/>
      <c r="H6" s="641" t="s">
        <v>46</v>
      </c>
      <c r="I6" s="642"/>
      <c r="J6" s="53" t="s">
        <v>20</v>
      </c>
    </row>
    <row r="7" spans="1:17" ht="27.6" x14ac:dyDescent="0.25">
      <c r="A7" s="639"/>
      <c r="B7" s="222" t="s">
        <v>30</v>
      </c>
      <c r="C7" s="222" t="s">
        <v>4</v>
      </c>
      <c r="D7" s="222" t="s">
        <v>30</v>
      </c>
      <c r="E7" s="222" t="s">
        <v>4</v>
      </c>
      <c r="F7" s="222" t="s">
        <v>30</v>
      </c>
      <c r="G7" s="222" t="s">
        <v>4</v>
      </c>
      <c r="H7" s="222" t="s">
        <v>30</v>
      </c>
      <c r="I7" s="223" t="s">
        <v>4</v>
      </c>
      <c r="J7" s="53" t="s">
        <v>20</v>
      </c>
    </row>
    <row r="8" spans="1:17" ht="14.25" x14ac:dyDescent="0.2">
      <c r="A8" s="232" t="s">
        <v>69</v>
      </c>
      <c r="B8" s="225">
        <v>0</v>
      </c>
      <c r="C8" s="225">
        <v>0</v>
      </c>
      <c r="D8" s="225">
        <v>0</v>
      </c>
      <c r="E8" s="225">
        <v>0</v>
      </c>
      <c r="F8" s="225">
        <v>0</v>
      </c>
      <c r="G8" s="225">
        <v>0</v>
      </c>
      <c r="H8" s="225">
        <f>F8-D8</f>
        <v>0</v>
      </c>
      <c r="I8" s="226">
        <f>G8-E8</f>
        <v>0</v>
      </c>
      <c r="J8" s="53" t="s">
        <v>20</v>
      </c>
    </row>
    <row r="9" spans="1:17" ht="14.25" x14ac:dyDescent="0.2">
      <c r="A9" s="177" t="s">
        <v>70</v>
      </c>
      <c r="B9" s="208">
        <v>0</v>
      </c>
      <c r="C9" s="208">
        <v>0</v>
      </c>
      <c r="D9" s="208">
        <v>0</v>
      </c>
      <c r="E9" s="208">
        <v>0</v>
      </c>
      <c r="F9" s="208">
        <v>0</v>
      </c>
      <c r="G9" s="208">
        <v>0</v>
      </c>
      <c r="H9" s="208">
        <f t="shared" ref="H9:I13" si="0">F9-D9</f>
        <v>0</v>
      </c>
      <c r="I9" s="205">
        <f t="shared" si="0"/>
        <v>0</v>
      </c>
      <c r="J9" s="53" t="s">
        <v>20</v>
      </c>
    </row>
    <row r="10" spans="1:17" ht="14.25" x14ac:dyDescent="0.2">
      <c r="A10" s="177" t="s">
        <v>146</v>
      </c>
      <c r="B10" s="208">
        <f>SUM(B11:B12)</f>
        <v>0</v>
      </c>
      <c r="C10" s="208">
        <f t="shared" ref="C10:G10" si="1">SUM(C11:C12)</f>
        <v>0</v>
      </c>
      <c r="D10" s="208">
        <f t="shared" si="1"/>
        <v>0</v>
      </c>
      <c r="E10" s="208">
        <f t="shared" si="1"/>
        <v>0</v>
      </c>
      <c r="F10" s="208">
        <f t="shared" si="1"/>
        <v>0</v>
      </c>
      <c r="G10" s="208">
        <f t="shared" si="1"/>
        <v>0</v>
      </c>
      <c r="H10" s="208">
        <f t="shared" si="0"/>
        <v>0</v>
      </c>
      <c r="I10" s="205">
        <f t="shared" si="0"/>
        <v>0</v>
      </c>
      <c r="J10" s="53" t="s">
        <v>20</v>
      </c>
    </row>
    <row r="11" spans="1:17" ht="14.25" x14ac:dyDescent="0.2">
      <c r="A11" s="60" t="s">
        <v>29</v>
      </c>
      <c r="B11" s="169">
        <v>0</v>
      </c>
      <c r="C11" s="169">
        <v>0</v>
      </c>
      <c r="D11" s="169">
        <v>0</v>
      </c>
      <c r="E11" s="169">
        <v>0</v>
      </c>
      <c r="F11" s="169">
        <v>0</v>
      </c>
      <c r="G11" s="169">
        <v>0</v>
      </c>
      <c r="H11" s="169">
        <f t="shared" si="0"/>
        <v>0</v>
      </c>
      <c r="I11" s="170">
        <f t="shared" si="0"/>
        <v>0</v>
      </c>
      <c r="J11" s="53" t="s">
        <v>20</v>
      </c>
    </row>
    <row r="12" spans="1:17" ht="14.25" x14ac:dyDescent="0.2">
      <c r="A12" s="60" t="s">
        <v>71</v>
      </c>
      <c r="B12" s="169">
        <v>0</v>
      </c>
      <c r="C12" s="169">
        <v>0</v>
      </c>
      <c r="D12" s="169">
        <v>0</v>
      </c>
      <c r="E12" s="169">
        <v>0</v>
      </c>
      <c r="F12" s="169">
        <v>0</v>
      </c>
      <c r="G12" s="169">
        <v>0</v>
      </c>
      <c r="H12" s="169">
        <f t="shared" si="0"/>
        <v>0</v>
      </c>
      <c r="I12" s="170">
        <f t="shared" si="0"/>
        <v>0</v>
      </c>
      <c r="J12" s="53" t="s">
        <v>20</v>
      </c>
    </row>
    <row r="13" spans="1:17" ht="14.25" x14ac:dyDescent="0.2">
      <c r="A13" s="177" t="s">
        <v>72</v>
      </c>
      <c r="B13" s="230">
        <v>0</v>
      </c>
      <c r="C13" s="230">
        <v>0</v>
      </c>
      <c r="D13" s="230">
        <v>0</v>
      </c>
      <c r="E13" s="230">
        <v>0</v>
      </c>
      <c r="F13" s="230">
        <v>0</v>
      </c>
      <c r="G13" s="230">
        <v>0</v>
      </c>
      <c r="H13" s="230">
        <f t="shared" si="0"/>
        <v>0</v>
      </c>
      <c r="I13" s="231">
        <f t="shared" si="0"/>
        <v>0</v>
      </c>
      <c r="J13" s="53" t="s">
        <v>20</v>
      </c>
    </row>
    <row r="14" spans="1:17" ht="15" x14ac:dyDescent="0.25">
      <c r="A14" s="62" t="s">
        <v>25</v>
      </c>
      <c r="B14" s="127">
        <f>SUM(B8:B10,B13)</f>
        <v>0</v>
      </c>
      <c r="C14" s="127">
        <f t="shared" ref="C14:I14" si="2">SUM(C8:C10,C13)</f>
        <v>0</v>
      </c>
      <c r="D14" s="127">
        <f t="shared" si="2"/>
        <v>0</v>
      </c>
      <c r="E14" s="127">
        <f t="shared" si="2"/>
        <v>0</v>
      </c>
      <c r="F14" s="127">
        <f t="shared" si="2"/>
        <v>0</v>
      </c>
      <c r="G14" s="127">
        <f t="shared" si="2"/>
        <v>0</v>
      </c>
      <c r="H14" s="127">
        <f t="shared" si="2"/>
        <v>0</v>
      </c>
      <c r="I14" s="133">
        <f t="shared" si="2"/>
        <v>0</v>
      </c>
      <c r="J14" s="53" t="s">
        <v>20</v>
      </c>
    </row>
    <row r="15" spans="1:17" ht="15" x14ac:dyDescent="0.25">
      <c r="A15" s="61" t="s">
        <v>73</v>
      </c>
      <c r="B15" s="208"/>
      <c r="C15" s="208"/>
      <c r="D15" s="208"/>
      <c r="E15" s="208"/>
      <c r="F15" s="208"/>
      <c r="G15" s="208"/>
      <c r="H15" s="208"/>
      <c r="I15" s="205"/>
      <c r="J15" s="53" t="s">
        <v>20</v>
      </c>
    </row>
    <row r="16" spans="1:17" ht="14.25" x14ac:dyDescent="0.2">
      <c r="A16" s="177" t="s">
        <v>74</v>
      </c>
      <c r="B16" s="208"/>
      <c r="C16" s="208">
        <v>0</v>
      </c>
      <c r="D16" s="208"/>
      <c r="E16" s="208">
        <v>0</v>
      </c>
      <c r="F16" s="208"/>
      <c r="G16" s="208">
        <v>0</v>
      </c>
      <c r="H16" s="208"/>
      <c r="I16" s="205">
        <f t="shared" ref="I16:I36" si="3">G16-E16</f>
        <v>0</v>
      </c>
      <c r="J16" s="53" t="s">
        <v>20</v>
      </c>
    </row>
    <row r="17" spans="1:10" ht="14.25" x14ac:dyDescent="0.2">
      <c r="A17" s="177" t="s">
        <v>75</v>
      </c>
      <c r="B17" s="208"/>
      <c r="C17" s="208">
        <v>0</v>
      </c>
      <c r="D17" s="208"/>
      <c r="E17" s="208">
        <v>0</v>
      </c>
      <c r="F17" s="208"/>
      <c r="G17" s="208">
        <v>0</v>
      </c>
      <c r="H17" s="208"/>
      <c r="I17" s="205">
        <f t="shared" si="3"/>
        <v>0</v>
      </c>
      <c r="J17" s="53" t="s">
        <v>20</v>
      </c>
    </row>
    <row r="18" spans="1:10" ht="13.95" x14ac:dyDescent="0.25">
      <c r="A18" s="177" t="s">
        <v>76</v>
      </c>
      <c r="B18" s="208"/>
      <c r="C18" s="208">
        <v>0</v>
      </c>
      <c r="D18" s="208"/>
      <c r="E18" s="208">
        <v>0</v>
      </c>
      <c r="F18" s="208"/>
      <c r="G18" s="208">
        <v>0</v>
      </c>
      <c r="H18" s="208"/>
      <c r="I18" s="205">
        <f t="shared" si="3"/>
        <v>0</v>
      </c>
      <c r="J18" s="53" t="s">
        <v>20</v>
      </c>
    </row>
    <row r="19" spans="1:10" ht="13.95" x14ac:dyDescent="0.25">
      <c r="A19" s="177" t="s">
        <v>147</v>
      </c>
      <c r="B19" s="208"/>
      <c r="C19" s="208">
        <v>0</v>
      </c>
      <c r="D19" s="208"/>
      <c r="E19" s="208">
        <v>0</v>
      </c>
      <c r="F19" s="208"/>
      <c r="G19" s="208">
        <v>0</v>
      </c>
      <c r="H19" s="208"/>
      <c r="I19" s="205">
        <f t="shared" si="3"/>
        <v>0</v>
      </c>
      <c r="J19" s="53" t="s">
        <v>20</v>
      </c>
    </row>
    <row r="20" spans="1:10" ht="13.95" x14ac:dyDescent="0.25">
      <c r="A20" s="177" t="s">
        <v>77</v>
      </c>
      <c r="B20" s="208"/>
      <c r="C20" s="208">
        <v>0</v>
      </c>
      <c r="D20" s="208"/>
      <c r="E20" s="208">
        <v>0</v>
      </c>
      <c r="F20" s="208"/>
      <c r="G20" s="208">
        <v>0</v>
      </c>
      <c r="H20" s="208"/>
      <c r="I20" s="205">
        <f t="shared" si="3"/>
        <v>0</v>
      </c>
      <c r="J20" s="53" t="s">
        <v>20</v>
      </c>
    </row>
    <row r="21" spans="1:10" x14ac:dyDescent="0.25">
      <c r="A21" s="177" t="s">
        <v>78</v>
      </c>
      <c r="B21" s="208"/>
      <c r="C21" s="208">
        <v>0</v>
      </c>
      <c r="D21" s="208"/>
      <c r="E21" s="208">
        <v>0</v>
      </c>
      <c r="F21" s="208"/>
      <c r="G21" s="208">
        <v>0</v>
      </c>
      <c r="H21" s="208"/>
      <c r="I21" s="205">
        <f t="shared" si="3"/>
        <v>0</v>
      </c>
      <c r="J21" s="53" t="s">
        <v>20</v>
      </c>
    </row>
    <row r="22" spans="1:10" x14ac:dyDescent="0.25">
      <c r="A22" s="177" t="s">
        <v>79</v>
      </c>
      <c r="B22" s="208"/>
      <c r="C22" s="208">
        <v>0</v>
      </c>
      <c r="D22" s="208"/>
      <c r="E22" s="208">
        <v>0</v>
      </c>
      <c r="F22" s="208"/>
      <c r="G22" s="208">
        <v>0</v>
      </c>
      <c r="H22" s="208"/>
      <c r="I22" s="205">
        <f t="shared" si="3"/>
        <v>0</v>
      </c>
      <c r="J22" s="53" t="s">
        <v>20</v>
      </c>
    </row>
    <row r="23" spans="1:10" x14ac:dyDescent="0.25">
      <c r="A23" s="177" t="s">
        <v>80</v>
      </c>
      <c r="B23" s="208"/>
      <c r="C23" s="208">
        <v>0</v>
      </c>
      <c r="D23" s="208"/>
      <c r="E23" s="208">
        <v>0</v>
      </c>
      <c r="F23" s="208"/>
      <c r="G23" s="208">
        <v>0</v>
      </c>
      <c r="H23" s="208"/>
      <c r="I23" s="205">
        <f t="shared" si="3"/>
        <v>0</v>
      </c>
      <c r="J23" s="53" t="s">
        <v>20</v>
      </c>
    </row>
    <row r="24" spans="1:10" x14ac:dyDescent="0.25">
      <c r="A24" s="177" t="s">
        <v>81</v>
      </c>
      <c r="B24" s="208"/>
      <c r="C24" s="208">
        <v>2947</v>
      </c>
      <c r="D24" s="208"/>
      <c r="E24" s="208">
        <v>0</v>
      </c>
      <c r="F24" s="208"/>
      <c r="G24" s="208">
        <v>0</v>
      </c>
      <c r="H24" s="208"/>
      <c r="I24" s="205">
        <f t="shared" si="3"/>
        <v>0</v>
      </c>
      <c r="J24" s="53" t="s">
        <v>20</v>
      </c>
    </row>
    <row r="25" spans="1:10" x14ac:dyDescent="0.25">
      <c r="A25" s="177" t="s">
        <v>82</v>
      </c>
      <c r="B25" s="208"/>
      <c r="C25" s="208">
        <v>33</v>
      </c>
      <c r="D25" s="208"/>
      <c r="E25" s="208">
        <v>0</v>
      </c>
      <c r="F25" s="208"/>
      <c r="G25" s="208">
        <v>0</v>
      </c>
      <c r="H25" s="208"/>
      <c r="I25" s="205">
        <f t="shared" si="3"/>
        <v>0</v>
      </c>
      <c r="J25" s="53" t="s">
        <v>20</v>
      </c>
    </row>
    <row r="26" spans="1:10" x14ac:dyDescent="0.25">
      <c r="A26" s="177" t="s">
        <v>83</v>
      </c>
      <c r="B26" s="208"/>
      <c r="C26" s="208">
        <v>3263</v>
      </c>
      <c r="D26" s="208"/>
      <c r="E26" s="208">
        <v>0</v>
      </c>
      <c r="F26" s="208"/>
      <c r="G26" s="208">
        <v>0</v>
      </c>
      <c r="H26" s="208"/>
      <c r="I26" s="205">
        <f t="shared" si="3"/>
        <v>0</v>
      </c>
      <c r="J26" s="53" t="s">
        <v>20</v>
      </c>
    </row>
    <row r="27" spans="1:10" x14ac:dyDescent="0.25">
      <c r="A27" s="177" t="s">
        <v>84</v>
      </c>
      <c r="B27" s="208"/>
      <c r="C27" s="208">
        <v>0</v>
      </c>
      <c r="D27" s="208"/>
      <c r="E27" s="208">
        <v>0</v>
      </c>
      <c r="F27" s="208"/>
      <c r="G27" s="208">
        <v>0</v>
      </c>
      <c r="H27" s="208"/>
      <c r="I27" s="205">
        <f t="shared" si="3"/>
        <v>0</v>
      </c>
      <c r="J27" s="53" t="s">
        <v>20</v>
      </c>
    </row>
    <row r="28" spans="1:10" x14ac:dyDescent="0.25">
      <c r="A28" s="177" t="s">
        <v>85</v>
      </c>
      <c r="B28" s="208"/>
      <c r="C28" s="208">
        <v>0</v>
      </c>
      <c r="D28" s="208"/>
      <c r="E28" s="208">
        <v>0</v>
      </c>
      <c r="F28" s="208"/>
      <c r="G28" s="208">
        <v>0</v>
      </c>
      <c r="H28" s="208"/>
      <c r="I28" s="205">
        <f t="shared" si="3"/>
        <v>0</v>
      </c>
      <c r="J28" s="53" t="s">
        <v>20</v>
      </c>
    </row>
    <row r="29" spans="1:10" x14ac:dyDescent="0.25">
      <c r="A29" s="177" t="s">
        <v>34</v>
      </c>
      <c r="B29" s="208"/>
      <c r="C29" s="208">
        <v>0</v>
      </c>
      <c r="D29" s="208"/>
      <c r="E29" s="208">
        <v>0</v>
      </c>
      <c r="F29" s="208"/>
      <c r="G29" s="208">
        <v>0</v>
      </c>
      <c r="H29" s="208"/>
      <c r="I29" s="205">
        <f t="shared" si="3"/>
        <v>0</v>
      </c>
      <c r="J29" s="53" t="s">
        <v>20</v>
      </c>
    </row>
    <row r="30" spans="1:10" x14ac:dyDescent="0.25">
      <c r="A30" s="177" t="s">
        <v>86</v>
      </c>
      <c r="B30" s="208"/>
      <c r="C30" s="208">
        <v>0</v>
      </c>
      <c r="D30" s="208"/>
      <c r="E30" s="208">
        <v>0</v>
      </c>
      <c r="F30" s="208"/>
      <c r="G30" s="208">
        <v>0</v>
      </c>
      <c r="H30" s="208"/>
      <c r="I30" s="205">
        <f t="shared" si="3"/>
        <v>0</v>
      </c>
      <c r="J30" s="53" t="s">
        <v>20</v>
      </c>
    </row>
    <row r="31" spans="1:10" x14ac:dyDescent="0.25">
      <c r="A31" s="177" t="s">
        <v>87</v>
      </c>
      <c r="B31" s="208"/>
      <c r="C31" s="208">
        <v>0</v>
      </c>
      <c r="D31" s="208"/>
      <c r="E31" s="208">
        <v>0</v>
      </c>
      <c r="F31" s="208"/>
      <c r="G31" s="208">
        <v>0</v>
      </c>
      <c r="H31" s="208"/>
      <c r="I31" s="205">
        <f t="shared" si="3"/>
        <v>0</v>
      </c>
      <c r="J31" s="53" t="s">
        <v>20</v>
      </c>
    </row>
    <row r="32" spans="1:10" x14ac:dyDescent="0.25">
      <c r="A32" s="177" t="s">
        <v>88</v>
      </c>
      <c r="B32" s="208"/>
      <c r="C32" s="208">
        <v>5</v>
      </c>
      <c r="D32" s="208"/>
      <c r="E32" s="208">
        <v>0</v>
      </c>
      <c r="F32" s="208"/>
      <c r="G32" s="208">
        <v>0</v>
      </c>
      <c r="H32" s="208"/>
      <c r="I32" s="205">
        <f t="shared" si="3"/>
        <v>0</v>
      </c>
      <c r="J32" s="53" t="s">
        <v>20</v>
      </c>
    </row>
    <row r="33" spans="1:10" x14ac:dyDescent="0.25">
      <c r="A33" s="177" t="s">
        <v>89</v>
      </c>
      <c r="B33" s="208"/>
      <c r="C33" s="208">
        <v>0</v>
      </c>
      <c r="D33" s="208"/>
      <c r="E33" s="208">
        <v>0</v>
      </c>
      <c r="F33" s="208"/>
      <c r="G33" s="208">
        <v>0</v>
      </c>
      <c r="H33" s="208"/>
      <c r="I33" s="205">
        <f t="shared" si="3"/>
        <v>0</v>
      </c>
      <c r="J33" s="53" t="s">
        <v>20</v>
      </c>
    </row>
    <row r="34" spans="1:10" x14ac:dyDescent="0.25">
      <c r="A34" s="177" t="s">
        <v>90</v>
      </c>
      <c r="B34" s="208"/>
      <c r="C34" s="208">
        <v>0</v>
      </c>
      <c r="D34" s="208"/>
      <c r="E34" s="208">
        <v>0</v>
      </c>
      <c r="F34" s="208"/>
      <c r="G34" s="208">
        <v>0</v>
      </c>
      <c r="H34" s="208"/>
      <c r="I34" s="205">
        <f t="shared" si="3"/>
        <v>0</v>
      </c>
      <c r="J34" s="53" t="s">
        <v>20</v>
      </c>
    </row>
    <row r="35" spans="1:10" x14ac:dyDescent="0.25">
      <c r="A35" s="177" t="s">
        <v>91</v>
      </c>
      <c r="B35" s="208"/>
      <c r="C35" s="208">
        <v>5704</v>
      </c>
      <c r="D35" s="208"/>
      <c r="E35" s="208">
        <v>0</v>
      </c>
      <c r="F35" s="208"/>
      <c r="G35" s="208">
        <v>0</v>
      </c>
      <c r="H35" s="208"/>
      <c r="I35" s="205">
        <f t="shared" si="3"/>
        <v>0</v>
      </c>
      <c r="J35" s="53" t="s">
        <v>20</v>
      </c>
    </row>
    <row r="36" spans="1:10" x14ac:dyDescent="0.25">
      <c r="A36" s="177" t="s">
        <v>92</v>
      </c>
      <c r="B36" s="208"/>
      <c r="C36" s="208">
        <v>80202</v>
      </c>
      <c r="D36" s="208"/>
      <c r="E36" s="208">
        <v>91354</v>
      </c>
      <c r="F36" s="208"/>
      <c r="G36" s="208">
        <v>81300</v>
      </c>
      <c r="H36" s="208"/>
      <c r="I36" s="470">
        <f t="shared" si="3"/>
        <v>-10054</v>
      </c>
      <c r="J36" s="53" t="s">
        <v>20</v>
      </c>
    </row>
    <row r="37" spans="1:10" x14ac:dyDescent="0.25">
      <c r="A37" s="62" t="s">
        <v>93</v>
      </c>
      <c r="B37" s="70"/>
      <c r="C37" s="70">
        <f>SUM(C14:C36)</f>
        <v>92154</v>
      </c>
      <c r="D37" s="70"/>
      <c r="E37" s="70">
        <f t="shared" ref="E37:I37" si="4">SUM(E14:E36)</f>
        <v>91354</v>
      </c>
      <c r="F37" s="70"/>
      <c r="G37" s="70">
        <f t="shared" si="4"/>
        <v>81300</v>
      </c>
      <c r="H37" s="70"/>
      <c r="I37" s="471">
        <f t="shared" si="4"/>
        <v>-10054</v>
      </c>
      <c r="J37" s="53" t="s">
        <v>20</v>
      </c>
    </row>
    <row r="38" spans="1:10" x14ac:dyDescent="0.25">
      <c r="A38" s="177" t="s">
        <v>462</v>
      </c>
      <c r="B38" s="208"/>
      <c r="C38" s="290">
        <v>-4328</v>
      </c>
      <c r="D38" s="208"/>
      <c r="E38" s="290">
        <v>-12847</v>
      </c>
      <c r="F38" s="208"/>
      <c r="G38" s="208">
        <v>0</v>
      </c>
      <c r="H38" s="208"/>
      <c r="I38" s="205">
        <f>G38-E38</f>
        <v>12847</v>
      </c>
      <c r="J38" s="53" t="s">
        <v>20</v>
      </c>
    </row>
    <row r="39" spans="1:10" x14ac:dyDescent="0.25">
      <c r="A39" s="177" t="s">
        <v>474</v>
      </c>
      <c r="B39" s="208"/>
      <c r="C39" s="290">
        <v>40</v>
      </c>
      <c r="D39" s="208"/>
      <c r="E39" s="208">
        <v>0</v>
      </c>
      <c r="F39" s="208"/>
      <c r="G39" s="208">
        <v>0</v>
      </c>
      <c r="H39" s="208"/>
      <c r="I39" s="205">
        <f t="shared" ref="I39:I41" si="5">G39-E39</f>
        <v>0</v>
      </c>
      <c r="J39" s="53" t="s">
        <v>20</v>
      </c>
    </row>
    <row r="40" spans="1:10" x14ac:dyDescent="0.25">
      <c r="A40" s="177" t="s">
        <v>139</v>
      </c>
      <c r="B40" s="208"/>
      <c r="C40" s="290">
        <v>-413</v>
      </c>
      <c r="D40" s="208"/>
      <c r="E40" s="290">
        <v>-107</v>
      </c>
      <c r="F40" s="208"/>
      <c r="G40" s="208">
        <v>0</v>
      </c>
      <c r="H40" s="208"/>
      <c r="I40" s="205">
        <f t="shared" si="5"/>
        <v>107</v>
      </c>
      <c r="J40" s="53" t="s">
        <v>20</v>
      </c>
    </row>
    <row r="41" spans="1:10" x14ac:dyDescent="0.25">
      <c r="A41" s="177" t="s">
        <v>465</v>
      </c>
      <c r="B41" s="208"/>
      <c r="C41" s="208">
        <v>12847</v>
      </c>
      <c r="D41" s="208"/>
      <c r="E41" s="208">
        <v>0</v>
      </c>
      <c r="F41" s="208"/>
      <c r="G41" s="208">
        <v>0</v>
      </c>
      <c r="H41" s="208"/>
      <c r="I41" s="205">
        <f t="shared" si="5"/>
        <v>0</v>
      </c>
      <c r="J41" s="53" t="s">
        <v>20</v>
      </c>
    </row>
    <row r="42" spans="1:10" ht="14.4" thickBot="1" x14ac:dyDescent="0.3">
      <c r="A42" s="63" t="s">
        <v>94</v>
      </c>
      <c r="B42" s="171">
        <f t="shared" ref="B42:I42" si="6">SUM(B37:B41)</f>
        <v>0</v>
      </c>
      <c r="C42" s="171">
        <f t="shared" si="6"/>
        <v>100300</v>
      </c>
      <c r="D42" s="171">
        <f t="shared" si="6"/>
        <v>0</v>
      </c>
      <c r="E42" s="171">
        <f t="shared" si="6"/>
        <v>78400</v>
      </c>
      <c r="F42" s="171">
        <f t="shared" si="6"/>
        <v>0</v>
      </c>
      <c r="G42" s="171">
        <f t="shared" si="6"/>
        <v>81300</v>
      </c>
      <c r="H42" s="171">
        <f t="shared" si="6"/>
        <v>0</v>
      </c>
      <c r="I42" s="172">
        <f t="shared" si="6"/>
        <v>2900</v>
      </c>
      <c r="J42" s="53" t="s">
        <v>20</v>
      </c>
    </row>
    <row r="43" spans="1:10" x14ac:dyDescent="0.25">
      <c r="J43" s="7" t="s">
        <v>21</v>
      </c>
    </row>
    <row r="44" spans="1:10" x14ac:dyDescent="0.25">
      <c r="A44" s="178" t="s">
        <v>271</v>
      </c>
    </row>
  </sheetData>
  <customSheetViews>
    <customSheetView guid="{5B2D5037-506A-47D5-AF28-C337BC9133BD}" scale="90" showPageBreaks="1" printArea="1" view="pageBreakPreview">
      <pane xSplit="1" ySplit="7" topLeftCell="E11" activePane="bottomRight" state="frozen"/>
      <selection pane="bottomRight" activeCell="A32" sqref="A32"/>
      <pageMargins left="0.6" right="0.6" top="0.56999999999999995" bottom="0.55000000000000004" header="0.3" footer="0.3"/>
      <printOptions horizontalCentered="1"/>
      <pageSetup scale="72" orientation="landscape" r:id="rId1"/>
      <headerFooter>
        <oddHeader>&amp;L&amp;"Arial,Bold"&amp;12L. Summary of Requirements by Object Class</oddHeader>
        <oddFooter>&amp;C&amp;"Arial,Regular"Exhibit L - Summary of Requirements by Object Class&amp;R&amp;"Arial,Regular"Public Safety Officers' Benefits</oddFooter>
      </headerFooter>
    </customSheetView>
    <customSheetView guid="{08380F1E-0CB7-4B3B-924E-2A270EA8DD30}" scale="90" showPageBreaks="1" printArea="1" view="pageBreakPreview">
      <pane xSplit="1" ySplit="7" topLeftCell="B8" activePane="bottomRight" state="frozen"/>
      <selection pane="bottomRight" activeCell="A38" sqref="A38"/>
      <pageMargins left="0.6" right="0.6" top="0.56999999999999995" bottom="0.55000000000000004" header="0.3" footer="0.3"/>
      <printOptions horizontalCentered="1"/>
      <pageSetup scale="72" orientation="landscape" r:id="rId2"/>
      <headerFooter>
        <oddHeader>&amp;L&amp;"Arial,Bold"&amp;12L. Summary of Requirements by Object Class</oddHeader>
        <oddFooter>&amp;C&amp;"Arial,Regular"Exhibit L - Summary of Requirements by Object Class&amp;R&amp;"Arial,Regular"Public Safety Officers' Benefits</oddFooter>
      </headerFooter>
    </customSheetView>
    <customSheetView guid="{D19943A8-2C2A-430A-A724-8C7C332697C8}" scale="90" showPageBreaks="1" printArea="1" view="pageBreakPreview">
      <pane xSplit="1" ySplit="7" topLeftCell="B8" activePane="bottomRight" state="frozen"/>
      <selection pane="bottomRight" activeCell="A38" sqref="A38"/>
      <pageMargins left="0.6" right="0.6" top="0.56999999999999995" bottom="0.55000000000000004" header="0.3" footer="0.3"/>
      <printOptions horizontalCentered="1"/>
      <pageSetup scale="72" orientation="landscape" r:id="rId3"/>
      <headerFooter>
        <oddHeader>&amp;L&amp;"Arial,Bold"&amp;12L. Summary of Requirements by Object Class</oddHeader>
        <oddFooter>&amp;C&amp;"Arial,Regular"Exhibit L - Summary of Requirements by Object Class&amp;R&amp;"Arial,Regular"Public Safety Officers' Benefits</oddFooter>
      </headerFooter>
    </customSheetView>
    <customSheetView guid="{C6D68C6D-939C-4DFA-9385-A3F05DFB5EDA}" scale="90" showPageBreaks="1" printArea="1" view="pageBreakPreview">
      <pane xSplit="1" ySplit="7" topLeftCell="B8" activePane="bottomRight" state="frozen"/>
      <selection pane="bottomRight" activeCell="A38" sqref="A38"/>
      <pageMargins left="0.6" right="0.6" top="0.56999999999999995" bottom="0.55000000000000004" header="0.3" footer="0.3"/>
      <printOptions horizontalCentered="1"/>
      <pageSetup scale="72" orientation="landscape" r:id="rId4"/>
      <headerFooter>
        <oddHeader>&amp;L&amp;"Arial,Bold"&amp;12L. Summary of Requirements by Object Class</oddHeader>
        <oddFooter>&amp;C&amp;"Arial,Regular"Exhibit L - Summary of Requirements by Object Class&amp;R&amp;"Arial,Regular"Public Safety Officers' Benefits</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5"/>
  <headerFooter>
    <oddHeader>&amp;L&amp;"Arial,Bold"&amp;12L. Summary of Requirements by Object Class</oddHeader>
    <oddFooter>&amp;C&amp;"Arial,Regular"Exhibit L - Summary of Requirements by Object Class&amp;R&amp;"Arial,Regular"Public Safety Officers' Benefits</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topLeftCell="C4" zoomScale="90" zoomScaleNormal="100" zoomScaleSheetLayoutView="90" workbookViewId="0">
      <selection activeCell="A38" sqref="A38"/>
    </sheetView>
  </sheetViews>
  <sheetFormatPr defaultColWidth="9.109375" defaultRowHeight="13.8" x14ac:dyDescent="0.25"/>
  <cols>
    <col min="1" max="1" width="113.5546875" style="178" customWidth="1"/>
    <col min="2" max="3" width="14.5546875" style="199" customWidth="1"/>
    <col min="4" max="4" width="14.5546875" style="200" customWidth="1"/>
    <col min="5" max="5" width="11.5546875" style="7" bestFit="1" customWidth="1"/>
    <col min="6" max="6" width="4.88671875" style="178" customWidth="1"/>
    <col min="7" max="16384" width="9.109375" style="178"/>
  </cols>
  <sheetData>
    <row r="1" spans="1:5" ht="18" x14ac:dyDescent="0.25">
      <c r="A1" s="633" t="s">
        <v>0</v>
      </c>
      <c r="B1" s="633"/>
      <c r="C1" s="633"/>
      <c r="D1" s="633"/>
      <c r="E1" s="7" t="s">
        <v>20</v>
      </c>
    </row>
    <row r="2" spans="1:5" ht="15" x14ac:dyDescent="0.2">
      <c r="A2" s="634" t="s">
        <v>160</v>
      </c>
      <c r="B2" s="634"/>
      <c r="C2" s="634"/>
      <c r="D2" s="634"/>
      <c r="E2" s="7" t="s">
        <v>20</v>
      </c>
    </row>
    <row r="3" spans="1:5" ht="14.25" x14ac:dyDescent="0.2">
      <c r="A3" s="635" t="s">
        <v>430</v>
      </c>
      <c r="B3" s="635"/>
      <c r="C3" s="635"/>
      <c r="D3" s="635"/>
      <c r="E3" s="7" t="s">
        <v>20</v>
      </c>
    </row>
    <row r="4" spans="1:5" ht="14.25" x14ac:dyDescent="0.2">
      <c r="A4" s="637" t="s">
        <v>1</v>
      </c>
      <c r="B4" s="637"/>
      <c r="C4" s="637"/>
      <c r="D4" s="637"/>
      <c r="E4" s="7" t="s">
        <v>20</v>
      </c>
    </row>
    <row r="5" spans="1:5" ht="15" thickBot="1" x14ac:dyDescent="0.25">
      <c r="E5" s="7" t="s">
        <v>20</v>
      </c>
    </row>
    <row r="6" spans="1:5" ht="15" x14ac:dyDescent="0.25">
      <c r="B6" s="630" t="s">
        <v>2</v>
      </c>
      <c r="C6" s="631"/>
      <c r="D6" s="632"/>
      <c r="E6" s="7" t="s">
        <v>20</v>
      </c>
    </row>
    <row r="7" spans="1:5" ht="15.75" thickBot="1" x14ac:dyDescent="0.25">
      <c r="B7" s="4" t="s">
        <v>3</v>
      </c>
      <c r="C7" s="5" t="s">
        <v>127</v>
      </c>
      <c r="D7" s="6" t="s">
        <v>4</v>
      </c>
      <c r="E7" s="7" t="s">
        <v>20</v>
      </c>
    </row>
    <row r="8" spans="1:5" ht="17.25" x14ac:dyDescent="0.25">
      <c r="A8" s="90" t="s">
        <v>153</v>
      </c>
      <c r="B8" s="91">
        <v>0</v>
      </c>
      <c r="C8" s="92">
        <v>0</v>
      </c>
      <c r="D8" s="93">
        <v>705000</v>
      </c>
      <c r="E8" s="7" t="s">
        <v>20</v>
      </c>
    </row>
    <row r="9" spans="1:5" ht="15" x14ac:dyDescent="0.25">
      <c r="A9" s="201" t="s">
        <v>5</v>
      </c>
      <c r="B9" s="130"/>
      <c r="C9" s="25"/>
      <c r="D9" s="203">
        <v>0</v>
      </c>
      <c r="E9" s="7" t="s">
        <v>20</v>
      </c>
    </row>
    <row r="10" spans="1:5" ht="16.2" x14ac:dyDescent="0.25">
      <c r="A10" s="89" t="s">
        <v>154</v>
      </c>
      <c r="B10" s="126">
        <f t="shared" ref="B10:C10" si="0">SUM(B8:B9)</f>
        <v>0</v>
      </c>
      <c r="C10" s="127">
        <f t="shared" si="0"/>
        <v>0</v>
      </c>
      <c r="D10" s="204">
        <f>SUM(D8:D9)</f>
        <v>705000</v>
      </c>
      <c r="E10" s="7" t="s">
        <v>20</v>
      </c>
    </row>
    <row r="11" spans="1:5" ht="13.95" x14ac:dyDescent="0.25">
      <c r="A11" s="67" t="s">
        <v>8</v>
      </c>
      <c r="B11" s="126">
        <v>0</v>
      </c>
      <c r="C11" s="127">
        <v>0</v>
      </c>
      <c r="D11" s="128">
        <v>705000</v>
      </c>
      <c r="E11" s="7" t="s">
        <v>20</v>
      </c>
    </row>
    <row r="12" spans="1:5" ht="13.95" x14ac:dyDescent="0.25">
      <c r="A12" s="201" t="s">
        <v>6</v>
      </c>
      <c r="B12" s="69"/>
      <c r="C12" s="70"/>
      <c r="D12" s="205">
        <v>0</v>
      </c>
      <c r="E12" s="7" t="s">
        <v>20</v>
      </c>
    </row>
    <row r="13" spans="1:5" x14ac:dyDescent="0.25">
      <c r="A13" s="201" t="s">
        <v>156</v>
      </c>
      <c r="B13" s="173"/>
      <c r="C13" s="174"/>
      <c r="D13" s="202">
        <v>0</v>
      </c>
      <c r="E13" s="7" t="s">
        <v>20</v>
      </c>
    </row>
    <row r="14" spans="1:5" x14ac:dyDescent="0.25">
      <c r="A14" s="201" t="s">
        <v>137</v>
      </c>
      <c r="B14" s="130"/>
      <c r="C14" s="25"/>
      <c r="D14" s="203">
        <v>0</v>
      </c>
      <c r="E14" s="7" t="s">
        <v>20</v>
      </c>
    </row>
    <row r="15" spans="1:5" x14ac:dyDescent="0.25">
      <c r="A15" s="72" t="s">
        <v>122</v>
      </c>
      <c r="B15" s="69">
        <f t="shared" ref="B15:C15" si="1">SUM(B11:B14)</f>
        <v>0</v>
      </c>
      <c r="C15" s="70">
        <f t="shared" si="1"/>
        <v>0</v>
      </c>
      <c r="D15" s="73">
        <f>SUM(D11:D14)</f>
        <v>705000</v>
      </c>
      <c r="E15" s="7" t="s">
        <v>20</v>
      </c>
    </row>
    <row r="16" spans="1:5" x14ac:dyDescent="0.25">
      <c r="A16" s="72"/>
      <c r="B16" s="69"/>
      <c r="C16" s="70"/>
      <c r="D16" s="73"/>
      <c r="E16" s="7" t="s">
        <v>20</v>
      </c>
    </row>
    <row r="17" spans="1:5" x14ac:dyDescent="0.25">
      <c r="A17" s="72" t="s">
        <v>124</v>
      </c>
      <c r="B17" s="134">
        <v>0</v>
      </c>
      <c r="C17" s="25">
        <v>0</v>
      </c>
      <c r="D17" s="26">
        <v>0</v>
      </c>
      <c r="E17" s="7" t="s">
        <v>20</v>
      </c>
    </row>
    <row r="18" spans="1:5" x14ac:dyDescent="0.25">
      <c r="A18" s="78" t="s">
        <v>13</v>
      </c>
      <c r="B18" s="132">
        <f>B15+B17</f>
        <v>0</v>
      </c>
      <c r="C18" s="127">
        <f>C15+C17</f>
        <v>0</v>
      </c>
      <c r="D18" s="133">
        <f>D15+D17</f>
        <v>705000</v>
      </c>
      <c r="E18" s="7" t="s">
        <v>20</v>
      </c>
    </row>
    <row r="19" spans="1:5" x14ac:dyDescent="0.25">
      <c r="A19" s="78" t="s">
        <v>14</v>
      </c>
      <c r="B19" s="132"/>
      <c r="C19" s="127"/>
      <c r="D19" s="133"/>
      <c r="E19" s="7" t="s">
        <v>20</v>
      </c>
    </row>
    <row r="20" spans="1:5" x14ac:dyDescent="0.25">
      <c r="A20" s="182" t="s">
        <v>196</v>
      </c>
      <c r="B20" s="79"/>
      <c r="C20" s="70"/>
      <c r="D20" s="80"/>
      <c r="E20" s="7" t="s">
        <v>20</v>
      </c>
    </row>
    <row r="21" spans="1:5" x14ac:dyDescent="0.25">
      <c r="A21" s="189" t="s">
        <v>431</v>
      </c>
      <c r="B21" s="209">
        <v>0</v>
      </c>
      <c r="C21" s="208">
        <v>0</v>
      </c>
      <c r="D21" s="210">
        <v>95000</v>
      </c>
      <c r="E21" s="7" t="s">
        <v>20</v>
      </c>
    </row>
    <row r="22" spans="1:5" x14ac:dyDescent="0.25">
      <c r="A22" s="189" t="s">
        <v>16</v>
      </c>
      <c r="B22" s="209">
        <f>SUM(B21:B21)</f>
        <v>0</v>
      </c>
      <c r="C22" s="208">
        <f>SUM(C21:C21)</f>
        <v>0</v>
      </c>
      <c r="D22" s="210">
        <f>SUM(D21:D21)</f>
        <v>95000</v>
      </c>
      <c r="E22" s="7" t="s">
        <v>20</v>
      </c>
    </row>
    <row r="23" spans="1:5" x14ac:dyDescent="0.25">
      <c r="A23" s="72" t="s">
        <v>17</v>
      </c>
      <c r="B23" s="135">
        <f t="shared" ref="B23:C23" si="2">B22</f>
        <v>0</v>
      </c>
      <c r="C23" s="135">
        <f t="shared" si="2"/>
        <v>0</v>
      </c>
      <c r="D23" s="135">
        <f>D22</f>
        <v>95000</v>
      </c>
      <c r="E23" s="7" t="s">
        <v>20</v>
      </c>
    </row>
    <row r="24" spans="1:5" x14ac:dyDescent="0.25">
      <c r="A24" s="85" t="s">
        <v>18</v>
      </c>
      <c r="B24" s="126">
        <f>B18+B23</f>
        <v>0</v>
      </c>
      <c r="C24" s="127">
        <f>C18+C23</f>
        <v>0</v>
      </c>
      <c r="D24" s="128">
        <f>D18+D23</f>
        <v>800000</v>
      </c>
      <c r="E24" s="7" t="s">
        <v>20</v>
      </c>
    </row>
    <row r="25" spans="1:5" x14ac:dyDescent="0.25">
      <c r="A25" s="201" t="s">
        <v>143</v>
      </c>
      <c r="B25" s="130"/>
      <c r="C25" s="25"/>
      <c r="D25" s="203">
        <v>0</v>
      </c>
      <c r="E25" s="7" t="s">
        <v>20</v>
      </c>
    </row>
    <row r="26" spans="1:5" s="8" customFormat="1" x14ac:dyDescent="0.25">
      <c r="A26" s="111" t="s">
        <v>125</v>
      </c>
      <c r="B26" s="108">
        <f t="shared" ref="B26:C26" si="3">SUM(B24:B25)</f>
        <v>0</v>
      </c>
      <c r="C26" s="109">
        <f t="shared" si="3"/>
        <v>0</v>
      </c>
      <c r="D26" s="110">
        <f>SUM(D24:D25)</f>
        <v>800000</v>
      </c>
      <c r="E26" s="7" t="s">
        <v>20</v>
      </c>
    </row>
    <row r="27" spans="1:5" ht="14.4" thickBot="1" x14ac:dyDescent="0.3">
      <c r="A27" s="217" t="s">
        <v>19</v>
      </c>
      <c r="B27" s="218">
        <f>B24-B15</f>
        <v>0</v>
      </c>
      <c r="C27" s="219">
        <f>C24-C15</f>
        <v>0</v>
      </c>
      <c r="D27" s="220">
        <f>D24-D11</f>
        <v>95000</v>
      </c>
      <c r="E27" s="7" t="s">
        <v>20</v>
      </c>
    </row>
    <row r="28" spans="1:5" x14ac:dyDescent="0.25">
      <c r="A28" s="7"/>
      <c r="E28" s="7" t="s">
        <v>20</v>
      </c>
    </row>
    <row r="29" spans="1:5" x14ac:dyDescent="0.25">
      <c r="A29" s="715" t="s">
        <v>206</v>
      </c>
      <c r="B29" s="715"/>
      <c r="C29" s="715"/>
      <c r="D29" s="715"/>
      <c r="E29" s="7" t="s">
        <v>20</v>
      </c>
    </row>
    <row r="30" spans="1:5" x14ac:dyDescent="0.25">
      <c r="E30" s="7" t="s">
        <v>20</v>
      </c>
    </row>
    <row r="31" spans="1:5" x14ac:dyDescent="0.25">
      <c r="A31" s="754"/>
      <c r="B31" s="754"/>
      <c r="C31" s="754"/>
      <c r="D31" s="754"/>
      <c r="E31" s="7" t="s">
        <v>21</v>
      </c>
    </row>
  </sheetData>
  <customSheetViews>
    <customSheetView guid="{5B2D5037-506A-47D5-AF28-C337BC9133BD}" scale="90" showPageBreaks="1" printArea="1" view="pageBreakPreview" topLeftCell="C4">
      <selection activeCell="A38" sqref="A38"/>
      <pageMargins left="0.7" right="0.7" top="0.63" bottom="0.63" header="0.3" footer="0.3"/>
      <printOptions horizontalCentered="1"/>
      <pageSetup scale="69" orientation="landscape" r:id="rId1"/>
      <headerFooter>
        <oddHeader>&amp;L&amp;"Arial,Bold"&amp;12B. Summary of Requirements</oddHeader>
        <oddFooter>&amp;C&amp;"Arial,Regular"Exhibit B - Summary of Requirements&amp;RCrime Victims Fund</oddFooter>
      </headerFooter>
    </customSheetView>
    <customSheetView guid="{08380F1E-0CB7-4B3B-924E-2A270EA8DD30}" scale="90" showPageBreaks="1" printArea="1" view="pageBreakPreview" topLeftCell="C4">
      <selection activeCell="A38" sqref="A38"/>
      <pageMargins left="0.7" right="0.7" top="0.63" bottom="0.63" header="0.3" footer="0.3"/>
      <printOptions horizontalCentered="1"/>
      <pageSetup scale="69" orientation="landscape" r:id="rId2"/>
      <headerFooter>
        <oddHeader>&amp;L&amp;"Arial,Bold"&amp;12B. Summary of Requirements</oddHeader>
        <oddFooter>&amp;C&amp;"Arial,Regular"Exhibit B - Summary of Requirements&amp;RCrime Victims Fund</oddFooter>
      </headerFooter>
    </customSheetView>
    <customSheetView guid="{D19943A8-2C2A-430A-A724-8C7C332697C8}" scale="90" showPageBreaks="1" printArea="1" view="pageBreakPreview" topLeftCell="C4">
      <selection activeCell="A38" sqref="A38"/>
      <pageMargins left="0.7" right="0.7" top="0.63" bottom="0.63" header="0.3" footer="0.3"/>
      <printOptions horizontalCentered="1"/>
      <pageSetup scale="69" orientation="landscape" r:id="rId3"/>
      <headerFooter>
        <oddHeader>&amp;L&amp;"Arial,Bold"&amp;12B. Summary of Requirements</oddHeader>
        <oddFooter>&amp;C&amp;"Arial,Regular"Exhibit B - Summary of Requirements&amp;RCrime Victims Fund</oddFooter>
      </headerFooter>
    </customSheetView>
    <customSheetView guid="{C6D68C6D-939C-4DFA-9385-A3F05DFB5EDA}" scale="90" showPageBreaks="1" printArea="1" view="pageBreakPreview" topLeftCell="C4">
      <selection activeCell="A38" sqref="A38"/>
      <pageMargins left="0.7" right="0.7" top="0.63" bottom="0.63" header="0.3" footer="0.3"/>
      <printOptions horizontalCentered="1"/>
      <pageSetup scale="69" orientation="landscape" r:id="rId4"/>
      <headerFooter>
        <oddHeader>&amp;L&amp;"Arial,Bold"&amp;12B. Summary of Requirements</oddHeader>
        <oddFooter>&amp;C&amp;"Arial,Regular"Exhibit B - Summary of Requirements&amp;RCrime Victims Fund</oddFooter>
      </headerFooter>
    </customSheetView>
  </customSheetViews>
  <mergeCells count="7">
    <mergeCell ref="A31:D31"/>
    <mergeCell ref="A1:D1"/>
    <mergeCell ref="A2:D2"/>
    <mergeCell ref="A3:D3"/>
    <mergeCell ref="A4:D4"/>
    <mergeCell ref="B6:D6"/>
    <mergeCell ref="A29:D29"/>
  </mergeCells>
  <printOptions horizontalCentered="1"/>
  <pageMargins left="0.7" right="0.7" top="0.63" bottom="0.63" header="0.3" footer="0.3"/>
  <pageSetup scale="69" orientation="landscape" r:id="rId5"/>
  <headerFooter>
    <oddHeader>&amp;L&amp;"Arial,Bold"&amp;12B. Summary of Requirements</oddHeader>
    <oddFooter>&amp;C&amp;"Arial,Regular"Exhibit B - Summary of Requirements&amp;RCrime Victims Fund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view="pageBreakPreview" topLeftCell="A7" zoomScale="80" zoomScaleNormal="100" zoomScaleSheetLayoutView="80" workbookViewId="0">
      <selection activeCell="A35" sqref="A35"/>
    </sheetView>
  </sheetViews>
  <sheetFormatPr defaultColWidth="9.109375" defaultRowHeight="13.8" x14ac:dyDescent="0.25"/>
  <cols>
    <col min="1" max="1" width="37.109375" style="178" customWidth="1"/>
    <col min="2" max="3" width="8.33203125" style="178" customWidth="1"/>
    <col min="4" max="4" width="12.6640625" style="178" customWidth="1"/>
    <col min="5" max="6" width="8.33203125" style="178" customWidth="1"/>
    <col min="7" max="7" width="13.6640625" style="178" customWidth="1"/>
    <col min="8" max="9" width="8.33203125" style="178" customWidth="1"/>
    <col min="10" max="10" width="12.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0</v>
      </c>
      <c r="B1" s="633"/>
      <c r="C1" s="633"/>
      <c r="D1" s="633"/>
      <c r="E1" s="633"/>
      <c r="F1" s="633"/>
      <c r="G1" s="633"/>
      <c r="H1" s="633"/>
      <c r="I1" s="633"/>
      <c r="J1" s="633"/>
      <c r="K1" s="633"/>
      <c r="L1" s="633"/>
      <c r="M1" s="633"/>
      <c r="N1" s="53" t="s">
        <v>20</v>
      </c>
      <c r="O1" s="9"/>
      <c r="P1" s="9"/>
      <c r="Q1" s="9"/>
      <c r="R1" s="9"/>
      <c r="S1" s="9"/>
      <c r="T1" s="9"/>
      <c r="U1" s="9"/>
    </row>
    <row r="2" spans="1:21" ht="15" x14ac:dyDescent="0.2">
      <c r="A2" s="634" t="str">
        <f>'[3]B. Summ of Req.'!A2:D2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'[3]B. Summ of Req.'!A3:D3</f>
        <v>Crime Victims Fund</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ht="45.75" customHeight="1" x14ac:dyDescent="0.25">
      <c r="A7" s="638" t="s">
        <v>134</v>
      </c>
      <c r="B7" s="641" t="s">
        <v>126</v>
      </c>
      <c r="C7" s="641"/>
      <c r="D7" s="641"/>
      <c r="E7" s="641" t="s">
        <v>207</v>
      </c>
      <c r="F7" s="641"/>
      <c r="G7" s="641"/>
      <c r="H7" s="641" t="s">
        <v>155</v>
      </c>
      <c r="I7" s="641"/>
      <c r="J7" s="641"/>
      <c r="K7" s="641" t="s">
        <v>13</v>
      </c>
      <c r="L7" s="641"/>
      <c r="M7" s="642"/>
      <c r="N7" s="53" t="s">
        <v>20</v>
      </c>
    </row>
    <row r="8" spans="1:21" ht="27.6" x14ac:dyDescent="0.25">
      <c r="A8" s="639"/>
      <c r="B8" s="222" t="s">
        <v>3</v>
      </c>
      <c r="C8" s="222" t="s">
        <v>128</v>
      </c>
      <c r="D8" s="222" t="s">
        <v>4</v>
      </c>
      <c r="E8" s="222" t="s">
        <v>3</v>
      </c>
      <c r="F8" s="222" t="s">
        <v>149</v>
      </c>
      <c r="G8" s="222" t="s">
        <v>4</v>
      </c>
      <c r="H8" s="222" t="s">
        <v>3</v>
      </c>
      <c r="I8" s="222" t="s">
        <v>149</v>
      </c>
      <c r="J8" s="222" t="s">
        <v>4</v>
      </c>
      <c r="K8" s="222" t="s">
        <v>3</v>
      </c>
      <c r="L8" s="222" t="s">
        <v>149</v>
      </c>
      <c r="M8" s="223" t="s">
        <v>4</v>
      </c>
      <c r="N8" s="53" t="s">
        <v>20</v>
      </c>
    </row>
    <row r="9" spans="1:21" ht="13.95" x14ac:dyDescent="0.25">
      <c r="A9" s="184" t="s">
        <v>430</v>
      </c>
      <c r="B9" s="225">
        <v>0</v>
      </c>
      <c r="C9" s="225">
        <v>0</v>
      </c>
      <c r="D9" s="225">
        <v>705000</v>
      </c>
      <c r="E9" s="225">
        <v>0</v>
      </c>
      <c r="F9" s="225">
        <v>0</v>
      </c>
      <c r="G9" s="225">
        <v>705000</v>
      </c>
      <c r="H9" s="225">
        <v>0</v>
      </c>
      <c r="I9" s="225">
        <v>0</v>
      </c>
      <c r="J9" s="225">
        <v>0</v>
      </c>
      <c r="K9" s="225">
        <f>E9+H9</f>
        <v>0</v>
      </c>
      <c r="L9" s="225">
        <f t="shared" ref="L9:M12" si="0">F9+I9</f>
        <v>0</v>
      </c>
      <c r="M9" s="226">
        <f t="shared" si="0"/>
        <v>705000</v>
      </c>
      <c r="N9" s="53" t="s">
        <v>20</v>
      </c>
    </row>
    <row r="10" spans="1:21" ht="13.95" x14ac:dyDescent="0.25">
      <c r="A10" s="16" t="s">
        <v>131</v>
      </c>
      <c r="B10" s="143">
        <f t="shared" ref="B10:M10" si="1">SUM(B9:B9)</f>
        <v>0</v>
      </c>
      <c r="C10" s="143">
        <f t="shared" si="1"/>
        <v>0</v>
      </c>
      <c r="D10" s="143">
        <f t="shared" si="1"/>
        <v>705000</v>
      </c>
      <c r="E10" s="143">
        <f t="shared" si="1"/>
        <v>0</v>
      </c>
      <c r="F10" s="143">
        <f t="shared" si="1"/>
        <v>0</v>
      </c>
      <c r="G10" s="143">
        <f t="shared" si="1"/>
        <v>705000</v>
      </c>
      <c r="H10" s="143">
        <f t="shared" si="1"/>
        <v>0</v>
      </c>
      <c r="I10" s="143">
        <f t="shared" si="1"/>
        <v>0</v>
      </c>
      <c r="J10" s="143">
        <f t="shared" si="1"/>
        <v>0</v>
      </c>
      <c r="K10" s="143">
        <f t="shared" si="1"/>
        <v>0</v>
      </c>
      <c r="L10" s="143">
        <f t="shared" si="1"/>
        <v>0</v>
      </c>
      <c r="M10" s="144">
        <f t="shared" si="1"/>
        <v>705000</v>
      </c>
      <c r="N10" s="53" t="s">
        <v>20</v>
      </c>
    </row>
    <row r="11" spans="1:21" ht="13.95" x14ac:dyDescent="0.25">
      <c r="A11" s="232" t="s">
        <v>130</v>
      </c>
      <c r="B11" s="145"/>
      <c r="C11" s="145"/>
      <c r="D11" s="225">
        <v>0</v>
      </c>
      <c r="E11" s="145"/>
      <c r="F11" s="145"/>
      <c r="G11" s="225">
        <v>0</v>
      </c>
      <c r="H11" s="145"/>
      <c r="I11" s="145"/>
      <c r="J11" s="225">
        <v>0</v>
      </c>
      <c r="K11" s="145"/>
      <c r="L11" s="145"/>
      <c r="M11" s="226">
        <f t="shared" si="0"/>
        <v>0</v>
      </c>
      <c r="N11" s="53" t="s">
        <v>20</v>
      </c>
    </row>
    <row r="12" spans="1:21" ht="13.95" x14ac:dyDescent="0.25">
      <c r="A12" s="233" t="s">
        <v>150</v>
      </c>
      <c r="B12" s="25"/>
      <c r="C12" s="25"/>
      <c r="D12" s="230">
        <f>SUM(D10:D11)</f>
        <v>705000</v>
      </c>
      <c r="E12" s="25"/>
      <c r="F12" s="25"/>
      <c r="G12" s="230">
        <f>SUM(G10:G11)</f>
        <v>705000</v>
      </c>
      <c r="H12" s="25"/>
      <c r="I12" s="25"/>
      <c r="J12" s="230">
        <f>SUM(J10:J11)</f>
        <v>0</v>
      </c>
      <c r="K12" s="25"/>
      <c r="L12" s="25"/>
      <c r="M12" s="231">
        <f t="shared" si="0"/>
        <v>705000</v>
      </c>
      <c r="N12" s="53" t="s">
        <v>20</v>
      </c>
    </row>
    <row r="13" spans="1:21" ht="13.95" x14ac:dyDescent="0.25">
      <c r="A13" s="198" t="s">
        <v>26</v>
      </c>
      <c r="B13" s="234"/>
      <c r="C13" s="234">
        <v>0</v>
      </c>
      <c r="D13" s="234"/>
      <c r="E13" s="234"/>
      <c r="F13" s="234">
        <v>0</v>
      </c>
      <c r="G13" s="234"/>
      <c r="H13" s="234"/>
      <c r="I13" s="234">
        <v>0</v>
      </c>
      <c r="J13" s="234"/>
      <c r="K13" s="234"/>
      <c r="L13" s="234">
        <f t="shared" ref="L13:L14" si="2">F13+I13</f>
        <v>0</v>
      </c>
      <c r="M13" s="235"/>
      <c r="N13" s="53" t="s">
        <v>20</v>
      </c>
    </row>
    <row r="14" spans="1:21" ht="13.95" x14ac:dyDescent="0.25">
      <c r="A14" s="195" t="s">
        <v>132</v>
      </c>
      <c r="B14" s="208"/>
      <c r="C14" s="208">
        <f>C10+C13</f>
        <v>0</v>
      </c>
      <c r="D14" s="208"/>
      <c r="E14" s="208"/>
      <c r="F14" s="208">
        <f>F10+F13</f>
        <v>0</v>
      </c>
      <c r="G14" s="208"/>
      <c r="H14" s="208"/>
      <c r="I14" s="208">
        <f>I10+I13</f>
        <v>0</v>
      </c>
      <c r="J14" s="208"/>
      <c r="K14" s="208"/>
      <c r="L14" s="208">
        <f t="shared" si="2"/>
        <v>0</v>
      </c>
      <c r="M14" s="205"/>
      <c r="N14" s="53" t="s">
        <v>20</v>
      </c>
    </row>
    <row r="15" spans="1:21" x14ac:dyDescent="0.25">
      <c r="A15" s="195"/>
      <c r="B15" s="208"/>
      <c r="C15" s="208"/>
      <c r="D15" s="208"/>
      <c r="E15" s="208"/>
      <c r="F15" s="208"/>
      <c r="G15" s="208"/>
      <c r="H15" s="208"/>
      <c r="I15" s="208"/>
      <c r="J15" s="208"/>
      <c r="K15" s="208"/>
      <c r="L15" s="208"/>
      <c r="M15" s="205"/>
      <c r="N15" s="53" t="s">
        <v>20</v>
      </c>
    </row>
    <row r="16" spans="1:21" x14ac:dyDescent="0.25">
      <c r="A16" s="195" t="s">
        <v>27</v>
      </c>
      <c r="B16" s="208"/>
      <c r="C16" s="208"/>
      <c r="D16" s="208"/>
      <c r="E16" s="208"/>
      <c r="F16" s="208"/>
      <c r="G16" s="208"/>
      <c r="H16" s="208"/>
      <c r="I16" s="208"/>
      <c r="J16" s="208"/>
      <c r="K16" s="208"/>
      <c r="L16" s="208"/>
      <c r="M16" s="205"/>
      <c r="N16" s="53" t="s">
        <v>20</v>
      </c>
    </row>
    <row r="17" spans="1:14" x14ac:dyDescent="0.25">
      <c r="A17" s="236" t="s">
        <v>28</v>
      </c>
      <c r="B17" s="208"/>
      <c r="C17" s="208">
        <v>0</v>
      </c>
      <c r="D17" s="208"/>
      <c r="E17" s="208"/>
      <c r="F17" s="208">
        <v>0</v>
      </c>
      <c r="G17" s="208"/>
      <c r="H17" s="208"/>
      <c r="I17" s="208">
        <v>0</v>
      </c>
      <c r="J17" s="208"/>
      <c r="K17" s="208"/>
      <c r="L17" s="208">
        <f t="shared" ref="L17:L19" si="3">F17+I17</f>
        <v>0</v>
      </c>
      <c r="M17" s="205"/>
      <c r="N17" s="53" t="s">
        <v>20</v>
      </c>
    </row>
    <row r="18" spans="1:14" x14ac:dyDescent="0.25">
      <c r="A18" s="237" t="s">
        <v>29</v>
      </c>
      <c r="B18" s="238"/>
      <c r="C18" s="238">
        <v>0</v>
      </c>
      <c r="D18" s="238"/>
      <c r="E18" s="238"/>
      <c r="F18" s="238">
        <v>0</v>
      </c>
      <c r="G18" s="238"/>
      <c r="H18" s="238"/>
      <c r="I18" s="238">
        <v>0</v>
      </c>
      <c r="J18" s="238"/>
      <c r="K18" s="238"/>
      <c r="L18" s="238">
        <f t="shared" si="3"/>
        <v>0</v>
      </c>
      <c r="M18" s="239"/>
      <c r="N18" s="53" t="s">
        <v>20</v>
      </c>
    </row>
    <row r="19" spans="1:14" ht="14.4" thickBot="1" x14ac:dyDescent="0.3">
      <c r="A19" s="240" t="s">
        <v>133</v>
      </c>
      <c r="B19" s="241"/>
      <c r="C19" s="241">
        <f>C14+C17+C18</f>
        <v>0</v>
      </c>
      <c r="D19" s="241"/>
      <c r="E19" s="241"/>
      <c r="F19" s="241">
        <f>F14+F17+F18</f>
        <v>0</v>
      </c>
      <c r="G19" s="241"/>
      <c r="H19" s="241"/>
      <c r="I19" s="241">
        <f>I14+I17+I18</f>
        <v>0</v>
      </c>
      <c r="J19" s="241"/>
      <c r="K19" s="241"/>
      <c r="L19" s="241">
        <f t="shared" si="3"/>
        <v>0</v>
      </c>
      <c r="M19" s="242"/>
      <c r="N19" s="53" t="s">
        <v>20</v>
      </c>
    </row>
    <row r="20" spans="1:14" ht="14.4" thickBot="1" x14ac:dyDescent="0.3">
      <c r="N20" s="53" t="s">
        <v>20</v>
      </c>
    </row>
    <row r="21" spans="1:14" x14ac:dyDescent="0.25">
      <c r="A21" s="638" t="s">
        <v>134</v>
      </c>
      <c r="B21" s="641" t="s">
        <v>22</v>
      </c>
      <c r="C21" s="641"/>
      <c r="D21" s="641"/>
      <c r="E21" s="641" t="s">
        <v>23</v>
      </c>
      <c r="F21" s="641"/>
      <c r="G21" s="641"/>
      <c r="H21" s="641" t="s">
        <v>24</v>
      </c>
      <c r="I21" s="641"/>
      <c r="J21" s="642"/>
      <c r="N21" s="53" t="s">
        <v>20</v>
      </c>
    </row>
    <row r="22" spans="1:14" ht="27.6" x14ac:dyDescent="0.25">
      <c r="A22" s="639"/>
      <c r="B22" s="222" t="s">
        <v>3</v>
      </c>
      <c r="C22" s="222" t="s">
        <v>149</v>
      </c>
      <c r="D22" s="222" t="s">
        <v>4</v>
      </c>
      <c r="E22" s="222" t="s">
        <v>3</v>
      </c>
      <c r="F22" s="222" t="s">
        <v>149</v>
      </c>
      <c r="G22" s="222" t="s">
        <v>4</v>
      </c>
      <c r="H22" s="222" t="s">
        <v>3</v>
      </c>
      <c r="I22" s="222" t="s">
        <v>149</v>
      </c>
      <c r="J22" s="223" t="s">
        <v>4</v>
      </c>
      <c r="N22" s="53" t="s">
        <v>20</v>
      </c>
    </row>
    <row r="23" spans="1:14" x14ac:dyDescent="0.25">
      <c r="A23" s="184" t="str">
        <f>A9</f>
        <v>Crime Victims Fund</v>
      </c>
      <c r="B23" s="225">
        <v>0</v>
      </c>
      <c r="C23" s="225">
        <v>0</v>
      </c>
      <c r="D23" s="225">
        <v>95000</v>
      </c>
      <c r="E23" s="225">
        <v>0</v>
      </c>
      <c r="F23" s="225">
        <v>0</v>
      </c>
      <c r="G23" s="225">
        <v>0</v>
      </c>
      <c r="H23" s="225">
        <f>K9+B23+E23</f>
        <v>0</v>
      </c>
      <c r="I23" s="225">
        <f>L9+C23+F23</f>
        <v>0</v>
      </c>
      <c r="J23" s="226">
        <f>M9+D23+G23</f>
        <v>800000</v>
      </c>
      <c r="N23" s="53" t="s">
        <v>20</v>
      </c>
    </row>
    <row r="24" spans="1:14" x14ac:dyDescent="0.25">
      <c r="A24" s="16" t="s">
        <v>131</v>
      </c>
      <c r="B24" s="143">
        <f t="shared" ref="B24:J24" si="4">SUM(B23:B23)</f>
        <v>0</v>
      </c>
      <c r="C24" s="143">
        <f t="shared" si="4"/>
        <v>0</v>
      </c>
      <c r="D24" s="143">
        <f t="shared" si="4"/>
        <v>95000</v>
      </c>
      <c r="E24" s="143">
        <f t="shared" si="4"/>
        <v>0</v>
      </c>
      <c r="F24" s="143">
        <f t="shared" si="4"/>
        <v>0</v>
      </c>
      <c r="G24" s="143">
        <f t="shared" si="4"/>
        <v>0</v>
      </c>
      <c r="H24" s="143">
        <f t="shared" si="4"/>
        <v>0</v>
      </c>
      <c r="I24" s="143">
        <f t="shared" si="4"/>
        <v>0</v>
      </c>
      <c r="J24" s="144">
        <f t="shared" si="4"/>
        <v>800000</v>
      </c>
      <c r="N24" s="53" t="s">
        <v>20</v>
      </c>
    </row>
    <row r="25" spans="1:14" x14ac:dyDescent="0.25">
      <c r="A25" s="232" t="s">
        <v>130</v>
      </c>
      <c r="B25" s="145"/>
      <c r="C25" s="145"/>
      <c r="D25" s="225">
        <v>0</v>
      </c>
      <c r="E25" s="145"/>
      <c r="F25" s="145"/>
      <c r="G25" s="225">
        <v>0</v>
      </c>
      <c r="H25" s="145"/>
      <c r="I25" s="145"/>
      <c r="J25" s="226">
        <f>M11+D25+G25</f>
        <v>0</v>
      </c>
      <c r="N25" s="53" t="s">
        <v>20</v>
      </c>
    </row>
    <row r="26" spans="1:14" x14ac:dyDescent="0.25">
      <c r="A26" s="233" t="s">
        <v>150</v>
      </c>
      <c r="B26" s="25"/>
      <c r="C26" s="25"/>
      <c r="D26" s="230">
        <f>SUM(D24:D25)</f>
        <v>95000</v>
      </c>
      <c r="E26" s="25"/>
      <c r="F26" s="25"/>
      <c r="G26" s="230">
        <f>SUM(G24:G25)</f>
        <v>0</v>
      </c>
      <c r="H26" s="25"/>
      <c r="I26" s="25"/>
      <c r="J26" s="231">
        <f>M12+D26+G26</f>
        <v>800000</v>
      </c>
      <c r="N26" s="53" t="s">
        <v>20</v>
      </c>
    </row>
    <row r="27" spans="1:14" x14ac:dyDescent="0.25">
      <c r="A27" s="198" t="s">
        <v>26</v>
      </c>
      <c r="B27" s="234"/>
      <c r="C27" s="234">
        <v>0</v>
      </c>
      <c r="D27" s="234"/>
      <c r="E27" s="234"/>
      <c r="F27" s="234">
        <v>0</v>
      </c>
      <c r="G27" s="234"/>
      <c r="H27" s="234"/>
      <c r="I27" s="234">
        <f t="shared" ref="I27:I33" si="5">L13+C27+F27</f>
        <v>0</v>
      </c>
      <c r="J27" s="235"/>
      <c r="N27" s="53" t="s">
        <v>20</v>
      </c>
    </row>
    <row r="28" spans="1:14" x14ac:dyDescent="0.25">
      <c r="A28" s="195" t="s">
        <v>132</v>
      </c>
      <c r="B28" s="208"/>
      <c r="C28" s="208">
        <f>C24+C27</f>
        <v>0</v>
      </c>
      <c r="D28" s="208"/>
      <c r="E28" s="208"/>
      <c r="F28" s="208">
        <f>F24+F27</f>
        <v>0</v>
      </c>
      <c r="G28" s="208"/>
      <c r="H28" s="208"/>
      <c r="I28" s="208">
        <f t="shared" si="5"/>
        <v>0</v>
      </c>
      <c r="J28" s="205"/>
      <c r="N28" s="53" t="s">
        <v>20</v>
      </c>
    </row>
    <row r="29" spans="1:14" x14ac:dyDescent="0.25">
      <c r="A29" s="195"/>
      <c r="B29" s="208"/>
      <c r="C29" s="208"/>
      <c r="D29" s="208"/>
      <c r="E29" s="208"/>
      <c r="F29" s="208"/>
      <c r="G29" s="208"/>
      <c r="H29" s="208"/>
      <c r="I29" s="208">
        <f t="shared" si="5"/>
        <v>0</v>
      </c>
      <c r="J29" s="205"/>
      <c r="N29" s="53" t="s">
        <v>20</v>
      </c>
    </row>
    <row r="30" spans="1:14" x14ac:dyDescent="0.25">
      <c r="A30" s="195" t="s">
        <v>27</v>
      </c>
      <c r="B30" s="208"/>
      <c r="C30" s="208"/>
      <c r="D30" s="208"/>
      <c r="E30" s="208"/>
      <c r="F30" s="208"/>
      <c r="G30" s="208"/>
      <c r="H30" s="208"/>
      <c r="I30" s="208">
        <f t="shared" si="5"/>
        <v>0</v>
      </c>
      <c r="J30" s="205"/>
      <c r="N30" s="53" t="s">
        <v>20</v>
      </c>
    </row>
    <row r="31" spans="1:14" x14ac:dyDescent="0.25">
      <c r="A31" s="236" t="s">
        <v>28</v>
      </c>
      <c r="B31" s="208"/>
      <c r="C31" s="208">
        <v>0</v>
      </c>
      <c r="D31" s="208"/>
      <c r="E31" s="208"/>
      <c r="F31" s="208">
        <v>0</v>
      </c>
      <c r="G31" s="208"/>
      <c r="H31" s="208"/>
      <c r="I31" s="208">
        <f t="shared" si="5"/>
        <v>0</v>
      </c>
      <c r="J31" s="205"/>
      <c r="N31" s="53" t="s">
        <v>20</v>
      </c>
    </row>
    <row r="32" spans="1:14" x14ac:dyDescent="0.25">
      <c r="A32" s="237" t="s">
        <v>29</v>
      </c>
      <c r="B32" s="238"/>
      <c r="C32" s="238">
        <v>0</v>
      </c>
      <c r="D32" s="238"/>
      <c r="E32" s="238"/>
      <c r="F32" s="238">
        <v>0</v>
      </c>
      <c r="G32" s="238"/>
      <c r="H32" s="238"/>
      <c r="I32" s="238">
        <f t="shared" si="5"/>
        <v>0</v>
      </c>
      <c r="J32" s="239"/>
      <c r="N32" s="53" t="s">
        <v>20</v>
      </c>
    </row>
    <row r="33" spans="1:14" ht="14.4" thickBot="1" x14ac:dyDescent="0.3">
      <c r="A33" s="240" t="s">
        <v>133</v>
      </c>
      <c r="B33" s="241"/>
      <c r="C33" s="241">
        <f>C28+C31+C32</f>
        <v>0</v>
      </c>
      <c r="D33" s="241"/>
      <c r="E33" s="241"/>
      <c r="F33" s="241">
        <f>F28+F31+F32</f>
        <v>0</v>
      </c>
      <c r="G33" s="241"/>
      <c r="H33" s="241"/>
      <c r="I33" s="241">
        <f t="shared" si="5"/>
        <v>0</v>
      </c>
      <c r="J33" s="242"/>
      <c r="N33" s="53" t="s">
        <v>20</v>
      </c>
    </row>
    <row r="34" spans="1:14" x14ac:dyDescent="0.25">
      <c r="N34" s="53" t="s">
        <v>20</v>
      </c>
    </row>
    <row r="35" spans="1:14" x14ac:dyDescent="0.25">
      <c r="A35" s="328" t="s">
        <v>432</v>
      </c>
      <c r="B35" s="329"/>
      <c r="C35" s="329"/>
      <c r="D35" s="329"/>
      <c r="E35" s="330"/>
      <c r="F35" s="330"/>
      <c r="G35" s="330"/>
      <c r="H35" s="330"/>
      <c r="I35" s="330"/>
      <c r="J35" s="330"/>
      <c r="N35" s="7" t="s">
        <v>21</v>
      </c>
    </row>
  </sheetData>
  <customSheetViews>
    <customSheetView guid="{5B2D5037-506A-47D5-AF28-C337BC9133BD}" scale="80" showPageBreaks="1" printArea="1" view="pageBreakPreview" topLeftCell="A7">
      <selection activeCell="A35" sqref="A35"/>
      <pageMargins left="0.7" right="0.7" top="0.75" bottom="0.75" header="0.3" footer="0.3"/>
      <printOptions horizontalCentered="1"/>
      <pageSetup scale="78" orientation="landscape" r:id="rId1"/>
      <headerFooter>
        <oddHeader>&amp;L&amp;"Arial,Bold"&amp;12B. Summary of Requirements</oddHeader>
        <oddFooter>&amp;C&amp;"Arial,Regular"Exhibit B - Summary of Requirements&amp;RCrime Victims Fund</oddFooter>
      </headerFooter>
    </customSheetView>
    <customSheetView guid="{08380F1E-0CB7-4B3B-924E-2A270EA8DD30}" scale="80" showPageBreaks="1" printArea="1" view="pageBreakPreview" topLeftCell="A7">
      <selection activeCell="A35" sqref="A35"/>
      <pageMargins left="0.7" right="0.7" top="0.75" bottom="0.75" header="0.3" footer="0.3"/>
      <printOptions horizontalCentered="1"/>
      <pageSetup scale="78" orientation="landscape" r:id="rId2"/>
      <headerFooter>
        <oddHeader>&amp;L&amp;"Arial,Bold"&amp;12B. Summary of Requirements</oddHeader>
        <oddFooter>&amp;C&amp;"Arial,Regular"Exhibit B - Summary of Requirements&amp;RCrime Victims Fund</oddFooter>
      </headerFooter>
    </customSheetView>
    <customSheetView guid="{D19943A8-2C2A-430A-A724-8C7C332697C8}" scale="80" showPageBreaks="1" printArea="1" view="pageBreakPreview" topLeftCell="A7">
      <selection activeCell="A35" sqref="A35"/>
      <pageMargins left="0.7" right="0.7" top="0.75" bottom="0.75" header="0.3" footer="0.3"/>
      <printOptions horizontalCentered="1"/>
      <pageSetup scale="78" orientation="landscape" r:id="rId3"/>
      <headerFooter>
        <oddHeader>&amp;L&amp;"Arial,Bold"&amp;12B. Summary of Requirements</oddHeader>
        <oddFooter>&amp;C&amp;"Arial,Regular"Exhibit B - Summary of Requirements&amp;RCrime Victims Fund</oddFooter>
      </headerFooter>
    </customSheetView>
    <customSheetView guid="{C6D68C6D-939C-4DFA-9385-A3F05DFB5EDA}" scale="80" showPageBreaks="1" printArea="1" view="pageBreakPreview" topLeftCell="A7">
      <selection activeCell="A35" sqref="A35"/>
      <pageMargins left="0.7" right="0.7" top="0.75" bottom="0.75" header="0.3" footer="0.3"/>
      <printOptions horizontalCentered="1"/>
      <pageSetup scale="78" orientation="landscape" r:id="rId4"/>
      <headerFooter>
        <oddHeader>&amp;L&amp;"Arial,Bold"&amp;12B. Summary of Requirements</oddHeader>
        <oddFooter>&amp;C&amp;"Arial,Regular"Exhibit B - Summary of Requirements&amp;RCrime Victims Fund</oddFooter>
      </headerFooter>
    </customSheetView>
  </customSheetViews>
  <mergeCells count="15">
    <mergeCell ref="A21:A22"/>
    <mergeCell ref="B21:D21"/>
    <mergeCell ref="E21:G21"/>
    <mergeCell ref="H21:J21"/>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8" orientation="landscape" r:id="rId5"/>
  <headerFooter>
    <oddHeader>&amp;L&amp;"Arial,Bold"&amp;12B. Summary of Requirements</oddHeader>
    <oddFooter>&amp;C&amp;"Arial,Regular"Exhibit B - Summary of Requirements&amp;RCrime Victims Fund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view="pageBreakPreview" zoomScale="80" zoomScaleNormal="100" zoomScaleSheetLayoutView="80" workbookViewId="0">
      <selection activeCell="E32" sqref="E32"/>
    </sheetView>
  </sheetViews>
  <sheetFormatPr defaultColWidth="9.109375" defaultRowHeight="13.8" x14ac:dyDescent="0.25"/>
  <cols>
    <col min="1" max="1" width="57.6640625" style="178" customWidth="1"/>
    <col min="2" max="2" width="22.33203125" style="178" customWidth="1"/>
    <col min="3" max="4" width="8.6640625" style="178" customWidth="1"/>
    <col min="5" max="5" width="7.88671875" style="178" customWidth="1"/>
    <col min="6" max="6" width="12.6640625" style="178" customWidth="1"/>
    <col min="7" max="8" width="8.6640625" style="178" customWidth="1"/>
    <col min="9" max="9" width="8.109375" style="178" customWidth="1"/>
    <col min="10" max="10" width="12.6640625" style="178" customWidth="1"/>
    <col min="11" max="11" width="14" style="7" bestFit="1" customWidth="1"/>
    <col min="12" max="12" width="4.5546875" style="178" customWidth="1"/>
    <col min="13" max="14" width="8.33203125" style="178" customWidth="1"/>
    <col min="15" max="15" width="12.6640625" style="178" customWidth="1"/>
    <col min="16" max="17" width="8.33203125" style="178" customWidth="1"/>
    <col min="18" max="18" width="12.6640625" style="178" customWidth="1"/>
    <col min="19" max="16384" width="9.109375" style="178"/>
  </cols>
  <sheetData>
    <row r="1" spans="1:18" ht="18" x14ac:dyDescent="0.25">
      <c r="A1" s="633" t="s">
        <v>220</v>
      </c>
      <c r="B1" s="633"/>
      <c r="C1" s="633"/>
      <c r="D1" s="633"/>
      <c r="E1" s="633"/>
      <c r="F1" s="633"/>
      <c r="G1" s="633"/>
      <c r="H1" s="633"/>
      <c r="I1" s="633"/>
      <c r="J1" s="633"/>
      <c r="K1" s="295" t="s">
        <v>20</v>
      </c>
      <c r="L1" s="9"/>
      <c r="M1" s="9"/>
      <c r="N1" s="9"/>
      <c r="O1" s="9"/>
      <c r="P1" s="9"/>
      <c r="Q1" s="9"/>
      <c r="R1" s="9"/>
    </row>
    <row r="2" spans="1:18" ht="18" x14ac:dyDescent="0.25">
      <c r="A2" s="634" t="str">
        <f>'[3]B. Summ of Req.'!A2:D2</f>
        <v>Office of Justice Programs</v>
      </c>
      <c r="B2" s="634"/>
      <c r="C2" s="634"/>
      <c r="D2" s="634"/>
      <c r="E2" s="634"/>
      <c r="F2" s="634"/>
      <c r="G2" s="634"/>
      <c r="H2" s="634"/>
      <c r="I2" s="634"/>
      <c r="J2" s="634"/>
      <c r="K2" s="295" t="s">
        <v>20</v>
      </c>
      <c r="L2" s="10"/>
      <c r="M2" s="10"/>
      <c r="N2" s="10"/>
      <c r="O2" s="10"/>
      <c r="P2" s="10"/>
      <c r="Q2" s="10"/>
      <c r="R2" s="10"/>
    </row>
    <row r="3" spans="1:18" ht="18" x14ac:dyDescent="0.25">
      <c r="A3" s="635" t="str">
        <f>+'[3]B. Summ of Req.'!A3:D3</f>
        <v>Crime Victims Fund</v>
      </c>
      <c r="B3" s="635"/>
      <c r="C3" s="635"/>
      <c r="D3" s="635"/>
      <c r="E3" s="635"/>
      <c r="F3" s="635"/>
      <c r="G3" s="635"/>
      <c r="H3" s="635"/>
      <c r="I3" s="635"/>
      <c r="J3" s="635"/>
      <c r="K3" s="295" t="s">
        <v>20</v>
      </c>
      <c r="L3" s="221"/>
      <c r="M3" s="221"/>
      <c r="N3" s="221"/>
      <c r="O3" s="221"/>
      <c r="P3" s="221"/>
      <c r="Q3" s="221"/>
      <c r="R3" s="221"/>
    </row>
    <row r="4" spans="1:18" ht="18" x14ac:dyDescent="0.25">
      <c r="A4" s="637" t="s">
        <v>1</v>
      </c>
      <c r="B4" s="637"/>
      <c r="C4" s="637"/>
      <c r="D4" s="637"/>
      <c r="E4" s="637"/>
      <c r="F4" s="637"/>
      <c r="G4" s="637"/>
      <c r="H4" s="637"/>
      <c r="I4" s="637"/>
      <c r="J4" s="637"/>
      <c r="K4" s="295" t="s">
        <v>20</v>
      </c>
      <c r="L4" s="11"/>
      <c r="M4" s="11"/>
      <c r="N4" s="11"/>
      <c r="O4" s="11"/>
      <c r="P4" s="11"/>
      <c r="Q4" s="11"/>
      <c r="R4" s="11"/>
    </row>
    <row r="5" spans="1:18" ht="18" x14ac:dyDescent="0.25">
      <c r="A5" s="637"/>
      <c r="B5" s="637"/>
      <c r="C5" s="637"/>
      <c r="D5" s="637"/>
      <c r="E5" s="637"/>
      <c r="F5" s="637"/>
      <c r="G5" s="637"/>
      <c r="H5" s="637"/>
      <c r="I5" s="637"/>
      <c r="J5" s="637"/>
      <c r="K5" s="295" t="s">
        <v>20</v>
      </c>
      <c r="L5" s="11"/>
      <c r="M5" s="11"/>
      <c r="N5" s="11"/>
      <c r="O5" s="11"/>
      <c r="P5" s="11"/>
      <c r="Q5" s="11"/>
      <c r="R5" s="11"/>
    </row>
    <row r="6" spans="1:18" ht="18.75" thickBot="1" x14ac:dyDescent="0.3">
      <c r="K6" s="295" t="s">
        <v>20</v>
      </c>
    </row>
    <row r="7" spans="1:18" ht="33.75" customHeight="1" x14ac:dyDescent="0.3">
      <c r="A7" s="638" t="s">
        <v>31</v>
      </c>
      <c r="B7" s="673" t="s">
        <v>217</v>
      </c>
      <c r="C7" s="641" t="s">
        <v>430</v>
      </c>
      <c r="D7" s="641"/>
      <c r="E7" s="641"/>
      <c r="F7" s="641"/>
      <c r="G7" s="641" t="s">
        <v>219</v>
      </c>
      <c r="H7" s="641"/>
      <c r="I7" s="641"/>
      <c r="J7" s="642"/>
      <c r="K7" s="295" t="s">
        <v>20</v>
      </c>
    </row>
    <row r="8" spans="1:18" ht="27.6" x14ac:dyDescent="0.3">
      <c r="A8" s="639"/>
      <c r="B8" s="716"/>
      <c r="C8" s="222" t="s">
        <v>3</v>
      </c>
      <c r="D8" s="222" t="s">
        <v>215</v>
      </c>
      <c r="E8" s="222" t="s">
        <v>149</v>
      </c>
      <c r="F8" s="222" t="s">
        <v>4</v>
      </c>
      <c r="G8" s="222" t="s">
        <v>3</v>
      </c>
      <c r="H8" s="222" t="s">
        <v>215</v>
      </c>
      <c r="I8" s="222" t="s">
        <v>149</v>
      </c>
      <c r="J8" s="223" t="s">
        <v>4</v>
      </c>
      <c r="K8" s="295" t="s">
        <v>20</v>
      </c>
    </row>
    <row r="9" spans="1:18" ht="17.399999999999999" x14ac:dyDescent="0.3">
      <c r="A9" s="184" t="s">
        <v>431</v>
      </c>
      <c r="B9" s="302" t="s">
        <v>430</v>
      </c>
      <c r="C9" s="225">
        <v>0</v>
      </c>
      <c r="D9" s="225">
        <v>0</v>
      </c>
      <c r="E9" s="225">
        <v>0</v>
      </c>
      <c r="F9" s="225">
        <v>95000</v>
      </c>
      <c r="G9" s="225">
        <f>C9</f>
        <v>0</v>
      </c>
      <c r="H9" s="225">
        <f>D9</f>
        <v>0</v>
      </c>
      <c r="I9" s="225">
        <f>E9</f>
        <v>0</v>
      </c>
      <c r="J9" s="226">
        <f>+F9</f>
        <v>95000</v>
      </c>
      <c r="K9" s="295" t="s">
        <v>20</v>
      </c>
    </row>
    <row r="10" spans="1:18" ht="18" thickBot="1" x14ac:dyDescent="0.35">
      <c r="A10" s="246" t="s">
        <v>218</v>
      </c>
      <c r="B10" s="245"/>
      <c r="C10" s="244">
        <f t="shared" ref="C10:J10" si="0">SUM(C9:C9)</f>
        <v>0</v>
      </c>
      <c r="D10" s="244">
        <f t="shared" si="0"/>
        <v>0</v>
      </c>
      <c r="E10" s="244">
        <f t="shared" si="0"/>
        <v>0</v>
      </c>
      <c r="F10" s="244">
        <f t="shared" si="0"/>
        <v>95000</v>
      </c>
      <c r="G10" s="244">
        <f t="shared" si="0"/>
        <v>0</v>
      </c>
      <c r="H10" s="244">
        <f t="shared" si="0"/>
        <v>0</v>
      </c>
      <c r="I10" s="244">
        <f t="shared" si="0"/>
        <v>0</v>
      </c>
      <c r="J10" s="266">
        <f t="shared" si="0"/>
        <v>95000</v>
      </c>
      <c r="K10" s="295" t="s">
        <v>20</v>
      </c>
    </row>
    <row r="11" spans="1:18" ht="17.399999999999999" x14ac:dyDescent="0.3">
      <c r="K11" s="295" t="s">
        <v>20</v>
      </c>
    </row>
    <row r="12" spans="1:18" x14ac:dyDescent="0.25">
      <c r="K12" s="7" t="s">
        <v>21</v>
      </c>
    </row>
    <row r="13" spans="1:18" x14ac:dyDescent="0.25">
      <c r="B13" s="243"/>
    </row>
    <row r="28" spans="6:6" x14ac:dyDescent="0.25">
      <c r="F28" s="190"/>
    </row>
  </sheetData>
  <customSheetViews>
    <customSheetView guid="{5B2D5037-506A-47D5-AF28-C337BC9133BD}" scale="80" showPageBreaks="1" printArea="1" view="pageBreakPreview">
      <selection activeCell="E32" sqref="E32"/>
      <pageMargins left="0.7" right="0.7" top="0.66" bottom="0.65" header="0.3" footer="0.3"/>
      <printOptions horizontalCentered="1"/>
      <pageSetup scale="75" orientation="landscape" r:id="rId1"/>
      <headerFooter>
        <oddHeader xml:space="preserve">&amp;L&amp;"Arial,Bold"&amp;12C. Program Changes by Decision Unit
</oddHeader>
        <oddFooter>&amp;C&amp;"Arial,Regular"Exhibit C - Program Changes by Decision Unit&amp;RCrime Victims Fund</oddFooter>
      </headerFooter>
    </customSheetView>
    <customSheetView guid="{08380F1E-0CB7-4B3B-924E-2A270EA8DD30}" scale="80" showPageBreaks="1" printArea="1" view="pageBreakPreview">
      <selection activeCell="E32" sqref="E32"/>
      <pageMargins left="0.7" right="0.7" top="0.66" bottom="0.65" header="0.3" footer="0.3"/>
      <printOptions horizontalCentered="1"/>
      <pageSetup scale="75" orientation="landscape" r:id="rId2"/>
      <headerFooter>
        <oddHeader xml:space="preserve">&amp;L&amp;"Arial,Bold"&amp;12C. Program Changes by Decision Unit
</oddHeader>
        <oddFooter>&amp;C&amp;"Arial,Regular"Exhibit C - Program Changes by Decision Unit&amp;RCrime Victims Fund</oddFooter>
      </headerFooter>
    </customSheetView>
    <customSheetView guid="{D19943A8-2C2A-430A-A724-8C7C332697C8}" scale="80" showPageBreaks="1" printArea="1" view="pageBreakPreview">
      <selection activeCell="E32" sqref="E32"/>
      <pageMargins left="0.7" right="0.7" top="0.66" bottom="0.65" header="0.3" footer="0.3"/>
      <printOptions horizontalCentered="1"/>
      <pageSetup scale="75" orientation="landscape" r:id="rId3"/>
      <headerFooter>
        <oddHeader xml:space="preserve">&amp;L&amp;"Arial,Bold"&amp;12C. Program Changes by Decision Unit
</oddHeader>
        <oddFooter>&amp;C&amp;"Arial,Regular"Exhibit C - Program Changes by Decision Unit&amp;RCrime Victims Fund</oddFooter>
      </headerFooter>
    </customSheetView>
    <customSheetView guid="{C6D68C6D-939C-4DFA-9385-A3F05DFB5EDA}" scale="80" showPageBreaks="1" printArea="1" view="pageBreakPreview">
      <selection activeCell="E32" sqref="E32"/>
      <pageMargins left="0.7" right="0.7" top="0.66" bottom="0.65" header="0.3" footer="0.3"/>
      <printOptions horizontalCentered="1"/>
      <pageSetup scale="75" orientation="landscape" r:id="rId4"/>
      <headerFooter>
        <oddHeader xml:space="preserve">&amp;L&amp;"Arial,Bold"&amp;12C. Program Changes by Decision Unit
</oddHeader>
        <oddFooter>&amp;C&amp;"Arial,Regular"Exhibit C - Program Changes by Decision Unit&amp;RCrime Victims Fund</oddFooter>
      </headerFooter>
    </customSheetView>
  </customSheetViews>
  <mergeCells count="9">
    <mergeCell ref="A7:A8"/>
    <mergeCell ref="B7:B8"/>
    <mergeCell ref="C7:F7"/>
    <mergeCell ref="G7:J7"/>
    <mergeCell ref="A1:J1"/>
    <mergeCell ref="A2:J2"/>
    <mergeCell ref="A3:J3"/>
    <mergeCell ref="A4:J4"/>
    <mergeCell ref="A5:J5"/>
  </mergeCells>
  <printOptions horizontalCentered="1"/>
  <pageMargins left="0.7" right="0.7" top="0.66" bottom="0.65" header="0.3" footer="0.3"/>
  <pageSetup scale="75" orientation="landscape" r:id="rId5"/>
  <headerFooter>
    <oddHeader xml:space="preserve">&amp;L&amp;"Arial,Bold"&amp;12C. Program Changes by Decision Unit
</oddHeader>
    <oddFooter>&amp;C&amp;"Arial,Regular"Exhibit C - Program Changes by Decision Unit&amp;RCrime Victims Fund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topLeftCell="A10" zoomScale="80" zoomScaleNormal="100" zoomScaleSheetLayoutView="80" workbookViewId="0">
      <selection activeCell="A32" sqref="A32"/>
    </sheetView>
  </sheetViews>
  <sheetFormatPr defaultColWidth="9.109375" defaultRowHeight="13.8" x14ac:dyDescent="0.25"/>
  <cols>
    <col min="1" max="1" width="7.44140625" style="178" bestFit="1" customWidth="1"/>
    <col min="2" max="2" width="58.109375" style="178" customWidth="1"/>
    <col min="3" max="3" width="8.6640625" style="178" customWidth="1"/>
    <col min="4" max="4" width="12.6640625" style="178" customWidth="1"/>
    <col min="5" max="5" width="8.6640625" style="178" customWidth="1"/>
    <col min="6" max="6" width="12.6640625" style="178" customWidth="1"/>
    <col min="7" max="7" width="8.6640625" style="178" customWidth="1"/>
    <col min="8" max="8" width="12.6640625" style="178" customWidth="1"/>
    <col min="9" max="9" width="8.6640625" style="178" customWidth="1"/>
    <col min="10" max="10" width="12.6640625" style="178" customWidth="1"/>
    <col min="11" max="11" width="8.6640625" style="178" customWidth="1"/>
    <col min="12" max="12" width="12.6640625" style="178" customWidth="1"/>
    <col min="13" max="13" width="8.6640625" style="178" customWidth="1"/>
    <col min="14" max="14" width="12.6640625" style="178" customWidth="1"/>
    <col min="15" max="15" width="14" style="7" bestFit="1" customWidth="1"/>
    <col min="16" max="16" width="4.5546875" style="178" customWidth="1"/>
    <col min="17" max="18" width="8.33203125" style="178" customWidth="1"/>
    <col min="19" max="19" width="12.6640625" style="178" customWidth="1"/>
    <col min="20" max="21" width="8.33203125" style="178" customWidth="1"/>
    <col min="22" max="22" width="12.6640625" style="178" customWidth="1"/>
    <col min="23" max="16384" width="9.109375" style="178"/>
  </cols>
  <sheetData>
    <row r="1" spans="1:22" ht="18" x14ac:dyDescent="0.25">
      <c r="A1" s="633" t="s">
        <v>221</v>
      </c>
      <c r="B1" s="633"/>
      <c r="C1" s="633"/>
      <c r="D1" s="633"/>
      <c r="E1" s="633"/>
      <c r="F1" s="633"/>
      <c r="G1" s="633"/>
      <c r="H1" s="633"/>
      <c r="I1" s="633"/>
      <c r="J1" s="633"/>
      <c r="K1" s="633"/>
      <c r="L1" s="633"/>
      <c r="M1" s="633"/>
      <c r="N1" s="633"/>
      <c r="O1" s="53" t="s">
        <v>20</v>
      </c>
      <c r="P1" s="9"/>
      <c r="Q1" s="9"/>
      <c r="R1" s="9"/>
      <c r="S1" s="9"/>
      <c r="T1" s="9"/>
      <c r="U1" s="9"/>
      <c r="V1" s="9"/>
    </row>
    <row r="2" spans="1:22" ht="15" x14ac:dyDescent="0.2">
      <c r="A2" s="634" t="str">
        <f>'[3]B. Summ of Req.'!A2:D2</f>
        <v>Office of Justice Programs</v>
      </c>
      <c r="B2" s="634"/>
      <c r="C2" s="634"/>
      <c r="D2" s="634"/>
      <c r="E2" s="634"/>
      <c r="F2" s="634"/>
      <c r="G2" s="634"/>
      <c r="H2" s="634"/>
      <c r="I2" s="634"/>
      <c r="J2" s="634"/>
      <c r="K2" s="634"/>
      <c r="L2" s="634"/>
      <c r="M2" s="634"/>
      <c r="N2" s="634"/>
      <c r="O2" s="53" t="s">
        <v>20</v>
      </c>
      <c r="P2" s="10"/>
      <c r="Q2" s="10"/>
      <c r="R2" s="10"/>
      <c r="S2" s="10"/>
      <c r="T2" s="10"/>
      <c r="U2" s="10"/>
      <c r="V2" s="10"/>
    </row>
    <row r="3" spans="1:22" ht="14.25" x14ac:dyDescent="0.2">
      <c r="A3" s="635" t="str">
        <f>+'[3]B. Summ of Req. by DU'!A3:M3</f>
        <v>Crime Victims Fund</v>
      </c>
      <c r="B3" s="635"/>
      <c r="C3" s="635"/>
      <c r="D3" s="635"/>
      <c r="E3" s="635"/>
      <c r="F3" s="635"/>
      <c r="G3" s="635"/>
      <c r="H3" s="635"/>
      <c r="I3" s="635"/>
      <c r="J3" s="635"/>
      <c r="K3" s="635"/>
      <c r="L3" s="635"/>
      <c r="M3" s="635"/>
      <c r="N3" s="635"/>
      <c r="O3" s="53" t="s">
        <v>20</v>
      </c>
      <c r="P3" s="221"/>
      <c r="Q3" s="221"/>
      <c r="R3" s="221"/>
      <c r="S3" s="221"/>
      <c r="T3" s="221"/>
      <c r="U3" s="221"/>
      <c r="V3" s="221"/>
    </row>
    <row r="4" spans="1:22" ht="14.25" x14ac:dyDescent="0.2">
      <c r="A4" s="637" t="s">
        <v>1</v>
      </c>
      <c r="B4" s="637"/>
      <c r="C4" s="637"/>
      <c r="D4" s="637"/>
      <c r="E4" s="637"/>
      <c r="F4" s="637"/>
      <c r="G4" s="637"/>
      <c r="H4" s="637"/>
      <c r="I4" s="637"/>
      <c r="J4" s="637"/>
      <c r="K4" s="637"/>
      <c r="L4" s="637"/>
      <c r="M4" s="637"/>
      <c r="N4" s="637"/>
      <c r="O4" s="53" t="s">
        <v>20</v>
      </c>
      <c r="P4" s="11"/>
      <c r="Q4" s="11"/>
      <c r="R4" s="11"/>
      <c r="S4" s="11"/>
      <c r="T4" s="11"/>
      <c r="U4" s="11"/>
      <c r="V4" s="11"/>
    </row>
    <row r="5" spans="1:22" ht="14.25" x14ac:dyDescent="0.2">
      <c r="A5" s="635"/>
      <c r="B5" s="635"/>
      <c r="C5" s="635"/>
      <c r="D5" s="635"/>
      <c r="E5" s="635"/>
      <c r="F5" s="635"/>
      <c r="G5" s="635"/>
      <c r="H5" s="635"/>
      <c r="I5" s="635"/>
      <c r="J5" s="635"/>
      <c r="K5" s="635"/>
      <c r="L5" s="635"/>
      <c r="M5" s="635"/>
      <c r="N5" s="635"/>
      <c r="O5" s="53" t="s">
        <v>20</v>
      </c>
      <c r="P5" s="11"/>
      <c r="Q5" s="11"/>
      <c r="R5" s="11"/>
      <c r="S5" s="11"/>
      <c r="T5" s="11"/>
      <c r="U5" s="11"/>
      <c r="V5" s="11"/>
    </row>
    <row r="6" spans="1:22" ht="15" thickBot="1" x14ac:dyDescent="0.25">
      <c r="A6" s="717"/>
      <c r="B6" s="717"/>
      <c r="C6" s="717"/>
      <c r="D6" s="717"/>
      <c r="E6" s="717"/>
      <c r="F6" s="717"/>
      <c r="G6" s="717"/>
      <c r="H6" s="717"/>
      <c r="I6" s="717"/>
      <c r="J6" s="717"/>
      <c r="K6" s="717"/>
      <c r="L6" s="717"/>
      <c r="M6" s="717"/>
      <c r="N6" s="717"/>
      <c r="O6" s="53" t="s">
        <v>20</v>
      </c>
      <c r="P6" s="11"/>
      <c r="Q6" s="11"/>
      <c r="R6" s="11"/>
      <c r="S6" s="11"/>
      <c r="T6" s="11"/>
      <c r="U6" s="11"/>
      <c r="V6" s="11"/>
    </row>
    <row r="7" spans="1:22" ht="33.75" customHeight="1" x14ac:dyDescent="0.25">
      <c r="A7" s="677" t="s">
        <v>222</v>
      </c>
      <c r="B7" s="719"/>
      <c r="C7" s="641" t="s">
        <v>223</v>
      </c>
      <c r="D7" s="641"/>
      <c r="E7" s="641" t="s">
        <v>207</v>
      </c>
      <c r="F7" s="641"/>
      <c r="G7" s="641" t="s">
        <v>13</v>
      </c>
      <c r="H7" s="641"/>
      <c r="I7" s="641" t="s">
        <v>22</v>
      </c>
      <c r="J7" s="641"/>
      <c r="K7" s="641" t="s">
        <v>23</v>
      </c>
      <c r="L7" s="641"/>
      <c r="M7" s="641" t="s">
        <v>18</v>
      </c>
      <c r="N7" s="642"/>
      <c r="O7" s="53" t="s">
        <v>20</v>
      </c>
    </row>
    <row r="8" spans="1:22" ht="41.4" x14ac:dyDescent="0.25">
      <c r="A8" s="678"/>
      <c r="B8" s="720"/>
      <c r="C8" s="222" t="s">
        <v>224</v>
      </c>
      <c r="D8" s="222" t="s">
        <v>225</v>
      </c>
      <c r="E8" s="222" t="s">
        <v>224</v>
      </c>
      <c r="F8" s="222" t="s">
        <v>225</v>
      </c>
      <c r="G8" s="222" t="s">
        <v>224</v>
      </c>
      <c r="H8" s="222" t="s">
        <v>225</v>
      </c>
      <c r="I8" s="222" t="s">
        <v>224</v>
      </c>
      <c r="J8" s="222" t="s">
        <v>225</v>
      </c>
      <c r="K8" s="222" t="s">
        <v>224</v>
      </c>
      <c r="L8" s="222" t="s">
        <v>225</v>
      </c>
      <c r="M8" s="222" t="s">
        <v>224</v>
      </c>
      <c r="N8" s="223" t="s">
        <v>225</v>
      </c>
      <c r="O8" s="53" t="s">
        <v>20</v>
      </c>
    </row>
    <row r="9" spans="1:22" ht="41.4" x14ac:dyDescent="0.25">
      <c r="A9" s="253" t="s">
        <v>226</v>
      </c>
      <c r="B9" s="254" t="s">
        <v>227</v>
      </c>
      <c r="C9" s="255"/>
      <c r="D9" s="255"/>
      <c r="E9" s="255"/>
      <c r="F9" s="255"/>
      <c r="G9" s="255"/>
      <c r="H9" s="255"/>
      <c r="I9" s="255"/>
      <c r="J9" s="255"/>
      <c r="K9" s="255"/>
      <c r="L9" s="255"/>
      <c r="M9" s="255"/>
      <c r="N9" s="256"/>
      <c r="O9" s="53" t="s">
        <v>20</v>
      </c>
    </row>
    <row r="10" spans="1:22" ht="27.6" x14ac:dyDescent="0.25">
      <c r="A10" s="257">
        <v>1.1000000000000001</v>
      </c>
      <c r="B10" s="258" t="s">
        <v>228</v>
      </c>
      <c r="C10" s="208">
        <v>0</v>
      </c>
      <c r="D10" s="259">
        <v>0</v>
      </c>
      <c r="E10" s="208">
        <v>0</v>
      </c>
      <c r="F10" s="208">
        <v>0</v>
      </c>
      <c r="G10" s="208">
        <v>0</v>
      </c>
      <c r="H10" s="208">
        <v>0</v>
      </c>
      <c r="I10" s="208">
        <v>0</v>
      </c>
      <c r="J10" s="208">
        <v>0</v>
      </c>
      <c r="K10" s="208">
        <v>0</v>
      </c>
      <c r="L10" s="208">
        <v>0</v>
      </c>
      <c r="M10" s="208">
        <f>G10+I10+K10</f>
        <v>0</v>
      </c>
      <c r="N10" s="205">
        <f t="shared" ref="N10:N12" si="0">H10+J10+L10</f>
        <v>0</v>
      </c>
      <c r="O10" s="53" t="s">
        <v>20</v>
      </c>
    </row>
    <row r="11" spans="1:22" ht="13.95" x14ac:dyDescent="0.25">
      <c r="A11" s="257">
        <v>1.2</v>
      </c>
      <c r="B11" s="260" t="s">
        <v>229</v>
      </c>
      <c r="C11" s="208">
        <v>0</v>
      </c>
      <c r="D11" s="208">
        <v>0</v>
      </c>
      <c r="E11" s="208">
        <v>0</v>
      </c>
      <c r="F11" s="208">
        <v>0</v>
      </c>
      <c r="G11" s="208">
        <v>0</v>
      </c>
      <c r="H11" s="208">
        <v>0</v>
      </c>
      <c r="I11" s="208">
        <v>0</v>
      </c>
      <c r="J11" s="208">
        <v>0</v>
      </c>
      <c r="K11" s="208">
        <v>0</v>
      </c>
      <c r="L11" s="208">
        <v>0</v>
      </c>
      <c r="M11" s="208">
        <f t="shared" ref="M11:M12" si="1">G11+I11+K11</f>
        <v>0</v>
      </c>
      <c r="N11" s="205">
        <f t="shared" si="0"/>
        <v>0</v>
      </c>
      <c r="O11" s="53" t="s">
        <v>20</v>
      </c>
    </row>
    <row r="12" spans="1:22" ht="13.95" x14ac:dyDescent="0.25">
      <c r="A12" s="257">
        <v>1.3</v>
      </c>
      <c r="B12" s="260" t="s">
        <v>230</v>
      </c>
      <c r="C12" s="208">
        <v>0</v>
      </c>
      <c r="D12" s="208">
        <v>0</v>
      </c>
      <c r="E12" s="208">
        <v>0</v>
      </c>
      <c r="F12" s="208">
        <v>0</v>
      </c>
      <c r="G12" s="208">
        <v>0</v>
      </c>
      <c r="H12" s="208">
        <v>0</v>
      </c>
      <c r="I12" s="208">
        <v>0</v>
      </c>
      <c r="J12" s="208">
        <v>0</v>
      </c>
      <c r="K12" s="208">
        <v>0</v>
      </c>
      <c r="L12" s="208">
        <v>0</v>
      </c>
      <c r="M12" s="208">
        <f t="shared" si="1"/>
        <v>0</v>
      </c>
      <c r="N12" s="205">
        <f t="shared" si="0"/>
        <v>0</v>
      </c>
      <c r="O12" s="53" t="s">
        <v>20</v>
      </c>
    </row>
    <row r="13" spans="1:22" ht="13.95" x14ac:dyDescent="0.25">
      <c r="A13" s="261"/>
      <c r="B13" s="262" t="s">
        <v>231</v>
      </c>
      <c r="C13" s="25">
        <f>SUM(C10:C12)</f>
        <v>0</v>
      </c>
      <c r="D13" s="25">
        <f t="shared" ref="D13:N13" si="2">SUM(D10:D12)</f>
        <v>0</v>
      </c>
      <c r="E13" s="25">
        <f t="shared" si="2"/>
        <v>0</v>
      </c>
      <c r="F13" s="25">
        <f t="shared" si="2"/>
        <v>0</v>
      </c>
      <c r="G13" s="25">
        <f t="shared" si="2"/>
        <v>0</v>
      </c>
      <c r="H13" s="25">
        <f t="shared" si="2"/>
        <v>0</v>
      </c>
      <c r="I13" s="25">
        <f t="shared" si="2"/>
        <v>0</v>
      </c>
      <c r="J13" s="25">
        <f t="shared" si="2"/>
        <v>0</v>
      </c>
      <c r="K13" s="25">
        <f t="shared" si="2"/>
        <v>0</v>
      </c>
      <c r="L13" s="25">
        <f t="shared" si="2"/>
        <v>0</v>
      </c>
      <c r="M13" s="25">
        <f t="shared" si="2"/>
        <v>0</v>
      </c>
      <c r="N13" s="26">
        <f t="shared" si="2"/>
        <v>0</v>
      </c>
      <c r="O13" s="53" t="s">
        <v>20</v>
      </c>
    </row>
    <row r="14" spans="1:22" ht="27.6" x14ac:dyDescent="0.25">
      <c r="A14" s="253" t="s">
        <v>232</v>
      </c>
      <c r="B14" s="254" t="s">
        <v>233</v>
      </c>
      <c r="C14" s="255"/>
      <c r="D14" s="255"/>
      <c r="E14" s="255"/>
      <c r="F14" s="255"/>
      <c r="G14" s="255"/>
      <c r="H14" s="255"/>
      <c r="I14" s="255"/>
      <c r="J14" s="255"/>
      <c r="K14" s="255"/>
      <c r="L14" s="255"/>
      <c r="M14" s="255"/>
      <c r="N14" s="256"/>
      <c r="O14" s="53" t="s">
        <v>20</v>
      </c>
    </row>
    <row r="15" spans="1:22" ht="13.95" x14ac:dyDescent="0.25">
      <c r="A15" s="257">
        <v>2.1</v>
      </c>
      <c r="B15" s="258" t="s">
        <v>234</v>
      </c>
      <c r="C15" s="208">
        <v>0</v>
      </c>
      <c r="D15" s="208">
        <v>0</v>
      </c>
      <c r="E15" s="208">
        <v>0</v>
      </c>
      <c r="F15" s="208">
        <v>0</v>
      </c>
      <c r="G15" s="208">
        <v>0</v>
      </c>
      <c r="H15" s="208">
        <v>0</v>
      </c>
      <c r="I15" s="208">
        <v>0</v>
      </c>
      <c r="J15" s="208">
        <v>0</v>
      </c>
      <c r="K15" s="208">
        <v>0</v>
      </c>
      <c r="L15" s="208">
        <v>0</v>
      </c>
      <c r="M15" s="208">
        <f>G15+I15+K15</f>
        <v>0</v>
      </c>
      <c r="N15" s="205">
        <f t="shared" ref="N15:N20" si="3">H15+J15+L15</f>
        <v>0</v>
      </c>
      <c r="O15" s="53" t="s">
        <v>20</v>
      </c>
    </row>
    <row r="16" spans="1:22" ht="13.95" x14ac:dyDescent="0.25">
      <c r="A16" s="257">
        <v>2.2000000000000002</v>
      </c>
      <c r="B16" s="260" t="s">
        <v>235</v>
      </c>
      <c r="C16" s="208">
        <v>0</v>
      </c>
      <c r="D16" s="208">
        <v>705000</v>
      </c>
      <c r="E16" s="208">
        <v>0</v>
      </c>
      <c r="F16" s="208">
        <v>705000</v>
      </c>
      <c r="G16" s="208">
        <v>0</v>
      </c>
      <c r="H16" s="208">
        <v>705000</v>
      </c>
      <c r="I16" s="208">
        <v>0</v>
      </c>
      <c r="J16" s="208">
        <v>95000</v>
      </c>
      <c r="K16" s="208">
        <v>0</v>
      </c>
      <c r="L16" s="208">
        <v>0</v>
      </c>
      <c r="M16" s="208">
        <f t="shared" ref="M16:M20" si="4">G16+I16+K16</f>
        <v>0</v>
      </c>
      <c r="N16" s="205">
        <f t="shared" si="3"/>
        <v>800000</v>
      </c>
      <c r="O16" s="53" t="s">
        <v>20</v>
      </c>
    </row>
    <row r="17" spans="1:15" ht="13.95" x14ac:dyDescent="0.25">
      <c r="A17" s="257">
        <v>2.2999999999999998</v>
      </c>
      <c r="B17" s="260" t="s">
        <v>236</v>
      </c>
      <c r="C17" s="208">
        <v>0</v>
      </c>
      <c r="D17" s="208">
        <v>0</v>
      </c>
      <c r="E17" s="208">
        <v>0</v>
      </c>
      <c r="F17" s="208">
        <v>0</v>
      </c>
      <c r="G17" s="208">
        <v>0</v>
      </c>
      <c r="H17" s="208">
        <v>0</v>
      </c>
      <c r="I17" s="208">
        <v>0</v>
      </c>
      <c r="J17" s="208">
        <v>0</v>
      </c>
      <c r="K17" s="208">
        <v>0</v>
      </c>
      <c r="L17" s="208">
        <v>0</v>
      </c>
      <c r="M17" s="208">
        <f t="shared" si="4"/>
        <v>0</v>
      </c>
      <c r="N17" s="205">
        <f t="shared" si="3"/>
        <v>0</v>
      </c>
      <c r="O17" s="53" t="s">
        <v>20</v>
      </c>
    </row>
    <row r="18" spans="1:15" ht="27.6" x14ac:dyDescent="0.25">
      <c r="A18" s="257">
        <v>2.4</v>
      </c>
      <c r="B18" s="258" t="s">
        <v>237</v>
      </c>
      <c r="C18" s="208">
        <v>0</v>
      </c>
      <c r="D18" s="208">
        <v>0</v>
      </c>
      <c r="E18" s="208">
        <v>0</v>
      </c>
      <c r="F18" s="208">
        <v>0</v>
      </c>
      <c r="G18" s="208">
        <v>0</v>
      </c>
      <c r="H18" s="208">
        <v>0</v>
      </c>
      <c r="I18" s="208">
        <v>0</v>
      </c>
      <c r="J18" s="208">
        <v>0</v>
      </c>
      <c r="K18" s="208">
        <v>0</v>
      </c>
      <c r="L18" s="208">
        <v>0</v>
      </c>
      <c r="M18" s="208">
        <f t="shared" si="4"/>
        <v>0</v>
      </c>
      <c r="N18" s="205">
        <f t="shared" si="3"/>
        <v>0</v>
      </c>
      <c r="O18" s="53" t="s">
        <v>20</v>
      </c>
    </row>
    <row r="19" spans="1:15" x14ac:dyDescent="0.25">
      <c r="A19" s="257">
        <v>2.5</v>
      </c>
      <c r="B19" s="260" t="s">
        <v>238</v>
      </c>
      <c r="C19" s="208">
        <v>0</v>
      </c>
      <c r="D19" s="208">
        <v>0</v>
      </c>
      <c r="E19" s="208">
        <v>0</v>
      </c>
      <c r="F19" s="208">
        <v>0</v>
      </c>
      <c r="G19" s="208">
        <v>0</v>
      </c>
      <c r="H19" s="208">
        <v>0</v>
      </c>
      <c r="I19" s="208">
        <v>0</v>
      </c>
      <c r="J19" s="208">
        <v>0</v>
      </c>
      <c r="K19" s="208">
        <v>0</v>
      </c>
      <c r="L19" s="208">
        <v>0</v>
      </c>
      <c r="M19" s="208">
        <f t="shared" si="4"/>
        <v>0</v>
      </c>
      <c r="N19" s="205">
        <f t="shared" si="3"/>
        <v>0</v>
      </c>
      <c r="O19" s="53" t="s">
        <v>20</v>
      </c>
    </row>
    <row r="20" spans="1:15" x14ac:dyDescent="0.25">
      <c r="A20" s="257">
        <v>2.6</v>
      </c>
      <c r="B20" s="260" t="s">
        <v>441</v>
      </c>
      <c r="C20" s="208">
        <v>0</v>
      </c>
      <c r="D20" s="208">
        <v>0</v>
      </c>
      <c r="E20" s="208">
        <v>0</v>
      </c>
      <c r="F20" s="208">
        <v>0</v>
      </c>
      <c r="G20" s="208">
        <v>0</v>
      </c>
      <c r="H20" s="208">
        <v>0</v>
      </c>
      <c r="I20" s="208">
        <v>0</v>
      </c>
      <c r="J20" s="208">
        <v>0</v>
      </c>
      <c r="K20" s="208">
        <v>0</v>
      </c>
      <c r="L20" s="208">
        <v>0</v>
      </c>
      <c r="M20" s="208">
        <f t="shared" si="4"/>
        <v>0</v>
      </c>
      <c r="N20" s="205">
        <f t="shared" si="3"/>
        <v>0</v>
      </c>
      <c r="O20" s="53" t="s">
        <v>20</v>
      </c>
    </row>
    <row r="21" spans="1:15" x14ac:dyDescent="0.25">
      <c r="A21" s="261"/>
      <c r="B21" s="262" t="s">
        <v>239</v>
      </c>
      <c r="C21" s="25">
        <f t="shared" ref="C21:M21" si="5">SUM(C15:C20)</f>
        <v>0</v>
      </c>
      <c r="D21" s="25">
        <f t="shared" si="5"/>
        <v>705000</v>
      </c>
      <c r="E21" s="25">
        <f t="shared" si="5"/>
        <v>0</v>
      </c>
      <c r="F21" s="25">
        <f t="shared" si="5"/>
        <v>705000</v>
      </c>
      <c r="G21" s="25">
        <f t="shared" si="5"/>
        <v>0</v>
      </c>
      <c r="H21" s="25">
        <f t="shared" si="5"/>
        <v>705000</v>
      </c>
      <c r="I21" s="25">
        <f t="shared" si="5"/>
        <v>0</v>
      </c>
      <c r="J21" s="25">
        <f t="shared" si="5"/>
        <v>95000</v>
      </c>
      <c r="K21" s="25">
        <f t="shared" si="5"/>
        <v>0</v>
      </c>
      <c r="L21" s="25">
        <f t="shared" si="5"/>
        <v>0</v>
      </c>
      <c r="M21" s="25">
        <f t="shared" si="5"/>
        <v>0</v>
      </c>
      <c r="N21" s="26">
        <f>SUM(N15:N20)</f>
        <v>800000</v>
      </c>
      <c r="O21" s="53" t="s">
        <v>20</v>
      </c>
    </row>
    <row r="22" spans="1:15" ht="41.4" x14ac:dyDescent="0.25">
      <c r="A22" s="253" t="s">
        <v>240</v>
      </c>
      <c r="B22" s="254" t="s">
        <v>241</v>
      </c>
      <c r="C22" s="255"/>
      <c r="D22" s="255"/>
      <c r="E22" s="255"/>
      <c r="F22" s="255"/>
      <c r="G22" s="255"/>
      <c r="H22" s="255"/>
      <c r="I22" s="255"/>
      <c r="J22" s="255"/>
      <c r="K22" s="255"/>
      <c r="L22" s="255"/>
      <c r="M22" s="255"/>
      <c r="N22" s="256"/>
      <c r="O22" s="53" t="s">
        <v>20</v>
      </c>
    </row>
    <row r="23" spans="1:15" ht="41.4" x14ac:dyDescent="0.25">
      <c r="A23" s="257">
        <v>3.1</v>
      </c>
      <c r="B23" s="258" t="s">
        <v>242</v>
      </c>
      <c r="C23" s="208">
        <v>0</v>
      </c>
      <c r="D23" s="208">
        <v>0</v>
      </c>
      <c r="E23" s="208">
        <v>0</v>
      </c>
      <c r="F23" s="208">
        <v>0</v>
      </c>
      <c r="G23" s="208">
        <v>0</v>
      </c>
      <c r="H23" s="208">
        <v>0</v>
      </c>
      <c r="I23" s="208">
        <v>0</v>
      </c>
      <c r="J23" s="208">
        <v>0</v>
      </c>
      <c r="K23" s="208">
        <v>0</v>
      </c>
      <c r="L23" s="208">
        <v>0</v>
      </c>
      <c r="M23" s="208">
        <f t="shared" ref="M23:N26" si="6">G23+I23+K23</f>
        <v>0</v>
      </c>
      <c r="N23" s="205">
        <f t="shared" si="6"/>
        <v>0</v>
      </c>
      <c r="O23" s="53" t="s">
        <v>20</v>
      </c>
    </row>
    <row r="24" spans="1:15" ht="41.4" x14ac:dyDescent="0.25">
      <c r="A24" s="257">
        <v>3.2</v>
      </c>
      <c r="B24" s="258" t="s">
        <v>243</v>
      </c>
      <c r="C24" s="208">
        <v>0</v>
      </c>
      <c r="D24" s="208">
        <v>0</v>
      </c>
      <c r="E24" s="208">
        <v>0</v>
      </c>
      <c r="F24" s="208">
        <v>0</v>
      </c>
      <c r="G24" s="208">
        <v>0</v>
      </c>
      <c r="H24" s="208">
        <v>0</v>
      </c>
      <c r="I24" s="208">
        <v>0</v>
      </c>
      <c r="J24" s="208">
        <v>0</v>
      </c>
      <c r="K24" s="208">
        <v>0</v>
      </c>
      <c r="L24" s="208">
        <v>0</v>
      </c>
      <c r="M24" s="208">
        <f t="shared" si="6"/>
        <v>0</v>
      </c>
      <c r="N24" s="205">
        <f t="shared" si="6"/>
        <v>0</v>
      </c>
      <c r="O24" s="53" t="s">
        <v>20</v>
      </c>
    </row>
    <row r="25" spans="1:15" ht="41.4" x14ac:dyDescent="0.25">
      <c r="A25" s="257">
        <v>3.3</v>
      </c>
      <c r="B25" s="258" t="s">
        <v>244</v>
      </c>
      <c r="C25" s="208">
        <v>0</v>
      </c>
      <c r="D25" s="208">
        <v>0</v>
      </c>
      <c r="E25" s="208">
        <v>0</v>
      </c>
      <c r="F25" s="208">
        <v>0</v>
      </c>
      <c r="G25" s="208">
        <v>0</v>
      </c>
      <c r="H25" s="208">
        <v>0</v>
      </c>
      <c r="I25" s="208">
        <v>0</v>
      </c>
      <c r="J25" s="208">
        <v>0</v>
      </c>
      <c r="K25" s="208">
        <v>0</v>
      </c>
      <c r="L25" s="208">
        <v>0</v>
      </c>
      <c r="M25" s="208">
        <f t="shared" si="6"/>
        <v>0</v>
      </c>
      <c r="N25" s="205">
        <f t="shared" si="6"/>
        <v>0</v>
      </c>
      <c r="O25" s="53" t="s">
        <v>20</v>
      </c>
    </row>
    <row r="26" spans="1:15" ht="27.6" x14ac:dyDescent="0.25">
      <c r="A26" s="257">
        <v>3.4</v>
      </c>
      <c r="B26" s="258" t="s">
        <v>245</v>
      </c>
      <c r="C26" s="208">
        <v>0</v>
      </c>
      <c r="D26" s="208">
        <v>0</v>
      </c>
      <c r="E26" s="208">
        <v>0</v>
      </c>
      <c r="F26" s="208">
        <v>0</v>
      </c>
      <c r="G26" s="208">
        <v>0</v>
      </c>
      <c r="H26" s="208">
        <v>0</v>
      </c>
      <c r="I26" s="208">
        <v>0</v>
      </c>
      <c r="J26" s="208">
        <v>0</v>
      </c>
      <c r="K26" s="208">
        <v>0</v>
      </c>
      <c r="L26" s="208">
        <v>0</v>
      </c>
      <c r="M26" s="208">
        <f t="shared" si="6"/>
        <v>0</v>
      </c>
      <c r="N26" s="205">
        <f t="shared" si="6"/>
        <v>0</v>
      </c>
      <c r="O26" s="53" t="s">
        <v>20</v>
      </c>
    </row>
    <row r="27" spans="1:15" x14ac:dyDescent="0.25">
      <c r="A27" s="261"/>
      <c r="B27" s="263" t="s">
        <v>246</v>
      </c>
      <c r="C27" s="25">
        <f>SUM(C23:C26)</f>
        <v>0</v>
      </c>
      <c r="D27" s="25">
        <f t="shared" ref="D27:N27" si="7">SUM(D23:D26)</f>
        <v>0</v>
      </c>
      <c r="E27" s="25">
        <f t="shared" si="7"/>
        <v>0</v>
      </c>
      <c r="F27" s="25">
        <f t="shared" si="7"/>
        <v>0</v>
      </c>
      <c r="G27" s="25">
        <f t="shared" si="7"/>
        <v>0</v>
      </c>
      <c r="H27" s="25">
        <f t="shared" si="7"/>
        <v>0</v>
      </c>
      <c r="I27" s="25">
        <f t="shared" si="7"/>
        <v>0</v>
      </c>
      <c r="J27" s="25">
        <f t="shared" si="7"/>
        <v>0</v>
      </c>
      <c r="K27" s="25">
        <f t="shared" si="7"/>
        <v>0</v>
      </c>
      <c r="L27" s="25">
        <f t="shared" si="7"/>
        <v>0</v>
      </c>
      <c r="M27" s="25">
        <f t="shared" si="7"/>
        <v>0</v>
      </c>
      <c r="N27" s="26">
        <f t="shared" si="7"/>
        <v>0</v>
      </c>
      <c r="O27" s="53" t="s">
        <v>20</v>
      </c>
    </row>
    <row r="28" spans="1:15" ht="14.4" thickBot="1" x14ac:dyDescent="0.3">
      <c r="A28" s="264"/>
      <c r="B28" s="265" t="s">
        <v>247</v>
      </c>
      <c r="C28" s="244">
        <f>C27+C21+C13</f>
        <v>0</v>
      </c>
      <c r="D28" s="244">
        <f t="shared" ref="D28:N28" si="8">D27+D21+D13</f>
        <v>705000</v>
      </c>
      <c r="E28" s="244">
        <f t="shared" si="8"/>
        <v>0</v>
      </c>
      <c r="F28" s="244">
        <f t="shared" si="8"/>
        <v>705000</v>
      </c>
      <c r="G28" s="244">
        <f t="shared" si="8"/>
        <v>0</v>
      </c>
      <c r="H28" s="244">
        <f t="shared" si="8"/>
        <v>705000</v>
      </c>
      <c r="I28" s="244">
        <f t="shared" si="8"/>
        <v>0</v>
      </c>
      <c r="J28" s="244">
        <f t="shared" si="8"/>
        <v>95000</v>
      </c>
      <c r="K28" s="244">
        <f t="shared" si="8"/>
        <v>0</v>
      </c>
      <c r="L28" s="244">
        <f t="shared" si="8"/>
        <v>0</v>
      </c>
      <c r="M28" s="244">
        <f t="shared" si="8"/>
        <v>0</v>
      </c>
      <c r="N28" s="266">
        <f t="shared" si="8"/>
        <v>800000</v>
      </c>
      <c r="O28" s="53" t="s">
        <v>20</v>
      </c>
    </row>
    <row r="29" spans="1:15" x14ac:dyDescent="0.25">
      <c r="O29" s="53" t="s">
        <v>20</v>
      </c>
    </row>
    <row r="30" spans="1:15" x14ac:dyDescent="0.25">
      <c r="A30" s="718" t="s">
        <v>248</v>
      </c>
      <c r="B30" s="718"/>
      <c r="C30" s="718"/>
      <c r="D30" s="718"/>
      <c r="E30" s="718"/>
      <c r="F30" s="718"/>
      <c r="G30" s="718"/>
      <c r="H30" s="718"/>
      <c r="I30" s="718"/>
      <c r="J30" s="718"/>
      <c r="K30" s="718"/>
      <c r="L30" s="718"/>
      <c r="M30" s="718"/>
      <c r="N30" s="718"/>
      <c r="O30" s="53" t="s">
        <v>20</v>
      </c>
    </row>
    <row r="31" spans="1:15" x14ac:dyDescent="0.25">
      <c r="O31" s="53" t="s">
        <v>20</v>
      </c>
    </row>
    <row r="32" spans="1:15" x14ac:dyDescent="0.25">
      <c r="A32" s="328" t="s">
        <v>432</v>
      </c>
      <c r="O32" s="53" t="s">
        <v>21</v>
      </c>
    </row>
  </sheetData>
  <customSheetViews>
    <customSheetView guid="{5B2D5037-506A-47D5-AF28-C337BC9133BD}" scale="80" showPageBreaks="1" printArea="1" view="pageBreakPreview" topLeftCell="A10">
      <selection activeCell="A32" sqref="A32"/>
      <pageMargins left="0.7" right="0.7" top="0.75" bottom="0.75" header="0.3" footer="0.3"/>
      <printOptions horizontalCentered="1"/>
      <pageSetup scale="62" orientation="landscape" r:id="rId1"/>
      <headerFooter>
        <oddHeader>&amp;L&amp;"Arial,Bold"&amp;12D. Resources by DOJ Strategic Goal and Strategic Objective</oddHeader>
        <oddFooter>&amp;C&amp;"Arial,Regular"Exhibit D - Resources by DOJ Strategic Goal and Strategic Objective&amp;RCrime Victims Fund</oddFooter>
      </headerFooter>
    </customSheetView>
    <customSheetView guid="{08380F1E-0CB7-4B3B-924E-2A270EA8DD30}" scale="80" showPageBreaks="1" printArea="1" view="pageBreakPreview" topLeftCell="A10">
      <selection activeCell="A32" sqref="A32"/>
      <pageMargins left="0.7" right="0.7" top="0.75" bottom="0.75" header="0.3" footer="0.3"/>
      <printOptions horizontalCentered="1"/>
      <pageSetup scale="62" orientation="landscape" r:id="rId2"/>
      <headerFooter>
        <oddHeader>&amp;L&amp;"Arial,Bold"&amp;12D. Resources by DOJ Strategic Goal and Strategic Objective</oddHeader>
        <oddFooter>&amp;C&amp;"Arial,Regular"Exhibit D - Resources by DOJ Strategic Goal and Strategic Objective&amp;RCrime Victims Fund</oddFooter>
      </headerFooter>
    </customSheetView>
    <customSheetView guid="{D19943A8-2C2A-430A-A724-8C7C332697C8}" scale="80" showPageBreaks="1" printArea="1" view="pageBreakPreview" topLeftCell="A10">
      <selection activeCell="A32" sqref="A32"/>
      <pageMargins left="0.7" right="0.7" top="0.75" bottom="0.75" header="0.3" footer="0.3"/>
      <printOptions horizontalCentered="1"/>
      <pageSetup scale="62" orientation="landscape" r:id="rId3"/>
      <headerFooter>
        <oddHeader>&amp;L&amp;"Arial,Bold"&amp;12D. Resources by DOJ Strategic Goal and Strategic Objective</oddHeader>
        <oddFooter>&amp;C&amp;"Arial,Regular"Exhibit D - Resources by DOJ Strategic Goal and Strategic Objective&amp;RCrime Victims Fund</oddFooter>
      </headerFooter>
    </customSheetView>
    <customSheetView guid="{C6D68C6D-939C-4DFA-9385-A3F05DFB5EDA}" scale="80" showPageBreaks="1" printArea="1" view="pageBreakPreview" topLeftCell="A10">
      <selection activeCell="A32" sqref="A32"/>
      <pageMargins left="0.7" right="0.7" top="0.75" bottom="0.75" header="0.3" footer="0.3"/>
      <printOptions horizontalCentered="1"/>
      <pageSetup scale="62" orientation="landscape" r:id="rId4"/>
      <headerFooter>
        <oddHeader>&amp;L&amp;"Arial,Bold"&amp;12D. Resources by DOJ Strategic Goal and Strategic Objective</oddHeader>
        <oddFooter>&amp;C&amp;"Arial,Regular"Exhibit D - Resources by DOJ Strategic Goal and Strategic Objective&amp;RCrime Victims Fund</oddFooter>
      </headerFooter>
    </customSheetView>
  </customSheetViews>
  <mergeCells count="14">
    <mergeCell ref="M7:N7"/>
    <mergeCell ref="A30:N30"/>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orientation="landscape" r:id="rId5"/>
  <headerFooter>
    <oddHeader>&amp;L&amp;"Arial,Bold"&amp;12D. Resources by DOJ Strategic Goal and Strategic Objective</oddHeader>
    <oddFooter>&amp;C&amp;"Arial,Regular"Exhibit D - Resources by DOJ Strategic Goal and Strategic Objective&amp;RCrime Victims Fund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topLeftCell="B1" zoomScale="80" zoomScaleNormal="100" zoomScaleSheetLayoutView="80" workbookViewId="0">
      <selection activeCell="L9" sqref="L9"/>
    </sheetView>
  </sheetViews>
  <sheetFormatPr defaultColWidth="9.109375" defaultRowHeight="13.8" x14ac:dyDescent="0.25"/>
  <cols>
    <col min="1" max="1" width="60.109375" style="12" customWidth="1"/>
    <col min="2" max="3" width="8.33203125" style="12" customWidth="1"/>
    <col min="4" max="4" width="12.6640625" style="12" customWidth="1"/>
    <col min="5" max="5" width="15" style="12" customWidth="1"/>
    <col min="6" max="7" width="8.33203125" style="12" customWidth="1"/>
    <col min="8" max="10" width="12.6640625" style="12" customWidth="1"/>
    <col min="11" max="12" width="8.33203125" style="12" customWidth="1"/>
    <col min="13" max="13" width="12.6640625" style="12" customWidth="1"/>
    <col min="14" max="14" width="14" style="7" bestFit="1" customWidth="1"/>
    <col min="15" max="15" width="4.5546875" style="12" customWidth="1"/>
    <col min="16" max="17" width="8.33203125" style="12" customWidth="1"/>
    <col min="18" max="18" width="12.6640625" style="12" customWidth="1"/>
    <col min="19" max="20" width="8.33203125" style="12" customWidth="1"/>
    <col min="21" max="21" width="12.6640625" style="12" customWidth="1"/>
    <col min="22" max="16384" width="9.109375" style="12"/>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169</v>
      </c>
      <c r="B3" s="640"/>
      <c r="C3" s="640"/>
      <c r="D3" s="640"/>
      <c r="E3" s="640"/>
      <c r="F3" s="640"/>
      <c r="G3" s="640"/>
      <c r="H3" s="640"/>
      <c r="I3" s="640"/>
      <c r="J3" s="640"/>
      <c r="K3" s="640"/>
      <c r="L3" s="640"/>
      <c r="M3" s="640"/>
      <c r="N3" s="53" t="s">
        <v>20</v>
      </c>
      <c r="O3" s="13"/>
      <c r="P3" s="13"/>
      <c r="Q3" s="13"/>
      <c r="R3" s="13"/>
      <c r="S3" s="13"/>
      <c r="T3" s="13"/>
      <c r="U3" s="13"/>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11"/>
      <c r="C5" s="11"/>
      <c r="D5" s="11"/>
      <c r="E5" s="11"/>
      <c r="F5" s="11"/>
      <c r="G5" s="11"/>
      <c r="H5" s="11"/>
      <c r="I5" s="11"/>
      <c r="J5" s="11"/>
      <c r="K5" s="11"/>
      <c r="L5" s="11"/>
      <c r="M5" s="11"/>
      <c r="N5" s="53" t="s">
        <v>20</v>
      </c>
      <c r="O5" s="11"/>
      <c r="P5" s="11"/>
      <c r="Q5" s="11"/>
      <c r="R5" s="11"/>
      <c r="S5" s="11"/>
      <c r="T5" s="11"/>
      <c r="U5" s="11"/>
    </row>
    <row r="6" spans="1:21" ht="15" thickBot="1" x14ac:dyDescent="0.25">
      <c r="A6" s="52"/>
      <c r="B6" s="52"/>
      <c r="C6" s="52"/>
      <c r="D6" s="52"/>
      <c r="E6" s="52"/>
      <c r="F6" s="52"/>
      <c r="G6" s="52"/>
      <c r="H6" s="52"/>
      <c r="I6" s="52"/>
      <c r="J6" s="52"/>
      <c r="K6" s="52"/>
      <c r="L6" s="52"/>
      <c r="M6" s="52"/>
      <c r="N6" s="53" t="s">
        <v>20</v>
      </c>
      <c r="O6" s="11"/>
      <c r="P6" s="11"/>
      <c r="Q6" s="11"/>
      <c r="R6" s="11"/>
      <c r="S6" s="11"/>
      <c r="T6" s="11"/>
      <c r="U6" s="11"/>
    </row>
    <row r="7" spans="1:21" ht="33.75" customHeight="1" x14ac:dyDescent="0.25">
      <c r="A7" s="638" t="s">
        <v>134</v>
      </c>
      <c r="B7" s="641" t="s">
        <v>144</v>
      </c>
      <c r="C7" s="641"/>
      <c r="D7" s="641"/>
      <c r="E7" s="94" t="s">
        <v>138</v>
      </c>
      <c r="F7" s="641" t="s">
        <v>40</v>
      </c>
      <c r="G7" s="641"/>
      <c r="H7" s="641"/>
      <c r="I7" s="122" t="s">
        <v>41</v>
      </c>
      <c r="J7" s="94" t="s">
        <v>139</v>
      </c>
      <c r="K7" s="641" t="s">
        <v>43</v>
      </c>
      <c r="L7" s="641"/>
      <c r="M7" s="642"/>
      <c r="N7" s="53" t="s">
        <v>20</v>
      </c>
    </row>
    <row r="8" spans="1:21" ht="27.6" x14ac:dyDescent="0.25">
      <c r="A8" s="639"/>
      <c r="B8" s="14" t="s">
        <v>3</v>
      </c>
      <c r="C8" s="22" t="s">
        <v>129</v>
      </c>
      <c r="D8" s="14" t="s">
        <v>4</v>
      </c>
      <c r="E8" s="22" t="s">
        <v>4</v>
      </c>
      <c r="F8" s="14" t="s">
        <v>3</v>
      </c>
      <c r="G8" s="14" t="s">
        <v>129</v>
      </c>
      <c r="H8" s="14" t="s">
        <v>4</v>
      </c>
      <c r="I8" s="22" t="s">
        <v>4</v>
      </c>
      <c r="J8" s="14" t="s">
        <v>4</v>
      </c>
      <c r="K8" s="14" t="s">
        <v>3</v>
      </c>
      <c r="L8" s="14" t="s">
        <v>129</v>
      </c>
      <c r="M8" s="15" t="s">
        <v>4</v>
      </c>
      <c r="N8" s="53" t="s">
        <v>20</v>
      </c>
    </row>
    <row r="9" spans="1:21" x14ac:dyDescent="0.25">
      <c r="A9" s="184" t="s">
        <v>169</v>
      </c>
      <c r="B9" s="140">
        <v>702</v>
      </c>
      <c r="C9" s="140">
        <v>601</v>
      </c>
      <c r="D9" s="140">
        <v>176128</v>
      </c>
      <c r="E9" s="140">
        <v>0</v>
      </c>
      <c r="F9" s="140">
        <v>0</v>
      </c>
      <c r="G9" s="140">
        <v>0</v>
      </c>
      <c r="H9" s="140">
        <v>0</v>
      </c>
      <c r="I9" s="140">
        <v>0</v>
      </c>
      <c r="J9" s="140">
        <v>0</v>
      </c>
      <c r="K9" s="140">
        <f>B9+F9</f>
        <v>702</v>
      </c>
      <c r="L9" s="140">
        <f>C9+G9</f>
        <v>601</v>
      </c>
      <c r="M9" s="141">
        <f>D9+E9+H9+I9+J9</f>
        <v>176128</v>
      </c>
      <c r="N9" s="53" t="s">
        <v>20</v>
      </c>
    </row>
    <row r="10" spans="1:21" x14ac:dyDescent="0.25">
      <c r="A10" s="16" t="s">
        <v>131</v>
      </c>
      <c r="B10" s="143">
        <f t="shared" ref="B10:M10" si="0">SUM(B9:B9)</f>
        <v>702</v>
      </c>
      <c r="C10" s="143">
        <f t="shared" si="0"/>
        <v>601</v>
      </c>
      <c r="D10" s="143">
        <f t="shared" si="0"/>
        <v>176128</v>
      </c>
      <c r="E10" s="143">
        <f t="shared" si="0"/>
        <v>0</v>
      </c>
      <c r="F10" s="143">
        <f t="shared" si="0"/>
        <v>0</v>
      </c>
      <c r="G10" s="143">
        <f t="shared" si="0"/>
        <v>0</v>
      </c>
      <c r="H10" s="143">
        <f t="shared" si="0"/>
        <v>0</v>
      </c>
      <c r="I10" s="143">
        <f t="shared" si="0"/>
        <v>0</v>
      </c>
      <c r="J10" s="143">
        <f t="shared" si="0"/>
        <v>0</v>
      </c>
      <c r="K10" s="143">
        <f t="shared" si="0"/>
        <v>702</v>
      </c>
      <c r="L10" s="143">
        <f t="shared" si="0"/>
        <v>601</v>
      </c>
      <c r="M10" s="144">
        <f t="shared" si="0"/>
        <v>176128</v>
      </c>
      <c r="N10" s="53" t="s">
        <v>20</v>
      </c>
    </row>
    <row r="11" spans="1:21" x14ac:dyDescent="0.25">
      <c r="A11" s="124" t="s">
        <v>130</v>
      </c>
      <c r="B11" s="140"/>
      <c r="C11" s="140"/>
      <c r="D11" s="140">
        <v>0</v>
      </c>
      <c r="E11" s="140"/>
      <c r="F11" s="140"/>
      <c r="G11" s="140"/>
      <c r="H11" s="140"/>
      <c r="I11" s="140"/>
      <c r="J11" s="140"/>
      <c r="K11" s="140"/>
      <c r="L11" s="140"/>
      <c r="M11" s="141">
        <f>D11+E11+H11+I11+J11</f>
        <v>0</v>
      </c>
      <c r="N11" s="53" t="s">
        <v>20</v>
      </c>
    </row>
    <row r="12" spans="1:21" x14ac:dyDescent="0.25">
      <c r="A12" s="125" t="s">
        <v>150</v>
      </c>
      <c r="B12" s="156"/>
      <c r="C12" s="156"/>
      <c r="D12" s="156">
        <f>SUM(D10:D11)</f>
        <v>176128</v>
      </c>
      <c r="E12" s="156"/>
      <c r="F12" s="156"/>
      <c r="G12" s="156"/>
      <c r="H12" s="156"/>
      <c r="I12" s="156"/>
      <c r="J12" s="156"/>
      <c r="K12" s="156"/>
      <c r="L12" s="156"/>
      <c r="M12" s="157">
        <f>SUM(M10:M11)</f>
        <v>176128</v>
      </c>
      <c r="N12" s="53" t="s">
        <v>20</v>
      </c>
    </row>
    <row r="13" spans="1:21" x14ac:dyDescent="0.25">
      <c r="A13" s="95" t="s">
        <v>26</v>
      </c>
      <c r="B13" s="150"/>
      <c r="C13" s="150">
        <v>0</v>
      </c>
      <c r="D13" s="150"/>
      <c r="E13" s="150"/>
      <c r="F13" s="150"/>
      <c r="G13" s="150">
        <v>0</v>
      </c>
      <c r="H13" s="150"/>
      <c r="I13" s="150">
        <v>0</v>
      </c>
      <c r="J13" s="150"/>
      <c r="K13" s="150"/>
      <c r="L13" s="150">
        <f t="shared" ref="L13" si="1">C13+G13</f>
        <v>0</v>
      </c>
      <c r="M13" s="151"/>
      <c r="N13" s="53" t="s">
        <v>20</v>
      </c>
    </row>
    <row r="14" spans="1:21" x14ac:dyDescent="0.25">
      <c r="A14" s="118" t="s">
        <v>132</v>
      </c>
      <c r="B14" s="24"/>
      <c r="C14" s="24">
        <f>C10+C13</f>
        <v>601</v>
      </c>
      <c r="D14" s="24"/>
      <c r="E14" s="24"/>
      <c r="F14" s="24"/>
      <c r="G14" s="24">
        <f>G10+G13</f>
        <v>0</v>
      </c>
      <c r="H14" s="24"/>
      <c r="I14" s="24">
        <f>I10+I13</f>
        <v>0</v>
      </c>
      <c r="J14" s="24"/>
      <c r="K14" s="24"/>
      <c r="L14" s="24">
        <f>L10+L13</f>
        <v>601</v>
      </c>
      <c r="M14" s="142"/>
      <c r="N14" s="53" t="s">
        <v>20</v>
      </c>
    </row>
    <row r="15" spans="1:21" x14ac:dyDescent="0.25">
      <c r="A15" s="18"/>
      <c r="B15" s="24"/>
      <c r="C15" s="24"/>
      <c r="D15" s="24"/>
      <c r="E15" s="24"/>
      <c r="F15" s="24"/>
      <c r="G15" s="24"/>
      <c r="H15" s="24"/>
      <c r="I15" s="24"/>
      <c r="J15" s="24"/>
      <c r="K15" s="24"/>
      <c r="L15" s="24"/>
      <c r="M15" s="142"/>
      <c r="N15" s="53" t="s">
        <v>20</v>
      </c>
    </row>
    <row r="16" spans="1:21" x14ac:dyDescent="0.25">
      <c r="A16" s="18" t="s">
        <v>27</v>
      </c>
      <c r="B16" s="24"/>
      <c r="C16" s="24"/>
      <c r="D16" s="24"/>
      <c r="E16" s="24"/>
      <c r="F16" s="24"/>
      <c r="G16" s="24"/>
      <c r="H16" s="24"/>
      <c r="I16" s="24"/>
      <c r="J16" s="24"/>
      <c r="K16" s="24"/>
      <c r="L16" s="24"/>
      <c r="M16" s="142"/>
      <c r="N16" s="53" t="s">
        <v>20</v>
      </c>
    </row>
    <row r="17" spans="1:14" x14ac:dyDescent="0.25">
      <c r="A17" s="19" t="s">
        <v>28</v>
      </c>
      <c r="B17" s="24"/>
      <c r="C17" s="24">
        <v>0</v>
      </c>
      <c r="D17" s="24"/>
      <c r="E17" s="24"/>
      <c r="F17" s="24"/>
      <c r="G17" s="24">
        <v>0</v>
      </c>
      <c r="H17" s="24"/>
      <c r="I17" s="24">
        <v>0</v>
      </c>
      <c r="J17" s="24"/>
      <c r="K17" s="24"/>
      <c r="L17" s="24">
        <f t="shared" ref="L17:L18" si="2">C17+G17</f>
        <v>0</v>
      </c>
      <c r="M17" s="142"/>
      <c r="N17" s="53" t="s">
        <v>20</v>
      </c>
    </row>
    <row r="18" spans="1:14" x14ac:dyDescent="0.25">
      <c r="A18" s="20" t="s">
        <v>29</v>
      </c>
      <c r="B18" s="152"/>
      <c r="C18" s="152">
        <v>0</v>
      </c>
      <c r="D18" s="152"/>
      <c r="E18" s="152"/>
      <c r="F18" s="152"/>
      <c r="G18" s="152">
        <v>0</v>
      </c>
      <c r="H18" s="152"/>
      <c r="I18" s="152">
        <v>0</v>
      </c>
      <c r="J18" s="152"/>
      <c r="K18" s="152"/>
      <c r="L18" s="152">
        <f t="shared" si="2"/>
        <v>0</v>
      </c>
      <c r="M18" s="153"/>
      <c r="N18" s="53" t="s">
        <v>20</v>
      </c>
    </row>
    <row r="19" spans="1:14" ht="14.4" thickBot="1" x14ac:dyDescent="0.3">
      <c r="A19" s="119" t="s">
        <v>133</v>
      </c>
      <c r="B19" s="154"/>
      <c r="C19" s="154">
        <f>C14+C17+C18</f>
        <v>601</v>
      </c>
      <c r="D19" s="154"/>
      <c r="E19" s="154"/>
      <c r="F19" s="154"/>
      <c r="G19" s="154">
        <f>G14+G17+G18</f>
        <v>0</v>
      </c>
      <c r="H19" s="154"/>
      <c r="I19" s="154">
        <f>I14+I17+I18</f>
        <v>0</v>
      </c>
      <c r="J19" s="154"/>
      <c r="K19" s="154"/>
      <c r="L19" s="154">
        <f>SUM(L14,L17:L18)</f>
        <v>601</v>
      </c>
      <c r="M19" s="155"/>
      <c r="N19" s="53" t="s">
        <v>20</v>
      </c>
    </row>
    <row r="20" spans="1:14" x14ac:dyDescent="0.25">
      <c r="N20" s="53" t="s">
        <v>20</v>
      </c>
    </row>
    <row r="21" spans="1:14" x14ac:dyDescent="0.25">
      <c r="A21" s="8" t="s">
        <v>445</v>
      </c>
      <c r="N21" s="53" t="s">
        <v>20</v>
      </c>
    </row>
    <row r="22" spans="1:14" x14ac:dyDescent="0.25">
      <c r="A22" s="668" t="s">
        <v>425</v>
      </c>
      <c r="B22" s="669"/>
      <c r="C22" s="669"/>
      <c r="D22" s="669"/>
      <c r="E22" s="669"/>
      <c r="F22" s="669"/>
      <c r="G22" s="669"/>
      <c r="H22" s="669"/>
      <c r="I22" s="669"/>
      <c r="J22" s="669"/>
      <c r="K22" s="669"/>
      <c r="L22" s="669"/>
      <c r="M22" s="669"/>
      <c r="N22" s="53" t="s">
        <v>20</v>
      </c>
    </row>
    <row r="23" spans="1:14" x14ac:dyDescent="0.25">
      <c r="A23" s="667"/>
      <c r="B23" s="667"/>
      <c r="C23" s="667"/>
      <c r="D23" s="667"/>
      <c r="E23" s="667"/>
      <c r="F23" s="667"/>
      <c r="G23" s="667"/>
      <c r="H23" s="667"/>
      <c r="I23" s="667"/>
      <c r="J23" s="667"/>
      <c r="K23" s="667"/>
      <c r="L23" s="667"/>
      <c r="M23" s="667"/>
      <c r="N23" s="53" t="s">
        <v>20</v>
      </c>
    </row>
    <row r="24" spans="1:14" x14ac:dyDescent="0.25">
      <c r="A24" s="8" t="s">
        <v>151</v>
      </c>
      <c r="N24" s="53" t="s">
        <v>20</v>
      </c>
    </row>
    <row r="25" spans="1:14" x14ac:dyDescent="0.25">
      <c r="A25" s="668" t="s">
        <v>425</v>
      </c>
      <c r="B25" s="668"/>
      <c r="C25" s="668"/>
      <c r="D25" s="668"/>
      <c r="E25" s="668"/>
      <c r="F25" s="668"/>
      <c r="G25" s="668"/>
      <c r="H25" s="668"/>
      <c r="I25" s="668"/>
      <c r="J25" s="668"/>
      <c r="K25" s="668"/>
      <c r="L25" s="668"/>
      <c r="M25" s="668"/>
      <c r="N25" s="53" t="s">
        <v>20</v>
      </c>
    </row>
    <row r="26" spans="1:14" x14ac:dyDescent="0.25">
      <c r="A26" s="667"/>
      <c r="B26" s="667"/>
      <c r="C26" s="667"/>
      <c r="D26" s="667"/>
      <c r="E26" s="667"/>
      <c r="F26" s="667"/>
      <c r="G26" s="667"/>
      <c r="H26" s="667"/>
      <c r="I26" s="667"/>
      <c r="J26" s="667"/>
      <c r="K26" s="667"/>
      <c r="L26" s="667"/>
      <c r="M26" s="667"/>
      <c r="N26" s="53" t="s">
        <v>20</v>
      </c>
    </row>
    <row r="27" spans="1:14" x14ac:dyDescent="0.25">
      <c r="A27" s="8" t="s">
        <v>152</v>
      </c>
      <c r="N27" s="53" t="s">
        <v>20</v>
      </c>
    </row>
    <row r="28" spans="1:14" x14ac:dyDescent="0.25">
      <c r="A28" s="668" t="s">
        <v>425</v>
      </c>
      <c r="B28" s="668"/>
      <c r="C28" s="668"/>
      <c r="D28" s="668"/>
      <c r="E28" s="668"/>
      <c r="F28" s="668"/>
      <c r="G28" s="668"/>
      <c r="H28" s="668"/>
      <c r="I28" s="668"/>
      <c r="J28" s="668"/>
      <c r="K28" s="668"/>
      <c r="L28" s="668"/>
      <c r="M28" s="668"/>
      <c r="N28" s="53" t="s">
        <v>20</v>
      </c>
    </row>
    <row r="29" spans="1:14" x14ac:dyDescent="0.25">
      <c r="A29" s="667"/>
      <c r="B29" s="667"/>
      <c r="C29" s="667"/>
      <c r="D29" s="667"/>
      <c r="E29" s="667"/>
      <c r="F29" s="667"/>
      <c r="G29" s="667"/>
      <c r="H29" s="667"/>
      <c r="I29" s="667"/>
      <c r="J29" s="667"/>
      <c r="K29" s="667"/>
      <c r="L29" s="667"/>
      <c r="M29" s="667"/>
      <c r="N29" s="53" t="s">
        <v>20</v>
      </c>
    </row>
    <row r="30" spans="1:14" x14ac:dyDescent="0.25">
      <c r="N30" s="53" t="s">
        <v>20</v>
      </c>
    </row>
    <row r="31" spans="1:14" x14ac:dyDescent="0.25">
      <c r="N31" s="7" t="s">
        <v>21</v>
      </c>
    </row>
  </sheetData>
  <customSheetViews>
    <customSheetView guid="{5B2D5037-506A-47D5-AF28-C337BC9133BD}" scale="80" showPageBreaks="1" printArea="1" view="pageBreakPreview" topLeftCell="B1">
      <selection activeCell="L9" sqref="L9"/>
      <pageMargins left="0.7" right="0.7" top="0.66" bottom="0.66" header="0.3" footer="0.3"/>
      <printOptions horizontalCentered="1"/>
      <pageSetup scale="64" orientation="landscape" r:id="rId1"/>
      <headerFooter>
        <oddHeader>&amp;L&amp;"Arial,Bold"&amp;12G. Crosswalk of 2013 Availability</oddHeader>
        <oddFooter>&amp;C&amp;"Arial,Regular"Exhibit G - Crosswalk of 2013 Availability&amp;R&amp;"Arial,Regular"Salaries and Expenses/Management and Administration</oddFooter>
      </headerFooter>
    </customSheetView>
    <customSheetView guid="{08380F1E-0CB7-4B3B-924E-2A270EA8DD30}" scale="80" showPageBreaks="1" printArea="1" view="pageBreakPreview">
      <selection activeCell="L9" sqref="L9"/>
      <pageMargins left="0.7" right="0.7" top="0.66" bottom="0.66" header="0.3" footer="0.3"/>
      <printOptions horizontalCentered="1"/>
      <pageSetup scale="64" orientation="landscape" r:id="rId2"/>
      <headerFooter>
        <oddHeader>&amp;L&amp;"Arial,Bold"&amp;12G. Crosswalk of 2013 Availability</oddHeader>
        <oddFooter>&amp;C&amp;"Arial,Regular"Exhibit G - Crosswalk of 2013 Availability&amp;R&amp;"Arial,Regular"Salaries and Expenses/Management and Administration</oddFooter>
      </headerFooter>
    </customSheetView>
    <customSheetView guid="{D19943A8-2C2A-430A-A724-8C7C332697C8}" scale="80" showPageBreaks="1" printArea="1" view="pageBreakPreview">
      <selection activeCell="L9" sqref="L9"/>
      <pageMargins left="0.7" right="0.7" top="0.66" bottom="0.66" header="0.3" footer="0.3"/>
      <printOptions horizontalCentered="1"/>
      <pageSetup scale="64" orientation="landscape" r:id="rId3"/>
      <headerFooter>
        <oddHeader>&amp;L&amp;"Arial,Bold"&amp;12G. Crosswalk of 2013 Availability</oddHeader>
        <oddFooter>&amp;C&amp;"Arial,Regular"Exhibit G - Crosswalk of 2013 Availability&amp;R&amp;"Arial,Regular"Salaries and Expenses/Management and Administration</oddFooter>
      </headerFooter>
    </customSheetView>
    <customSheetView guid="{C6D68C6D-939C-4DFA-9385-A3F05DFB5EDA}" scale="80" showPageBreaks="1" printArea="1" view="pageBreakPreview">
      <selection activeCell="L9" sqref="L9"/>
      <pageMargins left="0.7" right="0.7" top="0.66" bottom="0.66" header="0.3" footer="0.3"/>
      <printOptions horizontalCentered="1"/>
      <pageSetup scale="64" orientation="landscape" r:id="rId4"/>
      <headerFooter>
        <oddHeader>&amp;L&amp;"Arial,Bold"&amp;12G. Crosswalk of 2013 Availability</oddHeader>
        <oddFooter>&amp;C&amp;"Arial,Regular"Exhibit G - Crosswalk of 2013 Availability&amp;R&amp;"Arial,Regular"Salaries and Expenses/Management and Administration</oddFooter>
      </headerFooter>
    </customSheetView>
  </customSheetViews>
  <mergeCells count="14">
    <mergeCell ref="A1:M1"/>
    <mergeCell ref="A2:M2"/>
    <mergeCell ref="A3:M3"/>
    <mergeCell ref="A4:M4"/>
    <mergeCell ref="A7:A8"/>
    <mergeCell ref="B7:D7"/>
    <mergeCell ref="F7:H7"/>
    <mergeCell ref="K7:M7"/>
    <mergeCell ref="A29:M29"/>
    <mergeCell ref="A22:M22"/>
    <mergeCell ref="A23:M23"/>
    <mergeCell ref="A25:M25"/>
    <mergeCell ref="A26:M26"/>
    <mergeCell ref="A28:M28"/>
  </mergeCells>
  <printOptions horizontalCentered="1"/>
  <pageMargins left="0.7" right="0.7" top="0.66" bottom="0.66" header="0.3" footer="0.3"/>
  <pageSetup scale="64" orientation="landscape" r:id="rId5"/>
  <headerFooter>
    <oddHeader>&amp;L&amp;"Arial,Bold"&amp;12G. Crosswalk of 2013 Availability</oddHeader>
    <oddFooter>&amp;C&amp;"Arial,Regular"Exhibit G - Crosswalk of 2013 Availability&amp;R&amp;"Arial,Regular"Salaries and Expenses/Management and Administration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view="pageBreakPreview" zoomScale="80" zoomScaleNormal="100" zoomScaleSheetLayoutView="80" workbookViewId="0">
      <selection activeCell="I31" sqref="I31"/>
    </sheetView>
  </sheetViews>
  <sheetFormatPr defaultColWidth="9.109375" defaultRowHeight="13.8" x14ac:dyDescent="0.25"/>
  <cols>
    <col min="1" max="1" width="37.109375" style="178" customWidth="1"/>
    <col min="2" max="3" width="8.33203125" style="178" customWidth="1"/>
    <col min="4" max="4" width="12.6640625" style="178" customWidth="1"/>
    <col min="5" max="5" width="7.109375" style="178" customWidth="1"/>
    <col min="6" max="6" width="8.6640625" style="178" customWidth="1"/>
    <col min="7" max="7" width="12.6640625" style="178" customWidth="1"/>
    <col min="8" max="9" width="8.33203125" style="178" customWidth="1"/>
    <col min="10" max="11" width="12.6640625" style="178" customWidth="1"/>
    <col min="12" max="12" width="13.6640625" style="178" customWidth="1"/>
    <col min="13" max="14" width="8.33203125" style="178" customWidth="1"/>
    <col min="15" max="15" width="12.6640625" style="178" customWidth="1"/>
    <col min="16" max="16" width="14" style="7" bestFit="1" customWidth="1"/>
    <col min="17" max="17" width="4.5546875" style="178" customWidth="1"/>
    <col min="18" max="19" width="8.33203125" style="178" customWidth="1"/>
    <col min="20" max="20" width="12.6640625" style="178" customWidth="1"/>
    <col min="21" max="22" width="8.33203125" style="178" customWidth="1"/>
    <col min="23" max="23" width="12.6640625" style="178" customWidth="1"/>
    <col min="24" max="16384" width="9.109375" style="178"/>
  </cols>
  <sheetData>
    <row r="1" spans="1:23" ht="18" x14ac:dyDescent="0.25">
      <c r="A1" s="633" t="s">
        <v>39</v>
      </c>
      <c r="B1" s="633"/>
      <c r="C1" s="633"/>
      <c r="D1" s="633"/>
      <c r="E1" s="633"/>
      <c r="F1" s="633"/>
      <c r="G1" s="633"/>
      <c r="H1" s="633"/>
      <c r="I1" s="633"/>
      <c r="J1" s="633"/>
      <c r="K1" s="633"/>
      <c r="L1" s="633"/>
      <c r="M1" s="633"/>
      <c r="N1" s="633"/>
      <c r="O1" s="633"/>
      <c r="P1" s="53" t="s">
        <v>20</v>
      </c>
      <c r="Q1" s="9"/>
      <c r="R1" s="9"/>
      <c r="S1" s="9"/>
      <c r="T1" s="9"/>
      <c r="U1" s="9"/>
      <c r="V1" s="9"/>
      <c r="W1" s="9"/>
    </row>
    <row r="2" spans="1:23" ht="15" x14ac:dyDescent="0.2">
      <c r="A2" s="634" t="str">
        <f>+'[3]B. Summ of Req.'!A2:D2</f>
        <v>Office of Justice Programs</v>
      </c>
      <c r="B2" s="634"/>
      <c r="C2" s="634"/>
      <c r="D2" s="634"/>
      <c r="E2" s="634"/>
      <c r="F2" s="634"/>
      <c r="G2" s="634"/>
      <c r="H2" s="634"/>
      <c r="I2" s="634"/>
      <c r="J2" s="634"/>
      <c r="K2" s="634"/>
      <c r="L2" s="634"/>
      <c r="M2" s="634"/>
      <c r="N2" s="634"/>
      <c r="O2" s="634"/>
      <c r="P2" s="53" t="s">
        <v>20</v>
      </c>
      <c r="Q2" s="10"/>
      <c r="R2" s="10"/>
      <c r="S2" s="10"/>
      <c r="T2" s="10"/>
      <c r="U2" s="10"/>
      <c r="V2" s="10"/>
      <c r="W2" s="10"/>
    </row>
    <row r="3" spans="1:23" ht="14.25" x14ac:dyDescent="0.2">
      <c r="A3" s="635" t="str">
        <f>+'[3]B. Summ of Req.'!A3:D3</f>
        <v>Crime Victims Fund</v>
      </c>
      <c r="B3" s="635"/>
      <c r="C3" s="635"/>
      <c r="D3" s="635"/>
      <c r="E3" s="635"/>
      <c r="F3" s="635"/>
      <c r="G3" s="635"/>
      <c r="H3" s="635"/>
      <c r="I3" s="635"/>
      <c r="J3" s="635"/>
      <c r="K3" s="635"/>
      <c r="L3" s="635"/>
      <c r="M3" s="635"/>
      <c r="N3" s="635"/>
      <c r="O3" s="635"/>
      <c r="P3" s="53" t="s">
        <v>20</v>
      </c>
      <c r="Q3" s="221"/>
      <c r="R3" s="221"/>
      <c r="S3" s="221"/>
      <c r="T3" s="221"/>
      <c r="U3" s="221"/>
      <c r="V3" s="221"/>
      <c r="W3" s="221"/>
    </row>
    <row r="4" spans="1:23" ht="14.25" x14ac:dyDescent="0.2">
      <c r="A4" s="637" t="s">
        <v>1</v>
      </c>
      <c r="B4" s="637"/>
      <c r="C4" s="637"/>
      <c r="D4" s="637"/>
      <c r="E4" s="637"/>
      <c r="F4" s="637"/>
      <c r="G4" s="637"/>
      <c r="H4" s="637"/>
      <c r="I4" s="637"/>
      <c r="J4" s="637"/>
      <c r="K4" s="637"/>
      <c r="L4" s="637"/>
      <c r="M4" s="637"/>
      <c r="N4" s="637"/>
      <c r="O4" s="637"/>
      <c r="P4" s="53" t="s">
        <v>20</v>
      </c>
      <c r="Q4" s="11"/>
      <c r="R4" s="11"/>
      <c r="S4" s="11"/>
      <c r="T4" s="11"/>
      <c r="U4" s="11"/>
      <c r="V4" s="11"/>
      <c r="W4" s="11"/>
    </row>
    <row r="5" spans="1:23" ht="14.25" x14ac:dyDescent="0.2">
      <c r="A5" s="11"/>
      <c r="B5" s="11"/>
      <c r="C5" s="11"/>
      <c r="D5" s="11"/>
      <c r="E5" s="11"/>
      <c r="F5" s="11"/>
      <c r="G5" s="11"/>
      <c r="H5" s="11"/>
      <c r="I5" s="11"/>
      <c r="J5" s="11"/>
      <c r="K5" s="11"/>
      <c r="L5" s="11"/>
      <c r="M5" s="11"/>
      <c r="N5" s="11"/>
      <c r="O5" s="11"/>
      <c r="P5" s="53" t="s">
        <v>20</v>
      </c>
      <c r="Q5" s="11"/>
      <c r="R5" s="11"/>
      <c r="S5" s="11"/>
      <c r="T5" s="11"/>
      <c r="U5" s="11"/>
      <c r="V5" s="11"/>
      <c r="W5" s="11"/>
    </row>
    <row r="6" spans="1:23" ht="15" thickBot="1" x14ac:dyDescent="0.25">
      <c r="A6" s="52"/>
      <c r="B6" s="52"/>
      <c r="C6" s="52"/>
      <c r="D6" s="52"/>
      <c r="E6" s="52"/>
      <c r="F6" s="52"/>
      <c r="G6" s="52"/>
      <c r="H6" s="52"/>
      <c r="I6" s="52"/>
      <c r="J6" s="52"/>
      <c r="K6" s="52"/>
      <c r="L6" s="52"/>
      <c r="M6" s="52"/>
      <c r="N6" s="52"/>
      <c r="O6" s="52"/>
      <c r="P6" s="53" t="s">
        <v>20</v>
      </c>
      <c r="Q6" s="11"/>
      <c r="R6" s="11"/>
      <c r="S6" s="11"/>
      <c r="T6" s="11"/>
      <c r="U6" s="11"/>
      <c r="V6" s="11"/>
      <c r="W6" s="11"/>
    </row>
    <row r="7" spans="1:23" ht="33.75" customHeight="1" x14ac:dyDescent="0.25">
      <c r="A7" s="638" t="s">
        <v>134</v>
      </c>
      <c r="B7" s="641" t="s">
        <v>159</v>
      </c>
      <c r="C7" s="641"/>
      <c r="D7" s="641"/>
      <c r="E7" s="641" t="s">
        <v>130</v>
      </c>
      <c r="F7" s="670"/>
      <c r="G7" s="671"/>
      <c r="H7" s="641" t="s">
        <v>40</v>
      </c>
      <c r="I7" s="641"/>
      <c r="J7" s="641"/>
      <c r="K7" s="192" t="s">
        <v>41</v>
      </c>
      <c r="L7" s="192" t="s">
        <v>139</v>
      </c>
      <c r="M7" s="641" t="s">
        <v>45</v>
      </c>
      <c r="N7" s="641"/>
      <c r="O7" s="642"/>
      <c r="P7" s="53" t="s">
        <v>20</v>
      </c>
    </row>
    <row r="8" spans="1:23" ht="27.6" x14ac:dyDescent="0.25">
      <c r="A8" s="639"/>
      <c r="B8" s="222" t="s">
        <v>3</v>
      </c>
      <c r="C8" s="222" t="s">
        <v>128</v>
      </c>
      <c r="D8" s="222" t="s">
        <v>4</v>
      </c>
      <c r="E8" s="222" t="s">
        <v>3</v>
      </c>
      <c r="F8" s="222" t="s">
        <v>128</v>
      </c>
      <c r="G8" s="222" t="s">
        <v>4</v>
      </c>
      <c r="H8" s="222" t="s">
        <v>3</v>
      </c>
      <c r="I8" s="222" t="s">
        <v>128</v>
      </c>
      <c r="J8" s="222" t="s">
        <v>4</v>
      </c>
      <c r="K8" s="222" t="s">
        <v>4</v>
      </c>
      <c r="L8" s="222" t="s">
        <v>4</v>
      </c>
      <c r="M8" s="222" t="s">
        <v>3</v>
      </c>
      <c r="N8" s="222" t="s">
        <v>128</v>
      </c>
      <c r="O8" s="223" t="s">
        <v>4</v>
      </c>
      <c r="P8" s="53" t="s">
        <v>20</v>
      </c>
    </row>
    <row r="9" spans="1:23" x14ac:dyDescent="0.25">
      <c r="A9" s="184" t="s">
        <v>430</v>
      </c>
      <c r="B9" s="225">
        <v>0</v>
      </c>
      <c r="C9" s="225">
        <v>0</v>
      </c>
      <c r="D9" s="225">
        <v>705000</v>
      </c>
      <c r="E9" s="225">
        <v>0</v>
      </c>
      <c r="F9" s="225">
        <v>0</v>
      </c>
      <c r="G9" s="225"/>
      <c r="H9" s="225">
        <v>0</v>
      </c>
      <c r="I9" s="225">
        <v>0</v>
      </c>
      <c r="J9" s="225">
        <v>0</v>
      </c>
      <c r="K9" s="225">
        <v>50000</v>
      </c>
      <c r="L9" s="312" t="s">
        <v>469</v>
      </c>
      <c r="M9" s="225">
        <f t="shared" ref="M9:N9" si="0">B9+H9</f>
        <v>0</v>
      </c>
      <c r="N9" s="225">
        <f t="shared" si="0"/>
        <v>0</v>
      </c>
      <c r="O9" s="226">
        <f>D9+J9+K9+G9</f>
        <v>755000</v>
      </c>
      <c r="P9" s="53" t="s">
        <v>20</v>
      </c>
    </row>
    <row r="10" spans="1:23" x14ac:dyDescent="0.25">
      <c r="A10" s="16" t="s">
        <v>131</v>
      </c>
      <c r="B10" s="143">
        <f t="shared" ref="B10:O10" si="1">SUM(B9:B9)</f>
        <v>0</v>
      </c>
      <c r="C10" s="143">
        <f t="shared" si="1"/>
        <v>0</v>
      </c>
      <c r="D10" s="143">
        <f t="shared" si="1"/>
        <v>705000</v>
      </c>
      <c r="E10" s="143">
        <f t="shared" si="1"/>
        <v>0</v>
      </c>
      <c r="F10" s="143">
        <f t="shared" si="1"/>
        <v>0</v>
      </c>
      <c r="G10" s="143">
        <f t="shared" si="1"/>
        <v>0</v>
      </c>
      <c r="H10" s="143">
        <f t="shared" si="1"/>
        <v>0</v>
      </c>
      <c r="I10" s="143">
        <f t="shared" si="1"/>
        <v>0</v>
      </c>
      <c r="J10" s="143">
        <f t="shared" si="1"/>
        <v>0</v>
      </c>
      <c r="K10" s="143">
        <f t="shared" si="1"/>
        <v>50000</v>
      </c>
      <c r="L10" s="314" t="str">
        <f>L9</f>
        <v>[2,751]</v>
      </c>
      <c r="M10" s="143">
        <f t="shared" si="1"/>
        <v>0</v>
      </c>
      <c r="N10" s="143">
        <f t="shared" si="1"/>
        <v>0</v>
      </c>
      <c r="O10" s="144">
        <f t="shared" si="1"/>
        <v>755000</v>
      </c>
      <c r="P10" s="53" t="s">
        <v>20</v>
      </c>
    </row>
    <row r="11" spans="1:23" x14ac:dyDescent="0.25">
      <c r="A11" s="198" t="s">
        <v>26</v>
      </c>
      <c r="B11" s="234"/>
      <c r="C11" s="234">
        <v>0</v>
      </c>
      <c r="D11" s="234"/>
      <c r="E11" s="234"/>
      <c r="F11" s="234">
        <v>0</v>
      </c>
      <c r="G11" s="234"/>
      <c r="H11" s="234"/>
      <c r="I11" s="234">
        <v>0</v>
      </c>
      <c r="J11" s="234"/>
      <c r="K11" s="234"/>
      <c r="L11" s="234"/>
      <c r="M11" s="234"/>
      <c r="N11" s="234">
        <f>C11+I11+F11</f>
        <v>0</v>
      </c>
      <c r="O11" s="235"/>
      <c r="P11" s="53" t="s">
        <v>20</v>
      </c>
    </row>
    <row r="12" spans="1:23" x14ac:dyDescent="0.25">
      <c r="A12" s="195" t="s">
        <v>132</v>
      </c>
      <c r="B12" s="208"/>
      <c r="C12" s="208">
        <f>C10+C11</f>
        <v>0</v>
      </c>
      <c r="D12" s="208"/>
      <c r="E12" s="208"/>
      <c r="F12" s="208">
        <f>F10+F11</f>
        <v>0</v>
      </c>
      <c r="G12" s="208"/>
      <c r="H12" s="208"/>
      <c r="I12" s="208">
        <f>I10+I11</f>
        <v>0</v>
      </c>
      <c r="J12" s="208"/>
      <c r="K12" s="208"/>
      <c r="L12" s="208"/>
      <c r="M12" s="208"/>
      <c r="N12" s="234">
        <f>N10+N11</f>
        <v>0</v>
      </c>
      <c r="O12" s="205"/>
      <c r="P12" s="53" t="s">
        <v>20</v>
      </c>
    </row>
    <row r="13" spans="1:23" x14ac:dyDescent="0.25">
      <c r="A13" s="195"/>
      <c r="B13" s="208"/>
      <c r="C13" s="208"/>
      <c r="D13" s="208"/>
      <c r="E13" s="208"/>
      <c r="F13" s="208"/>
      <c r="G13" s="208"/>
      <c r="H13" s="208"/>
      <c r="I13" s="208"/>
      <c r="J13" s="208"/>
      <c r="K13" s="208"/>
      <c r="L13" s="208"/>
      <c r="M13" s="208"/>
      <c r="N13" s="208"/>
      <c r="O13" s="205"/>
      <c r="P13" s="53" t="s">
        <v>20</v>
      </c>
    </row>
    <row r="14" spans="1:23" x14ac:dyDescent="0.25">
      <c r="A14" s="195" t="s">
        <v>27</v>
      </c>
      <c r="B14" s="208"/>
      <c r="C14" s="208"/>
      <c r="D14" s="208"/>
      <c r="E14" s="208"/>
      <c r="F14" s="208"/>
      <c r="G14" s="208"/>
      <c r="H14" s="208"/>
      <c r="I14" s="208"/>
      <c r="J14" s="208"/>
      <c r="K14" s="208"/>
      <c r="L14" s="208"/>
      <c r="M14" s="208"/>
      <c r="N14" s="208"/>
      <c r="O14" s="205"/>
      <c r="P14" s="53" t="s">
        <v>20</v>
      </c>
    </row>
    <row r="15" spans="1:23" x14ac:dyDescent="0.25">
      <c r="A15" s="236" t="s">
        <v>28</v>
      </c>
      <c r="B15" s="208"/>
      <c r="C15" s="208">
        <v>0</v>
      </c>
      <c r="D15" s="208"/>
      <c r="E15" s="208"/>
      <c r="F15" s="208">
        <v>0</v>
      </c>
      <c r="G15" s="208"/>
      <c r="H15" s="208"/>
      <c r="I15" s="208">
        <v>0</v>
      </c>
      <c r="J15" s="208"/>
      <c r="K15" s="208"/>
      <c r="L15" s="208"/>
      <c r="M15" s="208"/>
      <c r="N15" s="208">
        <f>C15+I15+F15</f>
        <v>0</v>
      </c>
      <c r="O15" s="205"/>
      <c r="P15" s="53" t="s">
        <v>20</v>
      </c>
    </row>
    <row r="16" spans="1:23" x14ac:dyDescent="0.25">
      <c r="A16" s="237" t="s">
        <v>29</v>
      </c>
      <c r="B16" s="238"/>
      <c r="C16" s="238">
        <v>0</v>
      </c>
      <c r="D16" s="238"/>
      <c r="E16" s="238"/>
      <c r="F16" s="238">
        <v>0</v>
      </c>
      <c r="G16" s="238"/>
      <c r="H16" s="238"/>
      <c r="I16" s="238">
        <v>0</v>
      </c>
      <c r="J16" s="238"/>
      <c r="K16" s="238"/>
      <c r="L16" s="238"/>
      <c r="M16" s="238"/>
      <c r="N16" s="208">
        <f>C16+I16+F15</f>
        <v>0</v>
      </c>
      <c r="O16" s="239"/>
      <c r="P16" s="53" t="s">
        <v>20</v>
      </c>
    </row>
    <row r="17" spans="1:16" ht="14.4" thickBot="1" x14ac:dyDescent="0.3">
      <c r="A17" s="240" t="s">
        <v>133</v>
      </c>
      <c r="B17" s="241"/>
      <c r="C17" s="241">
        <f>C12+C15+C16</f>
        <v>0</v>
      </c>
      <c r="D17" s="241"/>
      <c r="E17" s="241"/>
      <c r="F17" s="241">
        <f>F12+F15+F16</f>
        <v>0</v>
      </c>
      <c r="G17" s="241"/>
      <c r="H17" s="241"/>
      <c r="I17" s="241">
        <f>I12+I15+I16</f>
        <v>0</v>
      </c>
      <c r="J17" s="241"/>
      <c r="K17" s="241"/>
      <c r="L17" s="241"/>
      <c r="M17" s="241"/>
      <c r="N17" s="241">
        <f>SUM(N12,N15:N16)</f>
        <v>0</v>
      </c>
      <c r="O17" s="242"/>
      <c r="P17" s="53" t="s">
        <v>20</v>
      </c>
    </row>
    <row r="18" spans="1:16" x14ac:dyDescent="0.25">
      <c r="P18" s="53" t="s">
        <v>20</v>
      </c>
    </row>
    <row r="19" spans="1:16" x14ac:dyDescent="0.25">
      <c r="A19" s="8" t="s">
        <v>445</v>
      </c>
      <c r="P19" s="53" t="s">
        <v>20</v>
      </c>
    </row>
    <row r="20" spans="1:16" x14ac:dyDescent="0.25">
      <c r="A20" s="668" t="s">
        <v>425</v>
      </c>
      <c r="B20" s="668"/>
      <c r="C20" s="668"/>
      <c r="D20" s="668"/>
      <c r="E20" s="668"/>
      <c r="F20" s="668"/>
      <c r="G20" s="668"/>
      <c r="H20" s="668"/>
      <c r="I20" s="668"/>
      <c r="J20" s="668"/>
      <c r="K20" s="668"/>
      <c r="L20" s="668"/>
      <c r="M20" s="668"/>
      <c r="N20" s="668"/>
      <c r="O20" s="668"/>
      <c r="P20" s="53" t="s">
        <v>20</v>
      </c>
    </row>
    <row r="21" spans="1:16" x14ac:dyDescent="0.25">
      <c r="A21" s="721"/>
      <c r="B21" s="721"/>
      <c r="C21" s="721"/>
      <c r="D21" s="721"/>
      <c r="E21" s="721"/>
      <c r="F21" s="721"/>
      <c r="G21" s="721"/>
      <c r="H21" s="721"/>
      <c r="I21" s="721"/>
      <c r="J21" s="721"/>
      <c r="K21" s="721"/>
      <c r="L21" s="721"/>
      <c r="M21" s="721"/>
      <c r="N21" s="721"/>
      <c r="O21" s="721"/>
      <c r="P21" s="53" t="s">
        <v>20</v>
      </c>
    </row>
    <row r="22" spans="1:16" x14ac:dyDescent="0.25">
      <c r="A22" s="8" t="s">
        <v>151</v>
      </c>
      <c r="P22" s="53" t="s">
        <v>20</v>
      </c>
    </row>
    <row r="23" spans="1:16" x14ac:dyDescent="0.25">
      <c r="A23" s="668" t="s">
        <v>459</v>
      </c>
      <c r="B23" s="668"/>
      <c r="C23" s="668"/>
      <c r="D23" s="668"/>
      <c r="E23" s="668"/>
      <c r="F23" s="668"/>
      <c r="G23" s="668"/>
      <c r="H23" s="668"/>
      <c r="I23" s="668"/>
      <c r="J23" s="668"/>
      <c r="K23" s="668"/>
      <c r="L23" s="668"/>
      <c r="M23" s="668"/>
      <c r="N23" s="668"/>
      <c r="O23" s="668"/>
      <c r="P23" s="53" t="s">
        <v>20</v>
      </c>
    </row>
    <row r="24" spans="1:16" x14ac:dyDescent="0.25">
      <c r="A24" s="721"/>
      <c r="B24" s="721"/>
      <c r="C24" s="721"/>
      <c r="D24" s="721"/>
      <c r="E24" s="721"/>
      <c r="F24" s="721"/>
      <c r="G24" s="721"/>
      <c r="H24" s="721"/>
      <c r="I24" s="721"/>
      <c r="J24" s="721"/>
      <c r="K24" s="721"/>
      <c r="L24" s="721"/>
      <c r="M24" s="721"/>
      <c r="N24" s="721"/>
      <c r="O24" s="721"/>
      <c r="P24" s="53" t="s">
        <v>20</v>
      </c>
    </row>
    <row r="25" spans="1:16" x14ac:dyDescent="0.25">
      <c r="A25" s="8" t="s">
        <v>152</v>
      </c>
      <c r="P25" s="53" t="s">
        <v>20</v>
      </c>
    </row>
    <row r="26" spans="1:16" x14ac:dyDescent="0.25">
      <c r="A26" s="668" t="s">
        <v>460</v>
      </c>
      <c r="B26" s="668"/>
      <c r="C26" s="668"/>
      <c r="D26" s="668"/>
      <c r="E26" s="668"/>
      <c r="F26" s="668"/>
      <c r="G26" s="668"/>
      <c r="H26" s="668"/>
      <c r="I26" s="668"/>
      <c r="J26" s="668"/>
      <c r="K26" s="668"/>
      <c r="L26" s="668"/>
      <c r="M26" s="668"/>
      <c r="N26" s="668"/>
      <c r="O26" s="668"/>
      <c r="P26" s="53" t="s">
        <v>20</v>
      </c>
    </row>
    <row r="27" spans="1:16" x14ac:dyDescent="0.25">
      <c r="A27" s="721"/>
      <c r="B27" s="721"/>
      <c r="C27" s="721"/>
      <c r="D27" s="721"/>
      <c r="E27" s="721"/>
      <c r="F27" s="721"/>
      <c r="G27" s="721"/>
      <c r="H27" s="721"/>
      <c r="I27" s="721"/>
      <c r="J27" s="721"/>
      <c r="K27" s="721"/>
      <c r="L27" s="721"/>
      <c r="M27" s="721"/>
      <c r="N27" s="721"/>
      <c r="O27" s="721"/>
      <c r="P27" s="53" t="s">
        <v>20</v>
      </c>
    </row>
    <row r="28" spans="1:16" x14ac:dyDescent="0.25">
      <c r="P28" s="53" t="s">
        <v>20</v>
      </c>
    </row>
    <row r="29" spans="1:16" x14ac:dyDescent="0.25">
      <c r="P29" s="7" t="s">
        <v>21</v>
      </c>
    </row>
  </sheetData>
  <customSheetViews>
    <customSheetView guid="{5B2D5037-506A-47D5-AF28-C337BC9133BD}" scale="80" showPageBreaks="1" printArea="1" view="pageBreakPreview">
      <selection activeCell="I31" sqref="I31"/>
      <pageMargins left="0.7" right="0.7" top="0.64" bottom="0.61" header="0.3" footer="0.3"/>
      <printOptions horizontalCentered="1"/>
      <pageSetup scale="64" orientation="landscape" r:id="rId1"/>
      <headerFooter>
        <oddHeader>&amp;L&amp;"Arial,Bold"&amp;12F. Crosswalk of 2012 Availability</oddHeader>
        <oddFooter>&amp;C&amp;"Arial,Regular"Exhibit F - Crosswalk of 2012 Availability&amp;RCrime Victims Fund</oddFooter>
      </headerFooter>
    </customSheetView>
    <customSheetView guid="{08380F1E-0CB7-4B3B-924E-2A270EA8DD30}" scale="80" showPageBreaks="1" printArea="1" view="pageBreakPreview">
      <selection activeCell="I31" sqref="I31"/>
      <pageMargins left="0.7" right="0.7" top="0.64" bottom="0.61" header="0.3" footer="0.3"/>
      <printOptions horizontalCentered="1"/>
      <pageSetup scale="64" orientation="landscape" r:id="rId2"/>
      <headerFooter>
        <oddHeader>&amp;L&amp;"Arial,Bold"&amp;12F. Crosswalk of 2012 Availability</oddHeader>
        <oddFooter>&amp;C&amp;"Arial,Regular"Exhibit F - Crosswalk of 2012 Availability&amp;RCrime Victims Fund</oddFooter>
      </headerFooter>
    </customSheetView>
    <customSheetView guid="{D19943A8-2C2A-430A-A724-8C7C332697C8}" scale="80" showPageBreaks="1" printArea="1" view="pageBreakPreview">
      <selection activeCell="I31" sqref="I31"/>
      <pageMargins left="0.7" right="0.7" top="0.64" bottom="0.61" header="0.3" footer="0.3"/>
      <printOptions horizontalCentered="1"/>
      <pageSetup scale="64" orientation="landscape" r:id="rId3"/>
      <headerFooter>
        <oddHeader>&amp;L&amp;"Arial,Bold"&amp;12F. Crosswalk of 2012 Availability</oddHeader>
        <oddFooter>&amp;C&amp;"Arial,Regular"Exhibit F - Crosswalk of 2012 Availability&amp;RCrime Victims Fund</oddFooter>
      </headerFooter>
    </customSheetView>
    <customSheetView guid="{C6D68C6D-939C-4DFA-9385-A3F05DFB5EDA}" scale="80" showPageBreaks="1" printArea="1" view="pageBreakPreview">
      <selection activeCell="I31" sqref="I31"/>
      <pageMargins left="0.7" right="0.7" top="0.64" bottom="0.61" header="0.3" footer="0.3"/>
      <printOptions horizontalCentered="1"/>
      <pageSetup scale="64" orientation="landscape" r:id="rId4"/>
      <headerFooter>
        <oddHeader>&amp;L&amp;"Arial,Bold"&amp;12F. Crosswalk of 2012 Availability</oddHeader>
        <oddFooter>&amp;C&amp;"Arial,Regular"Exhibit F - Crosswalk of 2012 Availability&amp;RCrime Victims Fund</oddFooter>
      </headerFooter>
    </customSheetView>
  </customSheetViews>
  <mergeCells count="15">
    <mergeCell ref="A27:O27"/>
    <mergeCell ref="A1:O1"/>
    <mergeCell ref="A2:O2"/>
    <mergeCell ref="A3:O3"/>
    <mergeCell ref="A4:O4"/>
    <mergeCell ref="A7:A8"/>
    <mergeCell ref="B7:D7"/>
    <mergeCell ref="E7:G7"/>
    <mergeCell ref="H7:J7"/>
    <mergeCell ref="M7:O7"/>
    <mergeCell ref="A20:O20"/>
    <mergeCell ref="A21:O21"/>
    <mergeCell ref="A23:O23"/>
    <mergeCell ref="A24:O24"/>
    <mergeCell ref="A26:O26"/>
  </mergeCells>
  <printOptions horizontalCentered="1"/>
  <pageMargins left="0.7" right="0.7" top="0.64" bottom="0.61" header="0.3" footer="0.3"/>
  <pageSetup scale="64" orientation="landscape" r:id="rId5"/>
  <headerFooter>
    <oddHeader>&amp;L&amp;"Arial,Bold"&amp;12F. Crosswalk of 2012 Availability</oddHeader>
    <oddFooter>&amp;C&amp;"Arial,Regular"Exhibit F - Crosswalk of 2012 Availability&amp;RCrime Victims Fund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view="pageBreakPreview" zoomScale="80" zoomScaleNormal="100" zoomScaleSheetLayoutView="80" workbookViewId="0">
      <selection activeCell="I16" sqref="I16"/>
    </sheetView>
  </sheetViews>
  <sheetFormatPr defaultColWidth="9.109375" defaultRowHeight="13.8" x14ac:dyDescent="0.25"/>
  <cols>
    <col min="1" max="1" width="37.109375" style="178" customWidth="1"/>
    <col min="2" max="3" width="8.33203125" style="178" customWidth="1"/>
    <col min="4" max="4" width="12.6640625" style="178" customWidth="1"/>
    <col min="5" max="5" width="15" style="178" customWidth="1"/>
    <col min="6" max="7" width="8.33203125" style="178" customWidth="1"/>
    <col min="8" max="9" width="12.6640625" style="178" customWidth="1"/>
    <col min="10" max="10" width="13.6640625" style="178" customWidth="1"/>
    <col min="11" max="12" width="8.33203125" style="178" customWidth="1"/>
    <col min="13" max="13" width="12.6640625" style="178" customWidth="1"/>
    <col min="14" max="14" width="14" style="7" bestFit="1" customWidth="1"/>
    <col min="15" max="15" width="4.5546875" style="178" customWidth="1"/>
    <col min="16" max="17" width="8.33203125" style="178" customWidth="1"/>
    <col min="18" max="18" width="12.6640625" style="178" customWidth="1"/>
    <col min="19" max="20" width="8.33203125" style="178" customWidth="1"/>
    <col min="21" max="21" width="12.6640625" style="178" customWidth="1"/>
    <col min="22" max="16384" width="9.109375" style="178"/>
  </cols>
  <sheetData>
    <row r="1" spans="1:21" ht="18" x14ac:dyDescent="0.25">
      <c r="A1" s="633" t="s">
        <v>42</v>
      </c>
      <c r="B1" s="633"/>
      <c r="C1" s="633"/>
      <c r="D1" s="633"/>
      <c r="E1" s="633"/>
      <c r="F1" s="633"/>
      <c r="G1" s="633"/>
      <c r="H1" s="633"/>
      <c r="I1" s="633"/>
      <c r="J1" s="633"/>
      <c r="K1" s="633"/>
      <c r="L1" s="633"/>
      <c r="M1" s="633"/>
      <c r="N1" s="53" t="s">
        <v>20</v>
      </c>
      <c r="O1" s="9"/>
      <c r="P1" s="9"/>
      <c r="Q1" s="9"/>
      <c r="R1" s="9"/>
      <c r="S1" s="9"/>
      <c r="T1" s="9"/>
      <c r="U1" s="9"/>
    </row>
    <row r="2" spans="1:21" ht="15" x14ac:dyDescent="0.2">
      <c r="A2" s="634" t="str">
        <f>+'[3]B. Summ of Req.'!A2:D2</f>
        <v>Office of Justice Programs</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tr">
        <f>+'[3]B. Summ of Req.'!A3:D3</f>
        <v>Crime Victims Fund</v>
      </c>
      <c r="B3" s="635"/>
      <c r="C3" s="635"/>
      <c r="D3" s="635"/>
      <c r="E3" s="635"/>
      <c r="F3" s="635"/>
      <c r="G3" s="635"/>
      <c r="H3" s="635"/>
      <c r="I3" s="635"/>
      <c r="J3" s="635"/>
      <c r="K3" s="635"/>
      <c r="L3" s="635"/>
      <c r="M3" s="635"/>
      <c r="N3" s="53" t="s">
        <v>20</v>
      </c>
      <c r="O3" s="221"/>
      <c r="P3" s="221"/>
      <c r="Q3" s="221"/>
      <c r="R3" s="221"/>
      <c r="S3" s="221"/>
      <c r="T3" s="221"/>
      <c r="U3" s="221"/>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11"/>
      <c r="B5" s="11"/>
      <c r="C5" s="11"/>
      <c r="D5" s="11"/>
      <c r="E5" s="11"/>
      <c r="F5" s="11"/>
      <c r="G5" s="11"/>
      <c r="H5" s="11"/>
      <c r="I5" s="11"/>
      <c r="J5" s="11"/>
      <c r="K5" s="11"/>
      <c r="L5" s="11"/>
      <c r="M5" s="11"/>
      <c r="N5" s="53" t="s">
        <v>20</v>
      </c>
      <c r="O5" s="11"/>
      <c r="P5" s="11"/>
      <c r="Q5" s="11"/>
      <c r="R5" s="11"/>
      <c r="S5" s="11"/>
      <c r="T5" s="11"/>
      <c r="U5" s="11"/>
    </row>
    <row r="6" spans="1:21" ht="15" thickBot="1" x14ac:dyDescent="0.25">
      <c r="A6" s="52"/>
      <c r="B6" s="52"/>
      <c r="C6" s="52"/>
      <c r="D6" s="52"/>
      <c r="E6" s="52"/>
      <c r="F6" s="52"/>
      <c r="G6" s="52"/>
      <c r="H6" s="52"/>
      <c r="I6" s="52"/>
      <c r="J6" s="52"/>
      <c r="K6" s="52"/>
      <c r="L6" s="52"/>
      <c r="M6" s="52"/>
      <c r="N6" s="53" t="s">
        <v>20</v>
      </c>
      <c r="O6" s="11"/>
      <c r="P6" s="11"/>
      <c r="Q6" s="11"/>
      <c r="R6" s="11"/>
      <c r="S6" s="11"/>
      <c r="T6" s="11"/>
      <c r="U6" s="11"/>
    </row>
    <row r="7" spans="1:21" ht="33.75" customHeight="1" x14ac:dyDescent="0.25">
      <c r="A7" s="638" t="s">
        <v>134</v>
      </c>
      <c r="B7" s="641" t="s">
        <v>451</v>
      </c>
      <c r="C7" s="641"/>
      <c r="D7" s="641"/>
      <c r="E7" s="192" t="s">
        <v>138</v>
      </c>
      <c r="F7" s="641" t="s">
        <v>40</v>
      </c>
      <c r="G7" s="641"/>
      <c r="H7" s="641"/>
      <c r="I7" s="192" t="s">
        <v>41</v>
      </c>
      <c r="J7" s="192" t="s">
        <v>139</v>
      </c>
      <c r="K7" s="641" t="s">
        <v>43</v>
      </c>
      <c r="L7" s="641"/>
      <c r="M7" s="642"/>
      <c r="N7" s="53" t="s">
        <v>20</v>
      </c>
    </row>
    <row r="8" spans="1:21" ht="27.6" x14ac:dyDescent="0.25">
      <c r="A8" s="639"/>
      <c r="B8" s="222" t="s">
        <v>3</v>
      </c>
      <c r="C8" s="222" t="s">
        <v>129</v>
      </c>
      <c r="D8" s="222" t="s">
        <v>4</v>
      </c>
      <c r="E8" s="222" t="s">
        <v>4</v>
      </c>
      <c r="F8" s="222" t="s">
        <v>3</v>
      </c>
      <c r="G8" s="222" t="s">
        <v>129</v>
      </c>
      <c r="H8" s="222" t="s">
        <v>4</v>
      </c>
      <c r="I8" s="222" t="s">
        <v>4</v>
      </c>
      <c r="J8" s="222" t="s">
        <v>4</v>
      </c>
      <c r="K8" s="222" t="s">
        <v>3</v>
      </c>
      <c r="L8" s="222" t="s">
        <v>129</v>
      </c>
      <c r="M8" s="223" t="s">
        <v>4</v>
      </c>
      <c r="N8" s="53" t="s">
        <v>20</v>
      </c>
    </row>
    <row r="9" spans="1:21" x14ac:dyDescent="0.25">
      <c r="A9" s="184" t="s">
        <v>430</v>
      </c>
      <c r="B9" s="225">
        <v>0</v>
      </c>
      <c r="C9" s="225">
        <v>0</v>
      </c>
      <c r="D9" s="225">
        <v>705000</v>
      </c>
      <c r="E9" s="225">
        <v>0</v>
      </c>
      <c r="F9" s="225">
        <v>0</v>
      </c>
      <c r="G9" s="225">
        <v>0</v>
      </c>
      <c r="H9" s="225">
        <v>0</v>
      </c>
      <c r="I9" s="225">
        <v>50000</v>
      </c>
      <c r="J9" s="225">
        <v>0</v>
      </c>
      <c r="K9" s="225">
        <f>B9+F9</f>
        <v>0</v>
      </c>
      <c r="L9" s="225">
        <f>C9+G9</f>
        <v>0</v>
      </c>
      <c r="M9" s="226">
        <f>D9+E9+H9+I9+J9</f>
        <v>755000</v>
      </c>
      <c r="N9" s="53" t="s">
        <v>20</v>
      </c>
    </row>
    <row r="10" spans="1:21" x14ac:dyDescent="0.25">
      <c r="A10" s="16" t="s">
        <v>131</v>
      </c>
      <c r="B10" s="143">
        <f t="shared" ref="B10:M10" si="0">SUM(B9:B9)</f>
        <v>0</v>
      </c>
      <c r="C10" s="143">
        <f t="shared" si="0"/>
        <v>0</v>
      </c>
      <c r="D10" s="143">
        <f t="shared" si="0"/>
        <v>705000</v>
      </c>
      <c r="E10" s="143">
        <f t="shared" si="0"/>
        <v>0</v>
      </c>
      <c r="F10" s="143">
        <f t="shared" si="0"/>
        <v>0</v>
      </c>
      <c r="G10" s="143">
        <f t="shared" si="0"/>
        <v>0</v>
      </c>
      <c r="H10" s="143">
        <f t="shared" si="0"/>
        <v>0</v>
      </c>
      <c r="I10" s="143">
        <f t="shared" si="0"/>
        <v>50000</v>
      </c>
      <c r="J10" s="143">
        <f t="shared" si="0"/>
        <v>0</v>
      </c>
      <c r="K10" s="143">
        <f t="shared" si="0"/>
        <v>0</v>
      </c>
      <c r="L10" s="143">
        <f t="shared" si="0"/>
        <v>0</v>
      </c>
      <c r="M10" s="144">
        <f t="shared" si="0"/>
        <v>755000</v>
      </c>
      <c r="N10" s="53" t="s">
        <v>20</v>
      </c>
    </row>
    <row r="11" spans="1:21" x14ac:dyDescent="0.25">
      <c r="A11" s="272" t="s">
        <v>130</v>
      </c>
      <c r="B11" s="225"/>
      <c r="C11" s="225"/>
      <c r="D11" s="225">
        <v>0</v>
      </c>
      <c r="E11" s="225"/>
      <c r="F11" s="225"/>
      <c r="G11" s="225"/>
      <c r="H11" s="225"/>
      <c r="I11" s="225"/>
      <c r="J11" s="225"/>
      <c r="K11" s="225"/>
      <c r="L11" s="225"/>
      <c r="M11" s="226">
        <f>D11+E11+H11+I11+J11</f>
        <v>0</v>
      </c>
      <c r="N11" s="53" t="s">
        <v>20</v>
      </c>
    </row>
    <row r="12" spans="1:21" x14ac:dyDescent="0.25">
      <c r="A12" s="273" t="s">
        <v>150</v>
      </c>
      <c r="B12" s="230"/>
      <c r="C12" s="230"/>
      <c r="D12" s="230">
        <f>SUM(D10:D11)</f>
        <v>705000</v>
      </c>
      <c r="E12" s="230"/>
      <c r="F12" s="230"/>
      <c r="G12" s="230"/>
      <c r="H12" s="230"/>
      <c r="I12" s="230"/>
      <c r="J12" s="230"/>
      <c r="K12" s="230"/>
      <c r="L12" s="230"/>
      <c r="M12" s="231">
        <f>SUM(M10:M11)</f>
        <v>755000</v>
      </c>
      <c r="N12" s="53" t="s">
        <v>20</v>
      </c>
    </row>
    <row r="13" spans="1:21" x14ac:dyDescent="0.25">
      <c r="A13" s="198" t="s">
        <v>26</v>
      </c>
      <c r="B13" s="234"/>
      <c r="C13" s="234">
        <v>0</v>
      </c>
      <c r="D13" s="234"/>
      <c r="E13" s="234"/>
      <c r="F13" s="234"/>
      <c r="G13" s="234">
        <v>0</v>
      </c>
      <c r="H13" s="234"/>
      <c r="I13" s="234">
        <v>0</v>
      </c>
      <c r="J13" s="234"/>
      <c r="K13" s="234"/>
      <c r="L13" s="234">
        <f t="shared" ref="L13" si="1">C13+G13</f>
        <v>0</v>
      </c>
      <c r="M13" s="235"/>
      <c r="N13" s="53" t="s">
        <v>20</v>
      </c>
    </row>
    <row r="14" spans="1:21" x14ac:dyDescent="0.25">
      <c r="A14" s="195" t="s">
        <v>132</v>
      </c>
      <c r="B14" s="208"/>
      <c r="C14" s="208">
        <f>C10+C13</f>
        <v>0</v>
      </c>
      <c r="D14" s="208"/>
      <c r="E14" s="208"/>
      <c r="F14" s="208"/>
      <c r="G14" s="208">
        <f>G10+G13</f>
        <v>0</v>
      </c>
      <c r="H14" s="208"/>
      <c r="I14" s="208">
        <f>I10+I13</f>
        <v>50000</v>
      </c>
      <c r="J14" s="208"/>
      <c r="K14" s="208"/>
      <c r="L14" s="208">
        <f>L10+L13</f>
        <v>0</v>
      </c>
      <c r="M14" s="205"/>
      <c r="N14" s="53" t="s">
        <v>20</v>
      </c>
    </row>
    <row r="15" spans="1:21" x14ac:dyDescent="0.25">
      <c r="A15" s="195"/>
      <c r="B15" s="208"/>
      <c r="C15" s="208"/>
      <c r="D15" s="208"/>
      <c r="E15" s="208"/>
      <c r="F15" s="208"/>
      <c r="G15" s="208"/>
      <c r="H15" s="208"/>
      <c r="I15" s="208"/>
      <c r="J15" s="208"/>
      <c r="K15" s="208"/>
      <c r="L15" s="208"/>
      <c r="M15" s="205"/>
      <c r="N15" s="53" t="s">
        <v>20</v>
      </c>
    </row>
    <row r="16" spans="1:21" x14ac:dyDescent="0.25">
      <c r="A16" s="195" t="s">
        <v>27</v>
      </c>
      <c r="B16" s="208"/>
      <c r="C16" s="208"/>
      <c r="D16" s="208"/>
      <c r="E16" s="208"/>
      <c r="F16" s="208"/>
      <c r="G16" s="208"/>
      <c r="H16" s="208"/>
      <c r="I16" s="208"/>
      <c r="J16" s="208"/>
      <c r="K16" s="208"/>
      <c r="L16" s="208"/>
      <c r="M16" s="205"/>
      <c r="N16" s="53" t="s">
        <v>20</v>
      </c>
    </row>
    <row r="17" spans="1:14" x14ac:dyDescent="0.25">
      <c r="A17" s="236" t="s">
        <v>28</v>
      </c>
      <c r="B17" s="208"/>
      <c r="C17" s="208">
        <v>0</v>
      </c>
      <c r="D17" s="208"/>
      <c r="E17" s="208"/>
      <c r="F17" s="208"/>
      <c r="G17" s="208">
        <v>0</v>
      </c>
      <c r="H17" s="208"/>
      <c r="I17" s="208">
        <v>0</v>
      </c>
      <c r="J17" s="208"/>
      <c r="K17" s="208"/>
      <c r="L17" s="208">
        <f t="shared" ref="L17:L18" si="2">C17+G17</f>
        <v>0</v>
      </c>
      <c r="M17" s="205"/>
      <c r="N17" s="53" t="s">
        <v>20</v>
      </c>
    </row>
    <row r="18" spans="1:14" x14ac:dyDescent="0.25">
      <c r="A18" s="237" t="s">
        <v>29</v>
      </c>
      <c r="B18" s="238"/>
      <c r="C18" s="238">
        <v>0</v>
      </c>
      <c r="D18" s="238"/>
      <c r="E18" s="238"/>
      <c r="F18" s="238"/>
      <c r="G18" s="238">
        <v>0</v>
      </c>
      <c r="H18" s="238"/>
      <c r="I18" s="238">
        <v>0</v>
      </c>
      <c r="J18" s="238"/>
      <c r="K18" s="238"/>
      <c r="L18" s="238">
        <f t="shared" si="2"/>
        <v>0</v>
      </c>
      <c r="M18" s="239"/>
      <c r="N18" s="53" t="s">
        <v>20</v>
      </c>
    </row>
    <row r="19" spans="1:14" ht="14.4" thickBot="1" x14ac:dyDescent="0.3">
      <c r="A19" s="240" t="s">
        <v>133</v>
      </c>
      <c r="B19" s="241"/>
      <c r="C19" s="241">
        <f>C14+C17+C18</f>
        <v>0</v>
      </c>
      <c r="D19" s="241"/>
      <c r="E19" s="241"/>
      <c r="F19" s="241"/>
      <c r="G19" s="241">
        <f>G14+G17+G18</f>
        <v>0</v>
      </c>
      <c r="H19" s="241"/>
      <c r="I19" s="241">
        <f>I14+I17+I18</f>
        <v>50000</v>
      </c>
      <c r="J19" s="241"/>
      <c r="K19" s="241"/>
      <c r="L19" s="241">
        <f>SUM(L14,L17:L18)</f>
        <v>0</v>
      </c>
      <c r="M19" s="242"/>
      <c r="N19" s="53" t="s">
        <v>20</v>
      </c>
    </row>
    <row r="20" spans="1:14" x14ac:dyDescent="0.25">
      <c r="A20" s="668" t="s">
        <v>432</v>
      </c>
      <c r="B20" s="668"/>
      <c r="C20" s="668"/>
      <c r="D20" s="668"/>
      <c r="E20" s="668"/>
      <c r="F20" s="668"/>
      <c r="G20" s="668"/>
      <c r="H20" s="668"/>
      <c r="I20" s="668"/>
      <c r="J20" s="668"/>
      <c r="K20" s="668"/>
      <c r="L20" s="668"/>
      <c r="M20" s="668"/>
      <c r="N20" s="53" t="s">
        <v>20</v>
      </c>
    </row>
    <row r="21" spans="1:14" x14ac:dyDescent="0.25">
      <c r="N21" s="53" t="s">
        <v>20</v>
      </c>
    </row>
    <row r="22" spans="1:14" x14ac:dyDescent="0.25">
      <c r="A22" s="8" t="s">
        <v>445</v>
      </c>
      <c r="N22" s="53" t="s">
        <v>20</v>
      </c>
    </row>
    <row r="23" spans="1:14" x14ac:dyDescent="0.25">
      <c r="A23" s="668" t="s">
        <v>425</v>
      </c>
      <c r="B23" s="668"/>
      <c r="C23" s="668"/>
      <c r="D23" s="668"/>
      <c r="E23" s="668"/>
      <c r="F23" s="668"/>
      <c r="G23" s="668"/>
      <c r="H23" s="668"/>
      <c r="I23" s="668"/>
      <c r="J23" s="668"/>
      <c r="K23" s="668"/>
      <c r="L23" s="668"/>
      <c r="M23" s="668"/>
      <c r="N23" s="53" t="s">
        <v>20</v>
      </c>
    </row>
    <row r="24" spans="1:14" x14ac:dyDescent="0.25">
      <c r="A24" s="721"/>
      <c r="B24" s="721"/>
      <c r="C24" s="721"/>
      <c r="D24" s="721"/>
      <c r="E24" s="721"/>
      <c r="F24" s="721"/>
      <c r="G24" s="721"/>
      <c r="H24" s="721"/>
      <c r="I24" s="721"/>
      <c r="J24" s="721"/>
      <c r="K24" s="721"/>
      <c r="L24" s="721"/>
      <c r="M24" s="721"/>
      <c r="N24" s="53" t="s">
        <v>20</v>
      </c>
    </row>
    <row r="25" spans="1:14" x14ac:dyDescent="0.25">
      <c r="A25" s="8" t="s">
        <v>151</v>
      </c>
      <c r="N25" s="53" t="s">
        <v>20</v>
      </c>
    </row>
    <row r="26" spans="1:14" ht="13.95" customHeight="1" x14ac:dyDescent="0.25">
      <c r="A26" s="668" t="s">
        <v>461</v>
      </c>
      <c r="B26" s="668"/>
      <c r="C26" s="668"/>
      <c r="D26" s="668"/>
      <c r="E26" s="668"/>
      <c r="F26" s="668"/>
      <c r="G26" s="668"/>
      <c r="H26" s="668"/>
      <c r="I26" s="668"/>
      <c r="J26" s="668"/>
      <c r="K26" s="668"/>
      <c r="L26" s="668"/>
      <c r="M26" s="668"/>
      <c r="N26" s="53" t="s">
        <v>20</v>
      </c>
    </row>
    <row r="27" spans="1:14" x14ac:dyDescent="0.25">
      <c r="A27" s="721"/>
      <c r="B27" s="721"/>
      <c r="C27" s="721"/>
      <c r="D27" s="721"/>
      <c r="E27" s="721"/>
      <c r="F27" s="721"/>
      <c r="G27" s="721"/>
      <c r="H27" s="721"/>
      <c r="I27" s="721"/>
      <c r="J27" s="721"/>
      <c r="K27" s="721"/>
      <c r="L27" s="721"/>
      <c r="M27" s="721"/>
      <c r="N27" s="53" t="s">
        <v>20</v>
      </c>
    </row>
    <row r="28" spans="1:14" x14ac:dyDescent="0.25">
      <c r="A28" s="8" t="s">
        <v>152</v>
      </c>
      <c r="N28" s="7" t="s">
        <v>21</v>
      </c>
    </row>
    <row r="29" spans="1:14" x14ac:dyDescent="0.25">
      <c r="A29" s="668" t="s">
        <v>425</v>
      </c>
      <c r="B29" s="668"/>
      <c r="C29" s="668"/>
      <c r="D29" s="668"/>
      <c r="E29" s="668"/>
      <c r="F29" s="668"/>
      <c r="G29" s="668"/>
      <c r="H29" s="668"/>
      <c r="I29" s="668"/>
      <c r="J29" s="668"/>
      <c r="K29" s="668"/>
      <c r="L29" s="668"/>
      <c r="M29" s="668"/>
      <c r="N29" s="53"/>
    </row>
    <row r="30" spans="1:14" x14ac:dyDescent="0.25">
      <c r="N30" s="53"/>
    </row>
    <row r="31" spans="1:14" x14ac:dyDescent="0.25">
      <c r="N31" s="53"/>
    </row>
    <row r="32" spans="1:14" x14ac:dyDescent="0.25">
      <c r="N32" s="178"/>
    </row>
  </sheetData>
  <customSheetViews>
    <customSheetView guid="{5B2D5037-506A-47D5-AF28-C337BC9133BD}" scale="80" showPageBreaks="1" printArea="1" view="pageBreakPreview">
      <selection activeCell="I16" sqref="I16"/>
      <pageMargins left="0.7" right="0.7" top="0.66" bottom="0.66" header="0.3" footer="0.3"/>
      <printOptions horizontalCentered="1"/>
      <pageSetup scale="70" orientation="landscape" r:id="rId1"/>
      <headerFooter>
        <oddHeader>&amp;L&amp;"Arial,Bold"&amp;12G. Crosswalk of 2013 Availability</oddHeader>
        <oddFooter>&amp;C&amp;"Arial,Regular"Exhibit G - Crosswalk of 2013 Availability&amp;RCrime Victims Fund</oddFooter>
      </headerFooter>
    </customSheetView>
    <customSheetView guid="{08380F1E-0CB7-4B3B-924E-2A270EA8DD30}" scale="80" showPageBreaks="1" printArea="1" view="pageBreakPreview">
      <selection activeCell="H25" sqref="H25"/>
      <pageMargins left="0.7" right="0.7" top="0.66" bottom="0.66" header="0.3" footer="0.3"/>
      <printOptions horizontalCentered="1"/>
      <pageSetup scale="70" orientation="landscape" r:id="rId2"/>
      <headerFooter>
        <oddHeader>&amp;L&amp;"Arial,Bold"&amp;12G. Crosswalk of 2013 Availability</oddHeader>
        <oddFooter>&amp;C&amp;"Arial,Regular"Exhibit G - Crosswalk of 2013 Availability&amp;RCrime Victims Fund</oddFooter>
      </headerFooter>
    </customSheetView>
    <customSheetView guid="{D19943A8-2C2A-430A-A724-8C7C332697C8}" scale="80" showPageBreaks="1" printArea="1" view="pageBreakPreview">
      <selection activeCell="H25" sqref="H25"/>
      <pageMargins left="0.7" right="0.7" top="0.66" bottom="0.66" header="0.3" footer="0.3"/>
      <printOptions horizontalCentered="1"/>
      <pageSetup scale="70" orientation="landscape" r:id="rId3"/>
      <headerFooter>
        <oddHeader>&amp;L&amp;"Arial,Bold"&amp;12G. Crosswalk of 2013 Availability</oddHeader>
        <oddFooter>&amp;C&amp;"Arial,Regular"Exhibit G - Crosswalk of 2013 Availability&amp;RCrime Victims Fund</oddFooter>
      </headerFooter>
    </customSheetView>
    <customSheetView guid="{C6D68C6D-939C-4DFA-9385-A3F05DFB5EDA}" scale="80" showPageBreaks="1" printArea="1" view="pageBreakPreview">
      <selection activeCell="H25" sqref="H25"/>
      <pageMargins left="0.7" right="0.7" top="0.66" bottom="0.66" header="0.3" footer="0.3"/>
      <printOptions horizontalCentered="1"/>
      <pageSetup scale="70" orientation="landscape" r:id="rId4"/>
      <headerFooter>
        <oddHeader>&amp;L&amp;"Arial,Bold"&amp;12G. Crosswalk of 2013 Availability</oddHeader>
        <oddFooter>&amp;C&amp;"Arial,Regular"Exhibit G - Crosswalk of 2013 Availability&amp;RCrime Victims Fund</oddFooter>
      </headerFooter>
    </customSheetView>
  </customSheetViews>
  <mergeCells count="14">
    <mergeCell ref="A29:M29"/>
    <mergeCell ref="A1:M1"/>
    <mergeCell ref="A2:M2"/>
    <mergeCell ref="A3:M3"/>
    <mergeCell ref="A4:M4"/>
    <mergeCell ref="A7:A8"/>
    <mergeCell ref="B7:D7"/>
    <mergeCell ref="F7:H7"/>
    <mergeCell ref="K7:M7"/>
    <mergeCell ref="A20:M20"/>
    <mergeCell ref="A23:M23"/>
    <mergeCell ref="A24:M24"/>
    <mergeCell ref="A26:M26"/>
    <mergeCell ref="A27:M27"/>
  </mergeCells>
  <printOptions horizontalCentered="1"/>
  <pageMargins left="0.7" right="0.7" top="0.66" bottom="0.66" header="0.3" footer="0.3"/>
  <pageSetup scale="70" orientation="landscape" r:id="rId5"/>
  <headerFooter>
    <oddHeader>&amp;L&amp;"Arial,Bold"&amp;12G. Crosswalk of 2013 Availability</oddHeader>
    <oddFooter>&amp;C&amp;"Arial,Regular"Exhibit G - Crosswalk of 2013 Availability&amp;RCrime Victims Fund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view="pageBreakPreview" zoomScale="80" zoomScaleNormal="100" zoomScaleSheetLayoutView="80" workbookViewId="0">
      <selection activeCell="E28" sqref="E28"/>
    </sheetView>
  </sheetViews>
  <sheetFormatPr defaultColWidth="9.109375" defaultRowHeight="13.8" x14ac:dyDescent="0.25"/>
  <cols>
    <col min="1" max="1" width="63.5546875" style="178" customWidth="1"/>
    <col min="2" max="2" width="8.6640625" style="178" customWidth="1"/>
    <col min="3" max="3" width="15.33203125" style="178" customWidth="1"/>
    <col min="4" max="5" width="12.6640625" style="178" customWidth="1"/>
    <col min="6" max="6" width="14" style="7" bestFit="1" customWidth="1"/>
    <col min="7" max="7" width="4.5546875" style="178" customWidth="1"/>
    <col min="8" max="9" width="8.33203125" style="178" customWidth="1"/>
    <col min="10" max="10" width="12.6640625" style="178" customWidth="1"/>
    <col min="11" max="12" width="8.33203125" style="178" customWidth="1"/>
    <col min="13" max="13" width="12.6640625" style="178" customWidth="1"/>
    <col min="14" max="16384" width="9.109375" style="178"/>
  </cols>
  <sheetData>
    <row r="1" spans="1:13" ht="18" x14ac:dyDescent="0.25">
      <c r="A1" s="633" t="s">
        <v>98</v>
      </c>
      <c r="B1" s="633"/>
      <c r="C1" s="633"/>
      <c r="D1" s="633"/>
      <c r="E1" s="633"/>
      <c r="F1" s="53" t="s">
        <v>20</v>
      </c>
      <c r="G1" s="9"/>
      <c r="H1" s="9"/>
      <c r="I1" s="9"/>
      <c r="J1" s="9"/>
      <c r="K1" s="9"/>
      <c r="L1" s="9"/>
      <c r="M1" s="9"/>
    </row>
    <row r="2" spans="1:13" ht="15" x14ac:dyDescent="0.2">
      <c r="A2" s="634" t="str">
        <f>+'[3]B. Summ of Req.'!A2:D2</f>
        <v>Office of Justice Programs</v>
      </c>
      <c r="B2" s="634"/>
      <c r="C2" s="634"/>
      <c r="D2" s="634"/>
      <c r="E2" s="634"/>
      <c r="F2" s="53" t="s">
        <v>20</v>
      </c>
      <c r="G2" s="10"/>
      <c r="H2" s="10"/>
      <c r="I2" s="10"/>
      <c r="J2" s="10"/>
      <c r="K2" s="10"/>
      <c r="L2" s="10"/>
      <c r="M2" s="10"/>
    </row>
    <row r="3" spans="1:13" ht="14.25" x14ac:dyDescent="0.2">
      <c r="A3" s="635" t="str">
        <f>+'[3]B. Summ of Req.'!A3:D3</f>
        <v>Crime Victims Fund</v>
      </c>
      <c r="B3" s="635"/>
      <c r="C3" s="635"/>
      <c r="D3" s="635"/>
      <c r="E3" s="635"/>
      <c r="F3" s="53" t="s">
        <v>20</v>
      </c>
      <c r="G3" s="221"/>
      <c r="H3" s="221"/>
      <c r="I3" s="221"/>
      <c r="J3" s="221"/>
      <c r="K3" s="221"/>
      <c r="L3" s="221"/>
      <c r="M3" s="221"/>
    </row>
    <row r="4" spans="1:13" ht="14.25" x14ac:dyDescent="0.2">
      <c r="A4" s="637" t="s">
        <v>1</v>
      </c>
      <c r="B4" s="637"/>
      <c r="C4" s="637"/>
      <c r="D4" s="637"/>
      <c r="E4" s="637"/>
      <c r="F4" s="53" t="s">
        <v>20</v>
      </c>
      <c r="G4" s="11"/>
      <c r="H4" s="11"/>
      <c r="I4" s="11"/>
      <c r="J4" s="11"/>
      <c r="K4" s="11"/>
      <c r="L4" s="11"/>
      <c r="M4" s="11"/>
    </row>
    <row r="5" spans="1:13" ht="14.25" x14ac:dyDescent="0.2">
      <c r="A5" s="637"/>
      <c r="B5" s="637"/>
      <c r="C5" s="637"/>
      <c r="D5" s="191"/>
      <c r="E5" s="191"/>
      <c r="F5" s="53" t="s">
        <v>20</v>
      </c>
      <c r="G5" s="11"/>
      <c r="H5" s="11"/>
      <c r="I5" s="11"/>
      <c r="J5" s="11"/>
      <c r="K5" s="11"/>
      <c r="L5" s="11"/>
      <c r="M5" s="11"/>
    </row>
    <row r="6" spans="1:13" ht="15" customHeight="1" x14ac:dyDescent="0.25">
      <c r="A6" s="722" t="s">
        <v>99</v>
      </c>
      <c r="B6" s="755" t="s">
        <v>430</v>
      </c>
      <c r="C6" s="756"/>
      <c r="D6" s="695" t="s">
        <v>17</v>
      </c>
      <c r="E6" s="726"/>
      <c r="F6" s="53" t="s">
        <v>20</v>
      </c>
    </row>
    <row r="7" spans="1:13" ht="53.25" customHeight="1" x14ac:dyDescent="0.25">
      <c r="A7" s="723"/>
      <c r="B7" s="679" t="s">
        <v>433</v>
      </c>
      <c r="C7" s="680"/>
      <c r="D7" s="729"/>
      <c r="E7" s="716"/>
      <c r="F7" s="53" t="s">
        <v>20</v>
      </c>
    </row>
    <row r="8" spans="1:13" ht="27.6" x14ac:dyDescent="0.25">
      <c r="A8" s="724"/>
      <c r="B8" s="222" t="s">
        <v>3</v>
      </c>
      <c r="C8" s="222" t="s">
        <v>4</v>
      </c>
      <c r="D8" s="222" t="s">
        <v>3</v>
      </c>
      <c r="E8" s="222" t="s">
        <v>4</v>
      </c>
      <c r="F8" s="53" t="s">
        <v>20</v>
      </c>
    </row>
    <row r="9" spans="1:13" x14ac:dyDescent="0.25">
      <c r="A9" s="275" t="s">
        <v>91</v>
      </c>
      <c r="B9" s="234"/>
      <c r="C9" s="234">
        <v>95000</v>
      </c>
      <c r="D9" s="234"/>
      <c r="E9" s="234">
        <f>[4]Sheet1!M26+C9</f>
        <v>95000</v>
      </c>
      <c r="F9" s="53" t="s">
        <v>20</v>
      </c>
    </row>
    <row r="10" spans="1:13" x14ac:dyDescent="0.25">
      <c r="A10" s="66" t="s">
        <v>145</v>
      </c>
      <c r="B10" s="143">
        <f t="shared" ref="B10:E10" si="0">SUM(B9:B9)</f>
        <v>0</v>
      </c>
      <c r="C10" s="143">
        <f t="shared" si="0"/>
        <v>95000</v>
      </c>
      <c r="D10" s="143">
        <f t="shared" si="0"/>
        <v>0</v>
      </c>
      <c r="E10" s="143">
        <f t="shared" si="0"/>
        <v>95000</v>
      </c>
      <c r="F10" s="53" t="s">
        <v>21</v>
      </c>
    </row>
    <row r="11" spans="1:13" x14ac:dyDescent="0.25">
      <c r="E11" s="64"/>
      <c r="F11" s="53"/>
    </row>
    <row r="12" spans="1:13" x14ac:dyDescent="0.25">
      <c r="A12" s="278"/>
      <c r="B12" s="278"/>
      <c r="C12" s="278"/>
      <c r="F12" s="53"/>
    </row>
    <row r="13" spans="1:13" x14ac:dyDescent="0.25">
      <c r="F13" s="53"/>
    </row>
  </sheetData>
  <customSheetViews>
    <customSheetView guid="{5B2D5037-506A-47D5-AF28-C337BC9133BD}" scale="80" showPageBreaks="1" printArea="1" view="pageBreakPreview">
      <selection activeCell="E28" sqref="E28"/>
      <pageMargins left="0.7" right="0.7" top="0.52" bottom="0.39" header="0.3" footer="0.23"/>
      <printOptions horizontalCentered="1"/>
      <pageSetup fitToHeight="2" orientation="landscape" r:id="rId1"/>
      <headerFooter>
        <oddHeader xml:space="preserve">&amp;L&amp;"Arial,Bold"&amp;12J. Financial Analysis of Program Changes
</oddHeader>
        <oddFooter>&amp;C&amp;"Arial,Regular"Exhibit J - Financial Analysis of Program Changes&amp;RCrime Victims Fund</oddFooter>
      </headerFooter>
    </customSheetView>
    <customSheetView guid="{08380F1E-0CB7-4B3B-924E-2A270EA8DD30}" scale="80" showPageBreaks="1" printArea="1" view="pageBreakPreview">
      <selection activeCell="F11" sqref="F11:F12"/>
      <pageMargins left="0.7" right="0.7" top="0.52" bottom="0.39" header="0.3" footer="0.23"/>
      <printOptions horizontalCentered="1"/>
      <pageSetup fitToHeight="2" orientation="landscape" r:id="rId2"/>
      <headerFooter>
        <oddHeader xml:space="preserve">&amp;L&amp;"Arial,Bold"&amp;12J. Financial Analysis of Program Changes
</oddHeader>
        <oddFooter>&amp;C&amp;"Arial,Regular"Exhibit J - Financial Analysis of Program Changes&amp;RCrime Victims Fund</oddFooter>
      </headerFooter>
    </customSheetView>
    <customSheetView guid="{D19943A8-2C2A-430A-A724-8C7C332697C8}" scale="80" showPageBreaks="1" printArea="1" view="pageBreakPreview">
      <selection activeCell="F11" sqref="F11:F12"/>
      <pageMargins left="0.7" right="0.7" top="0.52" bottom="0.39" header="0.3" footer="0.23"/>
      <printOptions horizontalCentered="1"/>
      <pageSetup fitToHeight="2" orientation="landscape" r:id="rId3"/>
      <headerFooter>
        <oddHeader xml:space="preserve">&amp;L&amp;"Arial,Bold"&amp;12J. Financial Analysis of Program Changes
</oddHeader>
        <oddFooter>&amp;C&amp;"Arial,Regular"Exhibit J - Financial Analysis of Program Changes&amp;RCrime Victims Fund</oddFooter>
      </headerFooter>
    </customSheetView>
    <customSheetView guid="{C6D68C6D-939C-4DFA-9385-A3F05DFB5EDA}" scale="80" showPageBreaks="1" printArea="1" view="pageBreakPreview">
      <selection activeCell="E28" sqref="E28"/>
      <pageMargins left="0.7" right="0.7" top="0.52" bottom="0.39" header="0.3" footer="0.23"/>
      <printOptions horizontalCentered="1"/>
      <pageSetup fitToHeight="2" orientation="landscape" r:id="rId4"/>
      <headerFooter>
        <oddHeader xml:space="preserve">&amp;L&amp;"Arial,Bold"&amp;12J. Financial Analysis of Program Changes
</oddHeader>
        <oddFooter>&amp;C&amp;"Arial,Regular"Exhibit J - Financial Analysis of Program Changes&amp;RCrime Victims Fund</oddFooter>
      </headerFooter>
    </customSheetView>
  </customSheetViews>
  <mergeCells count="9">
    <mergeCell ref="A6:A8"/>
    <mergeCell ref="B6:C6"/>
    <mergeCell ref="D6:E7"/>
    <mergeCell ref="B7:C7"/>
    <mergeCell ref="A1:E1"/>
    <mergeCell ref="A2:E2"/>
    <mergeCell ref="A3:E3"/>
    <mergeCell ref="A4:E4"/>
    <mergeCell ref="A5:C5"/>
  </mergeCells>
  <printOptions horizontalCentered="1"/>
  <pageMargins left="0.7" right="0.7" top="0.52" bottom="0.39" header="0.3" footer="0.23"/>
  <pageSetup fitToHeight="2" orientation="landscape" r:id="rId5"/>
  <headerFooter>
    <oddHeader xml:space="preserve">&amp;L&amp;"Arial,Bold"&amp;12J. Financial Analysis of Program Changes
</oddHeader>
    <oddFooter>&amp;C&amp;"Arial,Regular"Exhibit J - Financial Analysis of Program Changes&amp;RCrime Victims Fund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zoomScale="90" zoomScaleNormal="100" zoomScaleSheetLayoutView="90" workbookViewId="0">
      <selection activeCell="D38" sqref="D38"/>
    </sheetView>
  </sheetViews>
  <sheetFormatPr defaultColWidth="9.109375" defaultRowHeight="13.8" x14ac:dyDescent="0.25"/>
  <cols>
    <col min="1" max="1" width="86.5546875" style="178" customWidth="1"/>
    <col min="2" max="2" width="8.33203125" style="178" customWidth="1"/>
    <col min="3" max="3" width="12.6640625" style="178" customWidth="1"/>
    <col min="4" max="4" width="8.33203125" style="178" customWidth="1"/>
    <col min="5" max="5" width="12.6640625" style="178" customWidth="1"/>
    <col min="6" max="6" width="8.33203125" style="178" customWidth="1"/>
    <col min="7" max="7" width="12.6640625" style="178" customWidth="1"/>
    <col min="8" max="8" width="9.88671875" style="178" customWidth="1"/>
    <col min="9" max="9" width="12.6640625" style="178" customWidth="1"/>
    <col min="10" max="10" width="14" style="7" bestFit="1" customWidth="1"/>
    <col min="11" max="11" width="4.5546875" style="178" customWidth="1"/>
    <col min="12" max="13" width="8.33203125" style="178" customWidth="1"/>
    <col min="14" max="14" width="12.6640625" style="178" customWidth="1"/>
    <col min="15" max="16" width="8.33203125" style="178" customWidth="1"/>
    <col min="17" max="17" width="12.6640625" style="178" customWidth="1"/>
    <col min="18" max="16384" width="9.109375" style="178"/>
  </cols>
  <sheetData>
    <row r="1" spans="1:17" ht="18" x14ac:dyDescent="0.25">
      <c r="A1" s="633" t="s">
        <v>67</v>
      </c>
      <c r="B1" s="633"/>
      <c r="C1" s="633"/>
      <c r="D1" s="633"/>
      <c r="E1" s="633"/>
      <c r="F1" s="633"/>
      <c r="G1" s="633"/>
      <c r="H1" s="633"/>
      <c r="I1" s="633"/>
      <c r="J1" s="53" t="s">
        <v>20</v>
      </c>
      <c r="K1" s="9"/>
      <c r="L1" s="9"/>
      <c r="M1" s="9"/>
      <c r="N1" s="9"/>
      <c r="O1" s="9"/>
      <c r="P1" s="9"/>
      <c r="Q1" s="9"/>
    </row>
    <row r="2" spans="1:17" ht="15" x14ac:dyDescent="0.2">
      <c r="A2" s="634" t="str">
        <f>+'[3]B. Summ of Req.'!A2:D2</f>
        <v>Office of Justice Programs</v>
      </c>
      <c r="B2" s="634"/>
      <c r="C2" s="634"/>
      <c r="D2" s="634"/>
      <c r="E2" s="634"/>
      <c r="F2" s="634"/>
      <c r="G2" s="634"/>
      <c r="H2" s="634"/>
      <c r="I2" s="634"/>
      <c r="J2" s="53" t="s">
        <v>20</v>
      </c>
      <c r="K2" s="10"/>
      <c r="L2" s="10"/>
      <c r="M2" s="10"/>
      <c r="N2" s="10"/>
      <c r="O2" s="10"/>
      <c r="P2" s="10"/>
      <c r="Q2" s="10"/>
    </row>
    <row r="3" spans="1:17" ht="14.25" x14ac:dyDescent="0.2">
      <c r="A3" s="635" t="str">
        <f>+'[3]B. Summ of Req.'!A3:D3</f>
        <v>Crime Victims Fund</v>
      </c>
      <c r="B3" s="635"/>
      <c r="C3" s="635"/>
      <c r="D3" s="635"/>
      <c r="E3" s="635"/>
      <c r="F3" s="635"/>
      <c r="G3" s="635"/>
      <c r="H3" s="635"/>
      <c r="I3" s="635"/>
      <c r="J3" s="53" t="s">
        <v>20</v>
      </c>
      <c r="K3" s="221"/>
      <c r="L3" s="221"/>
      <c r="M3" s="221"/>
      <c r="N3" s="221"/>
      <c r="O3" s="221"/>
      <c r="P3" s="221"/>
      <c r="Q3" s="221"/>
    </row>
    <row r="4" spans="1:17" ht="14.25" x14ac:dyDescent="0.2">
      <c r="A4" s="637" t="s">
        <v>1</v>
      </c>
      <c r="B4" s="637"/>
      <c r="C4" s="637"/>
      <c r="D4" s="637"/>
      <c r="E4" s="637"/>
      <c r="F4" s="637"/>
      <c r="G4" s="637"/>
      <c r="H4" s="637"/>
      <c r="I4" s="637"/>
      <c r="J4" s="53" t="s">
        <v>20</v>
      </c>
      <c r="K4" s="11"/>
      <c r="L4" s="11"/>
      <c r="M4" s="11"/>
      <c r="N4" s="11"/>
      <c r="O4" s="11"/>
      <c r="P4" s="11"/>
      <c r="Q4" s="11"/>
    </row>
    <row r="5" spans="1:17" ht="15" thickBot="1" x14ac:dyDescent="0.25">
      <c r="A5" s="637"/>
      <c r="B5" s="637"/>
      <c r="C5" s="637"/>
      <c r="D5" s="637"/>
      <c r="E5" s="637"/>
      <c r="F5" s="637"/>
      <c r="G5" s="637"/>
      <c r="H5" s="637"/>
      <c r="I5" s="637"/>
      <c r="J5" s="53" t="s">
        <v>20</v>
      </c>
      <c r="K5" s="11"/>
      <c r="L5" s="11"/>
      <c r="M5" s="11"/>
      <c r="N5" s="11"/>
      <c r="O5" s="11"/>
      <c r="P5" s="11"/>
      <c r="Q5" s="11"/>
    </row>
    <row r="6" spans="1:17" x14ac:dyDescent="0.25">
      <c r="A6" s="638" t="s">
        <v>68</v>
      </c>
      <c r="B6" s="641" t="s">
        <v>45</v>
      </c>
      <c r="C6" s="641"/>
      <c r="D6" s="641" t="s">
        <v>420</v>
      </c>
      <c r="E6" s="641"/>
      <c r="F6" s="641" t="s">
        <v>24</v>
      </c>
      <c r="G6" s="641"/>
      <c r="H6" s="641" t="s">
        <v>46</v>
      </c>
      <c r="I6" s="642"/>
      <c r="J6" s="53" t="s">
        <v>20</v>
      </c>
    </row>
    <row r="7" spans="1:17" ht="27.6" x14ac:dyDescent="0.25">
      <c r="A7" s="639"/>
      <c r="B7" s="222" t="s">
        <v>30</v>
      </c>
      <c r="C7" s="222" t="s">
        <v>4</v>
      </c>
      <c r="D7" s="222" t="s">
        <v>30</v>
      </c>
      <c r="E7" s="222" t="s">
        <v>4</v>
      </c>
      <c r="F7" s="222" t="s">
        <v>30</v>
      </c>
      <c r="G7" s="222" t="s">
        <v>4</v>
      </c>
      <c r="H7" s="222" t="s">
        <v>30</v>
      </c>
      <c r="I7" s="223" t="s">
        <v>4</v>
      </c>
      <c r="J7" s="53" t="s">
        <v>20</v>
      </c>
    </row>
    <row r="8" spans="1:17" ht="14.25" x14ac:dyDescent="0.2">
      <c r="A8" s="232" t="s">
        <v>69</v>
      </c>
      <c r="B8" s="225">
        <v>0</v>
      </c>
      <c r="C8" s="225">
        <v>0</v>
      </c>
      <c r="D8" s="225">
        <v>0</v>
      </c>
      <c r="E8" s="225">
        <v>0</v>
      </c>
      <c r="F8" s="225">
        <v>0</v>
      </c>
      <c r="G8" s="225">
        <v>0</v>
      </c>
      <c r="H8" s="225">
        <f>F8-D8</f>
        <v>0</v>
      </c>
      <c r="I8" s="226">
        <f>G8-E8</f>
        <v>0</v>
      </c>
      <c r="J8" s="53" t="s">
        <v>20</v>
      </c>
    </row>
    <row r="9" spans="1:17" x14ac:dyDescent="0.25">
      <c r="A9" s="177" t="s">
        <v>70</v>
      </c>
      <c r="B9" s="208">
        <v>0</v>
      </c>
      <c r="C9" s="208">
        <v>0</v>
      </c>
      <c r="D9" s="208">
        <v>0</v>
      </c>
      <c r="E9" s="208">
        <v>0</v>
      </c>
      <c r="F9" s="208">
        <v>0</v>
      </c>
      <c r="G9" s="208">
        <v>0</v>
      </c>
      <c r="H9" s="208">
        <f t="shared" ref="H9:I13" si="0">F9-D9</f>
        <v>0</v>
      </c>
      <c r="I9" s="205">
        <f t="shared" si="0"/>
        <v>0</v>
      </c>
      <c r="J9" s="53" t="s">
        <v>20</v>
      </c>
    </row>
    <row r="10" spans="1:17" x14ac:dyDescent="0.25">
      <c r="A10" s="177" t="s">
        <v>146</v>
      </c>
      <c r="B10" s="208">
        <f>SUM(B11:B12)</f>
        <v>0</v>
      </c>
      <c r="C10" s="208">
        <f t="shared" ref="C10:G10" si="1">SUM(C11:C12)</f>
        <v>0</v>
      </c>
      <c r="D10" s="208">
        <f t="shared" si="1"/>
        <v>0</v>
      </c>
      <c r="E10" s="208">
        <f t="shared" si="1"/>
        <v>0</v>
      </c>
      <c r="F10" s="208">
        <f t="shared" si="1"/>
        <v>0</v>
      </c>
      <c r="G10" s="208">
        <f t="shared" si="1"/>
        <v>0</v>
      </c>
      <c r="H10" s="208">
        <f t="shared" si="0"/>
        <v>0</v>
      </c>
      <c r="I10" s="205">
        <f t="shared" si="0"/>
        <v>0</v>
      </c>
      <c r="J10" s="53" t="s">
        <v>20</v>
      </c>
    </row>
    <row r="11" spans="1:17" ht="14.4" x14ac:dyDescent="0.3">
      <c r="A11" s="60" t="s">
        <v>29</v>
      </c>
      <c r="B11" s="169">
        <v>0</v>
      </c>
      <c r="C11" s="169">
        <v>0</v>
      </c>
      <c r="D11" s="169">
        <v>0</v>
      </c>
      <c r="E11" s="169">
        <v>0</v>
      </c>
      <c r="F11" s="169">
        <v>0</v>
      </c>
      <c r="G11" s="169">
        <v>0</v>
      </c>
      <c r="H11" s="169">
        <f t="shared" si="0"/>
        <v>0</v>
      </c>
      <c r="I11" s="170">
        <f t="shared" si="0"/>
        <v>0</v>
      </c>
      <c r="J11" s="53" t="s">
        <v>20</v>
      </c>
    </row>
    <row r="12" spans="1:17" ht="14.4" x14ac:dyDescent="0.3">
      <c r="A12" s="60" t="s">
        <v>71</v>
      </c>
      <c r="B12" s="169">
        <v>0</v>
      </c>
      <c r="C12" s="169">
        <v>0</v>
      </c>
      <c r="D12" s="169">
        <v>0</v>
      </c>
      <c r="E12" s="169">
        <v>0</v>
      </c>
      <c r="F12" s="169">
        <v>0</v>
      </c>
      <c r="G12" s="169">
        <v>0</v>
      </c>
      <c r="H12" s="169">
        <f t="shared" si="0"/>
        <v>0</v>
      </c>
      <c r="I12" s="170">
        <f t="shared" si="0"/>
        <v>0</v>
      </c>
      <c r="J12" s="53" t="s">
        <v>20</v>
      </c>
    </row>
    <row r="13" spans="1:17" x14ac:dyDescent="0.25">
      <c r="A13" s="177" t="s">
        <v>72</v>
      </c>
      <c r="B13" s="230">
        <v>0</v>
      </c>
      <c r="C13" s="230">
        <v>0</v>
      </c>
      <c r="D13" s="230">
        <v>0</v>
      </c>
      <c r="E13" s="230">
        <v>0</v>
      </c>
      <c r="F13" s="230">
        <v>0</v>
      </c>
      <c r="G13" s="230">
        <v>0</v>
      </c>
      <c r="H13" s="230">
        <f t="shared" si="0"/>
        <v>0</v>
      </c>
      <c r="I13" s="231">
        <f t="shared" si="0"/>
        <v>0</v>
      </c>
      <c r="J13" s="53" t="s">
        <v>20</v>
      </c>
    </row>
    <row r="14" spans="1:17" x14ac:dyDescent="0.25">
      <c r="A14" s="62" t="s">
        <v>25</v>
      </c>
      <c r="B14" s="127">
        <f>SUM(B8:B10,B13)</f>
        <v>0</v>
      </c>
      <c r="C14" s="127">
        <f t="shared" ref="C14:I14" si="2">SUM(C8:C10,C13)</f>
        <v>0</v>
      </c>
      <c r="D14" s="127">
        <f t="shared" si="2"/>
        <v>0</v>
      </c>
      <c r="E14" s="127">
        <f t="shared" si="2"/>
        <v>0</v>
      </c>
      <c r="F14" s="127">
        <f t="shared" si="2"/>
        <v>0</v>
      </c>
      <c r="G14" s="127">
        <f t="shared" si="2"/>
        <v>0</v>
      </c>
      <c r="H14" s="127">
        <f t="shared" si="2"/>
        <v>0</v>
      </c>
      <c r="I14" s="133">
        <f t="shared" si="2"/>
        <v>0</v>
      </c>
      <c r="J14" s="53" t="s">
        <v>20</v>
      </c>
    </row>
    <row r="15" spans="1:17" x14ac:dyDescent="0.25">
      <c r="A15" s="61" t="s">
        <v>73</v>
      </c>
      <c r="B15" s="208"/>
      <c r="C15" s="208"/>
      <c r="D15" s="208"/>
      <c r="E15" s="208"/>
      <c r="F15" s="208"/>
      <c r="G15" s="208"/>
      <c r="H15" s="208"/>
      <c r="I15" s="205"/>
      <c r="J15" s="53" t="s">
        <v>20</v>
      </c>
    </row>
    <row r="16" spans="1:17" x14ac:dyDescent="0.25">
      <c r="A16" s="177" t="s">
        <v>74</v>
      </c>
      <c r="B16" s="208"/>
      <c r="C16" s="208">
        <v>0</v>
      </c>
      <c r="D16" s="208"/>
      <c r="E16" s="208">
        <v>0</v>
      </c>
      <c r="F16" s="208"/>
      <c r="G16" s="208">
        <v>0</v>
      </c>
      <c r="H16" s="208"/>
      <c r="I16" s="205">
        <f t="shared" ref="I16:I36" si="3">G16-E16</f>
        <v>0</v>
      </c>
      <c r="J16" s="53" t="s">
        <v>20</v>
      </c>
    </row>
    <row r="17" spans="1:10" x14ac:dyDescent="0.25">
      <c r="A17" s="177" t="s">
        <v>75</v>
      </c>
      <c r="B17" s="208"/>
      <c r="C17" s="208">
        <v>0</v>
      </c>
      <c r="D17" s="208"/>
      <c r="E17" s="208">
        <v>0</v>
      </c>
      <c r="F17" s="208"/>
      <c r="G17" s="208">
        <v>0</v>
      </c>
      <c r="H17" s="208"/>
      <c r="I17" s="205">
        <f t="shared" si="3"/>
        <v>0</v>
      </c>
      <c r="J17" s="53" t="s">
        <v>20</v>
      </c>
    </row>
    <row r="18" spans="1:10" x14ac:dyDescent="0.25">
      <c r="A18" s="177" t="s">
        <v>76</v>
      </c>
      <c r="B18" s="208"/>
      <c r="C18" s="208">
        <v>0</v>
      </c>
      <c r="D18" s="208"/>
      <c r="E18" s="208">
        <v>0</v>
      </c>
      <c r="F18" s="208"/>
      <c r="G18" s="208">
        <v>0</v>
      </c>
      <c r="H18" s="208"/>
      <c r="I18" s="205">
        <f t="shared" si="3"/>
        <v>0</v>
      </c>
      <c r="J18" s="53" t="s">
        <v>20</v>
      </c>
    </row>
    <row r="19" spans="1:10" x14ac:dyDescent="0.25">
      <c r="A19" s="177" t="s">
        <v>147</v>
      </c>
      <c r="B19" s="208"/>
      <c r="C19" s="208">
        <v>0</v>
      </c>
      <c r="D19" s="208"/>
      <c r="E19" s="208">
        <v>0</v>
      </c>
      <c r="F19" s="208"/>
      <c r="G19" s="208">
        <v>0</v>
      </c>
      <c r="H19" s="208"/>
      <c r="I19" s="205">
        <f t="shared" si="3"/>
        <v>0</v>
      </c>
      <c r="J19" s="53" t="s">
        <v>20</v>
      </c>
    </row>
    <row r="20" spans="1:10" x14ac:dyDescent="0.25">
      <c r="A20" s="177" t="s">
        <v>77</v>
      </c>
      <c r="B20" s="208"/>
      <c r="C20" s="208">
        <v>0</v>
      </c>
      <c r="D20" s="208"/>
      <c r="E20" s="208">
        <v>0</v>
      </c>
      <c r="F20" s="208"/>
      <c r="G20" s="208">
        <v>0</v>
      </c>
      <c r="H20" s="208"/>
      <c r="I20" s="205">
        <f t="shared" si="3"/>
        <v>0</v>
      </c>
      <c r="J20" s="53" t="s">
        <v>20</v>
      </c>
    </row>
    <row r="21" spans="1:10" x14ac:dyDescent="0.25">
      <c r="A21" s="177" t="s">
        <v>78</v>
      </c>
      <c r="B21" s="208"/>
      <c r="C21" s="208">
        <v>0</v>
      </c>
      <c r="D21" s="208"/>
      <c r="E21" s="208">
        <v>0</v>
      </c>
      <c r="F21" s="208"/>
      <c r="G21" s="208">
        <v>0</v>
      </c>
      <c r="H21" s="208"/>
      <c r="I21" s="205">
        <f t="shared" si="3"/>
        <v>0</v>
      </c>
      <c r="J21" s="53" t="s">
        <v>20</v>
      </c>
    </row>
    <row r="22" spans="1:10" x14ac:dyDescent="0.25">
      <c r="A22" s="177" t="s">
        <v>79</v>
      </c>
      <c r="B22" s="208"/>
      <c r="C22" s="208">
        <v>0</v>
      </c>
      <c r="D22" s="208"/>
      <c r="E22" s="208">
        <v>0</v>
      </c>
      <c r="F22" s="208"/>
      <c r="G22" s="208">
        <v>0</v>
      </c>
      <c r="H22" s="208"/>
      <c r="I22" s="205">
        <f t="shared" si="3"/>
        <v>0</v>
      </c>
      <c r="J22" s="53" t="s">
        <v>20</v>
      </c>
    </row>
    <row r="23" spans="1:10" x14ac:dyDescent="0.25">
      <c r="A23" s="177" t="s">
        <v>80</v>
      </c>
      <c r="B23" s="208"/>
      <c r="C23" s="208">
        <v>76</v>
      </c>
      <c r="D23" s="208"/>
      <c r="E23" s="208">
        <v>1000</v>
      </c>
      <c r="F23" s="208"/>
      <c r="G23" s="208">
        <v>1000</v>
      </c>
      <c r="H23" s="208"/>
      <c r="I23" s="205">
        <f t="shared" si="3"/>
        <v>0</v>
      </c>
      <c r="J23" s="53" t="s">
        <v>20</v>
      </c>
    </row>
    <row r="24" spans="1:10" x14ac:dyDescent="0.25">
      <c r="A24" s="177" t="s">
        <v>81</v>
      </c>
      <c r="B24" s="208"/>
      <c r="C24" s="208">
        <v>51089</v>
      </c>
      <c r="D24" s="208"/>
      <c r="E24" s="208">
        <v>34000</v>
      </c>
      <c r="F24" s="208"/>
      <c r="G24" s="208">
        <v>34000</v>
      </c>
      <c r="H24" s="208"/>
      <c r="I24" s="205">
        <f t="shared" si="3"/>
        <v>0</v>
      </c>
      <c r="J24" s="53" t="s">
        <v>20</v>
      </c>
    </row>
    <row r="25" spans="1:10" x14ac:dyDescent="0.25">
      <c r="A25" s="177" t="s">
        <v>82</v>
      </c>
      <c r="B25" s="208"/>
      <c r="C25" s="208">
        <v>7807</v>
      </c>
      <c r="D25" s="208"/>
      <c r="E25" s="208">
        <v>17000</v>
      </c>
      <c r="F25" s="208"/>
      <c r="G25" s="208">
        <v>17000</v>
      </c>
      <c r="H25" s="208"/>
      <c r="I25" s="205">
        <f t="shared" si="3"/>
        <v>0</v>
      </c>
      <c r="J25" s="53" t="s">
        <v>20</v>
      </c>
    </row>
    <row r="26" spans="1:10" x14ac:dyDescent="0.25">
      <c r="A26" s="177" t="s">
        <v>83</v>
      </c>
      <c r="B26" s="208"/>
      <c r="C26" s="208">
        <v>57015</v>
      </c>
      <c r="D26" s="208"/>
      <c r="E26" s="208">
        <v>56000</v>
      </c>
      <c r="F26" s="208"/>
      <c r="G26" s="208">
        <v>56000</v>
      </c>
      <c r="H26" s="208"/>
      <c r="I26" s="205">
        <f t="shared" si="3"/>
        <v>0</v>
      </c>
      <c r="J26" s="53" t="s">
        <v>20</v>
      </c>
    </row>
    <row r="27" spans="1:10" x14ac:dyDescent="0.25">
      <c r="A27" s="177" t="s">
        <v>84</v>
      </c>
      <c r="B27" s="208"/>
      <c r="C27" s="208">
        <v>0</v>
      </c>
      <c r="D27" s="208"/>
      <c r="E27" s="208">
        <v>0</v>
      </c>
      <c r="F27" s="208"/>
      <c r="G27" s="208">
        <f t="shared" ref="G27:G34" si="4">((E27/$E$37)*95000)+E27</f>
        <v>0</v>
      </c>
      <c r="H27" s="208"/>
      <c r="I27" s="205">
        <f t="shared" si="3"/>
        <v>0</v>
      </c>
      <c r="J27" s="53" t="s">
        <v>20</v>
      </c>
    </row>
    <row r="28" spans="1:10" x14ac:dyDescent="0.25">
      <c r="A28" s="177" t="s">
        <v>85</v>
      </c>
      <c r="B28" s="208"/>
      <c r="C28" s="208">
        <v>0</v>
      </c>
      <c r="D28" s="208"/>
      <c r="E28" s="208">
        <v>0</v>
      </c>
      <c r="F28" s="208"/>
      <c r="G28" s="208">
        <f t="shared" si="4"/>
        <v>0</v>
      </c>
      <c r="H28" s="208"/>
      <c r="I28" s="205">
        <f t="shared" si="3"/>
        <v>0</v>
      </c>
      <c r="J28" s="53" t="s">
        <v>20</v>
      </c>
    </row>
    <row r="29" spans="1:10" x14ac:dyDescent="0.25">
      <c r="A29" s="177" t="s">
        <v>34</v>
      </c>
      <c r="B29" s="208"/>
      <c r="C29" s="208">
        <v>0</v>
      </c>
      <c r="D29" s="208"/>
      <c r="E29" s="208">
        <v>0</v>
      </c>
      <c r="F29" s="208"/>
      <c r="G29" s="208">
        <f t="shared" si="4"/>
        <v>0</v>
      </c>
      <c r="H29" s="208"/>
      <c r="I29" s="205">
        <f t="shared" si="3"/>
        <v>0</v>
      </c>
      <c r="J29" s="53" t="s">
        <v>20</v>
      </c>
    </row>
    <row r="30" spans="1:10" x14ac:dyDescent="0.25">
      <c r="A30" s="177" t="s">
        <v>86</v>
      </c>
      <c r="B30" s="208"/>
      <c r="C30" s="208">
        <v>358</v>
      </c>
      <c r="D30" s="208"/>
      <c r="E30" s="208">
        <v>0</v>
      </c>
      <c r="F30" s="208"/>
      <c r="G30" s="208">
        <f t="shared" si="4"/>
        <v>0</v>
      </c>
      <c r="H30" s="208"/>
      <c r="I30" s="205">
        <f t="shared" si="3"/>
        <v>0</v>
      </c>
      <c r="J30" s="53" t="s">
        <v>20</v>
      </c>
    </row>
    <row r="31" spans="1:10" x14ac:dyDescent="0.25">
      <c r="A31" s="177" t="s">
        <v>87</v>
      </c>
      <c r="B31" s="208"/>
      <c r="C31" s="208">
        <v>0</v>
      </c>
      <c r="D31" s="208"/>
      <c r="E31" s="208">
        <v>0</v>
      </c>
      <c r="F31" s="208"/>
      <c r="G31" s="208">
        <f t="shared" si="4"/>
        <v>0</v>
      </c>
      <c r="H31" s="208"/>
      <c r="I31" s="205">
        <f t="shared" si="3"/>
        <v>0</v>
      </c>
      <c r="J31" s="53" t="s">
        <v>20</v>
      </c>
    </row>
    <row r="32" spans="1:10" x14ac:dyDescent="0.25">
      <c r="A32" s="177" t="s">
        <v>88</v>
      </c>
      <c r="B32" s="208"/>
      <c r="C32" s="208">
        <v>0</v>
      </c>
      <c r="D32" s="208"/>
      <c r="E32" s="208">
        <v>0</v>
      </c>
      <c r="F32" s="208"/>
      <c r="G32" s="208">
        <f t="shared" si="4"/>
        <v>0</v>
      </c>
      <c r="H32" s="208"/>
      <c r="I32" s="205">
        <f t="shared" si="3"/>
        <v>0</v>
      </c>
      <c r="J32" s="53" t="s">
        <v>20</v>
      </c>
    </row>
    <row r="33" spans="1:10" x14ac:dyDescent="0.25">
      <c r="A33" s="177" t="s">
        <v>89</v>
      </c>
      <c r="B33" s="208"/>
      <c r="C33" s="208">
        <v>0</v>
      </c>
      <c r="D33" s="208"/>
      <c r="E33" s="208">
        <v>0</v>
      </c>
      <c r="F33" s="208"/>
      <c r="G33" s="208">
        <f t="shared" si="4"/>
        <v>0</v>
      </c>
      <c r="H33" s="208"/>
      <c r="I33" s="205">
        <f t="shared" si="3"/>
        <v>0</v>
      </c>
      <c r="J33" s="53" t="s">
        <v>20</v>
      </c>
    </row>
    <row r="34" spans="1:10" x14ac:dyDescent="0.25">
      <c r="A34" s="177" t="s">
        <v>90</v>
      </c>
      <c r="B34" s="208"/>
      <c r="C34" s="208">
        <v>0</v>
      </c>
      <c r="D34" s="208"/>
      <c r="E34" s="208">
        <v>0</v>
      </c>
      <c r="F34" s="208"/>
      <c r="G34" s="208">
        <f t="shared" si="4"/>
        <v>0</v>
      </c>
      <c r="H34" s="208"/>
      <c r="I34" s="205">
        <f t="shared" si="3"/>
        <v>0</v>
      </c>
      <c r="J34" s="53" t="s">
        <v>20</v>
      </c>
    </row>
    <row r="35" spans="1:10" x14ac:dyDescent="0.25">
      <c r="A35" s="177" t="s">
        <v>91</v>
      </c>
      <c r="B35" s="208"/>
      <c r="C35" s="208">
        <v>594895</v>
      </c>
      <c r="D35" s="208"/>
      <c r="E35" s="208">
        <v>596000</v>
      </c>
      <c r="F35" s="208"/>
      <c r="G35" s="208">
        <v>691000</v>
      </c>
      <c r="H35" s="208"/>
      <c r="I35" s="205">
        <f t="shared" si="3"/>
        <v>95000</v>
      </c>
      <c r="J35" s="53" t="s">
        <v>20</v>
      </c>
    </row>
    <row r="36" spans="1:10" x14ac:dyDescent="0.25">
      <c r="A36" s="177" t="s">
        <v>92</v>
      </c>
      <c r="B36" s="208"/>
      <c r="C36" s="208">
        <v>664</v>
      </c>
      <c r="D36" s="208"/>
      <c r="E36" s="208">
        <v>1000</v>
      </c>
      <c r="F36" s="208"/>
      <c r="G36" s="208">
        <v>1000</v>
      </c>
      <c r="H36" s="208"/>
      <c r="I36" s="205">
        <f t="shared" si="3"/>
        <v>0</v>
      </c>
      <c r="J36" s="53" t="s">
        <v>20</v>
      </c>
    </row>
    <row r="37" spans="1:10" x14ac:dyDescent="0.25">
      <c r="A37" s="62" t="s">
        <v>93</v>
      </c>
      <c r="B37" s="70"/>
      <c r="C37" s="70">
        <f>SUM(C14:C36)</f>
        <v>711904</v>
      </c>
      <c r="D37" s="70"/>
      <c r="E37" s="70">
        <f t="shared" ref="E37:I37" si="5">SUM(E14:E36)</f>
        <v>705000</v>
      </c>
      <c r="F37" s="70"/>
      <c r="G37" s="70">
        <f t="shared" si="5"/>
        <v>800000</v>
      </c>
      <c r="H37" s="70"/>
      <c r="I37" s="73">
        <f t="shared" si="5"/>
        <v>95000</v>
      </c>
      <c r="J37" s="53" t="s">
        <v>20</v>
      </c>
    </row>
    <row r="38" spans="1:10" x14ac:dyDescent="0.25">
      <c r="A38" s="177" t="s">
        <v>462</v>
      </c>
      <c r="B38" s="208"/>
      <c r="C38" s="290">
        <v>-50000</v>
      </c>
      <c r="D38" s="208"/>
      <c r="E38" s="290">
        <v>-50000</v>
      </c>
      <c r="F38" s="208"/>
      <c r="G38" s="208">
        <v>0</v>
      </c>
      <c r="H38" s="208"/>
      <c r="I38" s="205">
        <f>G38-E38</f>
        <v>50000</v>
      </c>
      <c r="J38" s="53" t="s">
        <v>20</v>
      </c>
    </row>
    <row r="39" spans="1:10" x14ac:dyDescent="0.25">
      <c r="A39" s="177" t="s">
        <v>478</v>
      </c>
      <c r="B39" s="208"/>
      <c r="C39" s="208">
        <v>43096</v>
      </c>
      <c r="D39" s="208"/>
      <c r="E39" s="208">
        <v>0</v>
      </c>
      <c r="F39" s="208"/>
      <c r="G39" s="208">
        <v>0</v>
      </c>
      <c r="H39" s="208"/>
      <c r="I39" s="205">
        <f t="shared" ref="I39:I41" si="6">G39-E39</f>
        <v>0</v>
      </c>
      <c r="J39" s="53" t="s">
        <v>20</v>
      </c>
    </row>
    <row r="40" spans="1:10" x14ac:dyDescent="0.25">
      <c r="A40" s="177" t="s">
        <v>139</v>
      </c>
      <c r="B40" s="208"/>
      <c r="C40" s="208">
        <v>0</v>
      </c>
      <c r="D40" s="208"/>
      <c r="E40" s="208">
        <v>0</v>
      </c>
      <c r="F40" s="208"/>
      <c r="G40" s="208">
        <v>0</v>
      </c>
      <c r="H40" s="208"/>
      <c r="I40" s="205">
        <f t="shared" si="6"/>
        <v>0</v>
      </c>
      <c r="J40" s="53" t="s">
        <v>20</v>
      </c>
    </row>
    <row r="41" spans="1:10" x14ac:dyDescent="0.25">
      <c r="A41" s="177" t="s">
        <v>465</v>
      </c>
      <c r="B41" s="208"/>
      <c r="C41" s="208">
        <v>50000</v>
      </c>
      <c r="D41" s="208"/>
      <c r="E41" s="208">
        <v>50000</v>
      </c>
      <c r="F41" s="208"/>
      <c r="G41" s="208">
        <v>0</v>
      </c>
      <c r="H41" s="208"/>
      <c r="I41" s="205">
        <f t="shared" si="6"/>
        <v>-50000</v>
      </c>
      <c r="J41" s="53" t="s">
        <v>20</v>
      </c>
    </row>
    <row r="42" spans="1:10" ht="14.4" thickBot="1" x14ac:dyDescent="0.3">
      <c r="A42" s="63" t="s">
        <v>94</v>
      </c>
      <c r="B42" s="171">
        <f t="shared" ref="B42:I42" si="7">SUM(B37:B41)</f>
        <v>0</v>
      </c>
      <c r="C42" s="171">
        <f t="shared" si="7"/>
        <v>755000</v>
      </c>
      <c r="D42" s="171">
        <f t="shared" si="7"/>
        <v>0</v>
      </c>
      <c r="E42" s="171">
        <f t="shared" si="7"/>
        <v>705000</v>
      </c>
      <c r="F42" s="171">
        <f t="shared" si="7"/>
        <v>0</v>
      </c>
      <c r="G42" s="171">
        <f t="shared" si="7"/>
        <v>800000</v>
      </c>
      <c r="H42" s="171">
        <f t="shared" si="7"/>
        <v>0</v>
      </c>
      <c r="I42" s="172">
        <f t="shared" si="7"/>
        <v>95000</v>
      </c>
      <c r="J42" s="53" t="s">
        <v>20</v>
      </c>
    </row>
    <row r="43" spans="1:10" x14ac:dyDescent="0.25">
      <c r="A43" s="279" t="s">
        <v>26</v>
      </c>
      <c r="B43" s="280"/>
      <c r="C43" s="280"/>
      <c r="D43" s="280"/>
      <c r="E43" s="280"/>
      <c r="F43" s="280"/>
      <c r="G43" s="280"/>
      <c r="H43" s="280"/>
      <c r="I43" s="281"/>
      <c r="J43" s="53" t="s">
        <v>20</v>
      </c>
    </row>
    <row r="44" spans="1:10" x14ac:dyDescent="0.25">
      <c r="A44" s="177" t="s">
        <v>95</v>
      </c>
      <c r="B44" s="208">
        <v>0</v>
      </c>
      <c r="C44" s="208"/>
      <c r="D44" s="208">
        <v>0</v>
      </c>
      <c r="E44" s="208"/>
      <c r="F44" s="208">
        <v>0</v>
      </c>
      <c r="G44" s="208"/>
      <c r="H44" s="208">
        <f>F44-D44</f>
        <v>0</v>
      </c>
      <c r="I44" s="205"/>
      <c r="J44" s="53" t="s">
        <v>20</v>
      </c>
    </row>
    <row r="45" spans="1:10" x14ac:dyDescent="0.25">
      <c r="A45" s="177"/>
      <c r="B45" s="208"/>
      <c r="C45" s="208"/>
      <c r="D45" s="208"/>
      <c r="E45" s="208"/>
      <c r="F45" s="208"/>
      <c r="G45" s="208"/>
      <c r="H45" s="208"/>
      <c r="I45" s="205"/>
      <c r="J45" s="53" t="s">
        <v>20</v>
      </c>
    </row>
    <row r="46" spans="1:10" x14ac:dyDescent="0.25">
      <c r="A46" s="177" t="s">
        <v>96</v>
      </c>
      <c r="B46" s="208"/>
      <c r="C46" s="208">
        <v>0</v>
      </c>
      <c r="D46" s="208"/>
      <c r="E46" s="208">
        <v>0</v>
      </c>
      <c r="F46" s="208"/>
      <c r="G46" s="208">
        <v>0</v>
      </c>
      <c r="H46" s="208"/>
      <c r="I46" s="205">
        <f t="shared" ref="I46:I47" si="8">G46-E46</f>
        <v>0</v>
      </c>
      <c r="J46" s="53" t="s">
        <v>20</v>
      </c>
    </row>
    <row r="47" spans="1:10" ht="14.4" thickBot="1" x14ac:dyDescent="0.3">
      <c r="A47" s="282" t="s">
        <v>97</v>
      </c>
      <c r="B47" s="283"/>
      <c r="C47" s="283">
        <v>0</v>
      </c>
      <c r="D47" s="283"/>
      <c r="E47" s="283">
        <v>0</v>
      </c>
      <c r="F47" s="283"/>
      <c r="G47" s="283">
        <v>0</v>
      </c>
      <c r="H47" s="283"/>
      <c r="I47" s="284">
        <f t="shared" si="8"/>
        <v>0</v>
      </c>
      <c r="J47" s="53" t="s">
        <v>20</v>
      </c>
    </row>
    <row r="48" spans="1:10" x14ac:dyDescent="0.25">
      <c r="J48" s="53" t="s">
        <v>20</v>
      </c>
    </row>
    <row r="49" spans="1:10" x14ac:dyDescent="0.25">
      <c r="A49" s="331" t="s">
        <v>271</v>
      </c>
      <c r="J49" s="7" t="s">
        <v>21</v>
      </c>
    </row>
    <row r="51" spans="1:10" x14ac:dyDescent="0.25">
      <c r="C51" s="199"/>
      <c r="G51" s="479"/>
    </row>
    <row r="52" spans="1:10" x14ac:dyDescent="0.25">
      <c r="E52" s="199"/>
      <c r="F52" s="480"/>
      <c r="G52" s="199"/>
      <c r="H52" s="199"/>
    </row>
    <row r="53" spans="1:10" x14ac:dyDescent="0.25">
      <c r="E53" s="199"/>
      <c r="F53" s="480"/>
      <c r="G53" s="199"/>
      <c r="H53" s="199"/>
    </row>
    <row r="54" spans="1:10" x14ac:dyDescent="0.25">
      <c r="E54" s="199"/>
      <c r="F54" s="480"/>
      <c r="G54" s="199"/>
      <c r="H54" s="199"/>
    </row>
    <row r="55" spans="1:10" x14ac:dyDescent="0.25">
      <c r="E55" s="199"/>
      <c r="F55" s="480"/>
      <c r="G55" s="199"/>
      <c r="H55" s="199"/>
    </row>
    <row r="56" spans="1:10" x14ac:dyDescent="0.25">
      <c r="E56" s="199"/>
      <c r="F56" s="480"/>
      <c r="G56" s="199"/>
      <c r="H56" s="199"/>
    </row>
    <row r="57" spans="1:10" x14ac:dyDescent="0.25">
      <c r="E57" s="199"/>
      <c r="F57" s="480"/>
      <c r="G57" s="199"/>
      <c r="H57" s="199"/>
    </row>
    <row r="58" spans="1:10" x14ac:dyDescent="0.25">
      <c r="E58" s="199"/>
      <c r="F58" s="480"/>
      <c r="G58" s="199"/>
      <c r="H58" s="199"/>
    </row>
    <row r="59" spans="1:10" x14ac:dyDescent="0.25">
      <c r="C59" s="199"/>
      <c r="E59" s="479"/>
      <c r="F59" s="481"/>
      <c r="G59" s="479"/>
      <c r="H59" s="479"/>
      <c r="I59" s="8"/>
    </row>
    <row r="60" spans="1:10" x14ac:dyDescent="0.25">
      <c r="E60" s="199"/>
      <c r="H60" s="199"/>
    </row>
    <row r="61" spans="1:10" x14ac:dyDescent="0.25">
      <c r="G61" s="199"/>
    </row>
  </sheetData>
  <customSheetViews>
    <customSheetView guid="{5B2D5037-506A-47D5-AF28-C337BC9133BD}" scale="90" showPageBreaks="1" printArea="1" view="pageBreakPreview">
      <selection activeCell="D38" sqref="D38"/>
      <pageMargins left="0.6" right="0.6" top="0.56999999999999995" bottom="0.55000000000000004" header="0.3" footer="0.3"/>
      <printOptions horizontalCentered="1"/>
      <pageSetup scale="70" orientation="landscape" r:id="rId1"/>
      <headerFooter>
        <oddHeader>&amp;L&amp;"Arial,Bold"&amp;12L. Summary of Requirements by Object Class</oddHeader>
        <oddFooter>&amp;C&amp;"Arial,Regular"Exhibit L - Summary of Requirements by Object Class&amp;RCrime Victims Fund</oddFooter>
      </headerFooter>
    </customSheetView>
    <customSheetView guid="{08380F1E-0CB7-4B3B-924E-2A270EA8DD30}" scale="90" showPageBreaks="1" printArea="1" view="pageBreakPreview" topLeftCell="A28">
      <selection activeCell="A13" sqref="A13"/>
      <pageMargins left="0.6" right="0.6" top="0.56999999999999995" bottom="0.55000000000000004" header="0.3" footer="0.3"/>
      <printOptions horizontalCentered="1"/>
      <pageSetup scale="70" orientation="landscape" r:id="rId2"/>
      <headerFooter>
        <oddHeader>&amp;L&amp;"Arial,Bold"&amp;12L. Summary of Requirements by Object Class</oddHeader>
        <oddFooter>&amp;C&amp;"Arial,Regular"Exhibit L - Summary of Requirements by Object Class&amp;RCrime Victims Fund</oddFooter>
      </headerFooter>
    </customSheetView>
    <customSheetView guid="{D19943A8-2C2A-430A-A724-8C7C332697C8}" scale="90" showPageBreaks="1" printArea="1" view="pageBreakPreview" topLeftCell="A28">
      <selection activeCell="A13" sqref="A13"/>
      <pageMargins left="0.6" right="0.6" top="0.56999999999999995" bottom="0.55000000000000004" header="0.3" footer="0.3"/>
      <printOptions horizontalCentered="1"/>
      <pageSetup scale="70" orientation="landscape" r:id="rId3"/>
      <headerFooter>
        <oddHeader>&amp;L&amp;"Arial,Bold"&amp;12L. Summary of Requirements by Object Class</oddHeader>
        <oddFooter>&amp;C&amp;"Arial,Regular"Exhibit L - Summary of Requirements by Object Class&amp;RCrime Victims Fund</oddFooter>
      </headerFooter>
    </customSheetView>
    <customSheetView guid="{C6D68C6D-939C-4DFA-9385-A3F05DFB5EDA}" scale="90" showPageBreaks="1" printArea="1" view="pageBreakPreview" topLeftCell="A10">
      <selection activeCell="A45" sqref="A45"/>
      <pageMargins left="0.6" right="0.6" top="0.56999999999999995" bottom="0.55000000000000004" header="0.3" footer="0.3"/>
      <printOptions horizontalCentered="1"/>
      <pageSetup scale="70" orientation="landscape" r:id="rId4"/>
      <headerFooter>
        <oddHeader>&amp;L&amp;"Arial,Bold"&amp;12L. Summary of Requirements by Object Class</oddHeader>
        <oddFooter>&amp;C&amp;"Arial,Regular"Exhibit L - Summary of Requirements by Object Class&amp;RCrime Victims Fund</oddFooter>
      </headerFooter>
    </customSheetView>
  </customSheetViews>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0" orientation="landscape" r:id="rId5"/>
  <headerFooter>
    <oddHeader>&amp;L&amp;"Arial,Bold"&amp;12L. Summary of Requirements by Object Class</oddHeader>
    <oddFooter>&amp;C&amp;"Arial,Regular"Exhibit L - Summary of Requirements by Object Class&amp;RCrime Victims Fund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topLeftCell="A37" zoomScale="90" zoomScaleNormal="100" zoomScaleSheetLayoutView="90" workbookViewId="0">
      <selection activeCell="F35" sqref="F35"/>
    </sheetView>
  </sheetViews>
  <sheetFormatPr defaultColWidth="8.88671875" defaultRowHeight="15" x14ac:dyDescent="0.25"/>
  <cols>
    <col min="1" max="6" width="8.88671875" style="499"/>
    <col min="7" max="7" width="26.33203125" style="499" customWidth="1"/>
    <col min="8" max="8" width="8.88671875" style="499"/>
    <col min="9" max="9" width="8.88671875" style="500"/>
    <col min="10" max="16384" width="8.88671875" style="499"/>
  </cols>
  <sheetData>
    <row r="1" spans="1:11" ht="15.6" x14ac:dyDescent="0.3">
      <c r="A1" s="498" t="s">
        <v>491</v>
      </c>
      <c r="K1" s="500" t="s">
        <v>20</v>
      </c>
    </row>
    <row r="2" spans="1:11" ht="15.6" x14ac:dyDescent="0.3">
      <c r="A2" s="501"/>
      <c r="K2" s="500" t="s">
        <v>20</v>
      </c>
    </row>
    <row r="3" spans="1:11" ht="20.399999999999999" x14ac:dyDescent="0.35">
      <c r="A3" s="502"/>
      <c r="B3" s="503"/>
      <c r="C3" s="503"/>
      <c r="D3" s="503"/>
      <c r="E3" s="503"/>
      <c r="F3" s="503"/>
      <c r="G3" s="503"/>
      <c r="H3" s="503"/>
      <c r="I3" s="503"/>
      <c r="J3" s="503"/>
      <c r="K3" s="500" t="s">
        <v>20</v>
      </c>
    </row>
    <row r="4" spans="1:11" ht="20.399999999999999" x14ac:dyDescent="0.35">
      <c r="A4" s="502"/>
      <c r="B4" s="503"/>
      <c r="C4" s="503"/>
      <c r="D4" s="503"/>
      <c r="E4" s="503"/>
      <c r="F4" s="503"/>
      <c r="G4" s="503"/>
      <c r="H4" s="503"/>
      <c r="I4" s="503"/>
      <c r="J4" s="503"/>
      <c r="K4" s="500" t="s">
        <v>20</v>
      </c>
    </row>
    <row r="5" spans="1:11" ht="20.399999999999999" x14ac:dyDescent="0.35">
      <c r="A5" s="764" t="str">
        <f>'[5]B. Summ of Reqs - S&amp;E-M&amp;A '!A5:X5</f>
        <v>Office of Justice Programs</v>
      </c>
      <c r="B5" s="765"/>
      <c r="C5" s="765"/>
      <c r="D5" s="765"/>
      <c r="E5" s="765"/>
      <c r="F5" s="765"/>
      <c r="G5" s="765"/>
      <c r="H5" s="765"/>
      <c r="I5" s="765"/>
      <c r="J5" s="765"/>
      <c r="K5" s="500" t="s">
        <v>20</v>
      </c>
    </row>
    <row r="6" spans="1:11" x14ac:dyDescent="0.25">
      <c r="A6" s="503"/>
      <c r="B6" s="503"/>
      <c r="C6" s="503"/>
      <c r="D6" s="503"/>
      <c r="E6" s="503"/>
      <c r="F6" s="503"/>
      <c r="G6" s="503"/>
      <c r="H6" s="503"/>
      <c r="I6" s="503"/>
      <c r="J6" s="503"/>
      <c r="K6" s="500" t="s">
        <v>20</v>
      </c>
    </row>
    <row r="7" spans="1:11" ht="15.6" x14ac:dyDescent="0.3">
      <c r="A7" s="766" t="s">
        <v>1</v>
      </c>
      <c r="B7" s="767"/>
      <c r="C7" s="767"/>
      <c r="D7" s="767"/>
      <c r="E7" s="767"/>
      <c r="F7" s="767"/>
      <c r="G7" s="767"/>
      <c r="H7" s="767"/>
      <c r="I7" s="767"/>
      <c r="J7" s="767"/>
      <c r="K7" s="500" t="s">
        <v>20</v>
      </c>
    </row>
    <row r="8" spans="1:11" x14ac:dyDescent="0.25">
      <c r="A8" s="504"/>
      <c r="B8" s="504"/>
      <c r="C8" s="504"/>
      <c r="D8" s="504"/>
      <c r="E8" s="504"/>
      <c r="F8" s="504"/>
      <c r="G8" s="504"/>
      <c r="H8" s="504"/>
      <c r="I8" s="504"/>
      <c r="J8" s="504"/>
      <c r="K8" s="500" t="s">
        <v>20</v>
      </c>
    </row>
    <row r="9" spans="1:11" ht="15.6" x14ac:dyDescent="0.3">
      <c r="A9" s="505"/>
      <c r="B9" s="505"/>
      <c r="C9" s="505"/>
      <c r="D9" s="505"/>
      <c r="E9" s="506"/>
      <c r="F9" s="506"/>
      <c r="G9" s="506"/>
      <c r="H9" s="506"/>
      <c r="I9" s="506"/>
      <c r="J9" s="505"/>
      <c r="K9" s="500" t="s">
        <v>20</v>
      </c>
    </row>
    <row r="10" spans="1:11" ht="15.6" x14ac:dyDescent="0.3">
      <c r="A10" s="768" t="s">
        <v>492</v>
      </c>
      <c r="B10" s="768"/>
      <c r="C10" s="768"/>
      <c r="D10" s="768"/>
      <c r="E10" s="768"/>
      <c r="F10" s="768"/>
      <c r="G10" s="768"/>
      <c r="H10" s="768"/>
      <c r="I10" s="768"/>
      <c r="J10" s="768"/>
      <c r="K10" s="500" t="s">
        <v>20</v>
      </c>
    </row>
    <row r="11" spans="1:11" ht="20.399999999999999" x14ac:dyDescent="0.35">
      <c r="A11" s="507"/>
      <c r="B11" s="505"/>
      <c r="C11" s="505"/>
      <c r="D11" s="505"/>
      <c r="E11" s="505"/>
      <c r="F11" s="505"/>
      <c r="G11" s="505"/>
      <c r="H11" s="505"/>
      <c r="I11" s="505"/>
      <c r="J11" s="505"/>
      <c r="K11" s="500" t="s">
        <v>20</v>
      </c>
    </row>
    <row r="12" spans="1:11" ht="21.75" customHeight="1" x14ac:dyDescent="0.25">
      <c r="A12" s="761" t="s">
        <v>493</v>
      </c>
      <c r="B12" s="761"/>
      <c r="C12" s="761"/>
      <c r="D12" s="761"/>
      <c r="E12" s="761"/>
      <c r="F12" s="761"/>
      <c r="G12" s="761"/>
      <c r="H12" s="761"/>
      <c r="I12" s="761"/>
      <c r="J12" s="761"/>
      <c r="K12" s="500" t="s">
        <v>20</v>
      </c>
    </row>
    <row r="13" spans="1:11" x14ac:dyDescent="0.25">
      <c r="A13" s="761"/>
      <c r="B13" s="761"/>
      <c r="C13" s="761"/>
      <c r="D13" s="761"/>
      <c r="E13" s="761"/>
      <c r="F13" s="761"/>
      <c r="G13" s="761"/>
      <c r="H13" s="761"/>
      <c r="I13" s="761"/>
      <c r="J13" s="761"/>
      <c r="K13" s="500" t="s">
        <v>20</v>
      </c>
    </row>
    <row r="14" spans="1:11" ht="54" customHeight="1" x14ac:dyDescent="0.25">
      <c r="A14" s="761"/>
      <c r="B14" s="761"/>
      <c r="C14" s="761"/>
      <c r="D14" s="761"/>
      <c r="E14" s="761"/>
      <c r="F14" s="761"/>
      <c r="G14" s="761"/>
      <c r="H14" s="761"/>
      <c r="I14" s="761"/>
      <c r="J14" s="761"/>
      <c r="K14" s="500" t="s">
        <v>20</v>
      </c>
    </row>
    <row r="15" spans="1:11" ht="19.5" customHeight="1" x14ac:dyDescent="0.25">
      <c r="A15" s="757" t="s">
        <v>494</v>
      </c>
      <c r="B15" s="757"/>
      <c r="C15" s="757"/>
      <c r="D15" s="757"/>
      <c r="E15" s="757"/>
      <c r="F15" s="757"/>
      <c r="G15" s="757"/>
      <c r="H15" s="757"/>
      <c r="I15" s="757"/>
      <c r="J15" s="757"/>
      <c r="K15" s="500" t="s">
        <v>20</v>
      </c>
    </row>
    <row r="16" spans="1:11" ht="15.75" customHeight="1" x14ac:dyDescent="0.25">
      <c r="A16" s="508"/>
      <c r="B16" s="508"/>
      <c r="C16" s="508"/>
      <c r="D16" s="508"/>
      <c r="E16" s="508"/>
      <c r="F16" s="508"/>
      <c r="G16" s="508"/>
      <c r="H16" s="508"/>
      <c r="I16" s="508"/>
      <c r="J16" s="508"/>
      <c r="K16" s="500" t="s">
        <v>20</v>
      </c>
    </row>
    <row r="17" spans="1:11" ht="18.75" customHeight="1" x14ac:dyDescent="0.25">
      <c r="A17" s="761" t="s">
        <v>495</v>
      </c>
      <c r="B17" s="761"/>
      <c r="C17" s="761"/>
      <c r="D17" s="761"/>
      <c r="E17" s="761"/>
      <c r="F17" s="761"/>
      <c r="G17" s="761"/>
      <c r="H17" s="761"/>
      <c r="I17" s="761"/>
      <c r="J17" s="761"/>
      <c r="K17" s="500" t="s">
        <v>20</v>
      </c>
    </row>
    <row r="18" spans="1:11" x14ac:dyDescent="0.25">
      <c r="A18" s="761"/>
      <c r="B18" s="761"/>
      <c r="C18" s="761"/>
      <c r="D18" s="761"/>
      <c r="E18" s="761"/>
      <c r="F18" s="761"/>
      <c r="G18" s="761"/>
      <c r="H18" s="761"/>
      <c r="I18" s="761"/>
      <c r="J18" s="761"/>
      <c r="K18" s="500" t="s">
        <v>20</v>
      </c>
    </row>
    <row r="19" spans="1:11" ht="36.75" customHeight="1" x14ac:dyDescent="0.25">
      <c r="A19" s="761"/>
      <c r="B19" s="761"/>
      <c r="C19" s="761"/>
      <c r="D19" s="761"/>
      <c r="E19" s="761"/>
      <c r="F19" s="761"/>
      <c r="G19" s="761"/>
      <c r="H19" s="761"/>
      <c r="I19" s="761"/>
      <c r="J19" s="761"/>
      <c r="K19" s="500" t="s">
        <v>20</v>
      </c>
    </row>
    <row r="20" spans="1:11" ht="21" customHeight="1" x14ac:dyDescent="0.25">
      <c r="A20" s="760" t="s">
        <v>496</v>
      </c>
      <c r="B20" s="760"/>
      <c r="C20" s="760"/>
      <c r="D20" s="760"/>
      <c r="E20" s="760"/>
      <c r="F20" s="760"/>
      <c r="G20" s="760"/>
      <c r="H20" s="760"/>
      <c r="I20" s="760"/>
      <c r="J20" s="760"/>
      <c r="K20" s="500" t="s">
        <v>20</v>
      </c>
    </row>
    <row r="21" spans="1:11" ht="15.75" customHeight="1" x14ac:dyDescent="0.25">
      <c r="A21" s="509"/>
      <c r="B21" s="509"/>
      <c r="C21" s="509"/>
      <c r="D21" s="509"/>
      <c r="E21" s="509"/>
      <c r="F21" s="509"/>
      <c r="G21" s="509"/>
      <c r="H21" s="509"/>
      <c r="I21" s="509"/>
      <c r="J21" s="509"/>
      <c r="K21" s="500" t="s">
        <v>20</v>
      </c>
    </row>
    <row r="22" spans="1:11" ht="23.25" customHeight="1" x14ac:dyDescent="0.25">
      <c r="A22" s="761" t="s">
        <v>497</v>
      </c>
      <c r="B22" s="761"/>
      <c r="C22" s="761"/>
      <c r="D22" s="761"/>
      <c r="E22" s="761"/>
      <c r="F22" s="761"/>
      <c r="G22" s="761"/>
      <c r="H22" s="761"/>
      <c r="I22" s="761"/>
      <c r="J22" s="761"/>
      <c r="K22" s="500" t="s">
        <v>20</v>
      </c>
    </row>
    <row r="23" spans="1:11" x14ac:dyDescent="0.25">
      <c r="A23" s="761"/>
      <c r="B23" s="761"/>
      <c r="C23" s="761"/>
      <c r="D23" s="761"/>
      <c r="E23" s="761"/>
      <c r="F23" s="761"/>
      <c r="G23" s="761"/>
      <c r="H23" s="761"/>
      <c r="I23" s="761"/>
      <c r="J23" s="761"/>
      <c r="K23" s="500" t="s">
        <v>20</v>
      </c>
    </row>
    <row r="24" spans="1:11" ht="21" customHeight="1" x14ac:dyDescent="0.25">
      <c r="A24" s="761"/>
      <c r="B24" s="761"/>
      <c r="C24" s="761"/>
      <c r="D24" s="761"/>
      <c r="E24" s="761"/>
      <c r="F24" s="761"/>
      <c r="G24" s="761"/>
      <c r="H24" s="761"/>
      <c r="I24" s="761"/>
      <c r="J24" s="761"/>
      <c r="K24" s="500" t="s">
        <v>20</v>
      </c>
    </row>
    <row r="25" spans="1:11" ht="15.6" x14ac:dyDescent="0.25">
      <c r="A25" s="757" t="s">
        <v>494</v>
      </c>
      <c r="B25" s="757"/>
      <c r="C25" s="757"/>
      <c r="D25" s="757"/>
      <c r="E25" s="757"/>
      <c r="F25" s="757"/>
      <c r="G25" s="757"/>
      <c r="H25" s="757"/>
      <c r="I25" s="757"/>
      <c r="J25" s="757"/>
      <c r="K25" s="500" t="s">
        <v>20</v>
      </c>
    </row>
    <row r="26" spans="1:11" ht="15.6" x14ac:dyDescent="0.25">
      <c r="A26" s="510"/>
      <c r="B26" s="511"/>
      <c r="C26" s="511"/>
      <c r="D26" s="511"/>
      <c r="E26" s="511"/>
      <c r="F26" s="511"/>
      <c r="G26" s="511"/>
      <c r="H26" s="511"/>
      <c r="I26" s="511"/>
      <c r="J26" s="511"/>
      <c r="K26" s="500" t="s">
        <v>20</v>
      </c>
    </row>
    <row r="27" spans="1:11" ht="50.25" customHeight="1" x14ac:dyDescent="0.25">
      <c r="A27" s="762" t="s">
        <v>498</v>
      </c>
      <c r="B27" s="763"/>
      <c r="C27" s="763"/>
      <c r="D27" s="763"/>
      <c r="E27" s="763"/>
      <c r="F27" s="763"/>
      <c r="G27" s="763"/>
      <c r="H27" s="763"/>
      <c r="I27" s="763"/>
      <c r="J27" s="763"/>
      <c r="K27" s="500" t="s">
        <v>20</v>
      </c>
    </row>
    <row r="28" spans="1:11" ht="19.5" customHeight="1" x14ac:dyDescent="0.25">
      <c r="A28" s="757" t="s">
        <v>494</v>
      </c>
      <c r="B28" s="757"/>
      <c r="C28" s="757"/>
      <c r="D28" s="757"/>
      <c r="E28" s="757"/>
      <c r="F28" s="757"/>
      <c r="G28" s="757"/>
      <c r="H28" s="757"/>
      <c r="I28" s="757"/>
      <c r="J28" s="757"/>
      <c r="K28" s="500" t="s">
        <v>20</v>
      </c>
    </row>
    <row r="29" spans="1:11" ht="11.25" customHeight="1" x14ac:dyDescent="0.25">
      <c r="A29" s="509"/>
      <c r="B29" s="509"/>
      <c r="C29" s="509"/>
      <c r="D29" s="509"/>
      <c r="E29" s="509"/>
      <c r="F29" s="509"/>
      <c r="G29" s="509"/>
      <c r="H29" s="509"/>
      <c r="I29" s="509"/>
      <c r="J29" s="509"/>
      <c r="K29" s="500" t="s">
        <v>20</v>
      </c>
    </row>
    <row r="30" spans="1:11" ht="86.25" customHeight="1" x14ac:dyDescent="0.25">
      <c r="A30" s="758" t="s">
        <v>499</v>
      </c>
      <c r="B30" s="758"/>
      <c r="C30" s="758"/>
      <c r="D30" s="758"/>
      <c r="E30" s="758"/>
      <c r="F30" s="758"/>
      <c r="G30" s="758"/>
      <c r="H30" s="758"/>
      <c r="I30" s="758"/>
      <c r="J30" s="758"/>
      <c r="K30" s="500" t="s">
        <v>20</v>
      </c>
    </row>
    <row r="31" spans="1:11" ht="15.75" customHeight="1" x14ac:dyDescent="0.2">
      <c r="A31" s="757" t="s">
        <v>494</v>
      </c>
      <c r="B31" s="757"/>
      <c r="C31" s="757"/>
      <c r="D31" s="757"/>
      <c r="E31" s="757"/>
      <c r="F31" s="757"/>
      <c r="G31" s="757"/>
      <c r="H31" s="757"/>
      <c r="I31" s="757"/>
      <c r="J31" s="757"/>
      <c r="K31" s="500" t="s">
        <v>20</v>
      </c>
    </row>
    <row r="32" spans="1:11" ht="15.75" customHeight="1" x14ac:dyDescent="0.2">
      <c r="A32" s="512"/>
      <c r="B32" s="512"/>
      <c r="C32" s="512"/>
      <c r="D32" s="512"/>
      <c r="E32" s="512"/>
      <c r="F32" s="512"/>
      <c r="G32" s="512"/>
      <c r="H32" s="512"/>
      <c r="I32" s="512"/>
      <c r="J32" s="512"/>
      <c r="K32" s="500" t="s">
        <v>20</v>
      </c>
    </row>
    <row r="33" spans="1:11" ht="111.75" customHeight="1" x14ac:dyDescent="0.2">
      <c r="A33" s="758" t="s">
        <v>500</v>
      </c>
      <c r="B33" s="758"/>
      <c r="C33" s="758"/>
      <c r="D33" s="758"/>
      <c r="E33" s="758"/>
      <c r="F33" s="758"/>
      <c r="G33" s="758"/>
      <c r="H33" s="758"/>
      <c r="I33" s="758"/>
      <c r="J33" s="758"/>
      <c r="K33" s="500" t="s">
        <v>20</v>
      </c>
    </row>
    <row r="34" spans="1:11" ht="15.75" customHeight="1" x14ac:dyDescent="0.2">
      <c r="A34" s="757" t="s">
        <v>494</v>
      </c>
      <c r="B34" s="757"/>
      <c r="C34" s="757"/>
      <c r="D34" s="757"/>
      <c r="E34" s="757"/>
      <c r="F34" s="757"/>
      <c r="G34" s="757"/>
      <c r="H34" s="757"/>
      <c r="I34" s="757"/>
      <c r="J34" s="757"/>
      <c r="K34" s="500" t="s">
        <v>20</v>
      </c>
    </row>
    <row r="35" spans="1:11" ht="15.75" customHeight="1" x14ac:dyDescent="0.2">
      <c r="A35" s="513"/>
      <c r="B35" s="512"/>
      <c r="C35" s="512"/>
      <c r="D35" s="512"/>
      <c r="E35" s="512"/>
      <c r="F35" s="512"/>
      <c r="G35" s="512"/>
      <c r="H35" s="512"/>
      <c r="I35" s="512"/>
      <c r="J35" s="512"/>
      <c r="K35" s="500" t="s">
        <v>20</v>
      </c>
    </row>
    <row r="36" spans="1:11" ht="98.25" customHeight="1" x14ac:dyDescent="0.2">
      <c r="A36" s="758" t="s">
        <v>501</v>
      </c>
      <c r="B36" s="758"/>
      <c r="C36" s="758"/>
      <c r="D36" s="758"/>
      <c r="E36" s="758"/>
      <c r="F36" s="758"/>
      <c r="G36" s="758"/>
      <c r="H36" s="758"/>
      <c r="I36" s="758"/>
      <c r="J36" s="758"/>
      <c r="K36" s="500" t="s">
        <v>20</v>
      </c>
    </row>
    <row r="37" spans="1:11" ht="15.75" customHeight="1" x14ac:dyDescent="0.2">
      <c r="A37" s="757" t="s">
        <v>494</v>
      </c>
      <c r="B37" s="757"/>
      <c r="C37" s="757"/>
      <c r="D37" s="757"/>
      <c r="E37" s="757"/>
      <c r="F37" s="757"/>
      <c r="G37" s="757"/>
      <c r="H37" s="757"/>
      <c r="I37" s="757"/>
      <c r="J37" s="757"/>
      <c r="K37" s="500" t="s">
        <v>20</v>
      </c>
    </row>
    <row r="38" spans="1:11" ht="15.75" customHeight="1" x14ac:dyDescent="0.2">
      <c r="A38" s="513"/>
      <c r="B38" s="513"/>
      <c r="C38" s="513"/>
      <c r="D38" s="513"/>
      <c r="E38" s="513"/>
      <c r="F38" s="513"/>
      <c r="G38" s="513"/>
      <c r="H38" s="513"/>
      <c r="I38" s="513"/>
      <c r="J38" s="513"/>
      <c r="K38" s="500" t="s">
        <v>20</v>
      </c>
    </row>
    <row r="39" spans="1:11" ht="78.75" customHeight="1" x14ac:dyDescent="0.2">
      <c r="A39" s="758" t="s">
        <v>502</v>
      </c>
      <c r="B39" s="758"/>
      <c r="C39" s="758"/>
      <c r="D39" s="758"/>
      <c r="E39" s="758"/>
      <c r="F39" s="758"/>
      <c r="G39" s="758"/>
      <c r="H39" s="758"/>
      <c r="I39" s="758"/>
      <c r="J39" s="758"/>
      <c r="K39" s="500" t="s">
        <v>20</v>
      </c>
    </row>
    <row r="40" spans="1:11" ht="15.75" x14ac:dyDescent="0.2">
      <c r="A40" s="757" t="s">
        <v>494</v>
      </c>
      <c r="B40" s="757"/>
      <c r="C40" s="757"/>
      <c r="D40" s="757"/>
      <c r="E40" s="757"/>
      <c r="F40" s="757"/>
      <c r="G40" s="757"/>
      <c r="H40" s="757"/>
      <c r="I40" s="757"/>
      <c r="J40" s="757"/>
      <c r="K40" s="500" t="s">
        <v>21</v>
      </c>
    </row>
    <row r="41" spans="1:11" x14ac:dyDescent="0.2">
      <c r="A41" s="514"/>
      <c r="B41" s="514"/>
      <c r="C41" s="514"/>
      <c r="D41" s="514"/>
      <c r="E41" s="514"/>
      <c r="F41" s="514"/>
      <c r="G41" s="514"/>
      <c r="H41" s="514"/>
      <c r="J41" s="514"/>
    </row>
    <row r="42" spans="1:11" ht="39.75" customHeight="1" x14ac:dyDescent="0.2">
      <c r="A42" s="758" t="s">
        <v>503</v>
      </c>
      <c r="B42" s="758"/>
      <c r="C42" s="758"/>
      <c r="D42" s="758"/>
      <c r="E42" s="758"/>
      <c r="F42" s="758"/>
      <c r="G42" s="758"/>
      <c r="H42" s="758"/>
      <c r="I42" s="758"/>
      <c r="J42" s="758"/>
    </row>
    <row r="43" spans="1:11" ht="14.25" customHeight="1" x14ac:dyDescent="0.2">
      <c r="A43" s="757" t="s">
        <v>494</v>
      </c>
      <c r="B43" s="757"/>
      <c r="C43" s="757"/>
      <c r="D43" s="757"/>
      <c r="E43" s="757"/>
      <c r="F43" s="757"/>
      <c r="G43" s="757"/>
      <c r="H43" s="757"/>
      <c r="I43" s="757"/>
      <c r="J43" s="757"/>
    </row>
    <row r="44" spans="1:11" x14ac:dyDescent="0.2">
      <c r="A44" s="514"/>
      <c r="B44" s="514"/>
      <c r="C44" s="514"/>
      <c r="D44" s="514"/>
      <c r="E44" s="514"/>
      <c r="F44" s="514"/>
      <c r="G44" s="514"/>
      <c r="H44" s="514"/>
      <c r="J44" s="514"/>
    </row>
    <row r="45" spans="1:11" ht="58.5" customHeight="1" x14ac:dyDescent="0.25">
      <c r="A45" s="758" t="s">
        <v>504</v>
      </c>
      <c r="B45" s="758"/>
      <c r="C45" s="758"/>
      <c r="D45" s="758"/>
      <c r="E45" s="758"/>
      <c r="F45" s="758"/>
      <c r="G45" s="758"/>
      <c r="H45" s="758"/>
      <c r="I45" s="758"/>
      <c r="J45" s="758"/>
    </row>
    <row r="46" spans="1:11" ht="15.75" customHeight="1" x14ac:dyDescent="0.2">
      <c r="A46" s="757" t="s">
        <v>494</v>
      </c>
      <c r="B46" s="757"/>
      <c r="C46" s="757"/>
      <c r="D46" s="757"/>
      <c r="E46" s="757"/>
      <c r="F46" s="757"/>
      <c r="G46" s="757"/>
      <c r="H46" s="757"/>
      <c r="I46" s="757"/>
      <c r="J46" s="757"/>
    </row>
    <row r="47" spans="1:11" x14ac:dyDescent="0.2">
      <c r="A47" s="514"/>
      <c r="B47" s="514"/>
      <c r="C47" s="514"/>
      <c r="D47" s="514"/>
      <c r="E47" s="514"/>
      <c r="F47" s="514"/>
      <c r="G47" s="514"/>
      <c r="H47" s="514"/>
      <c r="J47" s="514"/>
    </row>
    <row r="48" spans="1:11" ht="71.25" customHeight="1" x14ac:dyDescent="0.2">
      <c r="A48" s="758" t="s">
        <v>505</v>
      </c>
      <c r="B48" s="758"/>
      <c r="C48" s="758"/>
      <c r="D48" s="758"/>
      <c r="E48" s="758"/>
      <c r="F48" s="758"/>
      <c r="G48" s="758"/>
      <c r="H48" s="758"/>
      <c r="I48" s="758"/>
      <c r="J48" s="758"/>
    </row>
    <row r="49" spans="1:10" ht="15.75" customHeight="1" x14ac:dyDescent="0.2">
      <c r="A49" s="757" t="s">
        <v>494</v>
      </c>
      <c r="B49" s="757"/>
      <c r="C49" s="757"/>
      <c r="D49" s="757"/>
      <c r="E49" s="757"/>
      <c r="F49" s="757"/>
      <c r="G49" s="757"/>
      <c r="H49" s="757"/>
      <c r="I49" s="757"/>
      <c r="J49" s="757"/>
    </row>
    <row r="51" spans="1:10" ht="39" customHeight="1" x14ac:dyDescent="0.2">
      <c r="A51" s="758" t="s">
        <v>506</v>
      </c>
      <c r="B51" s="758"/>
      <c r="C51" s="758"/>
      <c r="D51" s="758"/>
      <c r="E51" s="758"/>
      <c r="F51" s="758"/>
      <c r="G51" s="758"/>
      <c r="H51" s="758"/>
      <c r="I51" s="758"/>
      <c r="J51" s="758"/>
    </row>
    <row r="52" spans="1:10" ht="15.75" customHeight="1" x14ac:dyDescent="0.2">
      <c r="A52" s="757" t="s">
        <v>507</v>
      </c>
      <c r="B52" s="757"/>
      <c r="C52" s="757"/>
      <c r="D52" s="757"/>
      <c r="E52" s="757"/>
      <c r="F52" s="757"/>
      <c r="G52" s="757"/>
      <c r="H52" s="757"/>
      <c r="I52" s="757"/>
      <c r="J52" s="757"/>
    </row>
    <row r="54" spans="1:10" ht="52.5" customHeight="1" x14ac:dyDescent="0.2">
      <c r="A54" s="758" t="s">
        <v>508</v>
      </c>
      <c r="B54" s="758"/>
      <c r="C54" s="758"/>
      <c r="D54" s="758"/>
      <c r="E54" s="758"/>
      <c r="F54" s="758"/>
      <c r="G54" s="758"/>
      <c r="H54" s="758"/>
      <c r="I54" s="758"/>
      <c r="J54" s="758"/>
    </row>
    <row r="55" spans="1:10" ht="15.75" customHeight="1" x14ac:dyDescent="0.2">
      <c r="A55" s="757" t="s">
        <v>509</v>
      </c>
      <c r="B55" s="757"/>
      <c r="C55" s="757"/>
      <c r="D55" s="757"/>
      <c r="E55" s="757"/>
      <c r="F55" s="757"/>
      <c r="G55" s="757"/>
      <c r="H55" s="757"/>
      <c r="I55" s="757"/>
      <c r="J55" s="757"/>
    </row>
    <row r="57" spans="1:10" ht="98.25" customHeight="1" x14ac:dyDescent="0.2">
      <c r="A57" s="758" t="s">
        <v>510</v>
      </c>
      <c r="B57" s="758"/>
      <c r="C57" s="758"/>
      <c r="D57" s="758"/>
      <c r="E57" s="758"/>
      <c r="F57" s="758"/>
      <c r="G57" s="758"/>
      <c r="H57" s="758"/>
      <c r="I57" s="758"/>
      <c r="J57" s="758"/>
    </row>
    <row r="58" spans="1:10" ht="15.75" x14ac:dyDescent="0.2">
      <c r="A58" s="759" t="s">
        <v>511</v>
      </c>
      <c r="B58" s="760"/>
      <c r="C58" s="760"/>
      <c r="D58" s="760"/>
      <c r="E58" s="760"/>
      <c r="F58" s="760"/>
      <c r="G58" s="760"/>
      <c r="H58" s="760"/>
      <c r="I58" s="760"/>
      <c r="J58" s="760"/>
    </row>
    <row r="60" spans="1:10" ht="65.25" customHeight="1" x14ac:dyDescent="0.25">
      <c r="A60" s="758" t="s">
        <v>512</v>
      </c>
      <c r="B60" s="758"/>
      <c r="C60" s="758"/>
      <c r="D60" s="758"/>
      <c r="E60" s="758"/>
      <c r="F60" s="758"/>
      <c r="G60" s="758"/>
      <c r="H60" s="758"/>
      <c r="I60" s="758"/>
      <c r="J60" s="758"/>
    </row>
    <row r="61" spans="1:10" ht="15.6" x14ac:dyDescent="0.25">
      <c r="A61" s="759" t="s">
        <v>513</v>
      </c>
      <c r="B61" s="760"/>
      <c r="C61" s="760"/>
      <c r="D61" s="760"/>
      <c r="E61" s="760"/>
      <c r="F61" s="760"/>
      <c r="G61" s="760"/>
      <c r="H61" s="760"/>
      <c r="I61" s="760"/>
      <c r="J61" s="760"/>
    </row>
    <row r="63" spans="1:10" ht="66" customHeight="1" x14ac:dyDescent="0.25">
      <c r="A63" s="758" t="s">
        <v>514</v>
      </c>
      <c r="B63" s="758"/>
      <c r="C63" s="758"/>
      <c r="D63" s="758"/>
      <c r="E63" s="758"/>
      <c r="F63" s="758"/>
      <c r="G63" s="758"/>
      <c r="H63" s="758"/>
      <c r="I63" s="758"/>
      <c r="J63" s="758"/>
    </row>
    <row r="64" spans="1:10" ht="15.75" customHeight="1" x14ac:dyDescent="0.25">
      <c r="A64" s="760" t="s">
        <v>496</v>
      </c>
      <c r="B64" s="760"/>
      <c r="C64" s="760"/>
      <c r="D64" s="760"/>
      <c r="E64" s="760"/>
      <c r="F64" s="760"/>
      <c r="G64" s="760"/>
      <c r="H64" s="760"/>
      <c r="I64" s="760"/>
      <c r="J64" s="760"/>
    </row>
    <row r="66" spans="1:10" ht="15.6" x14ac:dyDescent="0.25">
      <c r="A66" s="758"/>
      <c r="B66" s="758"/>
      <c r="C66" s="758"/>
      <c r="D66" s="758"/>
      <c r="E66" s="758"/>
      <c r="F66" s="758"/>
      <c r="G66" s="758"/>
      <c r="H66" s="758"/>
      <c r="I66" s="758"/>
      <c r="J66" s="758"/>
    </row>
    <row r="67" spans="1:10" ht="15.6" x14ac:dyDescent="0.25">
      <c r="A67" s="757"/>
      <c r="B67" s="757"/>
      <c r="C67" s="757"/>
      <c r="D67" s="757"/>
      <c r="E67" s="757"/>
      <c r="F67" s="757"/>
      <c r="G67" s="757"/>
      <c r="H67" s="757"/>
      <c r="I67" s="757"/>
      <c r="J67" s="757"/>
    </row>
    <row r="69" spans="1:10" ht="15.6" x14ac:dyDescent="0.25">
      <c r="A69" s="758"/>
      <c r="B69" s="758"/>
      <c r="C69" s="758"/>
      <c r="D69" s="758"/>
      <c r="E69" s="758"/>
      <c r="F69" s="758"/>
      <c r="G69" s="758"/>
      <c r="H69" s="758"/>
      <c r="I69" s="758"/>
      <c r="J69" s="758"/>
    </row>
    <row r="70" spans="1:10" ht="15.6" x14ac:dyDescent="0.25">
      <c r="A70" s="757"/>
      <c r="B70" s="757"/>
      <c r="C70" s="757"/>
      <c r="D70" s="757"/>
      <c r="E70" s="757"/>
      <c r="F70" s="757"/>
      <c r="G70" s="757"/>
      <c r="H70" s="757"/>
      <c r="I70" s="757"/>
      <c r="J70" s="757"/>
    </row>
  </sheetData>
  <customSheetViews>
    <customSheetView guid="{5B2D5037-506A-47D5-AF28-C337BC9133BD}" showPageBreaks="1" printArea="1" topLeftCell="A4">
      <selection activeCell="A57" sqref="A57:J57"/>
      <pageMargins left="0.75" right="0.75" top="1" bottom="1" header="0.5" footer="0.5"/>
      <pageSetup scale="70" orientation="portrait" r:id="rId1"/>
      <headerFooter alignWithMargins="0"/>
    </customSheetView>
  </customSheetViews>
  <mergeCells count="39">
    <mergeCell ref="A17:J19"/>
    <mergeCell ref="A5:J5"/>
    <mergeCell ref="A7:J7"/>
    <mergeCell ref="A10:J10"/>
    <mergeCell ref="A12:J14"/>
    <mergeCell ref="A15:J15"/>
    <mergeCell ref="A39:J39"/>
    <mergeCell ref="A20:J20"/>
    <mergeCell ref="A22:J24"/>
    <mergeCell ref="A25:J25"/>
    <mergeCell ref="A27:J27"/>
    <mergeCell ref="A28:J28"/>
    <mergeCell ref="A30:J30"/>
    <mergeCell ref="A31:J31"/>
    <mergeCell ref="A33:J33"/>
    <mergeCell ref="A34:J34"/>
    <mergeCell ref="A36:J36"/>
    <mergeCell ref="A37:J37"/>
    <mergeCell ref="A57:J57"/>
    <mergeCell ref="A40:J40"/>
    <mergeCell ref="A42:J42"/>
    <mergeCell ref="A43:J43"/>
    <mergeCell ref="A45:J45"/>
    <mergeCell ref="A46:J46"/>
    <mergeCell ref="A48:J48"/>
    <mergeCell ref="A49:J49"/>
    <mergeCell ref="A51:J51"/>
    <mergeCell ref="A52:J52"/>
    <mergeCell ref="A54:J54"/>
    <mergeCell ref="A55:J55"/>
    <mergeCell ref="A67:J67"/>
    <mergeCell ref="A69:J69"/>
    <mergeCell ref="A70:J70"/>
    <mergeCell ref="A58:J58"/>
    <mergeCell ref="A60:J60"/>
    <mergeCell ref="A61:J61"/>
    <mergeCell ref="A63:J63"/>
    <mergeCell ref="A64:J64"/>
    <mergeCell ref="A66:J66"/>
  </mergeCells>
  <pageMargins left="0.75" right="0.75" top="1" bottom="1" header="0.5" footer="0.5"/>
  <pageSetup scale="69" orientation="portrait" r:id="rId2"/>
  <headerFooter alignWithMargins="0"/>
  <rowBreaks count="1" manualBreakCount="1">
    <brk id="37" max="9" man="1"/>
  </row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0"/>
  <sheetViews>
    <sheetView view="pageBreakPreview" zoomScale="70" zoomScaleNormal="80" zoomScaleSheetLayoutView="70" workbookViewId="0">
      <pane xSplit="2" ySplit="1" topLeftCell="C54" activePane="bottomRight" state="frozen"/>
      <selection pane="topRight" activeCell="H1" sqref="H1"/>
      <selection pane="bottomLeft" activeCell="A2" sqref="A2"/>
      <selection pane="bottomRight" activeCell="B70" sqref="B70"/>
    </sheetView>
  </sheetViews>
  <sheetFormatPr defaultColWidth="25.33203125" defaultRowHeight="15.6" x14ac:dyDescent="0.3"/>
  <cols>
    <col min="1" max="1" width="17.109375" style="628" customWidth="1"/>
    <col min="2" max="2" width="103.5546875" style="613" customWidth="1"/>
    <col min="3" max="3" width="18.6640625" style="614" customWidth="1"/>
    <col min="4" max="6" width="18.5546875" style="585" customWidth="1"/>
    <col min="7" max="16384" width="25.33203125" style="522"/>
  </cols>
  <sheetData>
    <row r="1" spans="1:6" ht="100.5" customHeight="1" x14ac:dyDescent="0.3">
      <c r="A1" s="519" t="s">
        <v>515</v>
      </c>
      <c r="B1" s="520"/>
      <c r="C1" s="519" t="s">
        <v>516</v>
      </c>
      <c r="D1" s="519" t="s">
        <v>517</v>
      </c>
      <c r="E1" s="519" t="s">
        <v>518</v>
      </c>
      <c r="F1" s="521" t="s">
        <v>519</v>
      </c>
    </row>
    <row r="2" spans="1:6" ht="15.75" customHeight="1" x14ac:dyDescent="0.3">
      <c r="A2" s="523"/>
      <c r="B2" s="524"/>
      <c r="C2" s="523"/>
      <c r="D2" s="525"/>
      <c r="E2" s="525"/>
      <c r="F2" s="525"/>
    </row>
    <row r="3" spans="1:6" ht="15.75" customHeight="1" x14ac:dyDescent="0.3">
      <c r="A3" s="523"/>
      <c r="B3" s="526" t="s">
        <v>185</v>
      </c>
      <c r="C3" s="527"/>
      <c r="D3" s="525"/>
      <c r="E3" s="525"/>
      <c r="F3" s="525"/>
    </row>
    <row r="4" spans="1:6" ht="15.75" customHeight="1" x14ac:dyDescent="0.3">
      <c r="A4" s="528" t="s">
        <v>520</v>
      </c>
      <c r="B4" s="529" t="s">
        <v>521</v>
      </c>
      <c r="C4" s="527">
        <v>45000</v>
      </c>
      <c r="D4" s="525">
        <f t="shared" ref="D4:D15" si="0">C4+(C4*0.612%)</f>
        <v>45275.4</v>
      </c>
      <c r="E4" s="525">
        <v>52900</v>
      </c>
      <c r="F4" s="525">
        <f t="shared" ref="F4:F15" si="1">E4-C4</f>
        <v>7900</v>
      </c>
    </row>
    <row r="5" spans="1:6" x14ac:dyDescent="0.3">
      <c r="A5" s="528" t="s">
        <v>520</v>
      </c>
      <c r="B5" s="530" t="s">
        <v>522</v>
      </c>
      <c r="C5" s="531">
        <v>26000</v>
      </c>
      <c r="D5" s="532">
        <f t="shared" si="0"/>
        <v>26159.119999999999</v>
      </c>
      <c r="E5" s="532">
        <v>0</v>
      </c>
      <c r="F5" s="532">
        <f t="shared" si="1"/>
        <v>-26000</v>
      </c>
    </row>
    <row r="6" spans="1:6" ht="15.75" customHeight="1" x14ac:dyDescent="0.3">
      <c r="A6" s="528" t="s">
        <v>520</v>
      </c>
      <c r="B6" s="530" t="s">
        <v>209</v>
      </c>
      <c r="C6" s="533">
        <v>10000</v>
      </c>
      <c r="D6" s="532">
        <f t="shared" si="0"/>
        <v>10061.200000000001</v>
      </c>
      <c r="E6" s="532">
        <v>0</v>
      </c>
      <c r="F6" s="532">
        <f t="shared" si="1"/>
        <v>-10000</v>
      </c>
    </row>
    <row r="7" spans="1:6" ht="15.75" customHeight="1" x14ac:dyDescent="0.3">
      <c r="A7" s="534" t="s">
        <v>520</v>
      </c>
      <c r="B7" s="535" t="s">
        <v>210</v>
      </c>
      <c r="C7" s="536">
        <v>500</v>
      </c>
      <c r="D7" s="532">
        <f t="shared" si="0"/>
        <v>503.06</v>
      </c>
      <c r="E7" s="532">
        <v>0</v>
      </c>
      <c r="F7" s="532">
        <f t="shared" si="1"/>
        <v>-500</v>
      </c>
    </row>
    <row r="8" spans="1:6" x14ac:dyDescent="0.3">
      <c r="A8" s="534" t="s">
        <v>523</v>
      </c>
      <c r="B8" s="537" t="s">
        <v>524</v>
      </c>
      <c r="C8" s="538">
        <v>27000</v>
      </c>
      <c r="D8" s="525">
        <f t="shared" si="0"/>
        <v>27165.24</v>
      </c>
      <c r="E8" s="525">
        <v>25000</v>
      </c>
      <c r="F8" s="525">
        <f t="shared" si="1"/>
        <v>-2000</v>
      </c>
    </row>
    <row r="9" spans="1:6" ht="15.75" customHeight="1" x14ac:dyDescent="0.3">
      <c r="A9" s="534" t="s">
        <v>525</v>
      </c>
      <c r="B9" s="537" t="s">
        <v>198</v>
      </c>
      <c r="C9" s="538">
        <v>40000</v>
      </c>
      <c r="D9" s="525">
        <f t="shared" si="0"/>
        <v>40244.800000000003</v>
      </c>
      <c r="E9" s="525">
        <v>44500</v>
      </c>
      <c r="F9" s="525">
        <f t="shared" si="1"/>
        <v>4500</v>
      </c>
    </row>
    <row r="10" spans="1:6" ht="15.75" customHeight="1" x14ac:dyDescent="0.3">
      <c r="A10" s="534" t="s">
        <v>525</v>
      </c>
      <c r="B10" s="535" t="s">
        <v>526</v>
      </c>
      <c r="C10" s="539">
        <v>5000</v>
      </c>
      <c r="D10" s="532">
        <f t="shared" si="0"/>
        <v>5030.6000000000004</v>
      </c>
      <c r="E10" s="532">
        <v>0</v>
      </c>
      <c r="F10" s="532">
        <f t="shared" si="1"/>
        <v>-5000</v>
      </c>
    </row>
    <row r="11" spans="1:6" x14ac:dyDescent="0.3">
      <c r="A11" s="534"/>
      <c r="B11" s="537" t="s">
        <v>527</v>
      </c>
      <c r="C11" s="538">
        <v>0</v>
      </c>
      <c r="D11" s="525">
        <f t="shared" si="0"/>
        <v>0</v>
      </c>
      <c r="E11" s="525">
        <v>9000</v>
      </c>
      <c r="F11" s="525">
        <f t="shared" si="1"/>
        <v>9000</v>
      </c>
    </row>
    <row r="12" spans="1:6" x14ac:dyDescent="0.3">
      <c r="A12" s="534" t="s">
        <v>525</v>
      </c>
      <c r="B12" s="535" t="s">
        <v>528</v>
      </c>
      <c r="C12" s="539">
        <v>0</v>
      </c>
      <c r="D12" s="532">
        <f t="shared" si="0"/>
        <v>0</v>
      </c>
      <c r="E12" s="532">
        <v>1000</v>
      </c>
      <c r="F12" s="532">
        <f t="shared" si="1"/>
        <v>1000</v>
      </c>
    </row>
    <row r="13" spans="1:6" x14ac:dyDescent="0.3">
      <c r="A13" s="534"/>
      <c r="B13" s="535" t="s">
        <v>529</v>
      </c>
      <c r="C13" s="539">
        <v>0</v>
      </c>
      <c r="D13" s="532">
        <f t="shared" si="0"/>
        <v>0</v>
      </c>
      <c r="E13" s="532">
        <v>-3000</v>
      </c>
      <c r="F13" s="532">
        <f t="shared" si="1"/>
        <v>-3000</v>
      </c>
    </row>
    <row r="14" spans="1:6" x14ac:dyDescent="0.3">
      <c r="A14" s="534"/>
      <c r="B14" s="535" t="s">
        <v>530</v>
      </c>
      <c r="C14" s="539">
        <v>0</v>
      </c>
      <c r="D14" s="532">
        <f t="shared" si="0"/>
        <v>0</v>
      </c>
      <c r="E14" s="532">
        <v>-5000</v>
      </c>
      <c r="F14" s="532">
        <f t="shared" si="1"/>
        <v>-5000</v>
      </c>
    </row>
    <row r="15" spans="1:6" ht="18.600000000000001" x14ac:dyDescent="0.3">
      <c r="A15" s="534" t="s">
        <v>525</v>
      </c>
      <c r="B15" s="540" t="s">
        <v>531</v>
      </c>
      <c r="C15" s="541">
        <v>1000</v>
      </c>
      <c r="D15" s="525">
        <f t="shared" si="0"/>
        <v>1006.12</v>
      </c>
      <c r="E15" s="525">
        <v>3000</v>
      </c>
      <c r="F15" s="525">
        <f t="shared" si="1"/>
        <v>2000</v>
      </c>
    </row>
    <row r="16" spans="1:6" ht="15.75" customHeight="1" x14ac:dyDescent="0.3">
      <c r="A16" s="534"/>
      <c r="B16" s="542" t="s">
        <v>532</v>
      </c>
      <c r="C16" s="543">
        <f>+C8+C4+C9+C15</f>
        <v>113000</v>
      </c>
      <c r="D16" s="543">
        <f>+D8+D4+D9+D15</f>
        <v>113691.56</v>
      </c>
      <c r="E16" s="543">
        <f>+E8+E4+E9+E15+E11</f>
        <v>134400</v>
      </c>
      <c r="F16" s="543">
        <f>+F8+F4+F9+F15+F11</f>
        <v>21400</v>
      </c>
    </row>
    <row r="17" spans="1:6" ht="15.75" customHeight="1" x14ac:dyDescent="0.3">
      <c r="A17" s="534"/>
      <c r="B17" s="544" t="s">
        <v>272</v>
      </c>
      <c r="C17" s="538"/>
      <c r="D17" s="525"/>
      <c r="E17" s="525"/>
      <c r="F17" s="525"/>
    </row>
    <row r="18" spans="1:6" ht="15.75" customHeight="1" x14ac:dyDescent="0.3">
      <c r="A18" s="534" t="s">
        <v>523</v>
      </c>
      <c r="B18" s="537" t="s">
        <v>288</v>
      </c>
      <c r="C18" s="538">
        <v>10000</v>
      </c>
      <c r="D18" s="525">
        <f t="shared" ref="D18:D69" si="2">C18+(C18*0.612%)</f>
        <v>10061.200000000001</v>
      </c>
      <c r="E18" s="525">
        <v>0</v>
      </c>
      <c r="F18" s="525">
        <f t="shared" ref="F18:F69" si="3">E18-C18</f>
        <v>-10000</v>
      </c>
    </row>
    <row r="19" spans="1:6" ht="15.75" customHeight="1" x14ac:dyDescent="0.3">
      <c r="A19" s="534" t="s">
        <v>523</v>
      </c>
      <c r="B19" s="537" t="s">
        <v>289</v>
      </c>
      <c r="C19" s="538">
        <v>24000</v>
      </c>
      <c r="D19" s="525">
        <f t="shared" si="2"/>
        <v>24146.880000000001</v>
      </c>
      <c r="E19" s="525">
        <v>0</v>
      </c>
      <c r="F19" s="525">
        <f t="shared" si="3"/>
        <v>-24000</v>
      </c>
    </row>
    <row r="20" spans="1:6" ht="15.75" customHeight="1" x14ac:dyDescent="0.3">
      <c r="A20" s="534"/>
      <c r="B20" s="545" t="s">
        <v>533</v>
      </c>
      <c r="C20" s="539">
        <v>1500</v>
      </c>
      <c r="D20" s="532">
        <f t="shared" si="2"/>
        <v>1509.18</v>
      </c>
      <c r="E20" s="532">
        <v>0</v>
      </c>
      <c r="F20" s="532">
        <f t="shared" si="3"/>
        <v>-1500</v>
      </c>
    </row>
    <row r="21" spans="1:6" s="547" customFormat="1" ht="15.75" customHeight="1" x14ac:dyDescent="0.3">
      <c r="A21" s="546" t="s">
        <v>523</v>
      </c>
      <c r="B21" s="537" t="s">
        <v>291</v>
      </c>
      <c r="C21" s="538">
        <v>15000</v>
      </c>
      <c r="D21" s="525">
        <f t="shared" si="2"/>
        <v>15091.8</v>
      </c>
      <c r="E21" s="525">
        <v>15000</v>
      </c>
      <c r="F21" s="525">
        <f t="shared" si="3"/>
        <v>0</v>
      </c>
    </row>
    <row r="22" spans="1:6" ht="15.75" customHeight="1" x14ac:dyDescent="0.3">
      <c r="A22" s="534" t="s">
        <v>523</v>
      </c>
      <c r="B22" s="537" t="s">
        <v>273</v>
      </c>
      <c r="C22" s="541">
        <v>15000</v>
      </c>
      <c r="D22" s="525">
        <f t="shared" si="2"/>
        <v>15091.8</v>
      </c>
      <c r="E22" s="525">
        <v>35000</v>
      </c>
      <c r="F22" s="525">
        <f t="shared" si="3"/>
        <v>20000</v>
      </c>
    </row>
    <row r="23" spans="1:6" ht="15.75" customHeight="1" x14ac:dyDescent="0.3">
      <c r="A23" s="534" t="s">
        <v>523</v>
      </c>
      <c r="B23" s="537" t="s">
        <v>534</v>
      </c>
      <c r="C23" s="538">
        <v>370000</v>
      </c>
      <c r="D23" s="525">
        <f t="shared" si="2"/>
        <v>372264.4</v>
      </c>
      <c r="E23" s="525">
        <v>395000</v>
      </c>
      <c r="F23" s="525">
        <f t="shared" si="3"/>
        <v>25000</v>
      </c>
    </row>
    <row r="24" spans="1:6" ht="15.75" customHeight="1" x14ac:dyDescent="0.3">
      <c r="A24" s="534" t="s">
        <v>523</v>
      </c>
      <c r="B24" s="545" t="s">
        <v>535</v>
      </c>
      <c r="C24" s="539">
        <v>2000</v>
      </c>
      <c r="D24" s="532">
        <f t="shared" si="2"/>
        <v>2012.24</v>
      </c>
      <c r="E24" s="532">
        <v>2000</v>
      </c>
      <c r="F24" s="532">
        <f t="shared" si="3"/>
        <v>0</v>
      </c>
    </row>
    <row r="25" spans="1:6" ht="15.75" customHeight="1" x14ac:dyDescent="0.3">
      <c r="A25" s="534" t="s">
        <v>525</v>
      </c>
      <c r="B25" s="545" t="s">
        <v>536</v>
      </c>
      <c r="C25" s="539">
        <v>4000</v>
      </c>
      <c r="D25" s="532">
        <f t="shared" si="2"/>
        <v>4024.48</v>
      </c>
      <c r="E25" s="532">
        <v>0</v>
      </c>
      <c r="F25" s="532">
        <f t="shared" si="3"/>
        <v>-4000</v>
      </c>
    </row>
    <row r="26" spans="1:6" ht="15.75" customHeight="1" x14ac:dyDescent="0.3">
      <c r="A26" s="534" t="s">
        <v>523</v>
      </c>
      <c r="B26" s="545" t="s">
        <v>301</v>
      </c>
      <c r="C26" s="539">
        <v>6000</v>
      </c>
      <c r="D26" s="532">
        <f t="shared" si="2"/>
        <v>6036.72</v>
      </c>
      <c r="E26" s="532">
        <v>0</v>
      </c>
      <c r="F26" s="532">
        <f t="shared" si="3"/>
        <v>-6000</v>
      </c>
    </row>
    <row r="27" spans="1:6" ht="15.75" customHeight="1" x14ac:dyDescent="0.3">
      <c r="A27" s="534" t="s">
        <v>523</v>
      </c>
      <c r="B27" s="545" t="s">
        <v>537</v>
      </c>
      <c r="C27" s="539">
        <v>4000</v>
      </c>
      <c r="D27" s="532">
        <f t="shared" si="2"/>
        <v>4024.48</v>
      </c>
      <c r="E27" s="532">
        <v>2000</v>
      </c>
      <c r="F27" s="532">
        <f t="shared" si="3"/>
        <v>-2000</v>
      </c>
    </row>
    <row r="28" spans="1:6" ht="15.75" customHeight="1" x14ac:dyDescent="0.3">
      <c r="A28" s="534" t="s">
        <v>523</v>
      </c>
      <c r="B28" s="545" t="s">
        <v>538</v>
      </c>
      <c r="C28" s="539">
        <v>2000</v>
      </c>
      <c r="D28" s="532">
        <f t="shared" si="2"/>
        <v>2012.24</v>
      </c>
      <c r="E28" s="532">
        <v>15000</v>
      </c>
      <c r="F28" s="532">
        <f t="shared" si="3"/>
        <v>13000</v>
      </c>
    </row>
    <row r="29" spans="1:6" ht="15.75" customHeight="1" x14ac:dyDescent="0.3">
      <c r="A29" s="534" t="s">
        <v>523</v>
      </c>
      <c r="B29" s="545" t="s">
        <v>539</v>
      </c>
      <c r="C29" s="539">
        <v>0</v>
      </c>
      <c r="D29" s="532">
        <f t="shared" si="2"/>
        <v>0</v>
      </c>
      <c r="E29" s="532">
        <v>10000</v>
      </c>
      <c r="F29" s="532">
        <f t="shared" si="3"/>
        <v>10000</v>
      </c>
    </row>
    <row r="30" spans="1:6" ht="15.75" customHeight="1" x14ac:dyDescent="0.3">
      <c r="A30" s="534" t="s">
        <v>523</v>
      </c>
      <c r="B30" s="545" t="s">
        <v>540</v>
      </c>
      <c r="C30" s="539">
        <v>0</v>
      </c>
      <c r="D30" s="532">
        <f t="shared" si="2"/>
        <v>0</v>
      </c>
      <c r="E30" s="532">
        <v>5000</v>
      </c>
      <c r="F30" s="532">
        <f t="shared" si="3"/>
        <v>5000</v>
      </c>
    </row>
    <row r="31" spans="1:6" ht="15.75" customHeight="1" x14ac:dyDescent="0.3">
      <c r="A31" s="534" t="s">
        <v>523</v>
      </c>
      <c r="B31" s="545" t="s">
        <v>541</v>
      </c>
      <c r="C31" s="539">
        <v>0</v>
      </c>
      <c r="D31" s="532">
        <f t="shared" si="2"/>
        <v>0</v>
      </c>
      <c r="E31" s="532">
        <v>2500</v>
      </c>
      <c r="F31" s="532">
        <f t="shared" si="3"/>
        <v>2500</v>
      </c>
    </row>
    <row r="32" spans="1:6" ht="15.75" customHeight="1" x14ac:dyDescent="0.3">
      <c r="A32" s="534" t="s">
        <v>523</v>
      </c>
      <c r="B32" s="540" t="s">
        <v>542</v>
      </c>
      <c r="C32" s="538">
        <v>100000</v>
      </c>
      <c r="D32" s="525">
        <f t="shared" si="2"/>
        <v>100612</v>
      </c>
      <c r="E32" s="525">
        <v>0</v>
      </c>
      <c r="F32" s="525">
        <f t="shared" si="3"/>
        <v>-100000</v>
      </c>
    </row>
    <row r="33" spans="1:6" ht="15.75" customHeight="1" x14ac:dyDescent="0.3">
      <c r="A33" s="534" t="s">
        <v>523</v>
      </c>
      <c r="B33" s="540" t="s">
        <v>543</v>
      </c>
      <c r="C33" s="538">
        <v>0</v>
      </c>
      <c r="D33" s="525">
        <f t="shared" si="2"/>
        <v>0</v>
      </c>
      <c r="E33" s="525">
        <v>40000</v>
      </c>
      <c r="F33" s="525">
        <f t="shared" si="3"/>
        <v>40000</v>
      </c>
    </row>
    <row r="34" spans="1:6" ht="15.75" customHeight="1" x14ac:dyDescent="0.3">
      <c r="A34" s="534" t="s">
        <v>523</v>
      </c>
      <c r="B34" s="545" t="s">
        <v>544</v>
      </c>
      <c r="C34" s="539">
        <v>0</v>
      </c>
      <c r="D34" s="532">
        <f t="shared" si="2"/>
        <v>0</v>
      </c>
      <c r="E34" s="532">
        <v>15000</v>
      </c>
      <c r="F34" s="532">
        <f t="shared" si="3"/>
        <v>15000</v>
      </c>
    </row>
    <row r="35" spans="1:6" ht="15.75" customHeight="1" x14ac:dyDescent="0.3">
      <c r="A35" s="534" t="s">
        <v>523</v>
      </c>
      <c r="B35" s="545" t="s">
        <v>545</v>
      </c>
      <c r="C35" s="539">
        <v>0</v>
      </c>
      <c r="D35" s="532">
        <f t="shared" si="2"/>
        <v>0</v>
      </c>
      <c r="E35" s="532">
        <v>25000</v>
      </c>
      <c r="F35" s="532">
        <f t="shared" si="3"/>
        <v>25000</v>
      </c>
    </row>
    <row r="36" spans="1:6" ht="15.75" customHeight="1" x14ac:dyDescent="0.3">
      <c r="A36" s="546" t="s">
        <v>523</v>
      </c>
      <c r="B36" s="537" t="s">
        <v>285</v>
      </c>
      <c r="C36" s="538">
        <v>3000</v>
      </c>
      <c r="D36" s="525">
        <f t="shared" si="2"/>
        <v>3018.36</v>
      </c>
      <c r="E36" s="525">
        <v>2000</v>
      </c>
      <c r="F36" s="525">
        <f t="shared" si="3"/>
        <v>-1000</v>
      </c>
    </row>
    <row r="37" spans="1:6" ht="15.75" customHeight="1" x14ac:dyDescent="0.3">
      <c r="A37" s="534" t="s">
        <v>546</v>
      </c>
      <c r="B37" s="537" t="s">
        <v>547</v>
      </c>
      <c r="C37" s="541">
        <v>4500</v>
      </c>
      <c r="D37" s="525">
        <f t="shared" si="2"/>
        <v>4527.54</v>
      </c>
      <c r="E37" s="525">
        <v>0</v>
      </c>
      <c r="F37" s="525">
        <f t="shared" si="3"/>
        <v>-4500</v>
      </c>
    </row>
    <row r="38" spans="1:6" ht="15.75" customHeight="1" x14ac:dyDescent="0.3">
      <c r="A38" s="534" t="s">
        <v>546</v>
      </c>
      <c r="B38" s="537" t="s">
        <v>548</v>
      </c>
      <c r="C38" s="541">
        <v>10000</v>
      </c>
      <c r="D38" s="525">
        <f t="shared" si="2"/>
        <v>10061.200000000001</v>
      </c>
      <c r="E38" s="525">
        <v>23000</v>
      </c>
      <c r="F38" s="525">
        <f t="shared" si="3"/>
        <v>13000</v>
      </c>
    </row>
    <row r="39" spans="1:6" ht="18.600000000000001" x14ac:dyDescent="0.3">
      <c r="A39" s="534" t="s">
        <v>525</v>
      </c>
      <c r="B39" s="537" t="s">
        <v>549</v>
      </c>
      <c r="C39" s="538">
        <v>125000</v>
      </c>
      <c r="D39" s="525">
        <f t="shared" si="2"/>
        <v>125765</v>
      </c>
      <c r="E39" s="525">
        <v>100000</v>
      </c>
      <c r="F39" s="525">
        <f t="shared" si="3"/>
        <v>-25000</v>
      </c>
    </row>
    <row r="40" spans="1:6" ht="15.75" customHeight="1" x14ac:dyDescent="0.3">
      <c r="A40" s="534" t="s">
        <v>525</v>
      </c>
      <c r="B40" s="535" t="s">
        <v>550</v>
      </c>
      <c r="C40" s="539">
        <v>117000</v>
      </c>
      <c r="D40" s="532">
        <f t="shared" si="2"/>
        <v>117716.04</v>
      </c>
      <c r="E40" s="532">
        <v>0</v>
      </c>
      <c r="F40" s="532">
        <f t="shared" si="3"/>
        <v>-117000</v>
      </c>
    </row>
    <row r="41" spans="1:6" ht="15.75" customHeight="1" x14ac:dyDescent="0.3">
      <c r="A41" s="534" t="s">
        <v>525</v>
      </c>
      <c r="B41" s="535" t="s">
        <v>551</v>
      </c>
      <c r="C41" s="539">
        <v>4000</v>
      </c>
      <c r="D41" s="532">
        <f t="shared" si="2"/>
        <v>4024.48</v>
      </c>
      <c r="E41" s="532">
        <v>0</v>
      </c>
      <c r="F41" s="532">
        <f t="shared" si="3"/>
        <v>-4000</v>
      </c>
    </row>
    <row r="42" spans="1:6" ht="15.75" customHeight="1" x14ac:dyDescent="0.3">
      <c r="A42" s="534" t="s">
        <v>525</v>
      </c>
      <c r="B42" s="535" t="s">
        <v>552</v>
      </c>
      <c r="C42" s="539">
        <v>4000</v>
      </c>
      <c r="D42" s="532">
        <f t="shared" si="2"/>
        <v>4024.48</v>
      </c>
      <c r="E42" s="532">
        <v>0</v>
      </c>
      <c r="F42" s="532">
        <f t="shared" si="3"/>
        <v>-4000</v>
      </c>
    </row>
    <row r="43" spans="1:6" ht="15.75" customHeight="1" x14ac:dyDescent="0.3">
      <c r="A43" s="534" t="s">
        <v>525</v>
      </c>
      <c r="B43" s="535" t="s">
        <v>553</v>
      </c>
      <c r="C43" s="539">
        <v>0</v>
      </c>
      <c r="D43" s="532">
        <f t="shared" si="2"/>
        <v>0</v>
      </c>
      <c r="E43" s="532">
        <v>20000</v>
      </c>
      <c r="F43" s="532">
        <f t="shared" si="3"/>
        <v>20000</v>
      </c>
    </row>
    <row r="44" spans="1:6" ht="15.75" customHeight="1" x14ac:dyDescent="0.3">
      <c r="A44" s="534" t="s">
        <v>523</v>
      </c>
      <c r="B44" s="537" t="s">
        <v>554</v>
      </c>
      <c r="C44" s="538">
        <v>35000</v>
      </c>
      <c r="D44" s="525">
        <f t="shared" si="2"/>
        <v>35214.199999999997</v>
      </c>
      <c r="E44" s="525">
        <v>0</v>
      </c>
      <c r="F44" s="525">
        <f t="shared" si="3"/>
        <v>-35000</v>
      </c>
    </row>
    <row r="45" spans="1:6" ht="15.75" customHeight="1" x14ac:dyDescent="0.3">
      <c r="A45" s="546" t="s">
        <v>555</v>
      </c>
      <c r="B45" s="540" t="s">
        <v>307</v>
      </c>
      <c r="C45" s="538">
        <v>7000</v>
      </c>
      <c r="D45" s="525">
        <f t="shared" si="2"/>
        <v>7042.84</v>
      </c>
      <c r="E45" s="525">
        <v>9000</v>
      </c>
      <c r="F45" s="525">
        <f t="shared" si="3"/>
        <v>2000</v>
      </c>
    </row>
    <row r="46" spans="1:6" ht="15.75" customHeight="1" x14ac:dyDescent="0.3">
      <c r="A46" s="546" t="s">
        <v>523</v>
      </c>
      <c r="B46" s="535" t="s">
        <v>556</v>
      </c>
      <c r="C46" s="539">
        <v>0</v>
      </c>
      <c r="D46" s="532">
        <f t="shared" si="2"/>
        <v>0</v>
      </c>
      <c r="E46" s="532">
        <v>2500</v>
      </c>
      <c r="F46" s="532">
        <f t="shared" si="3"/>
        <v>2500</v>
      </c>
    </row>
    <row r="47" spans="1:6" ht="15.75" customHeight="1" x14ac:dyDescent="0.3">
      <c r="A47" s="534" t="s">
        <v>557</v>
      </c>
      <c r="B47" s="537" t="s">
        <v>309</v>
      </c>
      <c r="C47" s="541">
        <v>20000</v>
      </c>
      <c r="D47" s="525">
        <f t="shared" si="2"/>
        <v>20122.400000000001</v>
      </c>
      <c r="E47" s="525">
        <v>20000</v>
      </c>
      <c r="F47" s="525">
        <f t="shared" si="3"/>
        <v>0</v>
      </c>
    </row>
    <row r="48" spans="1:6" ht="15.75" customHeight="1" x14ac:dyDescent="0.3">
      <c r="A48" s="534" t="s">
        <v>523</v>
      </c>
      <c r="B48" s="537" t="s">
        <v>558</v>
      </c>
      <c r="C48" s="538">
        <v>38000</v>
      </c>
      <c r="D48" s="525">
        <f t="shared" si="2"/>
        <v>38232.559999999998</v>
      </c>
      <c r="E48" s="525">
        <v>0</v>
      </c>
      <c r="F48" s="525">
        <f t="shared" si="3"/>
        <v>-38000</v>
      </c>
    </row>
    <row r="49" spans="1:6" ht="15.75" customHeight="1" x14ac:dyDescent="0.3">
      <c r="A49" s="534" t="s">
        <v>523</v>
      </c>
      <c r="B49" s="540" t="s">
        <v>311</v>
      </c>
      <c r="C49" s="538">
        <v>4000</v>
      </c>
      <c r="D49" s="525">
        <f t="shared" si="2"/>
        <v>4024.48</v>
      </c>
      <c r="E49" s="525">
        <v>0</v>
      </c>
      <c r="F49" s="525">
        <f t="shared" si="3"/>
        <v>-4000</v>
      </c>
    </row>
    <row r="50" spans="1:6" ht="15.75" customHeight="1" x14ac:dyDescent="0.3">
      <c r="A50" s="534" t="s">
        <v>523</v>
      </c>
      <c r="B50" s="540" t="s">
        <v>559</v>
      </c>
      <c r="C50" s="538">
        <v>0</v>
      </c>
      <c r="D50" s="525">
        <f t="shared" si="2"/>
        <v>0</v>
      </c>
      <c r="E50" s="525">
        <v>85000</v>
      </c>
      <c r="F50" s="525">
        <f t="shared" si="3"/>
        <v>85000</v>
      </c>
    </row>
    <row r="51" spans="1:6" ht="16.5" customHeight="1" x14ac:dyDescent="0.3">
      <c r="A51" s="534" t="s">
        <v>523</v>
      </c>
      <c r="B51" s="537" t="s">
        <v>560</v>
      </c>
      <c r="C51" s="538">
        <v>9000</v>
      </c>
      <c r="D51" s="525">
        <f t="shared" si="2"/>
        <v>9055.08</v>
      </c>
      <c r="E51" s="525">
        <v>0</v>
      </c>
      <c r="F51" s="525">
        <f t="shared" si="3"/>
        <v>-9000</v>
      </c>
    </row>
    <row r="52" spans="1:6" ht="15.75" customHeight="1" x14ac:dyDescent="0.3">
      <c r="A52" s="534" t="s">
        <v>523</v>
      </c>
      <c r="B52" s="537" t="s">
        <v>313</v>
      </c>
      <c r="C52" s="538">
        <v>1000</v>
      </c>
      <c r="D52" s="525">
        <f t="shared" si="2"/>
        <v>1006.12</v>
      </c>
      <c r="E52" s="525">
        <v>0</v>
      </c>
      <c r="F52" s="525">
        <f t="shared" si="3"/>
        <v>-1000</v>
      </c>
    </row>
    <row r="53" spans="1:6" ht="18.600000000000001" x14ac:dyDescent="0.3">
      <c r="A53" s="534" t="s">
        <v>520</v>
      </c>
      <c r="B53" s="537" t="s">
        <v>561</v>
      </c>
      <c r="C53" s="541">
        <v>6000</v>
      </c>
      <c r="D53" s="525">
        <f t="shared" si="2"/>
        <v>6036.72</v>
      </c>
      <c r="E53" s="525">
        <v>50000</v>
      </c>
      <c r="F53" s="525">
        <f t="shared" si="3"/>
        <v>44000</v>
      </c>
    </row>
    <row r="54" spans="1:6" x14ac:dyDescent="0.3">
      <c r="A54" s="534" t="s">
        <v>520</v>
      </c>
      <c r="B54" s="548" t="s">
        <v>562</v>
      </c>
      <c r="C54" s="549">
        <v>5000</v>
      </c>
      <c r="D54" s="525">
        <f t="shared" si="2"/>
        <v>5030.6000000000004</v>
      </c>
      <c r="E54" s="525">
        <v>5000</v>
      </c>
      <c r="F54" s="525">
        <f t="shared" si="3"/>
        <v>0</v>
      </c>
    </row>
    <row r="55" spans="1:6" ht="15.75" customHeight="1" x14ac:dyDescent="0.3">
      <c r="A55" s="534" t="s">
        <v>557</v>
      </c>
      <c r="B55" s="540" t="s">
        <v>563</v>
      </c>
      <c r="C55" s="538">
        <v>1000</v>
      </c>
      <c r="D55" s="525">
        <f t="shared" si="2"/>
        <v>1006.12</v>
      </c>
      <c r="E55" s="525">
        <v>1000</v>
      </c>
      <c r="F55" s="525">
        <f t="shared" si="3"/>
        <v>0</v>
      </c>
    </row>
    <row r="56" spans="1:6" ht="18.600000000000001" x14ac:dyDescent="0.3">
      <c r="A56" s="534" t="s">
        <v>525</v>
      </c>
      <c r="B56" s="537" t="s">
        <v>564</v>
      </c>
      <c r="C56" s="541">
        <v>12000</v>
      </c>
      <c r="D56" s="525">
        <f t="shared" si="2"/>
        <v>12073.44</v>
      </c>
      <c r="E56" s="525">
        <v>0</v>
      </c>
      <c r="F56" s="525">
        <f t="shared" si="3"/>
        <v>-12000</v>
      </c>
    </row>
    <row r="57" spans="1:6" ht="17.25" customHeight="1" x14ac:dyDescent="0.3">
      <c r="A57" s="534" t="s">
        <v>523</v>
      </c>
      <c r="B57" s="537" t="s">
        <v>317</v>
      </c>
      <c r="C57" s="538">
        <v>7000</v>
      </c>
      <c r="D57" s="525">
        <f t="shared" si="2"/>
        <v>7042.84</v>
      </c>
      <c r="E57" s="525">
        <v>7000</v>
      </c>
      <c r="F57" s="525">
        <f t="shared" si="3"/>
        <v>0</v>
      </c>
    </row>
    <row r="58" spans="1:6" ht="15.75" customHeight="1" x14ac:dyDescent="0.3">
      <c r="A58" s="546" t="s">
        <v>523</v>
      </c>
      <c r="B58" s="537" t="s">
        <v>287</v>
      </c>
      <c r="C58" s="538">
        <v>12500</v>
      </c>
      <c r="D58" s="525">
        <f t="shared" si="2"/>
        <v>12576.5</v>
      </c>
      <c r="E58" s="525">
        <v>10500</v>
      </c>
      <c r="F58" s="525">
        <f t="shared" si="3"/>
        <v>-2000</v>
      </c>
    </row>
    <row r="59" spans="1:6" ht="15.75" customHeight="1" x14ac:dyDescent="0.3">
      <c r="A59" s="546" t="s">
        <v>523</v>
      </c>
      <c r="B59" s="540" t="s">
        <v>565</v>
      </c>
      <c r="C59" s="541">
        <v>0</v>
      </c>
      <c r="D59" s="525">
        <f t="shared" si="2"/>
        <v>0</v>
      </c>
      <c r="E59" s="525">
        <v>44000</v>
      </c>
      <c r="F59" s="525">
        <f t="shared" si="3"/>
        <v>44000</v>
      </c>
    </row>
    <row r="60" spans="1:6" ht="15.75" customHeight="1" x14ac:dyDescent="0.3">
      <c r="A60" s="546" t="s">
        <v>523</v>
      </c>
      <c r="B60" s="540" t="s">
        <v>566</v>
      </c>
      <c r="C60" s="541">
        <v>0</v>
      </c>
      <c r="D60" s="525">
        <f t="shared" si="2"/>
        <v>0</v>
      </c>
      <c r="E60" s="525">
        <v>10000</v>
      </c>
      <c r="F60" s="525">
        <f t="shared" si="3"/>
        <v>10000</v>
      </c>
    </row>
    <row r="61" spans="1:6" ht="15.75" customHeight="1" x14ac:dyDescent="0.3">
      <c r="A61" s="534" t="s">
        <v>523</v>
      </c>
      <c r="B61" s="537" t="s">
        <v>320</v>
      </c>
      <c r="C61" s="538">
        <v>10000</v>
      </c>
      <c r="D61" s="525">
        <f t="shared" si="2"/>
        <v>10061.200000000001</v>
      </c>
      <c r="E61" s="525">
        <v>19000</v>
      </c>
      <c r="F61" s="525">
        <f t="shared" si="3"/>
        <v>9000</v>
      </c>
    </row>
    <row r="62" spans="1:6" ht="15.75" customHeight="1" x14ac:dyDescent="0.3">
      <c r="A62" s="534" t="s">
        <v>567</v>
      </c>
      <c r="B62" s="540" t="s">
        <v>568</v>
      </c>
      <c r="C62" s="541">
        <v>63000</v>
      </c>
      <c r="D62" s="525">
        <f t="shared" si="2"/>
        <v>63385.56</v>
      </c>
      <c r="E62" s="525">
        <v>119000</v>
      </c>
      <c r="F62" s="525">
        <f t="shared" si="3"/>
        <v>56000</v>
      </c>
    </row>
    <row r="63" spans="1:6" ht="15.75" customHeight="1" x14ac:dyDescent="0.3">
      <c r="A63" s="534" t="s">
        <v>567</v>
      </c>
      <c r="B63" s="535" t="s">
        <v>569</v>
      </c>
      <c r="C63" s="536">
        <v>0</v>
      </c>
      <c r="D63" s="532">
        <f t="shared" si="2"/>
        <v>0</v>
      </c>
      <c r="E63" s="532">
        <v>5000</v>
      </c>
      <c r="F63" s="532">
        <f t="shared" si="3"/>
        <v>5000</v>
      </c>
    </row>
    <row r="64" spans="1:6" ht="15.75" customHeight="1" x14ac:dyDescent="0.3">
      <c r="A64" s="534" t="s">
        <v>567</v>
      </c>
      <c r="B64" s="535" t="s">
        <v>570</v>
      </c>
      <c r="C64" s="536">
        <v>0</v>
      </c>
      <c r="D64" s="532">
        <f t="shared" si="2"/>
        <v>0</v>
      </c>
      <c r="E64" s="532">
        <v>30000</v>
      </c>
      <c r="F64" s="532">
        <f t="shared" si="3"/>
        <v>30000</v>
      </c>
    </row>
    <row r="65" spans="1:6" ht="15.75" customHeight="1" x14ac:dyDescent="0.3">
      <c r="A65" s="534" t="s">
        <v>567</v>
      </c>
      <c r="B65" s="550" t="s">
        <v>571</v>
      </c>
      <c r="C65" s="536">
        <v>0</v>
      </c>
      <c r="D65" s="532">
        <f t="shared" si="2"/>
        <v>0</v>
      </c>
      <c r="E65" s="532">
        <v>10000</v>
      </c>
      <c r="F65" s="532">
        <f t="shared" si="3"/>
        <v>10000</v>
      </c>
    </row>
    <row r="66" spans="1:6" s="547" customFormat="1" ht="15.75" customHeight="1" x14ac:dyDescent="0.3">
      <c r="A66" s="534" t="s">
        <v>567</v>
      </c>
      <c r="B66" s="535" t="s">
        <v>572</v>
      </c>
      <c r="C66" s="536">
        <v>4000</v>
      </c>
      <c r="D66" s="532">
        <f t="shared" si="2"/>
        <v>4024.48</v>
      </c>
      <c r="E66" s="532">
        <v>10000</v>
      </c>
      <c r="F66" s="532">
        <f t="shared" si="3"/>
        <v>6000</v>
      </c>
    </row>
    <row r="67" spans="1:6" ht="15.75" customHeight="1" x14ac:dyDescent="0.3">
      <c r="A67" s="534" t="s">
        <v>523</v>
      </c>
      <c r="B67" s="540" t="s">
        <v>573</v>
      </c>
      <c r="C67" s="541">
        <v>5000</v>
      </c>
      <c r="D67" s="525">
        <f t="shared" si="2"/>
        <v>5030.6000000000004</v>
      </c>
      <c r="E67" s="525">
        <v>5000</v>
      </c>
      <c r="F67" s="525">
        <f t="shared" si="3"/>
        <v>0</v>
      </c>
    </row>
    <row r="68" spans="1:6" ht="15.75" customHeight="1" x14ac:dyDescent="0.3">
      <c r="A68" s="534" t="s">
        <v>523</v>
      </c>
      <c r="B68" s="537" t="s">
        <v>334</v>
      </c>
      <c r="C68" s="538">
        <v>240000</v>
      </c>
      <c r="D68" s="525">
        <f t="shared" si="2"/>
        <v>241468.79999999999</v>
      </c>
      <c r="E68" s="525">
        <v>0</v>
      </c>
      <c r="F68" s="525">
        <f t="shared" si="3"/>
        <v>-240000</v>
      </c>
    </row>
    <row r="69" spans="1:6" ht="15.75" customHeight="1" x14ac:dyDescent="0.3">
      <c r="A69" s="546" t="s">
        <v>574</v>
      </c>
      <c r="B69" s="537" t="s">
        <v>329</v>
      </c>
      <c r="C69" s="538">
        <v>10500</v>
      </c>
      <c r="D69" s="525">
        <f t="shared" si="2"/>
        <v>10564.26</v>
      </c>
      <c r="E69" s="525">
        <v>10500</v>
      </c>
      <c r="F69" s="525">
        <f t="shared" si="3"/>
        <v>0</v>
      </c>
    </row>
    <row r="70" spans="1:6" ht="15.75" customHeight="1" x14ac:dyDescent="0.3">
      <c r="A70" s="525"/>
      <c r="B70" s="551" t="s">
        <v>575</v>
      </c>
      <c r="C70" s="543">
        <f>SUM(C18,C19,C21,C22,C36,C38,C37,C39,C44,C45,C47,C48,C49,C23,C51:C57,C58,C61:C62,C67:C69,C32)</f>
        <v>1162500</v>
      </c>
      <c r="D70" s="543">
        <f>SUM(D18,D19,D21,D22,D36,D38,D37,D39,D44,D45,D47,D48,D49,D23,D51:D57,D58,D61:D62,D67:D69,D32)</f>
        <v>1169614.4999999995</v>
      </c>
      <c r="E70" s="543">
        <f>SUM(E18,E19,E21,E22,E36,E38,E37,E39,E44,E45,E47,E48,E49,E23,E50:E57,E58:E60,E61:E62,E67:E69,E32:E33)</f>
        <v>1005000</v>
      </c>
      <c r="F70" s="543">
        <f>SUM(F18,F19,F21,F22,F36,F38,F37,F39,F44,F45,F47,F48,F49,F23,F50:F57,F58:F60,F61:F62,F67:F69,F32:F33)</f>
        <v>-157500</v>
      </c>
    </row>
    <row r="71" spans="1:6" s="554" customFormat="1" ht="15.75" customHeight="1" x14ac:dyDescent="0.3">
      <c r="A71" s="534"/>
      <c r="B71" s="542"/>
      <c r="C71" s="552"/>
      <c r="D71" s="553"/>
      <c r="E71" s="553"/>
      <c r="F71" s="553"/>
    </row>
    <row r="72" spans="1:6" s="554" customFormat="1" ht="15.75" hidden="1" customHeight="1" x14ac:dyDescent="0.3">
      <c r="A72" s="534"/>
      <c r="B72" s="542"/>
      <c r="C72" s="555"/>
      <c r="D72" s="553"/>
      <c r="E72" s="553"/>
      <c r="F72" s="553"/>
    </row>
    <row r="73" spans="1:6" ht="15.75" hidden="1" customHeight="1" x14ac:dyDescent="0.3">
      <c r="A73" s="556" t="s">
        <v>576</v>
      </c>
      <c r="B73" s="557" t="s">
        <v>577</v>
      </c>
      <c r="C73" s="553">
        <v>0</v>
      </c>
      <c r="D73" s="525"/>
      <c r="E73" s="525"/>
      <c r="F73" s="525"/>
    </row>
    <row r="74" spans="1:6" ht="15.75" customHeight="1" x14ac:dyDescent="0.3">
      <c r="A74" s="534"/>
      <c r="B74" s="540"/>
      <c r="C74" s="525"/>
      <c r="D74" s="525"/>
      <c r="E74" s="525"/>
      <c r="F74" s="525"/>
    </row>
    <row r="75" spans="1:6" ht="15.75" customHeight="1" x14ac:dyDescent="0.3">
      <c r="A75" s="525"/>
      <c r="B75" s="544" t="s">
        <v>578</v>
      </c>
      <c r="C75" s="525"/>
      <c r="D75" s="525"/>
      <c r="E75" s="525"/>
      <c r="F75" s="525"/>
    </row>
    <row r="76" spans="1:6" ht="15.75" customHeight="1" x14ac:dyDescent="0.3">
      <c r="A76" s="534" t="s">
        <v>546</v>
      </c>
      <c r="B76" s="537" t="s">
        <v>579</v>
      </c>
      <c r="C76" s="525">
        <v>1500</v>
      </c>
      <c r="D76" s="525">
        <f t="shared" ref="D76:D101" si="4">C76+(C76*0.612%)</f>
        <v>1509.18</v>
      </c>
      <c r="E76" s="525">
        <v>0</v>
      </c>
      <c r="F76" s="525">
        <f t="shared" ref="F76:F87" si="5">E76-C76</f>
        <v>-1500</v>
      </c>
    </row>
    <row r="77" spans="1:6" ht="18.75" hidden="1" customHeight="1" x14ac:dyDescent="0.3">
      <c r="A77" s="534" t="s">
        <v>546</v>
      </c>
      <c r="B77" s="537" t="s">
        <v>580</v>
      </c>
      <c r="C77" s="541"/>
      <c r="D77" s="525">
        <f t="shared" si="4"/>
        <v>0</v>
      </c>
      <c r="E77" s="525">
        <v>0</v>
      </c>
      <c r="F77" s="525">
        <f t="shared" si="5"/>
        <v>0</v>
      </c>
    </row>
    <row r="78" spans="1:6" ht="18.75" customHeight="1" x14ac:dyDescent="0.3">
      <c r="A78" s="534" t="s">
        <v>546</v>
      </c>
      <c r="B78" s="537" t="s">
        <v>581</v>
      </c>
      <c r="C78" s="541">
        <v>0</v>
      </c>
      <c r="D78" s="525">
        <f t="shared" si="4"/>
        <v>0</v>
      </c>
      <c r="E78" s="525">
        <v>500</v>
      </c>
      <c r="F78" s="525">
        <f t="shared" si="5"/>
        <v>500</v>
      </c>
    </row>
    <row r="79" spans="1:6" ht="15.75" customHeight="1" x14ac:dyDescent="0.3">
      <c r="A79" s="534" t="s">
        <v>546</v>
      </c>
      <c r="B79" s="537" t="s">
        <v>399</v>
      </c>
      <c r="C79" s="525">
        <v>8000</v>
      </c>
      <c r="D79" s="525">
        <f t="shared" si="4"/>
        <v>8048.96</v>
      </c>
      <c r="E79" s="525">
        <v>25000</v>
      </c>
      <c r="F79" s="525">
        <f t="shared" si="5"/>
        <v>17000</v>
      </c>
    </row>
    <row r="80" spans="1:6" ht="15.75" customHeight="1" x14ac:dyDescent="0.3">
      <c r="A80" s="534" t="s">
        <v>546</v>
      </c>
      <c r="B80" s="537" t="s">
        <v>582</v>
      </c>
      <c r="C80" s="525">
        <v>0</v>
      </c>
      <c r="D80" s="525">
        <f t="shared" si="4"/>
        <v>0</v>
      </c>
      <c r="E80" s="525">
        <v>2000</v>
      </c>
      <c r="F80" s="525">
        <f t="shared" si="5"/>
        <v>2000</v>
      </c>
    </row>
    <row r="81" spans="1:6" ht="15.75" hidden="1" customHeight="1" x14ac:dyDescent="0.3">
      <c r="A81" s="534" t="s">
        <v>546</v>
      </c>
      <c r="B81" s="537" t="s">
        <v>583</v>
      </c>
      <c r="C81" s="525"/>
      <c r="D81" s="525">
        <f t="shared" si="4"/>
        <v>0</v>
      </c>
      <c r="E81" s="525">
        <v>0</v>
      </c>
      <c r="F81" s="525">
        <f t="shared" si="5"/>
        <v>0</v>
      </c>
    </row>
    <row r="82" spans="1:6" ht="15.75" customHeight="1" x14ac:dyDescent="0.3">
      <c r="A82" s="534" t="s">
        <v>546</v>
      </c>
      <c r="B82" s="537" t="s">
        <v>584</v>
      </c>
      <c r="C82" s="525">
        <v>20000</v>
      </c>
      <c r="D82" s="525">
        <f t="shared" si="4"/>
        <v>20122.400000000001</v>
      </c>
      <c r="E82" s="525">
        <v>56000</v>
      </c>
      <c r="F82" s="525">
        <f t="shared" si="5"/>
        <v>36000</v>
      </c>
    </row>
    <row r="83" spans="1:6" ht="15.75" customHeight="1" x14ac:dyDescent="0.3">
      <c r="A83" s="534" t="s">
        <v>546</v>
      </c>
      <c r="B83" s="535" t="s">
        <v>407</v>
      </c>
      <c r="C83" s="532">
        <v>5000</v>
      </c>
      <c r="D83" s="532">
        <f t="shared" si="4"/>
        <v>5030.6000000000004</v>
      </c>
      <c r="E83" s="532">
        <v>0</v>
      </c>
      <c r="F83" s="532">
        <f t="shared" si="5"/>
        <v>-5000</v>
      </c>
    </row>
    <row r="84" spans="1:6" ht="15.75" customHeight="1" x14ac:dyDescent="0.3">
      <c r="A84" s="534" t="s">
        <v>585</v>
      </c>
      <c r="B84" s="535" t="s">
        <v>586</v>
      </c>
      <c r="C84" s="532">
        <v>5000</v>
      </c>
      <c r="D84" s="532">
        <f t="shared" si="4"/>
        <v>5030.6000000000004</v>
      </c>
      <c r="E84" s="532">
        <v>0</v>
      </c>
      <c r="F84" s="532">
        <f t="shared" si="5"/>
        <v>-5000</v>
      </c>
    </row>
    <row r="85" spans="1:6" ht="15.75" hidden="1" customHeight="1" x14ac:dyDescent="0.3">
      <c r="A85" s="534" t="s">
        <v>546</v>
      </c>
      <c r="B85" s="535" t="s">
        <v>587</v>
      </c>
      <c r="C85" s="532"/>
      <c r="D85" s="532">
        <f t="shared" si="4"/>
        <v>0</v>
      </c>
      <c r="E85" s="532">
        <v>0</v>
      </c>
      <c r="F85" s="532">
        <f t="shared" si="5"/>
        <v>0</v>
      </c>
    </row>
    <row r="86" spans="1:6" ht="15.75" customHeight="1" x14ac:dyDescent="0.3">
      <c r="A86" s="534" t="s">
        <v>546</v>
      </c>
      <c r="B86" s="535" t="s">
        <v>409</v>
      </c>
      <c r="C86" s="532">
        <v>10000</v>
      </c>
      <c r="D86" s="532">
        <f t="shared" si="4"/>
        <v>10061.200000000001</v>
      </c>
      <c r="E86" s="532">
        <v>0</v>
      </c>
      <c r="F86" s="532">
        <f t="shared" si="5"/>
        <v>-10000</v>
      </c>
    </row>
    <row r="87" spans="1:6" ht="15.75" customHeight="1" x14ac:dyDescent="0.3">
      <c r="A87" s="534" t="s">
        <v>546</v>
      </c>
      <c r="B87" s="535" t="s">
        <v>588</v>
      </c>
      <c r="C87" s="532">
        <v>0</v>
      </c>
      <c r="D87" s="532">
        <f t="shared" si="4"/>
        <v>0</v>
      </c>
      <c r="E87" s="532">
        <v>20000</v>
      </c>
      <c r="F87" s="532">
        <f t="shared" si="5"/>
        <v>20000</v>
      </c>
    </row>
    <row r="88" spans="1:6" ht="15.75" customHeight="1" x14ac:dyDescent="0.3">
      <c r="A88" s="534" t="s">
        <v>546</v>
      </c>
      <c r="B88" s="535" t="s">
        <v>579</v>
      </c>
      <c r="C88" s="532">
        <v>0</v>
      </c>
      <c r="D88" s="539">
        <f t="shared" si="4"/>
        <v>0</v>
      </c>
      <c r="E88" s="539" t="s">
        <v>589</v>
      </c>
      <c r="F88" s="539" t="s">
        <v>589</v>
      </c>
    </row>
    <row r="89" spans="1:6" ht="15.75" customHeight="1" x14ac:dyDescent="0.3">
      <c r="A89" s="534" t="s">
        <v>546</v>
      </c>
      <c r="B89" s="535" t="s">
        <v>404</v>
      </c>
      <c r="C89" s="532">
        <v>0</v>
      </c>
      <c r="D89" s="539">
        <f t="shared" si="4"/>
        <v>0</v>
      </c>
      <c r="E89" s="539" t="s">
        <v>589</v>
      </c>
      <c r="F89" s="539" t="s">
        <v>589</v>
      </c>
    </row>
    <row r="90" spans="1:6" ht="15.75" customHeight="1" x14ac:dyDescent="0.3">
      <c r="A90" s="534" t="s">
        <v>546</v>
      </c>
      <c r="B90" s="535" t="s">
        <v>547</v>
      </c>
      <c r="C90" s="532">
        <v>0</v>
      </c>
      <c r="D90" s="539">
        <f t="shared" si="4"/>
        <v>0</v>
      </c>
      <c r="E90" s="539" t="s">
        <v>589</v>
      </c>
      <c r="F90" s="539" t="s">
        <v>589</v>
      </c>
    </row>
    <row r="91" spans="1:6" ht="15.75" customHeight="1" x14ac:dyDescent="0.3">
      <c r="A91" s="534" t="s">
        <v>546</v>
      </c>
      <c r="B91" s="537" t="s">
        <v>590</v>
      </c>
      <c r="C91" s="525">
        <v>30000</v>
      </c>
      <c r="D91" s="525">
        <f t="shared" si="4"/>
        <v>30183.599999999999</v>
      </c>
      <c r="E91" s="525">
        <v>30000</v>
      </c>
      <c r="F91" s="525">
        <f t="shared" ref="F91:F101" si="6">E91-C91</f>
        <v>0</v>
      </c>
    </row>
    <row r="92" spans="1:6" ht="15.75" customHeight="1" x14ac:dyDescent="0.3">
      <c r="A92" s="534" t="s">
        <v>546</v>
      </c>
      <c r="B92" s="537" t="s">
        <v>591</v>
      </c>
      <c r="C92" s="525">
        <v>0</v>
      </c>
      <c r="D92" s="525">
        <f t="shared" si="4"/>
        <v>0</v>
      </c>
      <c r="E92" s="525">
        <v>20000</v>
      </c>
      <c r="F92" s="525">
        <f t="shared" si="6"/>
        <v>20000</v>
      </c>
    </row>
    <row r="93" spans="1:6" ht="18.600000000000001" x14ac:dyDescent="0.3">
      <c r="A93" s="534" t="s">
        <v>546</v>
      </c>
      <c r="B93" s="537" t="s">
        <v>592</v>
      </c>
      <c r="C93" s="538">
        <v>65000</v>
      </c>
      <c r="D93" s="525">
        <f t="shared" si="4"/>
        <v>65397.8</v>
      </c>
      <c r="E93" s="525">
        <v>67000</v>
      </c>
      <c r="F93" s="525">
        <f t="shared" si="6"/>
        <v>2000</v>
      </c>
    </row>
    <row r="94" spans="1:6" x14ac:dyDescent="0.3">
      <c r="A94" s="534" t="s">
        <v>546</v>
      </c>
      <c r="B94" s="535" t="s">
        <v>593</v>
      </c>
      <c r="C94" s="539">
        <v>0</v>
      </c>
      <c r="D94" s="532">
        <f t="shared" si="4"/>
        <v>0</v>
      </c>
      <c r="E94" s="532">
        <v>22000</v>
      </c>
      <c r="F94" s="532">
        <f t="shared" si="6"/>
        <v>22000</v>
      </c>
    </row>
    <row r="95" spans="1:6" ht="15.75" customHeight="1" x14ac:dyDescent="0.3">
      <c r="A95" s="534" t="s">
        <v>546</v>
      </c>
      <c r="B95" s="537" t="s">
        <v>401</v>
      </c>
      <c r="C95" s="541">
        <v>2000</v>
      </c>
      <c r="D95" s="525">
        <f t="shared" si="4"/>
        <v>2012.24</v>
      </c>
      <c r="E95" s="525">
        <v>4000</v>
      </c>
      <c r="F95" s="525">
        <f t="shared" si="6"/>
        <v>2000</v>
      </c>
    </row>
    <row r="96" spans="1:6" ht="15.75" customHeight="1" x14ac:dyDescent="0.3">
      <c r="A96" s="534" t="s">
        <v>546</v>
      </c>
      <c r="B96" s="537" t="s">
        <v>594</v>
      </c>
      <c r="C96" s="525">
        <v>40000</v>
      </c>
      <c r="D96" s="525">
        <f t="shared" si="4"/>
        <v>40244.800000000003</v>
      </c>
      <c r="E96" s="525">
        <v>70000</v>
      </c>
      <c r="F96" s="525">
        <f t="shared" si="6"/>
        <v>30000</v>
      </c>
    </row>
    <row r="97" spans="1:6" ht="15.75" hidden="1" customHeight="1" x14ac:dyDescent="0.3">
      <c r="A97" s="534" t="s">
        <v>546</v>
      </c>
      <c r="B97" s="537" t="s">
        <v>595</v>
      </c>
      <c r="C97" s="525"/>
      <c r="D97" s="525">
        <f t="shared" si="4"/>
        <v>0</v>
      </c>
      <c r="E97" s="525">
        <v>0</v>
      </c>
      <c r="F97" s="525">
        <f t="shared" si="6"/>
        <v>0</v>
      </c>
    </row>
    <row r="98" spans="1:6" ht="15.75" hidden="1" customHeight="1" x14ac:dyDescent="0.3">
      <c r="A98" s="534" t="s">
        <v>546</v>
      </c>
      <c r="B98" s="537" t="s">
        <v>596</v>
      </c>
      <c r="C98" s="525"/>
      <c r="D98" s="525">
        <f t="shared" si="4"/>
        <v>0</v>
      </c>
      <c r="E98" s="525">
        <v>0</v>
      </c>
      <c r="F98" s="525">
        <f t="shared" si="6"/>
        <v>0</v>
      </c>
    </row>
    <row r="99" spans="1:6" ht="15.75" customHeight="1" x14ac:dyDescent="0.3">
      <c r="A99" s="534" t="s">
        <v>546</v>
      </c>
      <c r="B99" s="537" t="s">
        <v>404</v>
      </c>
      <c r="C99" s="525">
        <v>18000</v>
      </c>
      <c r="D99" s="525">
        <f t="shared" si="4"/>
        <v>18110.16</v>
      </c>
      <c r="E99" s="525">
        <v>0</v>
      </c>
      <c r="F99" s="525">
        <f t="shared" si="6"/>
        <v>-18000</v>
      </c>
    </row>
    <row r="100" spans="1:6" ht="15.75" hidden="1" customHeight="1" x14ac:dyDescent="0.3">
      <c r="A100" s="534" t="s">
        <v>546</v>
      </c>
      <c r="B100" s="535" t="s">
        <v>597</v>
      </c>
      <c r="C100" s="532"/>
      <c r="D100" s="525">
        <f t="shared" si="4"/>
        <v>0</v>
      </c>
      <c r="E100" s="525">
        <v>0</v>
      </c>
      <c r="F100" s="525">
        <f t="shared" si="6"/>
        <v>0</v>
      </c>
    </row>
    <row r="101" spans="1:6" ht="15.75" customHeight="1" x14ac:dyDescent="0.3">
      <c r="A101" s="534" t="s">
        <v>546</v>
      </c>
      <c r="B101" s="537" t="s">
        <v>384</v>
      </c>
      <c r="C101" s="525">
        <v>78000</v>
      </c>
      <c r="D101" s="525">
        <f t="shared" si="4"/>
        <v>78477.36</v>
      </c>
      <c r="E101" s="525">
        <v>58000</v>
      </c>
      <c r="F101" s="525">
        <f t="shared" si="6"/>
        <v>-20000</v>
      </c>
    </row>
    <row r="102" spans="1:6" ht="15.75" hidden="1" customHeight="1" x14ac:dyDescent="0.3">
      <c r="A102" s="534"/>
      <c r="B102" s="535" t="s">
        <v>598</v>
      </c>
      <c r="C102" s="536"/>
      <c r="D102" s="525"/>
      <c r="E102" s="525"/>
      <c r="F102" s="525"/>
    </row>
    <row r="103" spans="1:6" s="558" customFormat="1" ht="15.75" customHeight="1" x14ac:dyDescent="0.3">
      <c r="A103" s="534"/>
      <c r="B103" s="542" t="s">
        <v>599</v>
      </c>
      <c r="C103" s="553">
        <f>SUM(C76,C79,C91,C93,C95,C96,C98,C82,C99,C101)</f>
        <v>262500</v>
      </c>
      <c r="D103" s="553">
        <f>SUM(D76,D79,D91,D93,D95,D96,D98,D82,D99,D101)</f>
        <v>264106.5</v>
      </c>
      <c r="E103" s="553">
        <f>SUM(E76,E78:E80,E91:E92,E93,E95,E96,E98,E82,E99,E101)</f>
        <v>332500</v>
      </c>
      <c r="F103" s="553">
        <f>SUM(F76,F78:F80,F91:F92,F93,F95,F96,F98,F82,F99,F101)</f>
        <v>70000</v>
      </c>
    </row>
    <row r="104" spans="1:6" ht="15.75" customHeight="1" x14ac:dyDescent="0.3">
      <c r="A104" s="559"/>
      <c r="B104" s="560"/>
      <c r="C104" s="561"/>
      <c r="D104" s="525"/>
      <c r="E104" s="525"/>
      <c r="F104" s="525"/>
    </row>
    <row r="105" spans="1:6" ht="15.75" customHeight="1" x14ac:dyDescent="0.3">
      <c r="A105" s="534"/>
      <c r="B105" s="544" t="s">
        <v>600</v>
      </c>
      <c r="C105" s="525"/>
      <c r="D105" s="525"/>
      <c r="E105" s="525"/>
      <c r="F105" s="525"/>
    </row>
    <row r="106" spans="1:6" ht="15.75" customHeight="1" x14ac:dyDescent="0.3">
      <c r="A106" s="534" t="s">
        <v>523</v>
      </c>
      <c r="B106" s="537" t="s">
        <v>601</v>
      </c>
      <c r="C106" s="538" t="s">
        <v>589</v>
      </c>
      <c r="D106" s="538" t="s">
        <v>589</v>
      </c>
      <c r="E106" s="538" t="s">
        <v>589</v>
      </c>
      <c r="F106" s="538" t="s">
        <v>589</v>
      </c>
    </row>
    <row r="107" spans="1:6" ht="15.75" customHeight="1" x14ac:dyDescent="0.3">
      <c r="A107" s="534" t="s">
        <v>523</v>
      </c>
      <c r="B107" s="537" t="s">
        <v>602</v>
      </c>
      <c r="C107" s="538" t="s">
        <v>589</v>
      </c>
      <c r="D107" s="538" t="s">
        <v>589</v>
      </c>
      <c r="E107" s="538" t="s">
        <v>589</v>
      </c>
      <c r="F107" s="538" t="s">
        <v>589</v>
      </c>
    </row>
    <row r="108" spans="1:6" s="562" customFormat="1" ht="15.75" customHeight="1" x14ac:dyDescent="0.3">
      <c r="A108" s="534"/>
      <c r="B108" s="542" t="s">
        <v>603</v>
      </c>
      <c r="C108" s="543">
        <v>16300</v>
      </c>
      <c r="D108" s="553">
        <f>C108+(C108*0.612%)</f>
        <v>16399.756000000001</v>
      </c>
      <c r="E108" s="553">
        <v>16300</v>
      </c>
      <c r="F108" s="553">
        <f>E108-C108</f>
        <v>0</v>
      </c>
    </row>
    <row r="109" spans="1:6" ht="15.75" customHeight="1" x14ac:dyDescent="0.3">
      <c r="A109" s="563"/>
      <c r="B109" s="564"/>
      <c r="C109" s="565"/>
      <c r="D109" s="525"/>
      <c r="E109" s="525"/>
      <c r="F109" s="525"/>
    </row>
    <row r="110" spans="1:6" s="562" customFormat="1" ht="15.75" customHeight="1" x14ac:dyDescent="0.3">
      <c r="A110" s="534"/>
      <c r="B110" s="542" t="s">
        <v>604</v>
      </c>
      <c r="C110" s="553">
        <f>+C108+C103+C70+C16+C73</f>
        <v>1554300</v>
      </c>
      <c r="D110" s="553">
        <f>+D108+D103+D70+D16+D73</f>
        <v>1563812.3159999996</v>
      </c>
      <c r="E110" s="553">
        <f>+E108+E103+E70+E16+E73</f>
        <v>1488200</v>
      </c>
      <c r="F110" s="553">
        <f>+F108+F103+F70+F16+F73</f>
        <v>-66100</v>
      </c>
    </row>
    <row r="111" spans="1:6" s="562" customFormat="1" ht="15.75" customHeight="1" x14ac:dyDescent="0.3">
      <c r="A111" s="534"/>
      <c r="B111" s="542"/>
      <c r="C111" s="553"/>
      <c r="D111" s="565"/>
      <c r="E111" s="566"/>
      <c r="F111" s="566"/>
    </row>
    <row r="112" spans="1:6" ht="15.75" customHeight="1" x14ac:dyDescent="0.3">
      <c r="A112" s="534" t="s">
        <v>605</v>
      </c>
      <c r="B112" s="567" t="s">
        <v>606</v>
      </c>
      <c r="C112" s="536">
        <v>0</v>
      </c>
      <c r="D112" s="532">
        <v>0</v>
      </c>
      <c r="E112" s="532">
        <f>SUM(E110-E108)*7%</f>
        <v>103033.00000000001</v>
      </c>
      <c r="F112" s="532">
        <f t="shared" ref="F112:F119" si="7">E112-C112</f>
        <v>103033.00000000001</v>
      </c>
    </row>
    <row r="113" spans="1:6" ht="15.75" customHeight="1" x14ac:dyDescent="0.3">
      <c r="A113" s="534" t="s">
        <v>605</v>
      </c>
      <c r="B113" s="567" t="s">
        <v>607</v>
      </c>
      <c r="C113" s="568">
        <f>(SUM(+C110)-C108-C9-C4)*2%</f>
        <v>29060</v>
      </c>
      <c r="D113" s="568">
        <f>(SUM(+D110)-D108-D9-D4)*2%</f>
        <v>29237.847199999993</v>
      </c>
      <c r="E113" s="568">
        <f>(SUM(+E110)-E108-E11-E9-E4)*2%</f>
        <v>27310</v>
      </c>
      <c r="F113" s="532">
        <f t="shared" si="7"/>
        <v>-1750</v>
      </c>
    </row>
    <row r="114" spans="1:6" ht="15.75" customHeight="1" x14ac:dyDescent="0.3">
      <c r="A114" s="534"/>
      <c r="B114" s="569" t="s">
        <v>608</v>
      </c>
      <c r="C114" s="568">
        <v>1300</v>
      </c>
      <c r="D114" s="532">
        <v>1300</v>
      </c>
      <c r="E114" s="532">
        <v>0</v>
      </c>
      <c r="F114" s="532">
        <f t="shared" si="7"/>
        <v>-1300</v>
      </c>
    </row>
    <row r="115" spans="1:6" ht="15.75" hidden="1" customHeight="1" x14ac:dyDescent="0.3">
      <c r="A115" s="534" t="s">
        <v>605</v>
      </c>
      <c r="B115" s="567" t="s">
        <v>609</v>
      </c>
      <c r="C115" s="536"/>
      <c r="D115" s="532"/>
      <c r="E115" s="525"/>
      <c r="F115" s="532">
        <f t="shared" si="7"/>
        <v>0</v>
      </c>
    </row>
    <row r="116" spans="1:6" ht="15.75" customHeight="1" x14ac:dyDescent="0.3">
      <c r="A116" s="534"/>
      <c r="B116" s="569" t="s">
        <v>610</v>
      </c>
      <c r="C116" s="536">
        <v>0</v>
      </c>
      <c r="D116" s="532">
        <v>0</v>
      </c>
      <c r="E116" s="532">
        <v>1500</v>
      </c>
      <c r="F116" s="532">
        <f t="shared" si="7"/>
        <v>1500</v>
      </c>
    </row>
    <row r="117" spans="1:6" ht="15.75" customHeight="1" x14ac:dyDescent="0.3">
      <c r="A117" s="534"/>
      <c r="B117" s="569" t="s">
        <v>611</v>
      </c>
      <c r="C117" s="536">
        <v>0</v>
      </c>
      <c r="D117" s="532">
        <v>0</v>
      </c>
      <c r="E117" s="532">
        <v>3500</v>
      </c>
      <c r="F117" s="532">
        <f t="shared" si="7"/>
        <v>3500</v>
      </c>
    </row>
    <row r="118" spans="1:6" ht="15.75" hidden="1" customHeight="1" x14ac:dyDescent="0.3">
      <c r="A118" s="534"/>
      <c r="B118" s="569" t="s">
        <v>612</v>
      </c>
      <c r="C118" s="536"/>
      <c r="D118" s="532"/>
      <c r="E118" s="532">
        <v>15500</v>
      </c>
      <c r="F118" s="532">
        <f t="shared" si="7"/>
        <v>15500</v>
      </c>
    </row>
    <row r="119" spans="1:6" ht="15.75" customHeight="1" x14ac:dyDescent="0.3">
      <c r="A119" s="534"/>
      <c r="B119" s="569" t="s">
        <v>613</v>
      </c>
      <c r="C119" s="536">
        <v>0</v>
      </c>
      <c r="D119" s="532">
        <v>0</v>
      </c>
      <c r="E119" s="532">
        <v>2000</v>
      </c>
      <c r="F119" s="532">
        <f t="shared" si="7"/>
        <v>2000</v>
      </c>
    </row>
    <row r="120" spans="1:6" ht="15.75" customHeight="1" x14ac:dyDescent="0.3">
      <c r="A120" s="563"/>
      <c r="B120" s="570"/>
      <c r="C120" s="571"/>
      <c r="D120" s="525"/>
      <c r="E120" s="525"/>
      <c r="F120" s="525"/>
    </row>
    <row r="121" spans="1:6" ht="15.75" customHeight="1" x14ac:dyDescent="0.3">
      <c r="A121" s="534" t="s">
        <v>523</v>
      </c>
      <c r="B121" s="544" t="s">
        <v>614</v>
      </c>
      <c r="C121" s="553">
        <v>62000</v>
      </c>
      <c r="D121" s="553">
        <v>62000</v>
      </c>
      <c r="E121" s="553">
        <v>65000</v>
      </c>
      <c r="F121" s="553">
        <f>E121-C121</f>
        <v>3000</v>
      </c>
    </row>
    <row r="122" spans="1:6" ht="15.75" customHeight="1" x14ac:dyDescent="0.3">
      <c r="A122" s="534" t="s">
        <v>523</v>
      </c>
      <c r="B122" s="544" t="s">
        <v>615</v>
      </c>
      <c r="C122" s="553"/>
      <c r="D122" s="525"/>
      <c r="E122" s="525"/>
      <c r="F122" s="525"/>
    </row>
    <row r="123" spans="1:6" s="562" customFormat="1" ht="15.75" customHeight="1" x14ac:dyDescent="0.3">
      <c r="A123" s="534"/>
      <c r="B123" s="542" t="s">
        <v>616</v>
      </c>
      <c r="C123" s="553">
        <f t="shared" ref="C123:D123" si="8">+C122+C121</f>
        <v>62000</v>
      </c>
      <c r="D123" s="553">
        <f t="shared" si="8"/>
        <v>62000</v>
      </c>
      <c r="E123" s="553">
        <v>65000</v>
      </c>
      <c r="F123" s="553">
        <f>+F122+F121</f>
        <v>3000</v>
      </c>
    </row>
    <row r="124" spans="1:6" ht="15.75" customHeight="1" x14ac:dyDescent="0.3">
      <c r="A124" s="563"/>
      <c r="B124" s="564"/>
      <c r="C124" s="565"/>
      <c r="D124" s="525"/>
      <c r="E124" s="525"/>
      <c r="F124" s="525"/>
    </row>
    <row r="125" spans="1:6" ht="15.75" customHeight="1" x14ac:dyDescent="0.3">
      <c r="A125" s="563"/>
      <c r="B125" s="542"/>
      <c r="C125" s="553"/>
      <c r="D125" s="525"/>
      <c r="E125" s="525"/>
      <c r="F125" s="525"/>
    </row>
    <row r="126" spans="1:6" s="572" customFormat="1" ht="15.75" customHeight="1" x14ac:dyDescent="0.3">
      <c r="A126" s="534" t="s">
        <v>617</v>
      </c>
      <c r="B126" s="544" t="s">
        <v>618</v>
      </c>
      <c r="C126" s="553">
        <v>705000</v>
      </c>
      <c r="D126" s="553">
        <v>705000</v>
      </c>
      <c r="E126" s="553">
        <v>800000</v>
      </c>
      <c r="F126" s="553">
        <f>E126-C126</f>
        <v>95000</v>
      </c>
    </row>
    <row r="127" spans="1:6" s="572" customFormat="1" ht="15.75" customHeight="1" x14ac:dyDescent="0.3">
      <c r="A127" s="534" t="s">
        <v>617</v>
      </c>
      <c r="B127" s="573" t="s">
        <v>619</v>
      </c>
      <c r="C127" s="525">
        <v>705000</v>
      </c>
      <c r="D127" s="532">
        <v>705000</v>
      </c>
      <c r="E127" s="532">
        <v>745000</v>
      </c>
      <c r="F127" s="532">
        <f>E127-C127</f>
        <v>40000</v>
      </c>
    </row>
    <row r="128" spans="1:6" s="572" customFormat="1" ht="15.75" hidden="1" customHeight="1" x14ac:dyDescent="0.3">
      <c r="A128" s="534" t="s">
        <v>617</v>
      </c>
      <c r="B128" s="573" t="s">
        <v>620</v>
      </c>
      <c r="C128" s="539">
        <v>50000</v>
      </c>
      <c r="D128" s="532"/>
      <c r="E128" s="532">
        <v>0</v>
      </c>
      <c r="F128" s="532">
        <f>E128-C128</f>
        <v>-50000</v>
      </c>
    </row>
    <row r="129" spans="1:6" s="572" customFormat="1" ht="15.75" hidden="1" customHeight="1" x14ac:dyDescent="0.3">
      <c r="A129" s="574"/>
      <c r="B129" s="575" t="s">
        <v>621</v>
      </c>
      <c r="C129" s="539">
        <f>+C128+C126</f>
        <v>755000</v>
      </c>
      <c r="D129" s="532"/>
      <c r="E129" s="532">
        <v>0</v>
      </c>
      <c r="F129" s="532">
        <f>E129-C129</f>
        <v>-755000</v>
      </c>
    </row>
    <row r="130" spans="1:6" s="576" customFormat="1" ht="15.75" customHeight="1" x14ac:dyDescent="0.3">
      <c r="A130" s="574"/>
      <c r="B130" s="573" t="s">
        <v>622</v>
      </c>
      <c r="C130" s="532"/>
      <c r="D130" s="532"/>
      <c r="E130" s="532">
        <v>45000</v>
      </c>
      <c r="F130" s="532">
        <f>E130-C130</f>
        <v>45000</v>
      </c>
    </row>
    <row r="131" spans="1:6" s="572" customFormat="1" ht="21" customHeight="1" x14ac:dyDescent="0.3">
      <c r="A131" s="574"/>
      <c r="B131" s="577" t="s">
        <v>623</v>
      </c>
      <c r="C131" s="532"/>
      <c r="D131" s="539"/>
      <c r="E131" s="539" t="s">
        <v>624</v>
      </c>
      <c r="F131" s="539" t="str">
        <f>+E131</f>
        <v>[25,000]</v>
      </c>
    </row>
    <row r="132" spans="1:6" s="572" customFormat="1" ht="19.5" customHeight="1" x14ac:dyDescent="0.3">
      <c r="A132" s="574"/>
      <c r="B132" s="573" t="s">
        <v>625</v>
      </c>
      <c r="C132" s="532"/>
      <c r="D132" s="532"/>
      <c r="E132" s="532">
        <v>10000</v>
      </c>
      <c r="F132" s="532">
        <f>E132-C132</f>
        <v>10000</v>
      </c>
    </row>
    <row r="133" spans="1:6" s="572" customFormat="1" ht="15.75" customHeight="1" x14ac:dyDescent="0.3">
      <c r="A133" s="574"/>
      <c r="B133" s="578"/>
      <c r="C133" s="532"/>
      <c r="D133" s="532"/>
      <c r="E133" s="532"/>
      <c r="F133" s="532"/>
    </row>
    <row r="134" spans="1:6" s="572" customFormat="1" ht="15.75" customHeight="1" x14ac:dyDescent="0.3">
      <c r="A134" s="534" t="s">
        <v>523</v>
      </c>
      <c r="B134" s="557" t="s">
        <v>626</v>
      </c>
      <c r="C134" s="579">
        <v>0</v>
      </c>
      <c r="D134" s="553"/>
      <c r="E134" s="553">
        <v>0</v>
      </c>
      <c r="F134" s="553">
        <f>E134-C134</f>
        <v>0</v>
      </c>
    </row>
    <row r="135" spans="1:6" s="554" customFormat="1" ht="15.75" customHeight="1" x14ac:dyDescent="0.3">
      <c r="A135" s="574"/>
      <c r="B135" s="578"/>
      <c r="C135" s="532"/>
      <c r="D135" s="553"/>
      <c r="E135" s="553"/>
      <c r="F135" s="553"/>
    </row>
    <row r="136" spans="1:6" ht="15.75" customHeight="1" x14ac:dyDescent="0.3">
      <c r="A136" s="556"/>
      <c r="B136" s="542" t="s">
        <v>627</v>
      </c>
      <c r="C136" s="553">
        <f>+C126+C122+C121</f>
        <v>767000</v>
      </c>
      <c r="D136" s="543">
        <f>+D126+D122+D121</f>
        <v>767000</v>
      </c>
      <c r="E136" s="543">
        <f>+E126+E122+E121</f>
        <v>865000</v>
      </c>
      <c r="F136" s="543">
        <f>+F126+F123+F134</f>
        <v>98000</v>
      </c>
    </row>
    <row r="137" spans="1:6" s="580" customFormat="1" ht="15.75" customHeight="1" x14ac:dyDescent="0.3">
      <c r="A137" s="534"/>
      <c r="B137" s="542"/>
      <c r="C137" s="525"/>
      <c r="D137" s="553"/>
      <c r="E137" s="553"/>
      <c r="F137" s="553"/>
    </row>
    <row r="138" spans="1:6" s="562" customFormat="1" ht="15.75" customHeight="1" x14ac:dyDescent="0.3">
      <c r="A138" s="556"/>
      <c r="B138" s="542" t="s">
        <v>628</v>
      </c>
      <c r="C138" s="553">
        <f>+C136+C110</f>
        <v>2321300</v>
      </c>
      <c r="D138" s="543">
        <f>+D136+D110</f>
        <v>2330812.3159999996</v>
      </c>
      <c r="E138" s="543">
        <f>+E136+E110</f>
        <v>2353200</v>
      </c>
      <c r="F138" s="543">
        <f>E138-C138</f>
        <v>31900</v>
      </c>
    </row>
    <row r="139" spans="1:6" ht="15.75" customHeight="1" x14ac:dyDescent="0.3">
      <c r="A139" s="563"/>
      <c r="B139" s="581"/>
      <c r="C139" s="565"/>
      <c r="D139" s="525"/>
      <c r="E139" s="525"/>
      <c r="F139" s="525"/>
    </row>
    <row r="140" spans="1:6" ht="15.75" hidden="1" customHeight="1" x14ac:dyDescent="0.3">
      <c r="A140" s="534"/>
      <c r="B140" s="537" t="s">
        <v>629</v>
      </c>
      <c r="C140" s="538">
        <f>+C155</f>
        <v>4000</v>
      </c>
      <c r="D140" s="525">
        <f>+D155</f>
        <v>0</v>
      </c>
      <c r="E140" s="525"/>
      <c r="F140" s="525"/>
    </row>
    <row r="141" spans="1:6" s="554" customFormat="1" ht="15.75" hidden="1" customHeight="1" x14ac:dyDescent="0.3">
      <c r="A141" s="534"/>
      <c r="B141" s="537" t="s">
        <v>630</v>
      </c>
      <c r="C141" s="538"/>
      <c r="D141" s="553"/>
      <c r="E141" s="553"/>
      <c r="F141" s="553"/>
    </row>
    <row r="142" spans="1:6" ht="15.75" hidden="1" customHeight="1" x14ac:dyDescent="0.3">
      <c r="A142" s="556"/>
      <c r="B142" s="542" t="s">
        <v>631</v>
      </c>
      <c r="C142" s="553">
        <f t="shared" ref="C142" si="9">SUM(C140:C141)</f>
        <v>4000</v>
      </c>
      <c r="D142" s="525">
        <f t="shared" ref="D142" si="10">SUM(D140:D141)</f>
        <v>0</v>
      </c>
      <c r="E142" s="525"/>
      <c r="F142" s="525"/>
    </row>
    <row r="143" spans="1:6" s="554" customFormat="1" ht="15.75" hidden="1" customHeight="1" x14ac:dyDescent="0.3">
      <c r="A143" s="534"/>
      <c r="B143" s="537"/>
      <c r="C143" s="525"/>
      <c r="D143" s="553"/>
      <c r="E143" s="553"/>
      <c r="F143" s="553"/>
    </row>
    <row r="144" spans="1:6" s="583" customFormat="1" ht="15.75" hidden="1" customHeight="1" x14ac:dyDescent="0.3">
      <c r="A144" s="556"/>
      <c r="B144" s="542" t="s">
        <v>632</v>
      </c>
      <c r="C144" s="553">
        <f t="shared" ref="C144:D144" si="11">C138+C142</f>
        <v>2325300</v>
      </c>
      <c r="D144" s="582">
        <f t="shared" si="11"/>
        <v>2330812.3159999996</v>
      </c>
      <c r="E144" s="582"/>
      <c r="F144" s="582"/>
    </row>
    <row r="145" spans="1:6" s="583" customFormat="1" ht="15.75" hidden="1" customHeight="1" x14ac:dyDescent="0.3">
      <c r="A145" s="556"/>
      <c r="B145" s="542"/>
      <c r="C145" s="553"/>
      <c r="D145" s="582"/>
      <c r="E145" s="582"/>
      <c r="F145" s="582"/>
    </row>
    <row r="146" spans="1:6" s="554" customFormat="1" ht="21.75" customHeight="1" x14ac:dyDescent="0.3">
      <c r="A146" s="584"/>
      <c r="B146" s="537" t="s">
        <v>633</v>
      </c>
      <c r="C146" s="538">
        <v>-55000</v>
      </c>
      <c r="D146" s="525">
        <v>-55000</v>
      </c>
      <c r="E146" s="525">
        <v>-47000</v>
      </c>
      <c r="F146" s="525">
        <f>E146-C146</f>
        <v>8000</v>
      </c>
    </row>
    <row r="147" spans="1:6" s="554" customFormat="1" ht="15.75" hidden="1" customHeight="1" x14ac:dyDescent="0.3">
      <c r="A147" s="770" t="s">
        <v>634</v>
      </c>
      <c r="B147" s="771"/>
      <c r="C147" s="771"/>
      <c r="D147" s="580"/>
      <c r="E147" s="580"/>
      <c r="F147" s="580"/>
    </row>
    <row r="148" spans="1:6" ht="15.75" hidden="1" customHeight="1" x14ac:dyDescent="0.3">
      <c r="A148" s="584"/>
      <c r="B148" s="575"/>
      <c r="C148" s="538"/>
    </row>
    <row r="149" spans="1:6" ht="15.75" hidden="1" customHeight="1" x14ac:dyDescent="0.3">
      <c r="A149" s="586"/>
      <c r="B149" s="526" t="s">
        <v>635</v>
      </c>
      <c r="C149" s="587"/>
    </row>
    <row r="150" spans="1:6" ht="15.75" hidden="1" customHeight="1" x14ac:dyDescent="0.3">
      <c r="A150" s="586" t="s">
        <v>546</v>
      </c>
      <c r="B150" s="588" t="s">
        <v>636</v>
      </c>
      <c r="C150" s="523"/>
    </row>
    <row r="151" spans="1:6" ht="15.75" hidden="1" customHeight="1" x14ac:dyDescent="0.3">
      <c r="A151" s="586" t="s">
        <v>546</v>
      </c>
      <c r="B151" s="588" t="s">
        <v>547</v>
      </c>
      <c r="C151" s="523"/>
    </row>
    <row r="152" spans="1:6" ht="15.75" hidden="1" customHeight="1" x14ac:dyDescent="0.3">
      <c r="A152" s="586" t="s">
        <v>523</v>
      </c>
      <c r="B152" s="588" t="s">
        <v>637</v>
      </c>
      <c r="C152" s="523"/>
    </row>
    <row r="153" spans="1:6" ht="15.75" hidden="1" customHeight="1" x14ac:dyDescent="0.3">
      <c r="A153" s="586" t="s">
        <v>525</v>
      </c>
      <c r="B153" s="588" t="s">
        <v>638</v>
      </c>
      <c r="C153" s="589">
        <v>3000</v>
      </c>
    </row>
    <row r="154" spans="1:6" ht="15.75" hidden="1" customHeight="1" x14ac:dyDescent="0.3">
      <c r="A154" s="586" t="s">
        <v>525</v>
      </c>
      <c r="B154" s="537" t="s">
        <v>639</v>
      </c>
      <c r="C154" s="589">
        <v>1000</v>
      </c>
    </row>
    <row r="155" spans="1:6" s="562" customFormat="1" ht="15.75" hidden="1" customHeight="1" x14ac:dyDescent="0.3">
      <c r="A155" s="586"/>
      <c r="B155" s="590" t="s">
        <v>640</v>
      </c>
      <c r="C155" s="591">
        <f>SUM(C150:C154)</f>
        <v>4000</v>
      </c>
      <c r="D155" s="592"/>
      <c r="E155" s="592"/>
      <c r="F155" s="592"/>
    </row>
    <row r="156" spans="1:6" ht="15.75" hidden="1" customHeight="1" x14ac:dyDescent="0.3">
      <c r="A156" s="593"/>
      <c r="B156" s="594"/>
      <c r="C156" s="595"/>
    </row>
    <row r="157" spans="1:6" ht="15.75" hidden="1" customHeight="1" x14ac:dyDescent="0.3">
      <c r="A157" s="586"/>
      <c r="B157" s="526" t="s">
        <v>641</v>
      </c>
      <c r="C157" s="596"/>
    </row>
    <row r="158" spans="1:6" ht="15.75" hidden="1" customHeight="1" x14ac:dyDescent="0.3">
      <c r="A158" s="586" t="s">
        <v>523</v>
      </c>
      <c r="B158" s="588" t="s">
        <v>289</v>
      </c>
      <c r="C158" s="589"/>
    </row>
    <row r="159" spans="1:6" ht="15.75" hidden="1" customHeight="1" x14ac:dyDescent="0.3">
      <c r="A159" s="586" t="s">
        <v>525</v>
      </c>
      <c r="B159" s="597" t="s">
        <v>642</v>
      </c>
      <c r="C159" s="598"/>
    </row>
    <row r="160" spans="1:6" s="572" customFormat="1" ht="17.25" hidden="1" customHeight="1" x14ac:dyDescent="0.3">
      <c r="A160" s="586" t="s">
        <v>643</v>
      </c>
      <c r="B160" s="599" t="s">
        <v>644</v>
      </c>
      <c r="C160" s="598"/>
      <c r="D160" s="600"/>
      <c r="E160" s="600"/>
      <c r="F160" s="600"/>
    </row>
    <row r="161" spans="1:6" s="572" customFormat="1" ht="17.25" hidden="1" customHeight="1" x14ac:dyDescent="0.3">
      <c r="A161" s="586" t="s">
        <v>557</v>
      </c>
      <c r="B161" s="597" t="s">
        <v>563</v>
      </c>
      <c r="C161" s="589"/>
      <c r="D161" s="600"/>
      <c r="E161" s="600"/>
      <c r="F161" s="600"/>
    </row>
    <row r="162" spans="1:6" s="572" customFormat="1" ht="17.25" hidden="1" customHeight="1" x14ac:dyDescent="0.3">
      <c r="A162" s="586" t="s">
        <v>557</v>
      </c>
      <c r="B162" s="597" t="s">
        <v>645</v>
      </c>
      <c r="C162" s="589"/>
      <c r="D162" s="600"/>
      <c r="E162" s="600"/>
      <c r="F162" s="600"/>
    </row>
    <row r="163" spans="1:6" ht="15.75" hidden="1" customHeight="1" x14ac:dyDescent="0.3">
      <c r="A163" s="586" t="s">
        <v>525</v>
      </c>
      <c r="B163" s="588" t="s">
        <v>286</v>
      </c>
      <c r="C163" s="589"/>
    </row>
    <row r="164" spans="1:6" ht="15.75" hidden="1" customHeight="1" x14ac:dyDescent="0.3">
      <c r="A164" s="586" t="s">
        <v>525</v>
      </c>
      <c r="B164" s="597" t="s">
        <v>550</v>
      </c>
      <c r="C164" s="598"/>
    </row>
    <row r="165" spans="1:6" ht="15.75" hidden="1" customHeight="1" x14ac:dyDescent="0.3">
      <c r="A165" s="586" t="s">
        <v>525</v>
      </c>
      <c r="B165" s="597" t="s">
        <v>551</v>
      </c>
      <c r="C165" s="598"/>
    </row>
    <row r="166" spans="1:6" ht="15.75" hidden="1" customHeight="1" x14ac:dyDescent="0.3">
      <c r="A166" s="586" t="s">
        <v>525</v>
      </c>
      <c r="B166" s="597" t="s">
        <v>552</v>
      </c>
      <c r="C166" s="598"/>
    </row>
    <row r="167" spans="1:6" ht="15.75" hidden="1" customHeight="1" x14ac:dyDescent="0.3">
      <c r="A167" s="586" t="s">
        <v>520</v>
      </c>
      <c r="B167" s="588" t="s">
        <v>646</v>
      </c>
      <c r="C167" s="523"/>
    </row>
    <row r="168" spans="1:6" s="603" customFormat="1" ht="15.75" hidden="1" customHeight="1" x14ac:dyDescent="0.3">
      <c r="A168" s="586" t="s">
        <v>520</v>
      </c>
      <c r="B168" s="601" t="s">
        <v>647</v>
      </c>
      <c r="C168" s="523"/>
      <c r="D168" s="602"/>
      <c r="E168" s="602"/>
      <c r="F168" s="602"/>
    </row>
    <row r="169" spans="1:6" s="572" customFormat="1" ht="15.75" hidden="1" customHeight="1" x14ac:dyDescent="0.3">
      <c r="A169" s="586" t="s">
        <v>525</v>
      </c>
      <c r="B169" s="588" t="s">
        <v>648</v>
      </c>
      <c r="C169" s="523"/>
      <c r="D169" s="600"/>
      <c r="E169" s="600"/>
      <c r="F169" s="600"/>
    </row>
    <row r="170" spans="1:6" ht="15.75" hidden="1" customHeight="1" x14ac:dyDescent="0.3">
      <c r="A170" s="586" t="s">
        <v>523</v>
      </c>
      <c r="B170" s="529" t="s">
        <v>649</v>
      </c>
      <c r="C170" s="523"/>
    </row>
    <row r="171" spans="1:6" s="572" customFormat="1" ht="17.25" hidden="1" customHeight="1" x14ac:dyDescent="0.3">
      <c r="A171" s="586" t="s">
        <v>523</v>
      </c>
      <c r="B171" s="529" t="s">
        <v>650</v>
      </c>
      <c r="C171" s="523"/>
      <c r="D171" s="600"/>
      <c r="E171" s="600"/>
      <c r="F171" s="600"/>
    </row>
    <row r="172" spans="1:6" s="572" customFormat="1" ht="17.25" hidden="1" customHeight="1" x14ac:dyDescent="0.3">
      <c r="A172" s="586" t="s">
        <v>523</v>
      </c>
      <c r="B172" s="597" t="s">
        <v>651</v>
      </c>
      <c r="C172" s="523"/>
      <c r="D172" s="600"/>
      <c r="E172" s="600"/>
      <c r="F172" s="600"/>
    </row>
    <row r="173" spans="1:6" s="572" customFormat="1" ht="17.25" hidden="1" customHeight="1" x14ac:dyDescent="0.3">
      <c r="A173" s="586" t="s">
        <v>523</v>
      </c>
      <c r="B173" s="597" t="s">
        <v>652</v>
      </c>
      <c r="C173" s="523"/>
      <c r="D173" s="600"/>
      <c r="E173" s="600"/>
      <c r="F173" s="600"/>
    </row>
    <row r="174" spans="1:6" s="605" customFormat="1" ht="15.75" hidden="1" customHeight="1" x14ac:dyDescent="0.3">
      <c r="A174" s="596"/>
      <c r="B174" s="590" t="s">
        <v>653</v>
      </c>
      <c r="C174" s="591"/>
      <c r="D174" s="604"/>
      <c r="E174" s="604"/>
      <c r="F174" s="604"/>
    </row>
    <row r="175" spans="1:6" ht="15.75" hidden="1" customHeight="1" x14ac:dyDescent="0.3">
      <c r="A175" s="595"/>
      <c r="B175" s="594"/>
      <c r="C175" s="606"/>
    </row>
    <row r="176" spans="1:6" s="585" customFormat="1" ht="18" customHeight="1" x14ac:dyDescent="0.3">
      <c r="A176" s="772" t="s">
        <v>654</v>
      </c>
      <c r="B176" s="772"/>
      <c r="C176" s="772"/>
      <c r="D176" s="773"/>
      <c r="E176" s="773"/>
      <c r="F176" s="773"/>
    </row>
    <row r="177" spans="1:6" s="608" customFormat="1" x14ac:dyDescent="0.3">
      <c r="A177" s="772" t="s">
        <v>655</v>
      </c>
      <c r="B177" s="772"/>
      <c r="C177" s="772"/>
      <c r="D177" s="607"/>
      <c r="E177" s="607"/>
      <c r="F177" s="607"/>
    </row>
    <row r="178" spans="1:6" s="608" customFormat="1" ht="22.5" hidden="1" customHeight="1" x14ac:dyDescent="0.3">
      <c r="A178" s="769" t="s">
        <v>656</v>
      </c>
      <c r="B178" s="769"/>
      <c r="C178" s="769"/>
      <c r="D178" s="607"/>
      <c r="E178" s="607"/>
      <c r="F178" s="607"/>
    </row>
    <row r="179" spans="1:6" s="608" customFormat="1" ht="17.399999999999999" hidden="1" x14ac:dyDescent="0.3">
      <c r="A179" s="769" t="s">
        <v>657</v>
      </c>
      <c r="B179" s="769"/>
      <c r="C179" s="769"/>
      <c r="D179" s="607"/>
      <c r="E179" s="607"/>
      <c r="F179" s="607"/>
    </row>
    <row r="180" spans="1:6" s="608" customFormat="1" ht="17.399999999999999" hidden="1" x14ac:dyDescent="0.3">
      <c r="A180" s="769" t="s">
        <v>658</v>
      </c>
      <c r="B180" s="769"/>
      <c r="C180" s="769"/>
      <c r="D180" s="607"/>
      <c r="E180" s="607"/>
      <c r="F180" s="607"/>
    </row>
    <row r="181" spans="1:6" s="608" customFormat="1" ht="24" hidden="1" customHeight="1" x14ac:dyDescent="0.3">
      <c r="A181" s="769" t="s">
        <v>659</v>
      </c>
      <c r="B181" s="769"/>
      <c r="C181" s="769"/>
      <c r="D181" s="607"/>
      <c r="E181" s="607"/>
      <c r="F181" s="607"/>
    </row>
    <row r="182" spans="1:6" s="608" customFormat="1" ht="22.5" hidden="1" customHeight="1" x14ac:dyDescent="0.3">
      <c r="A182" s="769" t="s">
        <v>660</v>
      </c>
      <c r="B182" s="769"/>
      <c r="C182" s="769"/>
      <c r="D182" s="607"/>
      <c r="E182" s="607"/>
      <c r="F182" s="607"/>
    </row>
    <row r="183" spans="1:6" s="610" customFormat="1" ht="17.399999999999999" hidden="1" x14ac:dyDescent="0.3">
      <c r="A183" s="769" t="s">
        <v>661</v>
      </c>
      <c r="B183" s="769"/>
      <c r="C183" s="769"/>
      <c r="D183" s="609"/>
      <c r="E183" s="609"/>
      <c r="F183" s="609"/>
    </row>
    <row r="184" spans="1:6" s="610" customFormat="1" ht="44.25" hidden="1" customHeight="1" x14ac:dyDescent="0.3">
      <c r="A184" s="769" t="s">
        <v>662</v>
      </c>
      <c r="B184" s="769"/>
      <c r="C184" s="769"/>
      <c r="D184" s="609"/>
      <c r="E184" s="609"/>
      <c r="F184" s="609"/>
    </row>
    <row r="185" spans="1:6" s="610" customFormat="1" ht="22.5" hidden="1" customHeight="1" x14ac:dyDescent="0.3">
      <c r="A185" s="769" t="s">
        <v>663</v>
      </c>
      <c r="B185" s="769"/>
      <c r="C185" s="769"/>
      <c r="D185" s="609"/>
      <c r="E185" s="609"/>
      <c r="F185" s="609"/>
    </row>
    <row r="186" spans="1:6" s="610" customFormat="1" ht="22.5" hidden="1" customHeight="1" x14ac:dyDescent="0.3">
      <c r="A186" s="769" t="s">
        <v>664</v>
      </c>
      <c r="B186" s="769"/>
      <c r="C186" s="769"/>
      <c r="D186" s="609"/>
      <c r="E186" s="609"/>
      <c r="F186" s="609"/>
    </row>
    <row r="187" spans="1:6" s="610" customFormat="1" ht="22.5" hidden="1" customHeight="1" x14ac:dyDescent="0.3">
      <c r="A187" s="769" t="s">
        <v>665</v>
      </c>
      <c r="B187" s="769"/>
      <c r="C187" s="769"/>
      <c r="D187" s="609"/>
      <c r="E187" s="609"/>
      <c r="F187" s="609"/>
    </row>
    <row r="188" spans="1:6" s="610" customFormat="1" ht="22.5" hidden="1" customHeight="1" x14ac:dyDescent="0.3">
      <c r="A188" s="769" t="s">
        <v>666</v>
      </c>
      <c r="B188" s="769"/>
      <c r="C188" s="769"/>
      <c r="D188" s="609"/>
      <c r="E188" s="609"/>
      <c r="F188" s="609"/>
    </row>
    <row r="189" spans="1:6" s="610" customFormat="1" ht="22.5" hidden="1" customHeight="1" x14ac:dyDescent="0.3">
      <c r="A189" s="769" t="s">
        <v>667</v>
      </c>
      <c r="B189" s="769"/>
      <c r="C189" s="769"/>
      <c r="D189" s="609"/>
      <c r="E189" s="609"/>
      <c r="F189" s="609"/>
    </row>
    <row r="190" spans="1:6" s="610" customFormat="1" ht="19.5" hidden="1" customHeight="1" x14ac:dyDescent="0.3">
      <c r="A190" s="769" t="s">
        <v>668</v>
      </c>
      <c r="B190" s="769"/>
      <c r="C190" s="769"/>
      <c r="D190" s="609"/>
      <c r="E190" s="609"/>
      <c r="F190" s="609"/>
    </row>
    <row r="191" spans="1:6" s="610" customFormat="1" x14ac:dyDescent="0.3">
      <c r="A191" s="772" t="s">
        <v>669</v>
      </c>
      <c r="B191" s="772"/>
      <c r="C191" s="772"/>
      <c r="D191" s="609"/>
      <c r="E191" s="609"/>
      <c r="F191" s="609"/>
    </row>
    <row r="192" spans="1:6" s="610" customFormat="1" ht="34.950000000000003" customHeight="1" x14ac:dyDescent="0.3">
      <c r="A192" s="774" t="s">
        <v>670</v>
      </c>
      <c r="B192" s="773"/>
      <c r="C192" s="773"/>
      <c r="D192" s="773"/>
      <c r="E192" s="773"/>
      <c r="F192" s="773"/>
    </row>
    <row r="193" spans="1:6" s="611" customFormat="1" ht="30.6" customHeight="1" x14ac:dyDescent="0.35">
      <c r="A193" s="774" t="s">
        <v>671</v>
      </c>
      <c r="B193" s="773"/>
      <c r="C193" s="773"/>
      <c r="D193" s="773"/>
      <c r="E193" s="773"/>
      <c r="F193" s="773"/>
    </row>
    <row r="194" spans="1:6" ht="13.2" x14ac:dyDescent="0.25">
      <c r="A194" s="612"/>
      <c r="D194" s="522"/>
      <c r="E194" s="522"/>
      <c r="F194" s="522"/>
    </row>
    <row r="195" spans="1:6" ht="13.2" x14ac:dyDescent="0.25">
      <c r="A195" s="612"/>
      <c r="D195" s="522"/>
      <c r="E195" s="522"/>
      <c r="F195" s="522"/>
    </row>
    <row r="196" spans="1:6" ht="13.2" x14ac:dyDescent="0.25">
      <c r="A196" s="612"/>
      <c r="D196" s="522"/>
      <c r="E196" s="522"/>
      <c r="F196" s="522"/>
    </row>
    <row r="197" spans="1:6" ht="13.2" x14ac:dyDescent="0.25">
      <c r="A197" s="612"/>
      <c r="D197" s="522"/>
      <c r="E197" s="522"/>
      <c r="F197" s="522"/>
    </row>
    <row r="198" spans="1:6" ht="13.2" x14ac:dyDescent="0.25">
      <c r="A198" s="612"/>
      <c r="D198" s="522"/>
      <c r="E198" s="522"/>
      <c r="F198" s="522"/>
    </row>
    <row r="199" spans="1:6" ht="13.2" x14ac:dyDescent="0.25">
      <c r="A199" s="612"/>
      <c r="D199" s="522"/>
      <c r="E199" s="522"/>
      <c r="F199" s="522"/>
    </row>
    <row r="200" spans="1:6" ht="13.2" x14ac:dyDescent="0.25">
      <c r="A200" s="612"/>
      <c r="C200" s="522"/>
      <c r="D200" s="522"/>
      <c r="E200" s="522"/>
      <c r="F200" s="522"/>
    </row>
    <row r="201" spans="1:6" ht="13.2" x14ac:dyDescent="0.25">
      <c r="A201" s="612"/>
      <c r="C201" s="522"/>
      <c r="D201" s="522"/>
      <c r="E201" s="522"/>
      <c r="F201" s="522"/>
    </row>
    <row r="202" spans="1:6" ht="13.2" x14ac:dyDescent="0.25">
      <c r="A202" s="612"/>
      <c r="C202" s="522"/>
      <c r="D202" s="522"/>
      <c r="E202" s="522"/>
      <c r="F202" s="522"/>
    </row>
    <row r="203" spans="1:6" ht="13.2" x14ac:dyDescent="0.25">
      <c r="A203" s="612"/>
      <c r="C203" s="522"/>
      <c r="D203" s="522"/>
      <c r="E203" s="522"/>
      <c r="F203" s="522"/>
    </row>
    <row r="204" spans="1:6" ht="13.2" x14ac:dyDescent="0.25">
      <c r="A204" s="612"/>
      <c r="C204" s="522"/>
      <c r="D204" s="522"/>
      <c r="E204" s="522"/>
      <c r="F204" s="522"/>
    </row>
    <row r="205" spans="1:6" ht="13.2" x14ac:dyDescent="0.25">
      <c r="A205" s="612"/>
      <c r="C205" s="522"/>
      <c r="D205" s="522"/>
      <c r="E205" s="522"/>
      <c r="F205" s="522"/>
    </row>
    <row r="206" spans="1:6" ht="13.2" x14ac:dyDescent="0.25">
      <c r="A206" s="612"/>
      <c r="C206" s="522"/>
      <c r="D206" s="522"/>
      <c r="E206" s="522"/>
      <c r="F206" s="522"/>
    </row>
    <row r="207" spans="1:6" ht="13.2" x14ac:dyDescent="0.25">
      <c r="A207" s="612"/>
      <c r="C207" s="522"/>
      <c r="D207" s="522"/>
      <c r="E207" s="522"/>
      <c r="F207" s="522"/>
    </row>
    <row r="208" spans="1:6" ht="13.2" x14ac:dyDescent="0.25">
      <c r="A208" s="612"/>
      <c r="C208" s="522"/>
      <c r="D208" s="522"/>
      <c r="E208" s="522"/>
      <c r="F208" s="522"/>
    </row>
    <row r="209" spans="1:6" ht="13.2" x14ac:dyDescent="0.25">
      <c r="A209" s="612"/>
      <c r="C209" s="522"/>
      <c r="D209" s="522"/>
      <c r="E209" s="522"/>
      <c r="F209" s="522"/>
    </row>
    <row r="210" spans="1:6" ht="13.2" x14ac:dyDescent="0.25">
      <c r="A210" s="612"/>
      <c r="C210" s="522"/>
      <c r="D210" s="522"/>
      <c r="E210" s="522"/>
      <c r="F210" s="522"/>
    </row>
    <row r="211" spans="1:6" ht="13.2" x14ac:dyDescent="0.25">
      <c r="A211" s="612"/>
      <c r="C211" s="522"/>
      <c r="D211" s="522"/>
      <c r="E211" s="522"/>
      <c r="F211" s="522"/>
    </row>
    <row r="212" spans="1:6" ht="13.2" x14ac:dyDescent="0.25">
      <c r="A212" s="612"/>
      <c r="C212" s="522"/>
      <c r="D212" s="522"/>
      <c r="E212" s="522"/>
      <c r="F212" s="522"/>
    </row>
    <row r="213" spans="1:6" ht="13.2" x14ac:dyDescent="0.25">
      <c r="A213" s="612"/>
      <c r="C213" s="522"/>
      <c r="D213" s="522"/>
      <c r="E213" s="522"/>
      <c r="F213" s="522"/>
    </row>
    <row r="214" spans="1:6" ht="13.2" x14ac:dyDescent="0.25">
      <c r="A214" s="612"/>
      <c r="C214" s="522"/>
      <c r="D214" s="522"/>
      <c r="E214" s="522"/>
      <c r="F214" s="522"/>
    </row>
    <row r="215" spans="1:6" ht="13.2" x14ac:dyDescent="0.25">
      <c r="A215" s="612"/>
      <c r="C215" s="522"/>
      <c r="D215" s="522"/>
      <c r="E215" s="522"/>
      <c r="F215" s="522"/>
    </row>
    <row r="216" spans="1:6" ht="13.2" x14ac:dyDescent="0.25">
      <c r="A216" s="612"/>
      <c r="C216" s="522"/>
      <c r="D216" s="522"/>
      <c r="E216" s="522"/>
      <c r="F216" s="522"/>
    </row>
    <row r="217" spans="1:6" ht="13.2" x14ac:dyDescent="0.25">
      <c r="A217" s="612"/>
      <c r="C217" s="522"/>
      <c r="D217" s="522"/>
      <c r="E217" s="522"/>
      <c r="F217" s="522"/>
    </row>
    <row r="218" spans="1:6" ht="13.2" x14ac:dyDescent="0.25">
      <c r="A218" s="612"/>
      <c r="C218" s="522"/>
      <c r="D218" s="522"/>
      <c r="E218" s="522"/>
      <c r="F218" s="522"/>
    </row>
    <row r="219" spans="1:6" ht="13.2" x14ac:dyDescent="0.25">
      <c r="A219" s="612"/>
      <c r="C219" s="522"/>
      <c r="D219" s="522"/>
      <c r="E219" s="522"/>
      <c r="F219" s="522"/>
    </row>
    <row r="220" spans="1:6" ht="13.2" x14ac:dyDescent="0.25">
      <c r="A220" s="612"/>
      <c r="C220" s="522"/>
      <c r="D220" s="522"/>
      <c r="E220" s="522"/>
      <c r="F220" s="522"/>
    </row>
    <row r="221" spans="1:6" ht="13.2" x14ac:dyDescent="0.25">
      <c r="A221" s="612"/>
      <c r="C221" s="522"/>
      <c r="D221" s="522"/>
      <c r="E221" s="522"/>
      <c r="F221" s="522"/>
    </row>
    <row r="222" spans="1:6" ht="13.2" x14ac:dyDescent="0.25">
      <c r="A222" s="612"/>
      <c r="C222" s="522"/>
      <c r="D222" s="522"/>
      <c r="E222" s="522"/>
      <c r="F222" s="522"/>
    </row>
    <row r="223" spans="1:6" ht="13.2" x14ac:dyDescent="0.25">
      <c r="A223" s="612"/>
      <c r="C223" s="522"/>
      <c r="D223" s="522"/>
      <c r="E223" s="522"/>
      <c r="F223" s="522"/>
    </row>
    <row r="224" spans="1:6" ht="13.2" x14ac:dyDescent="0.25">
      <c r="A224" s="612"/>
      <c r="C224" s="522"/>
      <c r="D224" s="522"/>
      <c r="E224" s="522"/>
      <c r="F224" s="522"/>
    </row>
    <row r="225" spans="1:6" ht="13.2" x14ac:dyDescent="0.25">
      <c r="A225" s="612"/>
      <c r="C225" s="522"/>
      <c r="D225" s="522"/>
      <c r="E225" s="522"/>
      <c r="F225" s="522"/>
    </row>
    <row r="226" spans="1:6" ht="13.2" x14ac:dyDescent="0.25">
      <c r="A226" s="612"/>
      <c r="C226" s="522"/>
      <c r="D226" s="522"/>
      <c r="E226" s="522"/>
      <c r="F226" s="522"/>
    </row>
    <row r="227" spans="1:6" ht="13.2" x14ac:dyDescent="0.25">
      <c r="A227" s="612"/>
      <c r="C227" s="522"/>
      <c r="D227" s="522"/>
      <c r="E227" s="522"/>
      <c r="F227" s="522"/>
    </row>
    <row r="228" spans="1:6" ht="13.2" x14ac:dyDescent="0.25">
      <c r="A228" s="612"/>
      <c r="C228" s="522"/>
      <c r="D228" s="522"/>
      <c r="E228" s="522"/>
      <c r="F228" s="522"/>
    </row>
    <row r="229" spans="1:6" ht="13.2" x14ac:dyDescent="0.25">
      <c r="A229" s="612"/>
      <c r="C229" s="522"/>
      <c r="D229" s="522"/>
      <c r="E229" s="522"/>
      <c r="F229" s="522"/>
    </row>
    <row r="230" spans="1:6" ht="13.2" x14ac:dyDescent="0.25">
      <c r="A230" s="612"/>
      <c r="C230" s="522"/>
      <c r="D230" s="522"/>
      <c r="E230" s="522"/>
      <c r="F230" s="522"/>
    </row>
    <row r="231" spans="1:6" ht="13.2" x14ac:dyDescent="0.25">
      <c r="A231" s="612"/>
      <c r="C231" s="522"/>
      <c r="D231" s="522"/>
      <c r="E231" s="522"/>
      <c r="F231" s="522"/>
    </row>
    <row r="232" spans="1:6" x14ac:dyDescent="0.3">
      <c r="A232" s="612"/>
    </row>
    <row r="233" spans="1:6" x14ac:dyDescent="0.3">
      <c r="A233" s="612"/>
    </row>
    <row r="234" spans="1:6" x14ac:dyDescent="0.3">
      <c r="A234" s="612"/>
    </row>
    <row r="235" spans="1:6" x14ac:dyDescent="0.3">
      <c r="A235" s="612"/>
    </row>
    <row r="236" spans="1:6" x14ac:dyDescent="0.3">
      <c r="A236" s="612"/>
    </row>
    <row r="237" spans="1:6" x14ac:dyDescent="0.3">
      <c r="A237" s="612"/>
      <c r="B237" s="615"/>
      <c r="C237" s="616"/>
    </row>
    <row r="238" spans="1:6" x14ac:dyDescent="0.3">
      <c r="A238" s="612"/>
      <c r="B238" s="617"/>
      <c r="C238" s="616"/>
    </row>
    <row r="239" spans="1:6" x14ac:dyDescent="0.3">
      <c r="A239" s="612"/>
      <c r="B239" s="618"/>
      <c r="C239" s="619"/>
    </row>
    <row r="240" spans="1:6" x14ac:dyDescent="0.3">
      <c r="A240" s="612"/>
      <c r="B240" s="617"/>
      <c r="C240" s="616"/>
    </row>
    <row r="241" spans="1:6" x14ac:dyDescent="0.3">
      <c r="A241" s="612"/>
      <c r="B241" s="618"/>
      <c r="C241" s="616"/>
    </row>
    <row r="242" spans="1:6" x14ac:dyDescent="0.3">
      <c r="A242" s="612"/>
      <c r="B242" s="617"/>
      <c r="C242" s="616"/>
    </row>
    <row r="243" spans="1:6" x14ac:dyDescent="0.3">
      <c r="A243" s="612"/>
      <c r="B243" s="617"/>
      <c r="C243" s="616"/>
    </row>
    <row r="244" spans="1:6" x14ac:dyDescent="0.3">
      <c r="A244" s="612"/>
      <c r="B244" s="618"/>
      <c r="C244" s="619"/>
    </row>
    <row r="245" spans="1:6" x14ac:dyDescent="0.3">
      <c r="A245" s="612"/>
      <c r="B245" s="618"/>
      <c r="C245" s="619"/>
    </row>
    <row r="246" spans="1:6" x14ac:dyDescent="0.3">
      <c r="A246" s="612"/>
      <c r="B246" s="617"/>
      <c r="C246" s="616"/>
    </row>
    <row r="247" spans="1:6" s="612" customFormat="1" x14ac:dyDescent="0.3">
      <c r="B247" s="617"/>
      <c r="C247" s="616"/>
      <c r="D247" s="620"/>
      <c r="E247" s="620"/>
      <c r="F247" s="620"/>
    </row>
    <row r="248" spans="1:6" s="612" customFormat="1" x14ac:dyDescent="0.3">
      <c r="B248" s="617"/>
      <c r="C248" s="616"/>
      <c r="D248" s="620"/>
      <c r="E248" s="620"/>
      <c r="F248" s="620"/>
    </row>
    <row r="249" spans="1:6" s="612" customFormat="1" x14ac:dyDescent="0.3">
      <c r="B249" s="621"/>
      <c r="C249" s="619"/>
      <c r="D249" s="620"/>
      <c r="E249" s="620"/>
      <c r="F249" s="620"/>
    </row>
    <row r="250" spans="1:6" s="612" customFormat="1" x14ac:dyDescent="0.3">
      <c r="B250" s="618"/>
      <c r="C250" s="616"/>
      <c r="D250" s="620"/>
      <c r="E250" s="620"/>
      <c r="F250" s="620"/>
    </row>
    <row r="251" spans="1:6" s="612" customFormat="1" x14ac:dyDescent="0.3">
      <c r="B251" s="618"/>
      <c r="C251" s="616"/>
      <c r="D251" s="620"/>
      <c r="E251" s="620"/>
      <c r="F251" s="620"/>
    </row>
    <row r="252" spans="1:6" s="612" customFormat="1" x14ac:dyDescent="0.3">
      <c r="B252" s="618"/>
      <c r="C252" s="616"/>
      <c r="D252" s="620"/>
      <c r="E252" s="620"/>
      <c r="F252" s="620"/>
    </row>
    <row r="253" spans="1:6" s="612" customFormat="1" x14ac:dyDescent="0.3">
      <c r="B253" s="618"/>
      <c r="C253" s="619"/>
      <c r="D253" s="620"/>
      <c r="E253" s="620"/>
      <c r="F253" s="620"/>
    </row>
    <row r="254" spans="1:6" s="612" customFormat="1" x14ac:dyDescent="0.3">
      <c r="B254" s="618"/>
      <c r="C254" s="619"/>
      <c r="D254" s="620"/>
      <c r="E254" s="620"/>
      <c r="F254" s="620"/>
    </row>
    <row r="255" spans="1:6" s="612" customFormat="1" x14ac:dyDescent="0.3">
      <c r="B255" s="622"/>
      <c r="C255" s="623"/>
      <c r="D255" s="620"/>
      <c r="E255" s="620"/>
      <c r="F255" s="620"/>
    </row>
    <row r="256" spans="1:6" s="612" customFormat="1" x14ac:dyDescent="0.3">
      <c r="B256" s="618"/>
      <c r="C256" s="624"/>
      <c r="D256" s="620"/>
      <c r="E256" s="620"/>
      <c r="F256" s="620"/>
    </row>
    <row r="257" spans="1:6" s="612" customFormat="1" x14ac:dyDescent="0.3">
      <c r="B257" s="622"/>
      <c r="C257" s="616"/>
      <c r="D257" s="620"/>
      <c r="E257" s="620"/>
      <c r="F257" s="620"/>
    </row>
    <row r="258" spans="1:6" s="612" customFormat="1" x14ac:dyDescent="0.3">
      <c r="B258" s="618"/>
      <c r="C258" s="616"/>
      <c r="D258" s="620"/>
      <c r="E258" s="620"/>
      <c r="F258" s="620"/>
    </row>
    <row r="259" spans="1:6" s="612" customFormat="1" x14ac:dyDescent="0.3">
      <c r="B259" s="625"/>
      <c r="C259" s="624"/>
      <c r="D259" s="620"/>
      <c r="E259" s="620"/>
      <c r="F259" s="620"/>
    </row>
    <row r="260" spans="1:6" s="612" customFormat="1" x14ac:dyDescent="0.3">
      <c r="B260" s="626"/>
      <c r="C260" s="627"/>
      <c r="D260" s="620"/>
      <c r="E260" s="620"/>
      <c r="F260" s="620"/>
    </row>
    <row r="261" spans="1:6" s="612" customFormat="1" x14ac:dyDescent="0.3">
      <c r="B261" s="613"/>
      <c r="C261" s="614"/>
      <c r="D261" s="620"/>
      <c r="E261" s="620"/>
      <c r="F261" s="620"/>
    </row>
    <row r="262" spans="1:6" s="612" customFormat="1" x14ac:dyDescent="0.3">
      <c r="A262" s="628"/>
      <c r="B262" s="613"/>
      <c r="C262" s="614"/>
      <c r="D262" s="620"/>
      <c r="E262" s="620"/>
      <c r="F262" s="620"/>
    </row>
    <row r="263" spans="1:6" s="612" customFormat="1" x14ac:dyDescent="0.3">
      <c r="A263" s="628"/>
      <c r="B263" s="613"/>
      <c r="C263" s="614"/>
      <c r="D263" s="620"/>
      <c r="E263" s="620"/>
      <c r="F263" s="620"/>
    </row>
    <row r="264" spans="1:6" s="612" customFormat="1" x14ac:dyDescent="0.3">
      <c r="A264" s="628"/>
      <c r="B264" s="613"/>
      <c r="C264" s="614"/>
      <c r="D264" s="620"/>
      <c r="E264" s="620"/>
      <c r="F264" s="620"/>
    </row>
    <row r="265" spans="1:6" s="612" customFormat="1" x14ac:dyDescent="0.3">
      <c r="A265" s="628"/>
      <c r="B265" s="613"/>
      <c r="C265" s="614"/>
      <c r="D265" s="620"/>
      <c r="E265" s="620"/>
      <c r="F265" s="620"/>
    </row>
    <row r="266" spans="1:6" s="612" customFormat="1" x14ac:dyDescent="0.3">
      <c r="A266" s="628"/>
      <c r="B266" s="613"/>
      <c r="C266" s="614"/>
      <c r="D266" s="620"/>
      <c r="E266" s="620"/>
      <c r="F266" s="620"/>
    </row>
    <row r="267" spans="1:6" s="612" customFormat="1" x14ac:dyDescent="0.3">
      <c r="A267" s="628"/>
      <c r="B267" s="613"/>
      <c r="C267" s="614"/>
      <c r="D267" s="620"/>
      <c r="E267" s="620"/>
      <c r="F267" s="620"/>
    </row>
    <row r="268" spans="1:6" s="612" customFormat="1" x14ac:dyDescent="0.3">
      <c r="A268" s="628"/>
      <c r="B268" s="613"/>
      <c r="C268" s="614"/>
      <c r="D268" s="620"/>
      <c r="E268" s="620"/>
      <c r="F268" s="620"/>
    </row>
    <row r="269" spans="1:6" s="612" customFormat="1" x14ac:dyDescent="0.3">
      <c r="A269" s="628"/>
      <c r="B269" s="613"/>
      <c r="C269" s="614"/>
      <c r="D269" s="620"/>
      <c r="E269" s="620"/>
      <c r="F269" s="620"/>
    </row>
    <row r="270" spans="1:6" s="612" customFormat="1" x14ac:dyDescent="0.3">
      <c r="A270" s="628"/>
      <c r="B270" s="613"/>
      <c r="C270" s="614"/>
      <c r="D270" s="620"/>
      <c r="E270" s="620"/>
      <c r="F270" s="620"/>
    </row>
  </sheetData>
  <mergeCells count="19">
    <mergeCell ref="A193:F193"/>
    <mergeCell ref="A187:C187"/>
    <mergeCell ref="A188:C188"/>
    <mergeCell ref="A189:C189"/>
    <mergeCell ref="A190:C190"/>
    <mergeCell ref="A191:C191"/>
    <mergeCell ref="A192:F192"/>
    <mergeCell ref="A186:C186"/>
    <mergeCell ref="A147:C147"/>
    <mergeCell ref="A176:F176"/>
    <mergeCell ref="A177:C177"/>
    <mergeCell ref="A178:C178"/>
    <mergeCell ref="A179:C179"/>
    <mergeCell ref="A180:C180"/>
    <mergeCell ref="A181:C181"/>
    <mergeCell ref="A182:C182"/>
    <mergeCell ref="A183:C183"/>
    <mergeCell ref="A184:C184"/>
    <mergeCell ref="A185:C185"/>
  </mergeCells>
  <printOptions horizontalCentered="1"/>
  <pageMargins left="0.32" right="0.31" top="1.1100000000000001" bottom="0.5" header="0.5" footer="0.3"/>
  <pageSetup scale="67" orientation="landscape" r:id="rId1"/>
  <headerFooter>
    <oddHeader>&amp;LN. Summary of Program Changes
&amp;COffice of Justice Programs
Summary of Program Changes
FYs 2012-2014
(Dollars in Thousands)</oddHeader>
    <oddFooter>&amp;C&amp;"Times New Roman,Regular"N. Summary of  Program Changes</oddFooter>
  </headerFooter>
  <rowBreaks count="3" manualBreakCount="3">
    <brk id="32" max="6" man="1"/>
    <brk id="71" max="33" man="1"/>
    <brk id="122" max="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view="pageBreakPreview" topLeftCell="B1" zoomScale="80" zoomScaleNormal="100" zoomScaleSheetLayoutView="80" workbookViewId="0">
      <selection activeCell="J13" sqref="J13"/>
    </sheetView>
  </sheetViews>
  <sheetFormatPr defaultColWidth="9.109375" defaultRowHeight="13.8" x14ac:dyDescent="0.25"/>
  <cols>
    <col min="1" max="1" width="61.33203125" style="12" customWidth="1"/>
    <col min="2" max="3" width="8.33203125" style="12" customWidth="1"/>
    <col min="4" max="4" width="12.6640625" style="12" customWidth="1"/>
    <col min="5" max="6" width="8.33203125" style="12" customWidth="1"/>
    <col min="7" max="7" width="12.6640625" style="12" customWidth="1"/>
    <col min="8" max="9" width="8.33203125" style="12" customWidth="1"/>
    <col min="10" max="10" width="12.6640625" style="12" customWidth="1"/>
    <col min="11" max="12" width="8.33203125" style="12" customWidth="1"/>
    <col min="13" max="13" width="12.6640625" style="12" customWidth="1"/>
    <col min="14" max="14" width="14" style="7" bestFit="1" customWidth="1"/>
    <col min="15" max="15" width="4.5546875" style="12" customWidth="1"/>
    <col min="16" max="17" width="8.33203125" style="12" customWidth="1"/>
    <col min="18" max="18" width="12.6640625" style="12" customWidth="1"/>
    <col min="19" max="20" width="8.33203125" style="12" customWidth="1"/>
    <col min="21" max="21" width="12.6640625" style="12" customWidth="1"/>
    <col min="22" max="16384" width="9.109375" style="12"/>
  </cols>
  <sheetData>
    <row r="1" spans="1:21" ht="18" x14ac:dyDescent="0.25">
      <c r="A1" s="633" t="s">
        <v>44</v>
      </c>
      <c r="B1" s="633"/>
      <c r="C1" s="633"/>
      <c r="D1" s="633"/>
      <c r="E1" s="633"/>
      <c r="F1" s="633"/>
      <c r="G1" s="633"/>
      <c r="H1" s="633"/>
      <c r="I1" s="633"/>
      <c r="J1" s="633"/>
      <c r="K1" s="633"/>
      <c r="L1" s="633"/>
      <c r="M1" s="633"/>
      <c r="N1" s="53" t="s">
        <v>20</v>
      </c>
      <c r="O1" s="9"/>
      <c r="P1" s="9"/>
      <c r="Q1" s="9"/>
      <c r="R1" s="9"/>
      <c r="S1" s="9"/>
      <c r="T1" s="9"/>
      <c r="U1" s="9"/>
    </row>
    <row r="2" spans="1:21" ht="15" x14ac:dyDescent="0.2">
      <c r="A2" s="634" t="s">
        <v>160</v>
      </c>
      <c r="B2" s="634"/>
      <c r="C2" s="634"/>
      <c r="D2" s="634"/>
      <c r="E2" s="634"/>
      <c r="F2" s="634"/>
      <c r="G2" s="634"/>
      <c r="H2" s="634"/>
      <c r="I2" s="634"/>
      <c r="J2" s="634"/>
      <c r="K2" s="634"/>
      <c r="L2" s="634"/>
      <c r="M2" s="634"/>
      <c r="N2" s="53" t="s">
        <v>20</v>
      </c>
      <c r="O2" s="10"/>
      <c r="P2" s="10"/>
      <c r="Q2" s="10"/>
      <c r="R2" s="10"/>
      <c r="S2" s="10"/>
      <c r="T2" s="10"/>
      <c r="U2" s="10"/>
    </row>
    <row r="3" spans="1:21" ht="14.25" x14ac:dyDescent="0.2">
      <c r="A3" s="635" t="s">
        <v>169</v>
      </c>
      <c r="B3" s="640"/>
      <c r="C3" s="640"/>
      <c r="D3" s="640"/>
      <c r="E3" s="640"/>
      <c r="F3" s="640"/>
      <c r="G3" s="640"/>
      <c r="H3" s="640"/>
      <c r="I3" s="640"/>
      <c r="J3" s="640"/>
      <c r="K3" s="640"/>
      <c r="L3" s="640"/>
      <c r="M3" s="640"/>
      <c r="N3" s="53" t="s">
        <v>20</v>
      </c>
      <c r="O3" s="13"/>
      <c r="P3" s="13"/>
      <c r="Q3" s="13"/>
      <c r="R3" s="13"/>
      <c r="S3" s="13"/>
      <c r="T3" s="13"/>
      <c r="U3" s="13"/>
    </row>
    <row r="4" spans="1:21" ht="14.25" x14ac:dyDescent="0.2">
      <c r="A4" s="637" t="s">
        <v>1</v>
      </c>
      <c r="B4" s="637"/>
      <c r="C4" s="637"/>
      <c r="D4" s="637"/>
      <c r="E4" s="637"/>
      <c r="F4" s="637"/>
      <c r="G4" s="637"/>
      <c r="H4" s="637"/>
      <c r="I4" s="637"/>
      <c r="J4" s="637"/>
      <c r="K4" s="637"/>
      <c r="L4" s="637"/>
      <c r="M4" s="637"/>
      <c r="N4" s="53" t="s">
        <v>20</v>
      </c>
      <c r="O4" s="11"/>
      <c r="P4" s="11"/>
      <c r="Q4" s="11"/>
      <c r="R4" s="11"/>
      <c r="S4" s="11"/>
      <c r="T4" s="11"/>
      <c r="U4" s="11"/>
    </row>
    <row r="5" spans="1:21" ht="14.25" x14ac:dyDescent="0.2">
      <c r="A5" s="637"/>
      <c r="B5" s="637"/>
      <c r="C5" s="637"/>
      <c r="D5" s="637"/>
      <c r="E5" s="637"/>
      <c r="F5" s="637"/>
      <c r="G5" s="637"/>
      <c r="H5" s="637"/>
      <c r="I5" s="637"/>
      <c r="J5" s="637"/>
      <c r="K5" s="637"/>
      <c r="L5" s="637"/>
      <c r="M5" s="637"/>
      <c r="N5" s="53" t="s">
        <v>20</v>
      </c>
      <c r="O5" s="11"/>
      <c r="P5" s="11"/>
      <c r="Q5" s="11"/>
      <c r="R5" s="11"/>
      <c r="S5" s="11"/>
      <c r="T5" s="11"/>
      <c r="U5" s="11"/>
    </row>
    <row r="6" spans="1:21" ht="15" thickBot="1" x14ac:dyDescent="0.25">
      <c r="A6" s="637"/>
      <c r="B6" s="637"/>
      <c r="C6" s="637"/>
      <c r="D6" s="637"/>
      <c r="E6" s="637"/>
      <c r="F6" s="637"/>
      <c r="G6" s="637"/>
      <c r="H6" s="637"/>
      <c r="I6" s="637"/>
      <c r="J6" s="637"/>
      <c r="K6" s="637"/>
      <c r="L6" s="637"/>
      <c r="M6" s="637"/>
      <c r="N6" s="53" t="s">
        <v>20</v>
      </c>
      <c r="O6" s="11"/>
      <c r="P6" s="11"/>
      <c r="Q6" s="11"/>
      <c r="R6" s="11"/>
      <c r="S6" s="11"/>
      <c r="T6" s="11"/>
      <c r="U6" s="11"/>
    </row>
    <row r="7" spans="1:21" x14ac:dyDescent="0.25">
      <c r="A7" s="638" t="s">
        <v>157</v>
      </c>
      <c r="B7" s="641" t="s">
        <v>45</v>
      </c>
      <c r="C7" s="641"/>
      <c r="D7" s="641"/>
      <c r="E7" s="641" t="s">
        <v>158</v>
      </c>
      <c r="F7" s="641"/>
      <c r="G7" s="641"/>
      <c r="H7" s="641" t="s">
        <v>24</v>
      </c>
      <c r="I7" s="641"/>
      <c r="J7" s="641"/>
      <c r="K7" s="641" t="s">
        <v>46</v>
      </c>
      <c r="L7" s="641"/>
      <c r="M7" s="642"/>
      <c r="N7" s="53" t="s">
        <v>20</v>
      </c>
    </row>
    <row r="8" spans="1:21" ht="27.6" x14ac:dyDescent="0.25">
      <c r="A8" s="639"/>
      <c r="B8" s="14" t="s">
        <v>47</v>
      </c>
      <c r="C8" s="22" t="s">
        <v>48</v>
      </c>
      <c r="D8" s="14" t="s">
        <v>4</v>
      </c>
      <c r="E8" s="14" t="s">
        <v>47</v>
      </c>
      <c r="F8" s="14" t="s">
        <v>48</v>
      </c>
      <c r="G8" s="14" t="s">
        <v>4</v>
      </c>
      <c r="H8" s="14" t="s">
        <v>47</v>
      </c>
      <c r="I8" s="14" t="s">
        <v>48</v>
      </c>
      <c r="J8" s="14" t="s">
        <v>4</v>
      </c>
      <c r="K8" s="14" t="s">
        <v>47</v>
      </c>
      <c r="L8" s="14" t="s">
        <v>48</v>
      </c>
      <c r="M8" s="15" t="s">
        <v>4</v>
      </c>
      <c r="N8" s="53" t="s">
        <v>20</v>
      </c>
    </row>
    <row r="9" spans="1:21" ht="14.25" x14ac:dyDescent="0.2">
      <c r="A9" s="296" t="s">
        <v>169</v>
      </c>
      <c r="B9" s="140">
        <v>0</v>
      </c>
      <c r="C9" s="140">
        <v>0</v>
      </c>
      <c r="D9" s="488">
        <v>173284</v>
      </c>
      <c r="E9" s="140">
        <v>0</v>
      </c>
      <c r="F9" s="140">
        <v>0</v>
      </c>
      <c r="G9" s="488">
        <v>173284</v>
      </c>
      <c r="H9" s="140">
        <v>0</v>
      </c>
      <c r="I9" s="140">
        <v>0</v>
      </c>
      <c r="J9" s="140">
        <v>175997</v>
      </c>
      <c r="K9" s="140">
        <f>H9-E9</f>
        <v>0</v>
      </c>
      <c r="L9" s="140">
        <f t="shared" ref="L9:M9" si="0">I9-F9</f>
        <v>0</v>
      </c>
      <c r="M9" s="489">
        <f t="shared" si="0"/>
        <v>2713</v>
      </c>
      <c r="N9" s="53" t="s">
        <v>20</v>
      </c>
    </row>
    <row r="10" spans="1:21" ht="14.25" x14ac:dyDescent="0.2">
      <c r="A10" s="296" t="s">
        <v>181</v>
      </c>
      <c r="B10" s="140">
        <v>0</v>
      </c>
      <c r="C10" s="140">
        <v>0</v>
      </c>
      <c r="D10" s="488">
        <v>108</v>
      </c>
      <c r="E10" s="140">
        <v>0</v>
      </c>
      <c r="F10" s="140">
        <v>0</v>
      </c>
      <c r="G10" s="488">
        <v>108</v>
      </c>
      <c r="H10" s="140">
        <v>0</v>
      </c>
      <c r="I10" s="140">
        <v>0</v>
      </c>
      <c r="J10" s="140">
        <v>108</v>
      </c>
      <c r="K10" s="140">
        <f>H10-E10</f>
        <v>0</v>
      </c>
      <c r="L10" s="140">
        <f>I10-F10</f>
        <v>0</v>
      </c>
      <c r="M10" s="489"/>
      <c r="N10" s="53" t="s">
        <v>20</v>
      </c>
    </row>
    <row r="11" spans="1:21" x14ac:dyDescent="0.25">
      <c r="A11" s="296" t="s">
        <v>182</v>
      </c>
      <c r="B11" s="140">
        <v>0</v>
      </c>
      <c r="C11" s="140">
        <v>0</v>
      </c>
      <c r="D11" s="488">
        <v>354</v>
      </c>
      <c r="E11" s="140">
        <v>0</v>
      </c>
      <c r="F11" s="140">
        <v>0</v>
      </c>
      <c r="G11" s="488">
        <v>354</v>
      </c>
      <c r="H11" s="140">
        <v>0</v>
      </c>
      <c r="I11" s="140">
        <v>0</v>
      </c>
      <c r="J11" s="140">
        <v>354</v>
      </c>
      <c r="K11" s="140">
        <f>H11-E11</f>
        <v>0</v>
      </c>
      <c r="L11" s="140">
        <f>I11-F11</f>
        <v>0</v>
      </c>
      <c r="M11" s="489"/>
      <c r="N11" s="53" t="s">
        <v>20</v>
      </c>
    </row>
    <row r="12" spans="1:21" x14ac:dyDescent="0.25">
      <c r="A12" s="296" t="s">
        <v>184</v>
      </c>
      <c r="B12" s="140">
        <v>0</v>
      </c>
      <c r="C12" s="140">
        <v>0</v>
      </c>
      <c r="D12" s="488">
        <v>6</v>
      </c>
      <c r="E12" s="140">
        <v>0</v>
      </c>
      <c r="F12" s="140">
        <v>0</v>
      </c>
      <c r="G12" s="488">
        <v>6</v>
      </c>
      <c r="H12" s="140">
        <v>0</v>
      </c>
      <c r="I12" s="140">
        <v>0</v>
      </c>
      <c r="J12" s="140">
        <v>6</v>
      </c>
      <c r="K12" s="140">
        <f>H12-E12</f>
        <v>0</v>
      </c>
      <c r="L12" s="140">
        <f>I12-F12</f>
        <v>0</v>
      </c>
      <c r="M12" s="489"/>
      <c r="N12" s="53" t="s">
        <v>20</v>
      </c>
    </row>
    <row r="13" spans="1:21" x14ac:dyDescent="0.25">
      <c r="A13" s="195" t="s">
        <v>183</v>
      </c>
      <c r="B13" s="140">
        <v>0</v>
      </c>
      <c r="C13" s="140">
        <v>0</v>
      </c>
      <c r="D13" s="24">
        <v>200</v>
      </c>
      <c r="E13" s="140">
        <v>0</v>
      </c>
      <c r="F13" s="140">
        <v>0</v>
      </c>
      <c r="G13" s="24">
        <v>200</v>
      </c>
      <c r="H13" s="140">
        <v>0</v>
      </c>
      <c r="I13" s="140">
        <v>0</v>
      </c>
      <c r="J13" s="140">
        <v>200</v>
      </c>
      <c r="K13" s="140">
        <f>H13-E13</f>
        <v>0</v>
      </c>
      <c r="L13" s="140">
        <f>I13-F13</f>
        <v>0</v>
      </c>
      <c r="M13" s="142">
        <f t="shared" ref="M13" si="1">J13-G13</f>
        <v>0</v>
      </c>
      <c r="N13" s="53" t="s">
        <v>20</v>
      </c>
    </row>
    <row r="14" spans="1:21" x14ac:dyDescent="0.25">
      <c r="A14" s="16" t="s">
        <v>148</v>
      </c>
      <c r="B14" s="143">
        <f t="shared" ref="B14:M14" si="2">SUM(B9:B13)</f>
        <v>0</v>
      </c>
      <c r="C14" s="143">
        <f t="shared" si="2"/>
        <v>0</v>
      </c>
      <c r="D14" s="143">
        <f t="shared" si="2"/>
        <v>173952</v>
      </c>
      <c r="E14" s="143">
        <f t="shared" si="2"/>
        <v>0</v>
      </c>
      <c r="F14" s="143">
        <f t="shared" si="2"/>
        <v>0</v>
      </c>
      <c r="G14" s="143">
        <f t="shared" si="2"/>
        <v>173952</v>
      </c>
      <c r="H14" s="143">
        <f t="shared" si="2"/>
        <v>0</v>
      </c>
      <c r="I14" s="143">
        <f t="shared" si="2"/>
        <v>0</v>
      </c>
      <c r="J14" s="143">
        <f t="shared" si="2"/>
        <v>176665</v>
      </c>
      <c r="K14" s="143">
        <f t="shared" si="2"/>
        <v>0</v>
      </c>
      <c r="L14" s="143">
        <f t="shared" si="2"/>
        <v>0</v>
      </c>
      <c r="M14" s="144">
        <f t="shared" si="2"/>
        <v>2713</v>
      </c>
      <c r="N14" s="53" t="s">
        <v>20</v>
      </c>
    </row>
    <row r="15" spans="1:21" ht="14.4" thickBot="1" x14ac:dyDescent="0.3">
      <c r="N15" s="53" t="s">
        <v>20</v>
      </c>
    </row>
    <row r="16" spans="1:21" ht="18" customHeight="1" x14ac:dyDescent="0.25">
      <c r="A16" s="638" t="s">
        <v>140</v>
      </c>
      <c r="B16" s="641" t="s">
        <v>45</v>
      </c>
      <c r="C16" s="641"/>
      <c r="D16" s="641"/>
      <c r="E16" s="641" t="s">
        <v>158</v>
      </c>
      <c r="F16" s="641"/>
      <c r="G16" s="641"/>
      <c r="H16" s="641" t="s">
        <v>24</v>
      </c>
      <c r="I16" s="641"/>
      <c r="J16" s="641"/>
      <c r="K16" s="641" t="s">
        <v>46</v>
      </c>
      <c r="L16" s="641"/>
      <c r="M16" s="642"/>
      <c r="N16" s="53" t="s">
        <v>20</v>
      </c>
    </row>
    <row r="17" spans="1:14" ht="27.6" x14ac:dyDescent="0.25">
      <c r="A17" s="639"/>
      <c r="B17" s="14" t="s">
        <v>47</v>
      </c>
      <c r="C17" s="22" t="s">
        <v>48</v>
      </c>
      <c r="D17" s="14" t="s">
        <v>4</v>
      </c>
      <c r="E17" s="14" t="s">
        <v>47</v>
      </c>
      <c r="F17" s="14" t="s">
        <v>48</v>
      </c>
      <c r="G17" s="14" t="s">
        <v>4</v>
      </c>
      <c r="H17" s="14" t="s">
        <v>47</v>
      </c>
      <c r="I17" s="14" t="s">
        <v>48</v>
      </c>
      <c r="J17" s="14" t="s">
        <v>4</v>
      </c>
      <c r="K17" s="14" t="s">
        <v>47</v>
      </c>
      <c r="L17" s="14" t="s">
        <v>48</v>
      </c>
      <c r="M17" s="15" t="s">
        <v>4</v>
      </c>
      <c r="N17" s="53" t="s">
        <v>20</v>
      </c>
    </row>
    <row r="18" spans="1:14" x14ac:dyDescent="0.25">
      <c r="A18" s="184" t="s">
        <v>169</v>
      </c>
      <c r="B18" s="140">
        <v>0</v>
      </c>
      <c r="C18" s="140">
        <v>0</v>
      </c>
      <c r="D18" s="140">
        <v>173952</v>
      </c>
      <c r="E18" s="140">
        <v>0</v>
      </c>
      <c r="F18" s="140">
        <v>0</v>
      </c>
      <c r="G18" s="140">
        <v>173952</v>
      </c>
      <c r="H18" s="140">
        <v>0</v>
      </c>
      <c r="I18" s="140">
        <v>0</v>
      </c>
      <c r="J18" s="140">
        <v>176665</v>
      </c>
      <c r="K18" s="140">
        <f>H18-E18</f>
        <v>0</v>
      </c>
      <c r="L18" s="140">
        <f t="shared" ref="L18" si="3">I18-F18</f>
        <v>0</v>
      </c>
      <c r="M18" s="141">
        <f t="shared" ref="M18" si="4">J18-G18</f>
        <v>2713</v>
      </c>
      <c r="N18" s="53" t="s">
        <v>20</v>
      </c>
    </row>
    <row r="19" spans="1:14" x14ac:dyDescent="0.25">
      <c r="A19" s="16" t="s">
        <v>148</v>
      </c>
      <c r="B19" s="143">
        <f t="shared" ref="B19:M19" si="5">SUM(B18:B18)</f>
        <v>0</v>
      </c>
      <c r="C19" s="143">
        <f t="shared" si="5"/>
        <v>0</v>
      </c>
      <c r="D19" s="143">
        <f t="shared" si="5"/>
        <v>173952</v>
      </c>
      <c r="E19" s="143">
        <f t="shared" si="5"/>
        <v>0</v>
      </c>
      <c r="F19" s="143">
        <f t="shared" si="5"/>
        <v>0</v>
      </c>
      <c r="G19" s="143">
        <f t="shared" si="5"/>
        <v>173952</v>
      </c>
      <c r="H19" s="143">
        <f t="shared" si="5"/>
        <v>0</v>
      </c>
      <c r="I19" s="143">
        <f t="shared" si="5"/>
        <v>0</v>
      </c>
      <c r="J19" s="143">
        <f t="shared" si="5"/>
        <v>176665</v>
      </c>
      <c r="K19" s="143">
        <f t="shared" si="5"/>
        <v>0</v>
      </c>
      <c r="L19" s="143">
        <f t="shared" si="5"/>
        <v>0</v>
      </c>
      <c r="M19" s="144">
        <f t="shared" si="5"/>
        <v>2713</v>
      </c>
      <c r="N19" s="53" t="s">
        <v>20</v>
      </c>
    </row>
    <row r="20" spans="1:14" x14ac:dyDescent="0.25">
      <c r="N20" s="53" t="s">
        <v>20</v>
      </c>
    </row>
    <row r="21" spans="1:14" x14ac:dyDescent="0.25">
      <c r="N21" s="53" t="s">
        <v>21</v>
      </c>
    </row>
  </sheetData>
  <customSheetViews>
    <customSheetView guid="{5B2D5037-506A-47D5-AF28-C337BC9133BD}" scale="80" showPageBreaks="1" printArea="1" view="pageBreakPreview" topLeftCell="B1">
      <selection activeCell="J13" sqref="J13"/>
      <pageMargins left="0.7" right="0.7" top="0.75" bottom="0.75" header="0.3" footer="0.3"/>
      <printOptions horizontalCentered="1"/>
      <pageSetup scale="68" orientation="landscape" r:id="rId1"/>
      <headerFooter>
        <oddHeader>&amp;L&amp;"Arial,Bold"&amp;12H. Summary of Reimbursable Resources</oddHeader>
        <oddFooter>&amp;C&amp;"Arial,Regular"Exhibit H - Summary of Reimbursable Resources&amp;R&amp;"Arial,Regular"Salaries and Administration/Management and Administration</oddFooter>
      </headerFooter>
    </customSheetView>
    <customSheetView guid="{08380F1E-0CB7-4B3B-924E-2A270EA8DD30}" scale="80" showPageBreaks="1" printArea="1" view="pageBreakPreview">
      <selection activeCell="J18" sqref="J18"/>
      <pageMargins left="0.7" right="0.7" top="0.75" bottom="0.75" header="0.3" footer="0.3"/>
      <printOptions horizontalCentered="1"/>
      <pageSetup scale="68" orientation="landscape" r:id="rId2"/>
      <headerFooter>
        <oddHeader>&amp;L&amp;"Arial,Bold"&amp;12H. Summary of Reimbursable Resources</oddHeader>
        <oddFooter>&amp;C&amp;"Arial,Regular"Exhibit H - Summary of Reimbursable Resources&amp;R&amp;"Arial,Regular"Salaries and Administration/Management and Administration</oddFooter>
      </headerFooter>
    </customSheetView>
    <customSheetView guid="{D19943A8-2C2A-430A-A724-8C7C332697C8}" scale="80" showPageBreaks="1" printArea="1" view="pageBreakPreview">
      <selection activeCell="I34" sqref="I34"/>
      <pageMargins left="0.7" right="0.7" top="0.75" bottom="0.75" header="0.3" footer="0.3"/>
      <printOptions horizontalCentered="1"/>
      <pageSetup scale="68" orientation="landscape" r:id="rId3"/>
      <headerFooter>
        <oddHeader>&amp;L&amp;"Arial,Bold"&amp;12H. Summary of Reimbursable Resources</oddHeader>
        <oddFooter>&amp;C&amp;"Arial,Regular"Exhibit H - Summary of Reimbursable Resources&amp;R&amp;"Arial,Regular"Salaries and Administration/Management and Administration</oddFooter>
      </headerFooter>
    </customSheetView>
    <customSheetView guid="{C6D68C6D-939C-4DFA-9385-A3F05DFB5EDA}" scale="80" showPageBreaks="1" printArea="1" view="pageBreakPreview">
      <selection activeCell="J18" sqref="J18"/>
      <pageMargins left="0.7" right="0.7" top="0.75" bottom="0.75" header="0.3" footer="0.3"/>
      <printOptions horizontalCentered="1"/>
      <pageSetup scale="68" orientation="landscape" r:id="rId4"/>
      <headerFooter>
        <oddHeader>&amp;L&amp;"Arial,Bold"&amp;12H. Summary of Reimbursable Resources</oddHeader>
        <oddFooter>&amp;C&amp;"Arial,Regular"Exhibit H - Summary of Reimbursable Resources&amp;R&amp;"Arial,Regular"Salaries and Administration/Management and Administration</oddFooter>
      </headerFooter>
    </customSheetView>
  </customSheetViews>
  <mergeCells count="16">
    <mergeCell ref="A6:M6"/>
    <mergeCell ref="A1:M1"/>
    <mergeCell ref="A2:M2"/>
    <mergeCell ref="A3:M3"/>
    <mergeCell ref="A4:M4"/>
    <mergeCell ref="A5:M5"/>
    <mergeCell ref="A7:A8"/>
    <mergeCell ref="B7:D7"/>
    <mergeCell ref="E7:G7"/>
    <mergeCell ref="H7:J7"/>
    <mergeCell ref="K7:M7"/>
    <mergeCell ref="A16:A17"/>
    <mergeCell ref="B16:D16"/>
    <mergeCell ref="E16:G16"/>
    <mergeCell ref="H16:J16"/>
    <mergeCell ref="K16:M16"/>
  </mergeCells>
  <printOptions horizontalCentered="1"/>
  <pageMargins left="0.7" right="0.7" top="0.75" bottom="0.75" header="0.3" footer="0.3"/>
  <pageSetup scale="68" orientation="landscape" r:id="rId5"/>
  <headerFooter>
    <oddHeader>&amp;L&amp;"Arial,Bold"&amp;12H. Summary of Reimbursable Resources</oddHeader>
    <oddFooter>&amp;C&amp;"Arial,Regular"Exhibit H - Summary of Reimbursable Resources&amp;R&amp;"Arial,Regular"Salaries and Administration/Management and Administration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topLeftCell="B1" zoomScale="80" zoomScaleNormal="100" zoomScaleSheetLayoutView="80" workbookViewId="0">
      <selection activeCell="I13" sqref="I13"/>
    </sheetView>
  </sheetViews>
  <sheetFormatPr defaultColWidth="9.109375" defaultRowHeight="13.8" x14ac:dyDescent="0.25"/>
  <cols>
    <col min="1" max="1" width="51.109375" style="12" customWidth="1"/>
    <col min="2" max="9" width="13.6640625" style="12" customWidth="1"/>
    <col min="10" max="10" width="15" style="12" customWidth="1"/>
    <col min="11" max="11" width="14" style="7" bestFit="1" customWidth="1"/>
    <col min="12" max="12" width="4.5546875" style="12" customWidth="1"/>
    <col min="13" max="14" width="8.33203125" style="12" customWidth="1"/>
    <col min="15" max="15" width="12.6640625" style="12" customWidth="1"/>
    <col min="16" max="17" width="8.33203125" style="12" customWidth="1"/>
    <col min="18" max="18" width="12.6640625" style="12" customWidth="1"/>
    <col min="19" max="16384" width="9.109375" style="12"/>
  </cols>
  <sheetData>
    <row r="1" spans="1:18" ht="18" x14ac:dyDescent="0.25">
      <c r="A1" s="633" t="s">
        <v>49</v>
      </c>
      <c r="B1" s="633"/>
      <c r="C1" s="633"/>
      <c r="D1" s="633"/>
      <c r="E1" s="633"/>
      <c r="F1" s="633"/>
      <c r="G1" s="633"/>
      <c r="H1" s="633"/>
      <c r="I1" s="633"/>
      <c r="J1" s="633"/>
      <c r="K1" s="53" t="s">
        <v>20</v>
      </c>
      <c r="L1" s="9"/>
      <c r="M1" s="9"/>
      <c r="N1" s="9"/>
      <c r="O1" s="9"/>
      <c r="P1" s="9"/>
      <c r="Q1" s="9"/>
      <c r="R1" s="9"/>
    </row>
    <row r="2" spans="1:18" ht="15" x14ac:dyDescent="0.2">
      <c r="A2" s="634" t="s">
        <v>160</v>
      </c>
      <c r="B2" s="634"/>
      <c r="C2" s="634"/>
      <c r="D2" s="634"/>
      <c r="E2" s="634"/>
      <c r="F2" s="634"/>
      <c r="G2" s="634"/>
      <c r="H2" s="634"/>
      <c r="I2" s="634"/>
      <c r="J2" s="634"/>
      <c r="K2" s="53" t="s">
        <v>20</v>
      </c>
      <c r="L2" s="10"/>
      <c r="M2" s="10"/>
      <c r="N2" s="10"/>
      <c r="O2" s="10"/>
      <c r="P2" s="10"/>
      <c r="Q2" s="10"/>
      <c r="R2" s="10"/>
    </row>
    <row r="3" spans="1:18" ht="14.25" x14ac:dyDescent="0.2">
      <c r="A3" s="635" t="s">
        <v>169</v>
      </c>
      <c r="B3" s="676"/>
      <c r="C3" s="676"/>
      <c r="D3" s="676"/>
      <c r="E3" s="676"/>
      <c r="F3" s="676"/>
      <c r="G3" s="676"/>
      <c r="H3" s="676"/>
      <c r="I3" s="676"/>
      <c r="J3" s="676"/>
      <c r="K3" s="53" t="s">
        <v>20</v>
      </c>
      <c r="L3" s="13"/>
      <c r="M3" s="13"/>
      <c r="N3" s="13"/>
      <c r="O3" s="13"/>
      <c r="P3" s="13"/>
      <c r="Q3" s="13"/>
      <c r="R3" s="13"/>
    </row>
    <row r="4" spans="1:18" ht="14.25" x14ac:dyDescent="0.2">
      <c r="A4" s="637" t="s">
        <v>1</v>
      </c>
      <c r="B4" s="637"/>
      <c r="C4" s="637"/>
      <c r="D4" s="637"/>
      <c r="E4" s="637"/>
      <c r="F4" s="637"/>
      <c r="G4" s="637"/>
      <c r="H4" s="637"/>
      <c r="I4" s="637"/>
      <c r="J4" s="637"/>
      <c r="K4" s="53" t="s">
        <v>20</v>
      </c>
      <c r="L4" s="11"/>
      <c r="M4" s="11"/>
      <c r="N4" s="11"/>
      <c r="O4" s="11"/>
      <c r="P4" s="11"/>
      <c r="Q4" s="11"/>
      <c r="R4" s="11"/>
    </row>
    <row r="5" spans="1:18" ht="14.25" x14ac:dyDescent="0.2">
      <c r="A5" s="637"/>
      <c r="B5" s="637"/>
      <c r="C5" s="637"/>
      <c r="D5" s="637"/>
      <c r="E5" s="637"/>
      <c r="F5" s="637"/>
      <c r="G5" s="637"/>
      <c r="H5" s="637"/>
      <c r="I5" s="637"/>
      <c r="J5" s="637"/>
      <c r="K5" s="53" t="s">
        <v>20</v>
      </c>
      <c r="L5" s="11"/>
      <c r="M5" s="11"/>
      <c r="N5" s="11"/>
      <c r="O5" s="11"/>
      <c r="P5" s="11"/>
      <c r="Q5" s="11"/>
      <c r="R5" s="11"/>
    </row>
    <row r="6" spans="1:18" ht="15" thickBot="1" x14ac:dyDescent="0.25">
      <c r="A6" s="637"/>
      <c r="B6" s="637"/>
      <c r="C6" s="637"/>
      <c r="D6" s="637"/>
      <c r="E6" s="637"/>
      <c r="F6" s="637"/>
      <c r="G6" s="637"/>
      <c r="H6" s="637"/>
      <c r="I6" s="637"/>
      <c r="J6" s="637"/>
      <c r="K6" s="53" t="s">
        <v>20</v>
      </c>
      <c r="L6" s="11"/>
      <c r="M6" s="11"/>
      <c r="N6" s="11"/>
      <c r="O6" s="11"/>
      <c r="P6" s="11"/>
      <c r="Q6" s="11"/>
      <c r="R6" s="11"/>
    </row>
    <row r="7" spans="1:18" s="23" customFormat="1" x14ac:dyDescent="0.25">
      <c r="A7" s="677" t="s">
        <v>51</v>
      </c>
      <c r="B7" s="672" t="s">
        <v>33</v>
      </c>
      <c r="C7" s="673"/>
      <c r="D7" s="672" t="s">
        <v>8</v>
      </c>
      <c r="E7" s="673"/>
      <c r="F7" s="674" t="s">
        <v>24</v>
      </c>
      <c r="G7" s="670"/>
      <c r="H7" s="670"/>
      <c r="I7" s="670"/>
      <c r="J7" s="675"/>
      <c r="K7" s="53" t="s">
        <v>20</v>
      </c>
    </row>
    <row r="8" spans="1:18" s="23" customFormat="1" ht="27.6" x14ac:dyDescent="0.25">
      <c r="A8" s="678"/>
      <c r="B8" s="54" t="s">
        <v>3</v>
      </c>
      <c r="C8" s="54" t="s">
        <v>47</v>
      </c>
      <c r="D8" s="54" t="s">
        <v>3</v>
      </c>
      <c r="E8" s="54" t="s">
        <v>47</v>
      </c>
      <c r="F8" s="54" t="s">
        <v>50</v>
      </c>
      <c r="G8" s="54" t="s">
        <v>31</v>
      </c>
      <c r="H8" s="139" t="s">
        <v>32</v>
      </c>
      <c r="I8" s="54" t="s">
        <v>65</v>
      </c>
      <c r="J8" s="55" t="s">
        <v>66</v>
      </c>
      <c r="K8" s="53" t="s">
        <v>20</v>
      </c>
    </row>
    <row r="9" spans="1:18" ht="14.25" x14ac:dyDescent="0.2">
      <c r="A9" s="187" t="s">
        <v>176</v>
      </c>
      <c r="B9" s="140">
        <v>30</v>
      </c>
      <c r="C9" s="140">
        <v>0</v>
      </c>
      <c r="D9" s="140">
        <v>30</v>
      </c>
      <c r="E9" s="140">
        <v>0</v>
      </c>
      <c r="F9" s="140">
        <v>0</v>
      </c>
      <c r="G9" s="140">
        <v>0</v>
      </c>
      <c r="H9" s="140">
        <v>0</v>
      </c>
      <c r="I9" s="140">
        <f>D9+F9+G9+H9</f>
        <v>30</v>
      </c>
      <c r="J9" s="141">
        <v>0</v>
      </c>
      <c r="K9" s="53" t="s">
        <v>20</v>
      </c>
    </row>
    <row r="10" spans="1:18" ht="14.25" x14ac:dyDescent="0.2">
      <c r="A10" s="186" t="s">
        <v>177</v>
      </c>
      <c r="B10" s="150">
        <v>1</v>
      </c>
      <c r="C10" s="150">
        <v>0</v>
      </c>
      <c r="D10" s="150">
        <v>1</v>
      </c>
      <c r="E10" s="150">
        <v>0</v>
      </c>
      <c r="F10" s="150">
        <v>0</v>
      </c>
      <c r="G10" s="150">
        <v>0</v>
      </c>
      <c r="H10" s="150">
        <v>0</v>
      </c>
      <c r="I10" s="150">
        <f>D10+F10+G10+H10</f>
        <v>1</v>
      </c>
      <c r="J10" s="151">
        <v>0</v>
      </c>
      <c r="K10" s="53" t="s">
        <v>20</v>
      </c>
    </row>
    <row r="11" spans="1:18" x14ac:dyDescent="0.25">
      <c r="A11" s="187" t="s">
        <v>178</v>
      </c>
      <c r="B11" s="150">
        <v>17</v>
      </c>
      <c r="C11" s="150">
        <v>0</v>
      </c>
      <c r="D11" s="150">
        <v>17</v>
      </c>
      <c r="E11" s="150">
        <v>0</v>
      </c>
      <c r="F11" s="150">
        <v>0</v>
      </c>
      <c r="G11" s="150">
        <v>0</v>
      </c>
      <c r="H11" s="150">
        <v>0</v>
      </c>
      <c r="I11" s="150">
        <f t="shared" ref="I11:I25" si="0">D11+F11+G11+H11</f>
        <v>17</v>
      </c>
      <c r="J11" s="151">
        <v>0</v>
      </c>
      <c r="K11" s="53" t="s">
        <v>20</v>
      </c>
    </row>
    <row r="12" spans="1:18" x14ac:dyDescent="0.25">
      <c r="A12" s="56" t="s">
        <v>52</v>
      </c>
      <c r="B12" s="24">
        <v>24</v>
      </c>
      <c r="C12" s="24">
        <v>0</v>
      </c>
      <c r="D12" s="24">
        <v>24</v>
      </c>
      <c r="E12" s="24">
        <v>0</v>
      </c>
      <c r="F12" s="24">
        <v>0</v>
      </c>
      <c r="G12" s="24">
        <v>0</v>
      </c>
      <c r="H12" s="24">
        <v>0</v>
      </c>
      <c r="I12" s="24">
        <f t="shared" si="0"/>
        <v>24</v>
      </c>
      <c r="J12" s="142">
        <v>0</v>
      </c>
      <c r="K12" s="53" t="s">
        <v>20</v>
      </c>
    </row>
    <row r="13" spans="1:18" x14ac:dyDescent="0.25">
      <c r="A13" s="56" t="s">
        <v>53</v>
      </c>
      <c r="B13" s="24">
        <v>261</v>
      </c>
      <c r="C13" s="24">
        <v>0</v>
      </c>
      <c r="D13" s="24">
        <v>261</v>
      </c>
      <c r="E13" s="24">
        <v>0</v>
      </c>
      <c r="F13" s="24">
        <v>0</v>
      </c>
      <c r="G13" s="24">
        <v>10</v>
      </c>
      <c r="H13" s="24">
        <v>0</v>
      </c>
      <c r="I13" s="24">
        <f t="shared" si="0"/>
        <v>271</v>
      </c>
      <c r="J13" s="142">
        <v>0</v>
      </c>
      <c r="K13" s="53" t="s">
        <v>20</v>
      </c>
    </row>
    <row r="14" spans="1:18" x14ac:dyDescent="0.25">
      <c r="A14" s="56" t="s">
        <v>54</v>
      </c>
      <c r="B14" s="24">
        <v>113</v>
      </c>
      <c r="C14" s="24">
        <v>0</v>
      </c>
      <c r="D14" s="24">
        <v>113</v>
      </c>
      <c r="E14" s="24">
        <v>0</v>
      </c>
      <c r="F14" s="24">
        <v>0</v>
      </c>
      <c r="G14" s="24">
        <v>0</v>
      </c>
      <c r="H14" s="24">
        <v>0</v>
      </c>
      <c r="I14" s="24">
        <f t="shared" si="0"/>
        <v>113</v>
      </c>
      <c r="J14" s="142">
        <v>0</v>
      </c>
      <c r="K14" s="53" t="s">
        <v>20</v>
      </c>
    </row>
    <row r="15" spans="1:18" x14ac:dyDescent="0.25">
      <c r="A15" s="56" t="s">
        <v>55</v>
      </c>
      <c r="B15" s="24">
        <v>34</v>
      </c>
      <c r="C15" s="24">
        <v>0</v>
      </c>
      <c r="D15" s="24">
        <v>34</v>
      </c>
      <c r="E15" s="24">
        <v>0</v>
      </c>
      <c r="F15" s="24">
        <v>0</v>
      </c>
      <c r="G15" s="24">
        <v>0</v>
      </c>
      <c r="H15" s="24">
        <v>0</v>
      </c>
      <c r="I15" s="24">
        <f t="shared" si="0"/>
        <v>34</v>
      </c>
      <c r="J15" s="142">
        <v>0</v>
      </c>
      <c r="K15" s="53" t="s">
        <v>20</v>
      </c>
    </row>
    <row r="16" spans="1:18" x14ac:dyDescent="0.25">
      <c r="A16" s="56" t="s">
        <v>56</v>
      </c>
      <c r="B16" s="24">
        <v>4</v>
      </c>
      <c r="C16" s="24">
        <v>0</v>
      </c>
      <c r="D16" s="24">
        <v>4</v>
      </c>
      <c r="E16" s="24">
        <v>0</v>
      </c>
      <c r="F16" s="24">
        <v>0</v>
      </c>
      <c r="G16" s="24">
        <v>0</v>
      </c>
      <c r="H16" s="24">
        <v>0</v>
      </c>
      <c r="I16" s="24">
        <f t="shared" si="0"/>
        <v>4</v>
      </c>
      <c r="J16" s="142">
        <v>0</v>
      </c>
      <c r="K16" s="53" t="s">
        <v>20</v>
      </c>
    </row>
    <row r="17" spans="1:11" x14ac:dyDescent="0.25">
      <c r="A17" s="56" t="s">
        <v>57</v>
      </c>
      <c r="B17" s="24">
        <v>27</v>
      </c>
      <c r="C17" s="24">
        <v>0</v>
      </c>
      <c r="D17" s="24">
        <v>27</v>
      </c>
      <c r="E17" s="24">
        <v>0</v>
      </c>
      <c r="F17" s="24">
        <v>0</v>
      </c>
      <c r="G17" s="24">
        <v>0</v>
      </c>
      <c r="H17" s="24">
        <v>0</v>
      </c>
      <c r="I17" s="24">
        <f t="shared" si="0"/>
        <v>27</v>
      </c>
      <c r="J17" s="142">
        <v>0</v>
      </c>
      <c r="K17" s="53" t="s">
        <v>20</v>
      </c>
    </row>
    <row r="18" spans="1:11" x14ac:dyDescent="0.25">
      <c r="A18" s="56" t="s">
        <v>58</v>
      </c>
      <c r="B18" s="24">
        <v>103</v>
      </c>
      <c r="C18" s="24">
        <v>0</v>
      </c>
      <c r="D18" s="24">
        <v>103</v>
      </c>
      <c r="E18" s="24">
        <v>0</v>
      </c>
      <c r="F18" s="24">
        <v>0</v>
      </c>
      <c r="G18" s="24">
        <v>0</v>
      </c>
      <c r="H18" s="24">
        <v>0</v>
      </c>
      <c r="I18" s="24">
        <f t="shared" si="0"/>
        <v>103</v>
      </c>
      <c r="J18" s="142">
        <v>0</v>
      </c>
      <c r="K18" s="53" t="s">
        <v>20</v>
      </c>
    </row>
    <row r="19" spans="1:11" x14ac:dyDescent="0.25">
      <c r="A19" s="56" t="s">
        <v>59</v>
      </c>
      <c r="B19" s="24">
        <v>1</v>
      </c>
      <c r="C19" s="24">
        <v>0</v>
      </c>
      <c r="D19" s="24">
        <v>1</v>
      </c>
      <c r="E19" s="24">
        <v>0</v>
      </c>
      <c r="F19" s="24">
        <v>0</v>
      </c>
      <c r="G19" s="24">
        <v>0</v>
      </c>
      <c r="H19" s="24">
        <v>0</v>
      </c>
      <c r="I19" s="24">
        <f t="shared" si="0"/>
        <v>1</v>
      </c>
      <c r="J19" s="142">
        <v>0</v>
      </c>
      <c r="K19" s="53" t="s">
        <v>20</v>
      </c>
    </row>
    <row r="20" spans="1:11" x14ac:dyDescent="0.25">
      <c r="A20" s="56" t="s">
        <v>60</v>
      </c>
      <c r="B20" s="24">
        <v>1</v>
      </c>
      <c r="C20" s="24">
        <v>0</v>
      </c>
      <c r="D20" s="24">
        <v>1</v>
      </c>
      <c r="E20" s="24">
        <v>0</v>
      </c>
      <c r="F20" s="24">
        <v>0</v>
      </c>
      <c r="G20" s="24">
        <v>0</v>
      </c>
      <c r="H20" s="24">
        <v>0</v>
      </c>
      <c r="I20" s="24">
        <f t="shared" si="0"/>
        <v>1</v>
      </c>
      <c r="J20" s="142">
        <v>0</v>
      </c>
      <c r="K20" s="53" t="s">
        <v>20</v>
      </c>
    </row>
    <row r="21" spans="1:11" x14ac:dyDescent="0.25">
      <c r="A21" s="56" t="s">
        <v>61</v>
      </c>
      <c r="B21" s="24">
        <v>4</v>
      </c>
      <c r="C21" s="24">
        <v>0</v>
      </c>
      <c r="D21" s="24">
        <v>4</v>
      </c>
      <c r="E21" s="24">
        <v>0</v>
      </c>
      <c r="F21" s="24">
        <v>0</v>
      </c>
      <c r="G21" s="24">
        <v>0</v>
      </c>
      <c r="H21" s="24">
        <v>0</v>
      </c>
      <c r="I21" s="24">
        <f t="shared" si="0"/>
        <v>4</v>
      </c>
      <c r="J21" s="142">
        <v>0</v>
      </c>
      <c r="K21" s="53" t="s">
        <v>20</v>
      </c>
    </row>
    <row r="22" spans="1:11" x14ac:dyDescent="0.25">
      <c r="A22" s="188" t="s">
        <v>179</v>
      </c>
      <c r="B22" s="24">
        <v>41</v>
      </c>
      <c r="C22" s="24">
        <v>0</v>
      </c>
      <c r="D22" s="24">
        <v>41</v>
      </c>
      <c r="E22" s="24">
        <v>0</v>
      </c>
      <c r="F22" s="24">
        <v>0</v>
      </c>
      <c r="G22" s="24">
        <v>0</v>
      </c>
      <c r="H22" s="24">
        <v>0</v>
      </c>
      <c r="I22" s="24">
        <f t="shared" si="0"/>
        <v>41</v>
      </c>
      <c r="J22" s="142">
        <v>0</v>
      </c>
      <c r="K22" s="53" t="s">
        <v>20</v>
      </c>
    </row>
    <row r="23" spans="1:11" x14ac:dyDescent="0.25">
      <c r="A23" s="56" t="s">
        <v>62</v>
      </c>
      <c r="B23" s="24">
        <v>2</v>
      </c>
      <c r="C23" s="24">
        <v>0</v>
      </c>
      <c r="D23" s="24">
        <v>2</v>
      </c>
      <c r="E23" s="24">
        <v>0</v>
      </c>
      <c r="F23" s="24">
        <v>0</v>
      </c>
      <c r="G23" s="24">
        <v>0</v>
      </c>
      <c r="H23" s="24">
        <v>0</v>
      </c>
      <c r="I23" s="24">
        <f t="shared" si="0"/>
        <v>2</v>
      </c>
      <c r="J23" s="142">
        <v>0</v>
      </c>
      <c r="K23" s="53" t="s">
        <v>20</v>
      </c>
    </row>
    <row r="24" spans="1:11" x14ac:dyDescent="0.25">
      <c r="A24" s="56" t="s">
        <v>64</v>
      </c>
      <c r="B24" s="24">
        <v>39</v>
      </c>
      <c r="C24" s="24">
        <v>0</v>
      </c>
      <c r="D24" s="24">
        <v>39</v>
      </c>
      <c r="E24" s="24">
        <v>0</v>
      </c>
      <c r="F24" s="24">
        <v>0</v>
      </c>
      <c r="G24" s="24">
        <v>0</v>
      </c>
      <c r="H24" s="24">
        <v>0</v>
      </c>
      <c r="I24" s="24">
        <f t="shared" si="0"/>
        <v>39</v>
      </c>
      <c r="J24" s="142">
        <v>0</v>
      </c>
      <c r="K24" s="53" t="s">
        <v>20</v>
      </c>
    </row>
    <row r="25" spans="1:11" x14ac:dyDescent="0.25">
      <c r="A25" s="56" t="s">
        <v>63</v>
      </c>
      <c r="B25" s="24">
        <v>0</v>
      </c>
      <c r="C25" s="24">
        <v>0</v>
      </c>
      <c r="D25" s="24">
        <v>0</v>
      </c>
      <c r="E25" s="24">
        <v>0</v>
      </c>
      <c r="F25" s="24">
        <v>0</v>
      </c>
      <c r="G25" s="24">
        <v>0</v>
      </c>
      <c r="H25" s="24">
        <v>0</v>
      </c>
      <c r="I25" s="24">
        <f t="shared" si="0"/>
        <v>0</v>
      </c>
      <c r="J25" s="142">
        <v>0</v>
      </c>
      <c r="K25" s="53" t="s">
        <v>20</v>
      </c>
    </row>
    <row r="26" spans="1:11" x14ac:dyDescent="0.25">
      <c r="A26" s="57" t="s">
        <v>25</v>
      </c>
      <c r="B26" s="143">
        <f t="shared" ref="B26:J26" si="1">SUM(B9:B25)</f>
        <v>702</v>
      </c>
      <c r="C26" s="143">
        <f t="shared" si="1"/>
        <v>0</v>
      </c>
      <c r="D26" s="143">
        <f t="shared" si="1"/>
        <v>702</v>
      </c>
      <c r="E26" s="143">
        <f t="shared" si="1"/>
        <v>0</v>
      </c>
      <c r="F26" s="143">
        <f t="shared" si="1"/>
        <v>0</v>
      </c>
      <c r="G26" s="143">
        <f t="shared" si="1"/>
        <v>10</v>
      </c>
      <c r="H26" s="143">
        <f t="shared" si="1"/>
        <v>0</v>
      </c>
      <c r="I26" s="143">
        <f t="shared" si="1"/>
        <v>712</v>
      </c>
      <c r="J26" s="144">
        <f t="shared" si="1"/>
        <v>0</v>
      </c>
      <c r="K26" s="53" t="s">
        <v>20</v>
      </c>
    </row>
    <row r="27" spans="1:11" x14ac:dyDescent="0.25">
      <c r="K27" s="53" t="s">
        <v>21</v>
      </c>
    </row>
  </sheetData>
  <customSheetViews>
    <customSheetView guid="{5B2D5037-506A-47D5-AF28-C337BC9133BD}" scale="80" showPageBreaks="1" printArea="1" view="pageBreakPreview" topLeftCell="B1">
      <selection activeCell="I13" sqref="I13"/>
      <pageMargins left="0.7" right="0.7" top="0.75" bottom="0.75" header="0.3" footer="0.3"/>
      <printOptions horizontalCentered="1"/>
      <pageSetup scale="69" orientation="landscape" r:id="rId1"/>
      <headerFooter>
        <oddHeader>&amp;L&amp;"Arial,Bold"&amp;12I. Detail of Permanent Positions by Category</oddHeader>
        <oddFooter>&amp;C&amp;"Arial,Regular"Exhibit I - Details of Permanent Positions by Category&amp;R&amp;"Arial,Regular"Salaries and Expenses/Management and Administration</oddFooter>
      </headerFooter>
    </customSheetView>
    <customSheetView guid="{08380F1E-0CB7-4B3B-924E-2A270EA8DD30}" scale="80" showPageBreaks="1" printArea="1" view="pageBreakPreview">
      <selection activeCell="I13" sqref="I13"/>
      <pageMargins left="0.7" right="0.7" top="0.75" bottom="0.75" header="0.3" footer="0.3"/>
      <printOptions horizontalCentered="1"/>
      <pageSetup scale="69" orientation="landscape" r:id="rId2"/>
      <headerFooter>
        <oddHeader>&amp;L&amp;"Arial,Bold"&amp;12I. Detail of Permanent Positions by Category</oddHeader>
        <oddFooter>&amp;C&amp;"Arial,Regular"Exhibit I - Details of Permanent Positions by Category&amp;R&amp;"Arial,Regular"Salaries and Expenses/Management and Administration</oddFooter>
      </headerFooter>
    </customSheetView>
    <customSheetView guid="{D19943A8-2C2A-430A-A724-8C7C332697C8}" scale="80" showPageBreaks="1" printArea="1" view="pageBreakPreview">
      <selection activeCell="B14" sqref="B14"/>
      <pageMargins left="0.7" right="0.7" top="0.75" bottom="0.75" header="0.3" footer="0.3"/>
      <printOptions horizontalCentered="1"/>
      <pageSetup scale="69" orientation="landscape" r:id="rId3"/>
      <headerFooter>
        <oddHeader>&amp;L&amp;"Arial,Bold"&amp;12I. Detail of Permanent Positions by Category</oddHeader>
        <oddFooter>&amp;C&amp;"Arial,Regular"Exhibit I - Details of Permanent Positions by Category&amp;R&amp;"Arial,Regular"Salaries and Expenses/Management and Administration</oddFooter>
      </headerFooter>
    </customSheetView>
    <customSheetView guid="{C6D68C6D-939C-4DFA-9385-A3F05DFB5EDA}" scale="80" showPageBreaks="1" printArea="1" view="pageBreakPreview">
      <selection activeCell="I13" sqref="I13"/>
      <pageMargins left="0.7" right="0.7" top="0.75" bottom="0.75" header="0.3" footer="0.3"/>
      <printOptions horizontalCentered="1"/>
      <pageSetup scale="69" orientation="landscape" r:id="rId4"/>
      <headerFooter>
        <oddHeader>&amp;L&amp;"Arial,Bold"&amp;12I. Detail of Permanent Positions by Category</oddHeader>
        <oddFooter>&amp;C&amp;"Arial,Regular"Exhibit I - Details of Permanent Positions by Category&amp;R&amp;"Arial,Regular"Salaries and Expenses/Management and Administration</oddFooter>
      </headerFooter>
    </customSheetView>
  </customSheetViews>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69" orientation="landscape" r:id="rId5"/>
  <headerFooter>
    <oddHeader>&amp;L&amp;"Arial,Bold"&amp;12I. Detail of Permanent Positions by Category</oddHeader>
    <oddFooter>&amp;C&amp;"Arial,Regular"Exhibit I - Details of Permanent Positions by Category&amp;R&amp;"Arial,Regular"Salaries and Expenses/Management and Administration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80" zoomScaleNormal="100" zoomScaleSheetLayoutView="80" workbookViewId="0">
      <selection activeCell="C15" sqref="C15"/>
    </sheetView>
  </sheetViews>
  <sheetFormatPr defaultColWidth="9.109375" defaultRowHeight="13.8" x14ac:dyDescent="0.25"/>
  <cols>
    <col min="1" max="1" width="63.5546875" style="12" customWidth="1"/>
    <col min="2" max="2" width="14" style="12" customWidth="1"/>
    <col min="3" max="3" width="15.88671875" style="12" customWidth="1"/>
    <col min="4" max="4" width="15.5546875" style="12" customWidth="1"/>
    <col min="5" max="5" width="19.109375" style="12" customWidth="1"/>
    <col min="6" max="6" width="14" style="7" bestFit="1" customWidth="1"/>
    <col min="7" max="7" width="4.5546875" style="12" customWidth="1"/>
    <col min="8" max="9" width="8.33203125" style="12" customWidth="1"/>
    <col min="10" max="10" width="12.6640625" style="12" customWidth="1"/>
    <col min="11" max="12" width="8.33203125" style="12" customWidth="1"/>
    <col min="13" max="13" width="12.6640625" style="12" customWidth="1"/>
    <col min="14" max="16384" width="9.109375" style="12"/>
  </cols>
  <sheetData>
    <row r="1" spans="1:13" ht="18" x14ac:dyDescent="0.25">
      <c r="A1" s="681" t="s">
        <v>98</v>
      </c>
      <c r="B1" s="682"/>
      <c r="C1" s="682"/>
      <c r="D1" s="682"/>
      <c r="E1" s="683"/>
      <c r="F1" s="53" t="s">
        <v>20</v>
      </c>
      <c r="G1" s="9"/>
      <c r="H1" s="9"/>
      <c r="I1" s="9"/>
      <c r="J1" s="9"/>
      <c r="K1" s="9"/>
      <c r="L1" s="9"/>
      <c r="M1" s="9"/>
    </row>
    <row r="2" spans="1:13" ht="15" x14ac:dyDescent="0.2">
      <c r="A2" s="684" t="s">
        <v>160</v>
      </c>
      <c r="B2" s="685"/>
      <c r="C2" s="685"/>
      <c r="D2" s="685"/>
      <c r="E2" s="686"/>
      <c r="F2" s="53" t="s">
        <v>20</v>
      </c>
      <c r="G2" s="10"/>
      <c r="H2" s="10"/>
      <c r="I2" s="10"/>
      <c r="J2" s="10"/>
      <c r="K2" s="10"/>
      <c r="L2" s="10"/>
      <c r="M2" s="10"/>
    </row>
    <row r="3" spans="1:13" ht="14.25" x14ac:dyDescent="0.2">
      <c r="A3" s="687" t="s">
        <v>169</v>
      </c>
      <c r="B3" s="688"/>
      <c r="C3" s="688"/>
      <c r="D3" s="688"/>
      <c r="E3" s="689"/>
      <c r="F3" s="53" t="s">
        <v>20</v>
      </c>
      <c r="G3" s="13"/>
      <c r="H3" s="13"/>
      <c r="I3" s="13"/>
      <c r="J3" s="13"/>
      <c r="K3" s="13"/>
      <c r="L3" s="13"/>
      <c r="M3" s="13"/>
    </row>
    <row r="4" spans="1:13" ht="14.25" x14ac:dyDescent="0.2">
      <c r="A4" s="690" t="s">
        <v>1</v>
      </c>
      <c r="B4" s="691"/>
      <c r="C4" s="691"/>
      <c r="D4" s="691"/>
      <c r="E4" s="692"/>
      <c r="F4" s="53" t="s">
        <v>20</v>
      </c>
      <c r="G4" s="11"/>
      <c r="H4" s="11"/>
      <c r="I4" s="11"/>
      <c r="J4" s="11"/>
      <c r="K4" s="11"/>
      <c r="L4" s="11"/>
      <c r="M4" s="11"/>
    </row>
    <row r="5" spans="1:13" ht="14.25" x14ac:dyDescent="0.2">
      <c r="A5" s="690"/>
      <c r="B5" s="691"/>
      <c r="C5" s="691"/>
      <c r="D5" s="338"/>
      <c r="E5" s="387"/>
      <c r="F5" s="53" t="s">
        <v>20</v>
      </c>
      <c r="G5" s="11"/>
      <c r="H5" s="11"/>
      <c r="I5" s="11"/>
      <c r="J5" s="11"/>
      <c r="K5" s="11"/>
      <c r="L5" s="11"/>
      <c r="M5" s="11"/>
    </row>
    <row r="6" spans="1:13" s="23" customFormat="1" ht="61.5" customHeight="1" x14ac:dyDescent="0.25">
      <c r="A6" s="693" t="s">
        <v>99</v>
      </c>
      <c r="B6" s="695" t="s">
        <v>169</v>
      </c>
      <c r="C6" s="696"/>
      <c r="D6" s="696"/>
      <c r="E6" s="697"/>
      <c r="F6" s="53" t="s">
        <v>20</v>
      </c>
    </row>
    <row r="7" spans="1:13" s="23" customFormat="1" ht="53.25" customHeight="1" x14ac:dyDescent="0.25">
      <c r="A7" s="694"/>
      <c r="B7" s="679" t="s">
        <v>180</v>
      </c>
      <c r="C7" s="680"/>
      <c r="D7" s="698" t="s">
        <v>17</v>
      </c>
      <c r="E7" s="699"/>
      <c r="F7" s="53" t="s">
        <v>20</v>
      </c>
    </row>
    <row r="8" spans="1:13" s="23" customFormat="1" x14ac:dyDescent="0.25">
      <c r="A8" s="639"/>
      <c r="B8" s="22" t="s">
        <v>3</v>
      </c>
      <c r="C8" s="22" t="s">
        <v>4</v>
      </c>
      <c r="D8" s="22" t="s">
        <v>3</v>
      </c>
      <c r="E8" s="388" t="s">
        <v>4</v>
      </c>
      <c r="F8" s="53" t="s">
        <v>20</v>
      </c>
    </row>
    <row r="9" spans="1:13" s="23" customFormat="1" x14ac:dyDescent="0.25">
      <c r="A9" s="389" t="s">
        <v>436</v>
      </c>
      <c r="B9" s="386">
        <v>2</v>
      </c>
      <c r="C9" s="386">
        <v>0</v>
      </c>
      <c r="D9" s="386">
        <f t="shared" ref="D9:D10" si="0">B9</f>
        <v>2</v>
      </c>
      <c r="E9" s="390">
        <f t="shared" ref="E9:E10" si="1">C9</f>
        <v>0</v>
      </c>
      <c r="F9" s="53" t="s">
        <v>20</v>
      </c>
    </row>
    <row r="10" spans="1:13" s="23" customFormat="1" x14ac:dyDescent="0.25">
      <c r="A10" s="389" t="s">
        <v>435</v>
      </c>
      <c r="B10" s="386">
        <v>8</v>
      </c>
      <c r="C10" s="386">
        <v>0</v>
      </c>
      <c r="D10" s="386">
        <f t="shared" si="0"/>
        <v>8</v>
      </c>
      <c r="E10" s="390">
        <f t="shared" si="1"/>
        <v>0</v>
      </c>
      <c r="F10" s="53" t="s">
        <v>20</v>
      </c>
    </row>
    <row r="11" spans="1:13" s="23" customFormat="1" x14ac:dyDescent="0.25">
      <c r="A11" s="389" t="s">
        <v>111</v>
      </c>
      <c r="B11" s="386">
        <f>SUM(B9:B10)</f>
        <v>10</v>
      </c>
      <c r="C11" s="386">
        <f>SUM(C9:C10)</f>
        <v>0</v>
      </c>
      <c r="D11" s="386">
        <f>B11</f>
        <v>10</v>
      </c>
      <c r="E11" s="390">
        <f>C11</f>
        <v>0</v>
      </c>
      <c r="F11" s="53" t="s">
        <v>20</v>
      </c>
    </row>
    <row r="12" spans="1:13" s="23" customFormat="1" x14ac:dyDescent="0.25">
      <c r="A12" s="389" t="s">
        <v>437</v>
      </c>
      <c r="B12" s="386">
        <v>0</v>
      </c>
      <c r="C12" s="386">
        <f t="shared" ref="C12" si="2">-C11*0.5</f>
        <v>0</v>
      </c>
      <c r="D12" s="386">
        <f>B12</f>
        <v>0</v>
      </c>
      <c r="E12" s="390">
        <f t="shared" ref="E12:E14" si="3">C12</f>
        <v>0</v>
      </c>
      <c r="F12" s="53" t="s">
        <v>20</v>
      </c>
    </row>
    <row r="13" spans="1:13" s="23" customFormat="1" x14ac:dyDescent="0.25">
      <c r="A13" s="389" t="s">
        <v>438</v>
      </c>
      <c r="B13" s="386">
        <v>0</v>
      </c>
      <c r="C13" s="386">
        <v>0</v>
      </c>
      <c r="D13" s="386">
        <v>0</v>
      </c>
      <c r="E13" s="390">
        <f t="shared" si="3"/>
        <v>0</v>
      </c>
      <c r="F13" s="53" t="s">
        <v>20</v>
      </c>
    </row>
    <row r="14" spans="1:13" x14ac:dyDescent="0.25">
      <c r="A14" s="389" t="s">
        <v>112</v>
      </c>
      <c r="B14" s="386">
        <f>SUM(B11:B13)</f>
        <v>10</v>
      </c>
      <c r="C14" s="386">
        <v>1608</v>
      </c>
      <c r="D14" s="386">
        <f>D11+D12</f>
        <v>10</v>
      </c>
      <c r="E14" s="390">
        <f t="shared" si="3"/>
        <v>1608</v>
      </c>
      <c r="F14" s="53" t="s">
        <v>20</v>
      </c>
    </row>
    <row r="15" spans="1:13" x14ac:dyDescent="0.25">
      <c r="A15" s="391" t="s">
        <v>145</v>
      </c>
      <c r="B15" s="143">
        <f>SUM(B14:B14)</f>
        <v>10</v>
      </c>
      <c r="C15" s="143">
        <f>SUM(C14:C14)</f>
        <v>1608</v>
      </c>
      <c r="D15" s="143">
        <f>SUM(D14:D14)</f>
        <v>10</v>
      </c>
      <c r="E15" s="144">
        <f>SUM(E14:E14)</f>
        <v>1608</v>
      </c>
      <c r="F15" s="53" t="s">
        <v>20</v>
      </c>
    </row>
    <row r="16" spans="1:13" x14ac:dyDescent="0.25">
      <c r="A16" s="392"/>
      <c r="B16" s="64"/>
      <c r="C16" s="64"/>
      <c r="D16" s="64"/>
      <c r="E16" s="393"/>
      <c r="F16" s="53" t="s">
        <v>20</v>
      </c>
    </row>
    <row r="17" spans="1:6" ht="14.4" thickBot="1" x14ac:dyDescent="0.3">
      <c r="A17" s="394"/>
      <c r="B17" s="395"/>
      <c r="C17" s="395"/>
      <c r="D17" s="395"/>
      <c r="E17" s="396"/>
      <c r="F17" s="53" t="s">
        <v>20</v>
      </c>
    </row>
    <row r="18" spans="1:6" x14ac:dyDescent="0.25">
      <c r="F18" s="53" t="s">
        <v>21</v>
      </c>
    </row>
  </sheetData>
  <customSheetViews>
    <customSheetView guid="{5B2D5037-506A-47D5-AF28-C337BC9133BD}" scale="80" showPageBreaks="1" printArea="1" view="pageBreakPreview">
      <selection activeCell="C15" sqref="C15"/>
      <pageMargins left="0.7" right="0.7" top="0.52" bottom="0.39" header="0.3" footer="0.23"/>
      <printOptions horizontalCentered="1"/>
      <pageSetup scale="75" fitToHeight="2" orientation="landscape" r:id="rId1"/>
      <headerFooter>
        <oddHeader xml:space="preserve">&amp;L&amp;"Arial,Bold"&amp;12J. Financial Analysis of Program Changes
</oddHeader>
        <oddFooter>&amp;C&amp;"Arial,Regular"Exhibit J - Financial Analysis of Program Changes&amp;R&amp;"Arial,Regular"Salaries and Expenses/Management and Administration</oddFooter>
      </headerFooter>
    </customSheetView>
    <customSheetView guid="{08380F1E-0CB7-4B3B-924E-2A270EA8DD30}" scale="80" showPageBreaks="1" printArea="1" view="pageBreakPreview">
      <selection activeCell="C15" sqref="C15"/>
      <pageMargins left="0.7" right="0.7" top="0.52" bottom="0.39" header="0.3" footer="0.23"/>
      <printOptions horizontalCentered="1"/>
      <pageSetup scale="75" fitToHeight="2" orientation="landscape" r:id="rId2"/>
      <headerFooter>
        <oddHeader xml:space="preserve">&amp;L&amp;"Arial,Bold"&amp;12J. Financial Analysis of Program Changes
</oddHeader>
        <oddFooter>&amp;C&amp;"Arial,Regular"Exhibit J - Financial Analysis of Program Changes&amp;R&amp;"Arial,Regular"Salaries and Expenses/Management and Administration</oddFooter>
      </headerFooter>
    </customSheetView>
    <customSheetView guid="{D19943A8-2C2A-430A-A724-8C7C332697C8}" scale="80" showPageBreaks="1" printArea="1" view="pageBreakPreview">
      <selection activeCell="C15" sqref="C15"/>
      <pageMargins left="0.7" right="0.7" top="0.52" bottom="0.39" header="0.3" footer="0.23"/>
      <printOptions horizontalCentered="1"/>
      <pageSetup scale="75" fitToHeight="2" orientation="landscape" r:id="rId3"/>
      <headerFooter>
        <oddHeader xml:space="preserve">&amp;L&amp;"Arial,Bold"&amp;12J. Financial Analysis of Program Changes
</oddHeader>
        <oddFooter>&amp;C&amp;"Arial,Regular"Exhibit J - Financial Analysis of Program Changes&amp;R&amp;"Arial,Regular"Salaries and Expenses/Management and Administration</oddFooter>
      </headerFooter>
    </customSheetView>
    <customSheetView guid="{C6D68C6D-939C-4DFA-9385-A3F05DFB5EDA}" scale="80" showPageBreaks="1" printArea="1" view="pageBreakPreview">
      <selection activeCell="C15" sqref="C15"/>
      <pageMargins left="0.7" right="0.7" top="0.52" bottom="0.39" header="0.3" footer="0.23"/>
      <printOptions horizontalCentered="1"/>
      <pageSetup scale="75" fitToHeight="2" orientation="landscape" r:id="rId4"/>
      <headerFooter>
        <oddHeader xml:space="preserve">&amp;L&amp;"Arial,Bold"&amp;12J. Financial Analysis of Program Changes
</oddHeader>
        <oddFooter>&amp;C&amp;"Arial,Regular"Exhibit J - Financial Analysis of Program Changes&amp;R&amp;"Arial,Regular"Salaries and Expenses/Management and Administration</oddFooter>
      </headerFooter>
    </customSheetView>
  </customSheetViews>
  <mergeCells count="9">
    <mergeCell ref="B7:C7"/>
    <mergeCell ref="A1:E1"/>
    <mergeCell ref="A2:E2"/>
    <mergeCell ref="A3:E3"/>
    <mergeCell ref="A4:E4"/>
    <mergeCell ref="A5:C5"/>
    <mergeCell ref="A6:A8"/>
    <mergeCell ref="B6:E6"/>
    <mergeCell ref="D7:E7"/>
  </mergeCells>
  <printOptions horizontalCentered="1"/>
  <pageMargins left="0.7" right="0.7" top="0.52" bottom="0.39" header="0.3" footer="0.23"/>
  <pageSetup scale="75" fitToHeight="2" orientation="landscape" r:id="rId5"/>
  <headerFooter>
    <oddHeader xml:space="preserve">&amp;L&amp;"Arial,Bold"&amp;12J. Financial Analysis of Program Changes
</oddHeader>
    <oddFooter>&amp;C&amp;"Arial,Regular"Exhibit J - Financial Analysis of Program Changes&amp;R&amp;"Arial,Regular"Salaries and Expenses/Management and Administration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view="pageBreakPreview" zoomScale="80" zoomScaleNormal="100" zoomScaleSheetLayoutView="80" workbookViewId="0">
      <selection activeCell="J13" sqref="J13"/>
    </sheetView>
  </sheetViews>
  <sheetFormatPr defaultColWidth="9.109375" defaultRowHeight="13.8" x14ac:dyDescent="0.25"/>
  <cols>
    <col min="1" max="1" width="9.44140625" style="12" customWidth="1"/>
    <col min="2" max="2" width="13.5546875" style="12" customWidth="1"/>
    <col min="3" max="3" width="3.6640625" style="12" customWidth="1"/>
    <col min="4" max="4" width="10.6640625" style="12" bestFit="1" customWidth="1"/>
    <col min="5" max="5" width="8.33203125" style="12" customWidth="1"/>
    <col min="6" max="6" width="12.6640625" style="12" customWidth="1"/>
    <col min="7" max="7" width="8.33203125" style="12" customWidth="1"/>
    <col min="8" max="8" width="12.6640625" style="12" customWidth="1"/>
    <col min="9" max="9" width="8.33203125" style="12" customWidth="1"/>
    <col min="10" max="10" width="12.6640625" style="12" customWidth="1"/>
    <col min="11" max="11" width="8.33203125" style="12" customWidth="1"/>
    <col min="12" max="12" width="12.6640625" style="12" customWidth="1"/>
    <col min="13" max="13" width="14" style="7" bestFit="1" customWidth="1"/>
    <col min="14" max="14" width="4.5546875" style="12" customWidth="1"/>
    <col min="15" max="16" width="8.33203125" style="12" customWidth="1"/>
    <col min="17" max="17" width="12.6640625" style="12" customWidth="1"/>
    <col min="18" max="19" width="8.33203125" style="12" customWidth="1"/>
    <col min="20" max="20" width="12.6640625" style="12" customWidth="1"/>
    <col min="21" max="16384" width="9.109375" style="12"/>
  </cols>
  <sheetData>
    <row r="1" spans="1:20" ht="18" x14ac:dyDescent="0.25">
      <c r="A1" s="633" t="s">
        <v>141</v>
      </c>
      <c r="B1" s="633"/>
      <c r="C1" s="633"/>
      <c r="D1" s="633"/>
      <c r="E1" s="633"/>
      <c r="F1" s="633"/>
      <c r="G1" s="633"/>
      <c r="H1" s="633"/>
      <c r="I1" s="633"/>
      <c r="J1" s="633"/>
      <c r="K1" s="633"/>
      <c r="L1" s="633"/>
      <c r="M1" s="53" t="s">
        <v>20</v>
      </c>
      <c r="N1" s="9"/>
      <c r="O1" s="9"/>
      <c r="P1" s="9"/>
      <c r="Q1" s="9"/>
      <c r="R1" s="9"/>
      <c r="S1" s="9"/>
      <c r="T1" s="9"/>
    </row>
    <row r="2" spans="1:20" ht="15" x14ac:dyDescent="0.2">
      <c r="A2" s="634" t="s">
        <v>160</v>
      </c>
      <c r="B2" s="634"/>
      <c r="C2" s="634"/>
      <c r="D2" s="634"/>
      <c r="E2" s="634"/>
      <c r="F2" s="634"/>
      <c r="G2" s="634"/>
      <c r="H2" s="634"/>
      <c r="I2" s="634"/>
      <c r="J2" s="634"/>
      <c r="K2" s="634"/>
      <c r="L2" s="634"/>
      <c r="M2" s="53" t="s">
        <v>20</v>
      </c>
      <c r="N2" s="10"/>
      <c r="O2" s="10"/>
      <c r="P2" s="10"/>
      <c r="Q2" s="10"/>
      <c r="R2" s="10"/>
      <c r="S2" s="10"/>
      <c r="T2" s="10"/>
    </row>
    <row r="3" spans="1:20" ht="14.25" x14ac:dyDescent="0.2">
      <c r="A3" s="635" t="s">
        <v>169</v>
      </c>
      <c r="B3" s="640"/>
      <c r="C3" s="640"/>
      <c r="D3" s="640"/>
      <c r="E3" s="640"/>
      <c r="F3" s="640"/>
      <c r="G3" s="640"/>
      <c r="H3" s="640"/>
      <c r="I3" s="640"/>
      <c r="J3" s="640"/>
      <c r="K3" s="640"/>
      <c r="L3" s="640"/>
      <c r="M3" s="53" t="s">
        <v>20</v>
      </c>
      <c r="N3" s="13"/>
      <c r="O3" s="13"/>
      <c r="P3" s="13"/>
      <c r="Q3" s="13"/>
      <c r="R3" s="13"/>
      <c r="S3" s="13"/>
      <c r="T3" s="13"/>
    </row>
    <row r="4" spans="1:20" ht="14.25" x14ac:dyDescent="0.2">
      <c r="A4" s="637" t="s">
        <v>1</v>
      </c>
      <c r="B4" s="637"/>
      <c r="C4" s="637"/>
      <c r="D4" s="637"/>
      <c r="E4" s="637"/>
      <c r="F4" s="637"/>
      <c r="G4" s="637"/>
      <c r="H4" s="637"/>
      <c r="I4" s="637"/>
      <c r="J4" s="637"/>
      <c r="K4" s="637"/>
      <c r="L4" s="637"/>
      <c r="M4" s="53" t="s">
        <v>20</v>
      </c>
      <c r="N4" s="11"/>
      <c r="O4" s="11"/>
      <c r="P4" s="11"/>
      <c r="Q4" s="11"/>
      <c r="R4" s="11"/>
      <c r="S4" s="11"/>
      <c r="T4" s="11"/>
    </row>
    <row r="5" spans="1:20" ht="14.25" x14ac:dyDescent="0.2">
      <c r="A5" s="637"/>
      <c r="B5" s="637"/>
      <c r="C5" s="637"/>
      <c r="D5" s="637"/>
      <c r="E5" s="637"/>
      <c r="F5" s="637"/>
      <c r="G5" s="637"/>
      <c r="H5" s="637"/>
      <c r="I5" s="637"/>
      <c r="J5" s="637"/>
      <c r="K5" s="637"/>
      <c r="L5" s="637"/>
      <c r="M5" s="53" t="s">
        <v>20</v>
      </c>
      <c r="N5" s="11"/>
      <c r="O5" s="11"/>
      <c r="P5" s="11"/>
      <c r="Q5" s="11"/>
      <c r="R5" s="11"/>
      <c r="S5" s="11"/>
      <c r="T5" s="11"/>
    </row>
    <row r="6" spans="1:20" ht="15" thickBot="1" x14ac:dyDescent="0.25">
      <c r="A6" s="637"/>
      <c r="B6" s="637"/>
      <c r="C6" s="637"/>
      <c r="D6" s="637"/>
      <c r="E6" s="637"/>
      <c r="F6" s="637"/>
      <c r="G6" s="637"/>
      <c r="H6" s="637"/>
      <c r="I6" s="637"/>
      <c r="J6" s="637"/>
      <c r="K6" s="637"/>
      <c r="L6" s="637"/>
      <c r="M6" s="53" t="s">
        <v>20</v>
      </c>
      <c r="N6" s="11"/>
      <c r="O6" s="11"/>
      <c r="P6" s="11"/>
      <c r="Q6" s="11"/>
      <c r="R6" s="11"/>
      <c r="S6" s="11"/>
      <c r="T6" s="11"/>
    </row>
    <row r="7" spans="1:20" ht="30.75" customHeight="1" x14ac:dyDescent="0.25">
      <c r="A7" s="702" t="s">
        <v>113</v>
      </c>
      <c r="B7" s="703"/>
      <c r="C7" s="703"/>
      <c r="D7" s="704"/>
      <c r="E7" s="641" t="s">
        <v>7</v>
      </c>
      <c r="F7" s="641"/>
      <c r="G7" s="641" t="s">
        <v>8</v>
      </c>
      <c r="H7" s="641"/>
      <c r="I7" s="641" t="s">
        <v>24</v>
      </c>
      <c r="J7" s="641"/>
      <c r="K7" s="641" t="s">
        <v>46</v>
      </c>
      <c r="L7" s="642"/>
      <c r="M7" s="53" t="s">
        <v>20</v>
      </c>
    </row>
    <row r="8" spans="1:20" ht="27.6" x14ac:dyDescent="0.25">
      <c r="A8" s="705"/>
      <c r="B8" s="706"/>
      <c r="C8" s="706"/>
      <c r="D8" s="707"/>
      <c r="E8" s="14" t="s">
        <v>3</v>
      </c>
      <c r="F8" s="14" t="s">
        <v>4</v>
      </c>
      <c r="G8" s="14" t="s">
        <v>3</v>
      </c>
      <c r="H8" s="14" t="s">
        <v>4</v>
      </c>
      <c r="I8" s="14" t="s">
        <v>3</v>
      </c>
      <c r="J8" s="14" t="s">
        <v>4</v>
      </c>
      <c r="K8" s="14" t="s">
        <v>3</v>
      </c>
      <c r="L8" s="15" t="s">
        <v>4</v>
      </c>
      <c r="M8" s="53" t="s">
        <v>20</v>
      </c>
    </row>
    <row r="9" spans="1:20" ht="14.25" x14ac:dyDescent="0.2">
      <c r="A9" s="97" t="s">
        <v>114</v>
      </c>
      <c r="B9" s="98">
        <v>145700</v>
      </c>
      <c r="C9" s="99" t="s">
        <v>116</v>
      </c>
      <c r="D9" s="100">
        <v>199700</v>
      </c>
      <c r="E9" s="158">
        <v>6</v>
      </c>
      <c r="F9" s="158">
        <v>0</v>
      </c>
      <c r="G9" s="158">
        <v>6</v>
      </c>
      <c r="H9" s="158">
        <v>0</v>
      </c>
      <c r="I9" s="158">
        <v>6</v>
      </c>
      <c r="J9" s="158">
        <v>0</v>
      </c>
      <c r="K9" s="158">
        <f>I9-G9</f>
        <v>0</v>
      </c>
      <c r="L9" s="159">
        <f>J9-H9</f>
        <v>0</v>
      </c>
      <c r="M9" s="53" t="s">
        <v>20</v>
      </c>
    </row>
    <row r="10" spans="1:20" x14ac:dyDescent="0.25">
      <c r="A10" s="120" t="s">
        <v>142</v>
      </c>
      <c r="B10" s="102">
        <v>119554</v>
      </c>
      <c r="C10" s="103" t="s">
        <v>116</v>
      </c>
      <c r="D10" s="104">
        <v>179700</v>
      </c>
      <c r="E10" s="160">
        <v>20</v>
      </c>
      <c r="F10" s="160">
        <v>0</v>
      </c>
      <c r="G10" s="160">
        <v>20</v>
      </c>
      <c r="H10" s="160">
        <v>0</v>
      </c>
      <c r="I10" s="160">
        <v>20</v>
      </c>
      <c r="J10" s="160">
        <v>0</v>
      </c>
      <c r="K10" s="160">
        <f t="shared" ref="K10:K22" si="0">I10-G10</f>
        <v>0</v>
      </c>
      <c r="L10" s="161">
        <f t="shared" ref="L10:L22" si="1">J10-H10</f>
        <v>0</v>
      </c>
      <c r="M10" s="53" t="s">
        <v>20</v>
      </c>
    </row>
    <row r="11" spans="1:20" x14ac:dyDescent="0.25">
      <c r="A11" s="101" t="s">
        <v>100</v>
      </c>
      <c r="B11" s="102">
        <v>123758</v>
      </c>
      <c r="C11" s="103" t="s">
        <v>116</v>
      </c>
      <c r="D11" s="104">
        <v>155500</v>
      </c>
      <c r="E11" s="160">
        <v>78</v>
      </c>
      <c r="F11" s="160">
        <v>0</v>
      </c>
      <c r="G11" s="160">
        <v>78</v>
      </c>
      <c r="H11" s="160">
        <v>0</v>
      </c>
      <c r="I11" s="160">
        <v>78</v>
      </c>
      <c r="J11" s="160">
        <v>0</v>
      </c>
      <c r="K11" s="160">
        <f t="shared" si="0"/>
        <v>0</v>
      </c>
      <c r="L11" s="161">
        <f t="shared" si="1"/>
        <v>0</v>
      </c>
      <c r="M11" s="53" t="s">
        <v>20</v>
      </c>
    </row>
    <row r="12" spans="1:20" x14ac:dyDescent="0.25">
      <c r="A12" s="101" t="s">
        <v>101</v>
      </c>
      <c r="B12" s="102">
        <v>105211</v>
      </c>
      <c r="C12" s="103" t="s">
        <v>116</v>
      </c>
      <c r="D12" s="104">
        <v>136771</v>
      </c>
      <c r="E12" s="160">
        <v>134</v>
      </c>
      <c r="F12" s="160">
        <v>0</v>
      </c>
      <c r="G12" s="160">
        <v>134</v>
      </c>
      <c r="H12" s="160">
        <v>0</v>
      </c>
      <c r="I12" s="160">
        <v>134</v>
      </c>
      <c r="J12" s="160">
        <v>0</v>
      </c>
      <c r="K12" s="160">
        <f t="shared" si="0"/>
        <v>0</v>
      </c>
      <c r="L12" s="161">
        <f t="shared" si="1"/>
        <v>0</v>
      </c>
      <c r="M12" s="53" t="s">
        <v>20</v>
      </c>
    </row>
    <row r="13" spans="1:20" x14ac:dyDescent="0.25">
      <c r="A13" s="101" t="s">
        <v>102</v>
      </c>
      <c r="B13" s="102">
        <v>89033</v>
      </c>
      <c r="C13" s="103" t="s">
        <v>116</v>
      </c>
      <c r="D13" s="104">
        <v>115742</v>
      </c>
      <c r="E13" s="160">
        <v>254</v>
      </c>
      <c r="F13" s="160">
        <v>0</v>
      </c>
      <c r="G13" s="160">
        <v>254</v>
      </c>
      <c r="H13" s="160">
        <v>0</v>
      </c>
      <c r="I13" s="160">
        <v>256</v>
      </c>
      <c r="J13" s="160">
        <v>0</v>
      </c>
      <c r="K13" s="160">
        <f t="shared" si="0"/>
        <v>2</v>
      </c>
      <c r="L13" s="161">
        <f t="shared" si="1"/>
        <v>0</v>
      </c>
      <c r="M13" s="53" t="s">
        <v>20</v>
      </c>
    </row>
    <row r="14" spans="1:20" x14ac:dyDescent="0.25">
      <c r="A14" s="101" t="s">
        <v>103</v>
      </c>
      <c r="B14" s="102">
        <v>74872</v>
      </c>
      <c r="C14" s="103" t="s">
        <v>116</v>
      </c>
      <c r="D14" s="104">
        <v>97333</v>
      </c>
      <c r="E14" s="160">
        <v>58</v>
      </c>
      <c r="F14" s="160">
        <v>0</v>
      </c>
      <c r="G14" s="160">
        <v>58</v>
      </c>
      <c r="H14" s="160">
        <v>0</v>
      </c>
      <c r="I14" s="160">
        <v>66</v>
      </c>
      <c r="J14" s="160">
        <v>0</v>
      </c>
      <c r="K14" s="160">
        <f t="shared" si="0"/>
        <v>8</v>
      </c>
      <c r="L14" s="161">
        <f t="shared" si="1"/>
        <v>0</v>
      </c>
      <c r="M14" s="53" t="s">
        <v>20</v>
      </c>
    </row>
    <row r="15" spans="1:20" x14ac:dyDescent="0.25">
      <c r="A15" s="101" t="s">
        <v>104</v>
      </c>
      <c r="B15" s="102">
        <v>62467</v>
      </c>
      <c r="C15" s="103" t="s">
        <v>116</v>
      </c>
      <c r="D15" s="104">
        <v>81204</v>
      </c>
      <c r="E15" s="160">
        <v>58</v>
      </c>
      <c r="F15" s="160">
        <v>0</v>
      </c>
      <c r="G15" s="160">
        <v>58</v>
      </c>
      <c r="H15" s="160">
        <v>0</v>
      </c>
      <c r="I15" s="160">
        <v>58</v>
      </c>
      <c r="J15" s="160">
        <v>0</v>
      </c>
      <c r="K15" s="160">
        <f t="shared" si="0"/>
        <v>0</v>
      </c>
      <c r="L15" s="161">
        <f t="shared" si="1"/>
        <v>0</v>
      </c>
      <c r="M15" s="53" t="s">
        <v>20</v>
      </c>
    </row>
    <row r="16" spans="1:20" x14ac:dyDescent="0.25">
      <c r="A16" s="101" t="s">
        <v>105</v>
      </c>
      <c r="B16" s="102">
        <v>56857</v>
      </c>
      <c r="C16" s="103" t="s">
        <v>116</v>
      </c>
      <c r="D16" s="104">
        <v>73917</v>
      </c>
      <c r="E16" s="160">
        <v>7</v>
      </c>
      <c r="F16" s="160">
        <v>0</v>
      </c>
      <c r="G16" s="160">
        <v>7</v>
      </c>
      <c r="H16" s="160">
        <v>0</v>
      </c>
      <c r="I16" s="160">
        <v>7</v>
      </c>
      <c r="J16" s="160">
        <v>0</v>
      </c>
      <c r="K16" s="160">
        <f t="shared" si="0"/>
        <v>0</v>
      </c>
      <c r="L16" s="161">
        <f t="shared" si="1"/>
        <v>0</v>
      </c>
      <c r="M16" s="53" t="s">
        <v>20</v>
      </c>
    </row>
    <row r="17" spans="1:13" x14ac:dyDescent="0.25">
      <c r="A17" s="101" t="s">
        <v>106</v>
      </c>
      <c r="B17" s="105">
        <v>51630</v>
      </c>
      <c r="C17" s="106" t="s">
        <v>116</v>
      </c>
      <c r="D17" s="107">
        <v>67114</v>
      </c>
      <c r="E17" s="160">
        <v>34</v>
      </c>
      <c r="F17" s="160">
        <v>0</v>
      </c>
      <c r="G17" s="160">
        <v>34</v>
      </c>
      <c r="H17" s="160">
        <v>0</v>
      </c>
      <c r="I17" s="160">
        <v>34</v>
      </c>
      <c r="J17" s="160">
        <v>0</v>
      </c>
      <c r="K17" s="160">
        <f t="shared" si="0"/>
        <v>0</v>
      </c>
      <c r="L17" s="161">
        <f t="shared" si="1"/>
        <v>0</v>
      </c>
      <c r="M17" s="53" t="s">
        <v>20</v>
      </c>
    </row>
    <row r="18" spans="1:13" x14ac:dyDescent="0.25">
      <c r="A18" s="101" t="s">
        <v>107</v>
      </c>
      <c r="B18" s="105">
        <v>46745</v>
      </c>
      <c r="C18" s="106" t="s">
        <v>116</v>
      </c>
      <c r="D18" s="107">
        <v>60765</v>
      </c>
      <c r="E18" s="160">
        <v>13</v>
      </c>
      <c r="F18" s="160">
        <v>0</v>
      </c>
      <c r="G18" s="160">
        <v>13</v>
      </c>
      <c r="H18" s="160">
        <v>0</v>
      </c>
      <c r="I18" s="160">
        <v>13</v>
      </c>
      <c r="J18" s="160">
        <v>0</v>
      </c>
      <c r="K18" s="160">
        <f t="shared" si="0"/>
        <v>0</v>
      </c>
      <c r="L18" s="161">
        <f t="shared" si="1"/>
        <v>0</v>
      </c>
      <c r="M18" s="53" t="s">
        <v>20</v>
      </c>
    </row>
    <row r="19" spans="1:13" x14ac:dyDescent="0.25">
      <c r="A19" s="101" t="s">
        <v>108</v>
      </c>
      <c r="B19" s="105">
        <v>42209</v>
      </c>
      <c r="C19" s="106" t="s">
        <v>116</v>
      </c>
      <c r="D19" s="107">
        <v>54875</v>
      </c>
      <c r="E19" s="160">
        <v>23</v>
      </c>
      <c r="F19" s="160">
        <v>0</v>
      </c>
      <c r="G19" s="160">
        <v>23</v>
      </c>
      <c r="H19" s="160">
        <v>0</v>
      </c>
      <c r="I19" s="160">
        <v>23</v>
      </c>
      <c r="J19" s="160">
        <v>0</v>
      </c>
      <c r="K19" s="160">
        <f t="shared" si="0"/>
        <v>0</v>
      </c>
      <c r="L19" s="161">
        <f t="shared" si="1"/>
        <v>0</v>
      </c>
      <c r="M19" s="53" t="s">
        <v>20</v>
      </c>
    </row>
    <row r="20" spans="1:13" x14ac:dyDescent="0.25">
      <c r="A20" s="101" t="s">
        <v>109</v>
      </c>
      <c r="B20" s="105">
        <v>37983</v>
      </c>
      <c r="C20" s="106" t="s">
        <v>116</v>
      </c>
      <c r="D20" s="107">
        <v>49375</v>
      </c>
      <c r="E20" s="160">
        <v>9</v>
      </c>
      <c r="F20" s="160">
        <v>0</v>
      </c>
      <c r="G20" s="160">
        <v>9</v>
      </c>
      <c r="H20" s="160">
        <v>0</v>
      </c>
      <c r="I20" s="160">
        <v>9</v>
      </c>
      <c r="J20" s="160">
        <v>0</v>
      </c>
      <c r="K20" s="160">
        <f t="shared" si="0"/>
        <v>0</v>
      </c>
      <c r="L20" s="161">
        <f t="shared" si="1"/>
        <v>0</v>
      </c>
      <c r="M20" s="53" t="s">
        <v>20</v>
      </c>
    </row>
    <row r="21" spans="1:13" x14ac:dyDescent="0.25">
      <c r="A21" s="101" t="s">
        <v>110</v>
      </c>
      <c r="B21" s="105">
        <v>37075</v>
      </c>
      <c r="C21" s="106" t="s">
        <v>116</v>
      </c>
      <c r="D21" s="107">
        <v>44293</v>
      </c>
      <c r="E21" s="160">
        <v>6</v>
      </c>
      <c r="F21" s="160">
        <v>0</v>
      </c>
      <c r="G21" s="160">
        <v>6</v>
      </c>
      <c r="H21" s="160">
        <v>0</v>
      </c>
      <c r="I21" s="160">
        <v>6</v>
      </c>
      <c r="J21" s="160">
        <v>0</v>
      </c>
      <c r="K21" s="160">
        <f t="shared" si="0"/>
        <v>0</v>
      </c>
      <c r="L21" s="161">
        <f t="shared" si="1"/>
        <v>0</v>
      </c>
      <c r="M21" s="53" t="s">
        <v>20</v>
      </c>
    </row>
    <row r="22" spans="1:13" x14ac:dyDescent="0.25">
      <c r="A22" s="101" t="s">
        <v>115</v>
      </c>
      <c r="B22" s="105">
        <v>30456</v>
      </c>
      <c r="C22" s="106" t="s">
        <v>116</v>
      </c>
      <c r="D22" s="107">
        <v>39590</v>
      </c>
      <c r="E22" s="160">
        <v>2</v>
      </c>
      <c r="F22" s="160">
        <v>0</v>
      </c>
      <c r="G22" s="160">
        <v>2</v>
      </c>
      <c r="H22" s="160">
        <v>0</v>
      </c>
      <c r="I22" s="160">
        <v>2</v>
      </c>
      <c r="J22" s="336">
        <v>0</v>
      </c>
      <c r="K22" s="160">
        <f t="shared" si="0"/>
        <v>0</v>
      </c>
      <c r="L22" s="161">
        <f t="shared" si="1"/>
        <v>0</v>
      </c>
      <c r="M22" s="53" t="s">
        <v>20</v>
      </c>
    </row>
    <row r="23" spans="1:13" x14ac:dyDescent="0.25">
      <c r="A23" s="708" t="s">
        <v>117</v>
      </c>
      <c r="B23" s="709"/>
      <c r="C23" s="709"/>
      <c r="D23" s="710"/>
      <c r="E23" s="143">
        <f t="shared" ref="E23:L23" si="2">SUM(E9:E22)</f>
        <v>702</v>
      </c>
      <c r="F23" s="143">
        <f t="shared" si="2"/>
        <v>0</v>
      </c>
      <c r="G23" s="143">
        <f t="shared" si="2"/>
        <v>702</v>
      </c>
      <c r="H23" s="143">
        <f t="shared" si="2"/>
        <v>0</v>
      </c>
      <c r="I23" s="143">
        <f t="shared" si="2"/>
        <v>712</v>
      </c>
      <c r="J23" s="337">
        <f t="shared" si="2"/>
        <v>0</v>
      </c>
      <c r="K23" s="143">
        <f t="shared" si="2"/>
        <v>10</v>
      </c>
      <c r="L23" s="144">
        <f t="shared" si="2"/>
        <v>0</v>
      </c>
      <c r="M23" s="53" t="s">
        <v>20</v>
      </c>
    </row>
    <row r="24" spans="1:13" x14ac:dyDescent="0.25">
      <c r="A24" s="711" t="s">
        <v>118</v>
      </c>
      <c r="B24" s="712"/>
      <c r="C24" s="712"/>
      <c r="D24" s="712"/>
      <c r="E24" s="158"/>
      <c r="F24" s="162">
        <v>169180</v>
      </c>
      <c r="G24" s="158"/>
      <c r="H24" s="162">
        <v>169180</v>
      </c>
      <c r="I24" s="332"/>
      <c r="J24" s="334">
        <f>H24*1.017</f>
        <v>172056.06</v>
      </c>
      <c r="K24" s="333"/>
      <c r="L24" s="163"/>
      <c r="M24" s="53" t="s">
        <v>20</v>
      </c>
    </row>
    <row r="25" spans="1:13" x14ac:dyDescent="0.25">
      <c r="A25" s="713" t="s">
        <v>119</v>
      </c>
      <c r="B25" s="714"/>
      <c r="C25" s="714"/>
      <c r="D25" s="714"/>
      <c r="E25" s="160"/>
      <c r="F25" s="164">
        <v>84855</v>
      </c>
      <c r="G25" s="160"/>
      <c r="H25" s="164">
        <v>84855</v>
      </c>
      <c r="I25" s="160"/>
      <c r="J25" s="335">
        <f>H25*1.017</f>
        <v>86297.534999999989</v>
      </c>
      <c r="K25" s="160"/>
      <c r="L25" s="165"/>
      <c r="M25" s="53" t="s">
        <v>20</v>
      </c>
    </row>
    <row r="26" spans="1:13" ht="14.4" thickBot="1" x14ac:dyDescent="0.3">
      <c r="A26" s="700" t="s">
        <v>120</v>
      </c>
      <c r="B26" s="701"/>
      <c r="C26" s="701"/>
      <c r="D26" s="701"/>
      <c r="E26" s="166"/>
      <c r="F26" s="167">
        <v>12</v>
      </c>
      <c r="G26" s="166"/>
      <c r="H26" s="167">
        <v>12</v>
      </c>
      <c r="I26" s="166"/>
      <c r="J26" s="167">
        <v>13</v>
      </c>
      <c r="K26" s="166"/>
      <c r="L26" s="168"/>
      <c r="M26" s="53" t="s">
        <v>20</v>
      </c>
    </row>
    <row r="27" spans="1:13" x14ac:dyDescent="0.25">
      <c r="M27" s="53" t="s">
        <v>20</v>
      </c>
    </row>
    <row r="28" spans="1:13" x14ac:dyDescent="0.25">
      <c r="M28" s="53" t="s">
        <v>21</v>
      </c>
    </row>
    <row r="29" spans="1:13" x14ac:dyDescent="0.25">
      <c r="M29" s="53"/>
    </row>
    <row r="30" spans="1:13" x14ac:dyDescent="0.25">
      <c r="M30" s="53"/>
    </row>
  </sheetData>
  <customSheetViews>
    <customSheetView guid="{5B2D5037-506A-47D5-AF28-C337BC9133BD}" scale="80" showPageBreaks="1" printArea="1" view="pageBreakPreview">
      <selection activeCell="J13" sqref="J13"/>
      <pageMargins left="0.7" right="0.7" top="0.75" bottom="0.75" header="0.3" footer="0.3"/>
      <printOptions horizontalCentered="1"/>
      <pageSetup orientation="landscape" r:id="rId1"/>
      <headerFooter>
        <oddHeader>&amp;L&amp;"Arial,Bold"&amp;12K. Summary of Requirements by Grade</oddHeader>
        <oddFooter>&amp;C&amp;"Arial,Regular"Exhibit K - Summary of Requirements by Grade&amp;R&amp;"Arial,Regular"&amp;9Salaries and Expenses/Management and Administration</oddFooter>
      </headerFooter>
    </customSheetView>
    <customSheetView guid="{08380F1E-0CB7-4B3B-924E-2A270EA8DD30}" scale="80" showPageBreaks="1" printArea="1" view="pageBreakPreview">
      <selection activeCell="J13" sqref="J13"/>
      <pageMargins left="0.7" right="0.7" top="0.75" bottom="0.75" header="0.3" footer="0.3"/>
      <printOptions horizontalCentered="1"/>
      <pageSetup orientation="landscape" r:id="rId2"/>
      <headerFooter>
        <oddHeader>&amp;L&amp;"Arial,Bold"&amp;12K. Summary of Requirements by Grade</oddHeader>
        <oddFooter>&amp;C&amp;"Arial,Regular"Exhibit K - Summary of Requirements by Grade&amp;R&amp;"Arial,Regular"&amp;9Salaries and Expenses/Management and Administration</oddFooter>
      </headerFooter>
    </customSheetView>
    <customSheetView guid="{D19943A8-2C2A-430A-A724-8C7C332697C8}" scale="80" showPageBreaks="1" printArea="1" view="pageBreakPreview">
      <selection activeCell="J13" sqref="J13"/>
      <pageMargins left="0.7" right="0.7" top="0.75" bottom="0.75" header="0.3" footer="0.3"/>
      <printOptions horizontalCentered="1"/>
      <pageSetup orientation="landscape" r:id="rId3"/>
      <headerFooter>
        <oddHeader>&amp;L&amp;"Arial,Bold"&amp;12K. Summary of Requirements by Grade</oddHeader>
        <oddFooter>&amp;C&amp;"Arial,Regular"Exhibit K - Summary of Requirements by Grade&amp;R&amp;"Arial,Regular"&amp;9Salaries and Expenses/Management and Administration</oddFooter>
      </headerFooter>
    </customSheetView>
    <customSheetView guid="{C6D68C6D-939C-4DFA-9385-A3F05DFB5EDA}" scale="80" showPageBreaks="1" printArea="1" view="pageBreakPreview">
      <selection activeCell="J13" sqref="J13"/>
      <pageMargins left="0.7" right="0.7" top="0.75" bottom="0.75" header="0.3" footer="0.3"/>
      <printOptions horizontalCentered="1"/>
      <pageSetup orientation="landscape" r:id="rId4"/>
      <headerFooter>
        <oddHeader>&amp;L&amp;"Arial,Bold"&amp;12K. Summary of Requirements by Grade</oddHeader>
        <oddFooter>&amp;C&amp;"Arial,Regular"Exhibit K - Summary of Requirements by Grade&amp;R&amp;"Arial,Regular"&amp;9Salaries and Expenses/Management and Administration</oddFooter>
      </headerFooter>
    </customSheetView>
  </customSheetViews>
  <mergeCells count="15">
    <mergeCell ref="E7:F7"/>
    <mergeCell ref="G7:H7"/>
    <mergeCell ref="I7:J7"/>
    <mergeCell ref="K7:L7"/>
    <mergeCell ref="A1:L1"/>
    <mergeCell ref="A2:L2"/>
    <mergeCell ref="A3:L3"/>
    <mergeCell ref="A4:L4"/>
    <mergeCell ref="A5:L5"/>
    <mergeCell ref="A6:L6"/>
    <mergeCell ref="A26:D26"/>
    <mergeCell ref="A7:D8"/>
    <mergeCell ref="A23:D23"/>
    <mergeCell ref="A24:D24"/>
    <mergeCell ref="A25:D25"/>
  </mergeCells>
  <printOptions horizontalCentered="1"/>
  <pageMargins left="0.7" right="0.7" top="0.75" bottom="0.75" header="0.3" footer="0.3"/>
  <pageSetup orientation="landscape" r:id="rId5"/>
  <headerFooter>
    <oddHeader>&amp;L&amp;"Arial,Bold"&amp;12K. Summary of Requirements by Grade</oddHeader>
    <oddFooter>&amp;C&amp;"Arial,Regular"Exhibit K - Summary of Requirements by Grade&amp;R&amp;"Arial,Regular"&amp;9Salaries and Expenses/Management and Administration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63</vt:i4>
      </vt:variant>
    </vt:vector>
  </HeadingPairs>
  <TitlesOfParts>
    <vt:vector size="118" baseType="lpstr">
      <vt:lpstr>B. Summ of Req.-S&amp;E</vt:lpstr>
      <vt:lpstr>B. Summ of Req. by DU-S&amp;E</vt:lpstr>
      <vt:lpstr>E. ATB Justification-S&amp;E</vt:lpstr>
      <vt:lpstr>F. 2012 Crosswalk-S&amp;E</vt:lpstr>
      <vt:lpstr>G. 2013 Crosswalk-S&amp;E</vt:lpstr>
      <vt:lpstr>H. Reimbursable Resources-S&amp;E</vt:lpstr>
      <vt:lpstr>I. Permanent Positions-S&amp;E</vt:lpstr>
      <vt:lpstr>J. Financial Analysis-S&amp;E</vt:lpstr>
      <vt:lpstr>K. Summary by Grade-S&amp;E</vt:lpstr>
      <vt:lpstr>L. Summary by OC-S&amp;E</vt:lpstr>
      <vt:lpstr>B. Summ of Req. - RES</vt:lpstr>
      <vt:lpstr>B. Summ of Req. by DU - RES</vt:lpstr>
      <vt:lpstr>C. Program Changes by DU - RES </vt:lpstr>
      <vt:lpstr>D. Strat Goals &amp; Objs - RES</vt:lpstr>
      <vt:lpstr>F. 2012 Crosswalk - RES</vt:lpstr>
      <vt:lpstr>G. 2013 Crosswalk - RES</vt:lpstr>
      <vt:lpstr>H. Reimbursable Resources - RES</vt:lpstr>
      <vt:lpstr>J. Financial Analysis - RES</vt:lpstr>
      <vt:lpstr>L. Summary by OC - RES</vt:lpstr>
      <vt:lpstr>B. Summ of Req.-SLLEA</vt:lpstr>
      <vt:lpstr>B. Summ of Req. by DU-SLLEA</vt:lpstr>
      <vt:lpstr>C. Program Changes by DU-SLLEA</vt:lpstr>
      <vt:lpstr>D. Strategic Goals-SLLEA</vt:lpstr>
      <vt:lpstr>F. 2012 Crosswalk-SLLEA</vt:lpstr>
      <vt:lpstr>G. 2013 Crosswalk-SLLEA</vt:lpstr>
      <vt:lpstr>H. Reimbursable Resources-SLLEA</vt:lpstr>
      <vt:lpstr>J. Financial Analysis-SLLEA</vt:lpstr>
      <vt:lpstr>L. Summary by OC-SLLEA</vt:lpstr>
      <vt:lpstr>B. Summ of Req. - JJ</vt:lpstr>
      <vt:lpstr>B. Summ of Req. by DU - JJ</vt:lpstr>
      <vt:lpstr>C. Program Changes by DU - JJ</vt:lpstr>
      <vt:lpstr>D. Strategic Goals &amp; Object-JJ</vt:lpstr>
      <vt:lpstr>F. 2012 Crosswalk - JJ</vt:lpstr>
      <vt:lpstr>G. 2013 Crosswalk - JJ</vt:lpstr>
      <vt:lpstr>H. Reimbursable Resources - JJ</vt:lpstr>
      <vt:lpstr>J. Financial Analysis - JJ</vt:lpstr>
      <vt:lpstr>L. Summary by OC - JJ</vt:lpstr>
      <vt:lpstr>B. Summ of Req.-PSOB</vt:lpstr>
      <vt:lpstr>B. Summ of Req. by DU - PSOB</vt:lpstr>
      <vt:lpstr>C. Program Changes by DU-PSOB</vt:lpstr>
      <vt:lpstr>D. Strategic Goals-PSOB</vt:lpstr>
      <vt:lpstr>F. 2012 Crosswalk-PSOB</vt:lpstr>
      <vt:lpstr>G. 2013 Crosswalk-PSOB</vt:lpstr>
      <vt:lpstr>J. Financial Analysis-PSOB</vt:lpstr>
      <vt:lpstr>L. Summary by OC-PSOB</vt:lpstr>
      <vt:lpstr>B. Summ of Req.-CVF</vt:lpstr>
      <vt:lpstr>B. Summ of Req. by DU - CVF</vt:lpstr>
      <vt:lpstr>C. Program Changes by DU-CVF</vt:lpstr>
      <vt:lpstr>D. Strategic Goals &amp; Object-CVF</vt:lpstr>
      <vt:lpstr>F. 2012 Crosswalk-CVF</vt:lpstr>
      <vt:lpstr>G. 2013 Crosswalk-CVF</vt:lpstr>
      <vt:lpstr>J. Financial Analysis-CVF</vt:lpstr>
      <vt:lpstr>L. Summary by OC-CVF</vt:lpstr>
      <vt:lpstr>M. Studies</vt:lpstr>
      <vt:lpstr>N. OJP Summary of Changes </vt:lpstr>
      <vt:lpstr>'B. Summ of Req. - JJ'!Print_Area</vt:lpstr>
      <vt:lpstr>'B. Summ of Req. - RES'!Print_Area</vt:lpstr>
      <vt:lpstr>'B. Summ of Req. by DU - CVF'!Print_Area</vt:lpstr>
      <vt:lpstr>'B. Summ of Req. by DU - JJ'!Print_Area</vt:lpstr>
      <vt:lpstr>'B. Summ of Req. by DU - PSOB'!Print_Area</vt:lpstr>
      <vt:lpstr>'B. Summ of Req. by DU - RES'!Print_Area</vt:lpstr>
      <vt:lpstr>'B. Summ of Req. by DU-S&amp;E'!Print_Area</vt:lpstr>
      <vt:lpstr>'B. Summ of Req. by DU-SLLEA'!Print_Area</vt:lpstr>
      <vt:lpstr>'B. Summ of Req.-CVF'!Print_Area</vt:lpstr>
      <vt:lpstr>'B. Summ of Req.-PSOB'!Print_Area</vt:lpstr>
      <vt:lpstr>'B. Summ of Req.-S&amp;E'!Print_Area</vt:lpstr>
      <vt:lpstr>'B. Summ of Req.-SLLEA'!Print_Area</vt:lpstr>
      <vt:lpstr>'C. Program Changes by DU - JJ'!Print_Area</vt:lpstr>
      <vt:lpstr>'C. Program Changes by DU - RES '!Print_Area</vt:lpstr>
      <vt:lpstr>'C. Program Changes by DU-CVF'!Print_Area</vt:lpstr>
      <vt:lpstr>'C. Program Changes by DU-PSOB'!Print_Area</vt:lpstr>
      <vt:lpstr>'C. Program Changes by DU-SLLEA'!Print_Area</vt:lpstr>
      <vt:lpstr>'D. Strat Goals &amp; Objs - RES'!Print_Area</vt:lpstr>
      <vt:lpstr>'D. Strategic Goals &amp; Object-CVF'!Print_Area</vt:lpstr>
      <vt:lpstr>'D. Strategic Goals &amp; Object-JJ'!Print_Area</vt:lpstr>
      <vt:lpstr>'D. Strategic Goals-PSOB'!Print_Area</vt:lpstr>
      <vt:lpstr>'D. Strategic Goals-SLLEA'!Print_Area</vt:lpstr>
      <vt:lpstr>'E. ATB Justification-S&amp;E'!Print_Area</vt:lpstr>
      <vt:lpstr>'F. 2012 Crosswalk - JJ'!Print_Area</vt:lpstr>
      <vt:lpstr>'F. 2012 Crosswalk - RES'!Print_Area</vt:lpstr>
      <vt:lpstr>'F. 2012 Crosswalk-CVF'!Print_Area</vt:lpstr>
      <vt:lpstr>'F. 2012 Crosswalk-PSOB'!Print_Area</vt:lpstr>
      <vt:lpstr>'F. 2012 Crosswalk-S&amp;E'!Print_Area</vt:lpstr>
      <vt:lpstr>'F. 2012 Crosswalk-SLLEA'!Print_Area</vt:lpstr>
      <vt:lpstr>'G. 2013 Crosswalk - JJ'!Print_Area</vt:lpstr>
      <vt:lpstr>'G. 2013 Crosswalk - RES'!Print_Area</vt:lpstr>
      <vt:lpstr>'G. 2013 Crosswalk-CVF'!Print_Area</vt:lpstr>
      <vt:lpstr>'G. 2013 Crosswalk-PSOB'!Print_Area</vt:lpstr>
      <vt:lpstr>'G. 2013 Crosswalk-S&amp;E'!Print_Area</vt:lpstr>
      <vt:lpstr>'G. 2013 Crosswalk-SLLEA'!Print_Area</vt:lpstr>
      <vt:lpstr>'H. Reimbursable Resources - JJ'!Print_Area</vt:lpstr>
      <vt:lpstr>'H. Reimbursable Resources - RES'!Print_Area</vt:lpstr>
      <vt:lpstr>'H. Reimbursable Resources-S&amp;E'!Print_Area</vt:lpstr>
      <vt:lpstr>'H. Reimbursable Resources-SLLEA'!Print_Area</vt:lpstr>
      <vt:lpstr>'I. Permanent Positions-S&amp;E'!Print_Area</vt:lpstr>
      <vt:lpstr>'J. Financial Analysis - JJ'!Print_Area</vt:lpstr>
      <vt:lpstr>'J. Financial Analysis - RES'!Print_Area</vt:lpstr>
      <vt:lpstr>'J. Financial Analysis-CVF'!Print_Area</vt:lpstr>
      <vt:lpstr>'J. Financial Analysis-PSOB'!Print_Area</vt:lpstr>
      <vt:lpstr>'J. Financial Analysis-S&amp;E'!Print_Area</vt:lpstr>
      <vt:lpstr>'J. Financial Analysis-SLLEA'!Print_Area</vt:lpstr>
      <vt:lpstr>'K. Summary by Grade-S&amp;E'!Print_Area</vt:lpstr>
      <vt:lpstr>'L. Summary by OC - JJ'!Print_Area</vt:lpstr>
      <vt:lpstr>'L. Summary by OC - RES'!Print_Area</vt:lpstr>
      <vt:lpstr>'L. Summary by OC-CVF'!Print_Area</vt:lpstr>
      <vt:lpstr>'L. Summary by OC-PSOB'!Print_Area</vt:lpstr>
      <vt:lpstr>'L. Summary by OC-S&amp;E'!Print_Area</vt:lpstr>
      <vt:lpstr>'L. Summary by OC-SLLEA'!Print_Area</vt:lpstr>
      <vt:lpstr>'M. Studies'!Print_Area</vt:lpstr>
      <vt:lpstr>'N. OJP Summary of Changes '!Print_Area</vt:lpstr>
      <vt:lpstr>'E. ATB Justification-S&amp;E'!Print_Titles</vt:lpstr>
      <vt:lpstr>'J. Financial Analysis - JJ'!Print_Titles</vt:lpstr>
      <vt:lpstr>'J. Financial Analysis - RES'!Print_Titles</vt:lpstr>
      <vt:lpstr>'J. Financial Analysis-CVF'!Print_Titles</vt:lpstr>
      <vt:lpstr>'J. Financial Analysis-PSOB'!Print_Titles</vt:lpstr>
      <vt:lpstr>'J. Financial Analysis-S&amp;E'!Print_Titles</vt:lpstr>
      <vt:lpstr>'J. Financial Analysis-SLLEA'!Print_Titles</vt:lpstr>
      <vt:lpstr>'N. OJP Summary of Changes '!Print_Titles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morser</cp:lastModifiedBy>
  <cp:lastPrinted>2013-03-29T18:54:34Z</cp:lastPrinted>
  <dcterms:created xsi:type="dcterms:W3CDTF">2012-12-06T16:08:32Z</dcterms:created>
  <dcterms:modified xsi:type="dcterms:W3CDTF">2013-03-29T19:20:05Z</dcterms:modified>
</cp:coreProperties>
</file>