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2330"/>
  </bookViews>
  <sheets>
    <sheet name="Pres. Budget" sheetId="1" r:id="rId1"/>
  </sheets>
  <definedNames>
    <definedName name="_xlnm.Print_Area" localSheetId="0">'Pres. Budget'!$A$1:$T$118</definedName>
    <definedName name="_xlnm.Print_Titles" localSheetId="0">'Pres. Budget'!$1:$7</definedName>
  </definedNames>
  <calcPr calcId="145621"/>
</workbook>
</file>

<file path=xl/calcChain.xml><?xml version="1.0" encoding="utf-8"?>
<calcChain xmlns="http://schemas.openxmlformats.org/spreadsheetml/2006/main">
  <c r="K90" i="1" l="1"/>
  <c r="D90" i="1"/>
  <c r="S89" i="1"/>
  <c r="R89" i="1"/>
  <c r="Q89" i="1"/>
  <c r="P89" i="1"/>
  <c r="O89" i="1"/>
  <c r="N89" i="1"/>
  <c r="M89" i="1"/>
  <c r="L89" i="1"/>
  <c r="J89" i="1"/>
  <c r="I89" i="1"/>
  <c r="H89" i="1"/>
  <c r="G89" i="1"/>
  <c r="F89" i="1"/>
  <c r="E89" i="1"/>
  <c r="C89" i="1"/>
  <c r="B89" i="1"/>
  <c r="P66" i="1"/>
  <c r="O66" i="1"/>
  <c r="M66" i="1"/>
  <c r="L66" i="1"/>
  <c r="H66" i="1"/>
  <c r="G66" i="1"/>
  <c r="F66" i="1"/>
  <c r="E66" i="1"/>
  <c r="B66" i="1"/>
  <c r="D66" i="1"/>
  <c r="Q110" i="1" l="1"/>
  <c r="P110" i="1"/>
  <c r="O110" i="1"/>
  <c r="N110" i="1"/>
  <c r="M110" i="1"/>
  <c r="L110" i="1"/>
  <c r="H110" i="1"/>
  <c r="G110" i="1"/>
  <c r="F110" i="1"/>
  <c r="E110" i="1"/>
  <c r="D110" i="1"/>
  <c r="K109" i="1"/>
  <c r="T109" i="1" s="1"/>
  <c r="J109" i="1"/>
  <c r="I109" i="1"/>
  <c r="I110" i="1" s="1"/>
  <c r="K108" i="1"/>
  <c r="T108" i="1" s="1"/>
  <c r="K107" i="1"/>
  <c r="T107" i="1" s="1"/>
  <c r="P104" i="1"/>
  <c r="O104" i="1"/>
  <c r="M104" i="1"/>
  <c r="L104" i="1"/>
  <c r="G104" i="1"/>
  <c r="F104" i="1"/>
  <c r="N103" i="1"/>
  <c r="K103" i="1"/>
  <c r="J103" i="1"/>
  <c r="I103" i="1"/>
  <c r="K102" i="1"/>
  <c r="T102" i="1" s="1"/>
  <c r="J102" i="1"/>
  <c r="S102" i="1" s="1"/>
  <c r="I102" i="1"/>
  <c r="R102" i="1" s="1"/>
  <c r="K101" i="1"/>
  <c r="T101" i="1" s="1"/>
  <c r="J101" i="1"/>
  <c r="S101" i="1" s="1"/>
  <c r="I101" i="1"/>
  <c r="R101" i="1" s="1"/>
  <c r="H100" i="1"/>
  <c r="K100" i="1" s="1"/>
  <c r="T100" i="1" s="1"/>
  <c r="C100" i="1"/>
  <c r="J100" i="1" s="1"/>
  <c r="S100" i="1" s="1"/>
  <c r="K99" i="1"/>
  <c r="T99" i="1" s="1"/>
  <c r="J98" i="1"/>
  <c r="S98" i="1" s="1"/>
  <c r="I98" i="1"/>
  <c r="R98" i="1" s="1"/>
  <c r="D98" i="1"/>
  <c r="J97" i="1"/>
  <c r="S97" i="1" s="1"/>
  <c r="I97" i="1"/>
  <c r="R97" i="1" s="1"/>
  <c r="E97" i="1"/>
  <c r="D97" i="1"/>
  <c r="R96" i="1"/>
  <c r="Q96" i="1"/>
  <c r="D96" i="1"/>
  <c r="K96" i="1" s="1"/>
  <c r="C96" i="1"/>
  <c r="J96" i="1" s="1"/>
  <c r="S96" i="1" s="1"/>
  <c r="N95" i="1"/>
  <c r="J95" i="1"/>
  <c r="I95" i="1"/>
  <c r="R95" i="1" s="1"/>
  <c r="D95" i="1"/>
  <c r="K95" i="1" s="1"/>
  <c r="J94" i="1"/>
  <c r="S94" i="1" s="1"/>
  <c r="I94" i="1"/>
  <c r="R94" i="1" s="1"/>
  <c r="H94" i="1"/>
  <c r="H104" i="1" s="1"/>
  <c r="D94" i="1"/>
  <c r="K93" i="1"/>
  <c r="T93" i="1" s="1"/>
  <c r="J93" i="1"/>
  <c r="S93" i="1" s="1"/>
  <c r="I93" i="1"/>
  <c r="R93" i="1" s="1"/>
  <c r="J92" i="1"/>
  <c r="S92" i="1" s="1"/>
  <c r="I92" i="1"/>
  <c r="E92" i="1"/>
  <c r="K92" i="1" s="1"/>
  <c r="T88" i="1"/>
  <c r="J88" i="1"/>
  <c r="S88" i="1" s="1"/>
  <c r="I88" i="1"/>
  <c r="R88" i="1" s="1"/>
  <c r="T87" i="1"/>
  <c r="J87" i="1"/>
  <c r="S87" i="1" s="1"/>
  <c r="I87" i="1"/>
  <c r="R87" i="1" s="1"/>
  <c r="Q85" i="1"/>
  <c r="P85" i="1"/>
  <c r="O85" i="1"/>
  <c r="N85" i="1"/>
  <c r="M85" i="1"/>
  <c r="L85" i="1"/>
  <c r="H85" i="1"/>
  <c r="G85" i="1"/>
  <c r="F85" i="1"/>
  <c r="D85" i="1"/>
  <c r="C85" i="1"/>
  <c r="B85" i="1"/>
  <c r="J84" i="1"/>
  <c r="I84" i="1"/>
  <c r="R84" i="1" s="1"/>
  <c r="E84" i="1"/>
  <c r="E98" i="1" s="1"/>
  <c r="K83" i="1"/>
  <c r="T83" i="1" s="1"/>
  <c r="J83" i="1"/>
  <c r="S83" i="1" s="1"/>
  <c r="I83" i="1"/>
  <c r="R83" i="1" s="1"/>
  <c r="K80" i="1"/>
  <c r="T80" i="1" s="1"/>
  <c r="J80" i="1"/>
  <c r="S80" i="1" s="1"/>
  <c r="I80" i="1"/>
  <c r="R80" i="1" s="1"/>
  <c r="G79" i="1"/>
  <c r="G77" i="1" s="1"/>
  <c r="F79" i="1"/>
  <c r="F77" i="1" s="1"/>
  <c r="E79" i="1"/>
  <c r="E77" i="1" s="1"/>
  <c r="C79" i="1"/>
  <c r="K78" i="1"/>
  <c r="T78" i="1" s="1"/>
  <c r="J78" i="1"/>
  <c r="S78" i="1" s="1"/>
  <c r="I78" i="1"/>
  <c r="Q77" i="1"/>
  <c r="P77" i="1"/>
  <c r="O77" i="1"/>
  <c r="N77" i="1"/>
  <c r="M77" i="1"/>
  <c r="L77" i="1"/>
  <c r="H77" i="1"/>
  <c r="D77" i="1"/>
  <c r="B77" i="1"/>
  <c r="K76" i="1"/>
  <c r="T76" i="1" s="1"/>
  <c r="J76" i="1"/>
  <c r="S76" i="1" s="1"/>
  <c r="I76" i="1"/>
  <c r="R76" i="1" s="1"/>
  <c r="I75" i="1"/>
  <c r="R75" i="1" s="1"/>
  <c r="E75" i="1"/>
  <c r="K75" i="1" s="1"/>
  <c r="T75" i="1" s="1"/>
  <c r="C75" i="1"/>
  <c r="C73" i="1" s="1"/>
  <c r="Q74" i="1"/>
  <c r="Q73" i="1" s="1"/>
  <c r="N74" i="1"/>
  <c r="N73" i="1" s="1"/>
  <c r="J74" i="1"/>
  <c r="I74" i="1"/>
  <c r="R74" i="1" s="1"/>
  <c r="E74" i="1"/>
  <c r="K74" i="1" s="1"/>
  <c r="P73" i="1"/>
  <c r="O73" i="1"/>
  <c r="M73" i="1"/>
  <c r="L73" i="1"/>
  <c r="H73" i="1"/>
  <c r="G73" i="1"/>
  <c r="F73" i="1"/>
  <c r="D73" i="1"/>
  <c r="B73" i="1"/>
  <c r="K72" i="1"/>
  <c r="T72" i="1" s="1"/>
  <c r="J72" i="1"/>
  <c r="S72" i="1" s="1"/>
  <c r="I72" i="1"/>
  <c r="R72" i="1" s="1"/>
  <c r="K71" i="1"/>
  <c r="T71" i="1" s="1"/>
  <c r="J71" i="1"/>
  <c r="S71" i="1" s="1"/>
  <c r="I71" i="1"/>
  <c r="R71" i="1" s="1"/>
  <c r="Q70" i="1"/>
  <c r="N70" i="1"/>
  <c r="K70" i="1"/>
  <c r="J70" i="1"/>
  <c r="I70" i="1"/>
  <c r="R70" i="1" s="1"/>
  <c r="K69" i="1"/>
  <c r="T69" i="1" s="1"/>
  <c r="J69" i="1"/>
  <c r="S69" i="1" s="1"/>
  <c r="I69" i="1"/>
  <c r="R69" i="1" s="1"/>
  <c r="K68" i="1"/>
  <c r="T68" i="1" s="1"/>
  <c r="I68" i="1"/>
  <c r="R68" i="1" s="1"/>
  <c r="C68" i="1"/>
  <c r="N67" i="1"/>
  <c r="K67" i="1"/>
  <c r="J67" i="1"/>
  <c r="I67" i="1"/>
  <c r="M63" i="1"/>
  <c r="K63" i="1"/>
  <c r="T63" i="1" s="1"/>
  <c r="G63" i="1"/>
  <c r="C63" i="1"/>
  <c r="K62" i="1"/>
  <c r="T62" i="1" s="1"/>
  <c r="C62" i="1"/>
  <c r="J62" i="1" s="1"/>
  <c r="S62" i="1" s="1"/>
  <c r="K61" i="1"/>
  <c r="T61" i="1" s="1"/>
  <c r="J61" i="1"/>
  <c r="S61" i="1" s="1"/>
  <c r="I61" i="1"/>
  <c r="R61" i="1" s="1"/>
  <c r="H60" i="1"/>
  <c r="K60" i="1" s="1"/>
  <c r="T60" i="1" s="1"/>
  <c r="G60" i="1"/>
  <c r="F60" i="1"/>
  <c r="F58" i="1" s="1"/>
  <c r="C60" i="1"/>
  <c r="Q59" i="1"/>
  <c r="P59" i="1"/>
  <c r="P58" i="1" s="1"/>
  <c r="O59" i="1"/>
  <c r="N59" i="1"/>
  <c r="N58" i="1" s="1"/>
  <c r="M59" i="1"/>
  <c r="M58" i="1" s="1"/>
  <c r="L59" i="1"/>
  <c r="L58" i="1" s="1"/>
  <c r="I59" i="1"/>
  <c r="H59" i="1"/>
  <c r="K59" i="1" s="1"/>
  <c r="G59" i="1"/>
  <c r="C59" i="1"/>
  <c r="O58" i="1"/>
  <c r="E58" i="1"/>
  <c r="D58" i="1"/>
  <c r="B58" i="1"/>
  <c r="K57" i="1"/>
  <c r="J57" i="1"/>
  <c r="S57" i="1" s="1"/>
  <c r="I57" i="1"/>
  <c r="R57" i="1" s="1"/>
  <c r="Q56" i="1"/>
  <c r="P56" i="1"/>
  <c r="N56" i="1"/>
  <c r="N55" i="1" s="1"/>
  <c r="I56" i="1"/>
  <c r="H56" i="1"/>
  <c r="E56" i="1"/>
  <c r="E55" i="1" s="1"/>
  <c r="C56" i="1"/>
  <c r="J56" i="1" s="1"/>
  <c r="O55" i="1"/>
  <c r="M55" i="1"/>
  <c r="L55" i="1"/>
  <c r="G55" i="1"/>
  <c r="F55" i="1"/>
  <c r="D55" i="1"/>
  <c r="B55" i="1"/>
  <c r="K54" i="1"/>
  <c r="T54" i="1" s="1"/>
  <c r="J54" i="1"/>
  <c r="S54" i="1" s="1"/>
  <c r="I54" i="1"/>
  <c r="R54" i="1" s="1"/>
  <c r="K53" i="1"/>
  <c r="T53" i="1" s="1"/>
  <c r="J53" i="1"/>
  <c r="S53" i="1" s="1"/>
  <c r="I53" i="1"/>
  <c r="R53" i="1" s="1"/>
  <c r="Q52" i="1"/>
  <c r="P52" i="1"/>
  <c r="O52" i="1"/>
  <c r="I52" i="1"/>
  <c r="H52" i="1"/>
  <c r="G52" i="1"/>
  <c r="G51" i="1" s="1"/>
  <c r="E52" i="1"/>
  <c r="C52" i="1"/>
  <c r="C51" i="1" s="1"/>
  <c r="Q51" i="1"/>
  <c r="P51" i="1"/>
  <c r="N51" i="1"/>
  <c r="M51" i="1"/>
  <c r="L51" i="1"/>
  <c r="F51" i="1"/>
  <c r="E51" i="1"/>
  <c r="D51" i="1"/>
  <c r="B51" i="1"/>
  <c r="J50" i="1"/>
  <c r="S50" i="1" s="1"/>
  <c r="I50" i="1"/>
  <c r="R50" i="1" s="1"/>
  <c r="E50" i="1"/>
  <c r="Q49" i="1"/>
  <c r="K49" i="1"/>
  <c r="J49" i="1"/>
  <c r="S49" i="1" s="1"/>
  <c r="I49" i="1"/>
  <c r="R49" i="1" s="1"/>
  <c r="Q48" i="1"/>
  <c r="N48" i="1"/>
  <c r="N47" i="1" s="1"/>
  <c r="M48" i="1"/>
  <c r="L48" i="1"/>
  <c r="L47" i="1" s="1"/>
  <c r="H48" i="1"/>
  <c r="H47" i="1" s="1"/>
  <c r="G48" i="1"/>
  <c r="G47" i="1" s="1"/>
  <c r="F48" i="1"/>
  <c r="I48" i="1" s="1"/>
  <c r="C48" i="1"/>
  <c r="P47" i="1"/>
  <c r="O47" i="1"/>
  <c r="M47" i="1"/>
  <c r="D47" i="1"/>
  <c r="B47" i="1"/>
  <c r="Q46" i="1"/>
  <c r="Q44" i="1" s="1"/>
  <c r="H46" i="1"/>
  <c r="H44" i="1" s="1"/>
  <c r="K45" i="1"/>
  <c r="G45" i="1"/>
  <c r="F45" i="1"/>
  <c r="I45" i="1" s="1"/>
  <c r="R45" i="1" s="1"/>
  <c r="R44" i="1" s="1"/>
  <c r="P44" i="1"/>
  <c r="O44" i="1"/>
  <c r="N44" i="1"/>
  <c r="M44" i="1"/>
  <c r="L44" i="1"/>
  <c r="E44" i="1"/>
  <c r="D44" i="1"/>
  <c r="C44" i="1"/>
  <c r="B44" i="1"/>
  <c r="K43" i="1"/>
  <c r="T43" i="1" s="1"/>
  <c r="J43" i="1"/>
  <c r="S43" i="1" s="1"/>
  <c r="I43" i="1"/>
  <c r="R43" i="1" s="1"/>
  <c r="O42" i="1"/>
  <c r="M42" i="1"/>
  <c r="L42" i="1"/>
  <c r="I42" i="1"/>
  <c r="H42" i="1"/>
  <c r="K42" i="1" s="1"/>
  <c r="T42" i="1" s="1"/>
  <c r="C42" i="1"/>
  <c r="J42" i="1" s="1"/>
  <c r="K41" i="1"/>
  <c r="T41" i="1" s="1"/>
  <c r="J41" i="1"/>
  <c r="S41" i="1" s="1"/>
  <c r="I41" i="1"/>
  <c r="R41" i="1" s="1"/>
  <c r="Q40" i="1"/>
  <c r="I40" i="1"/>
  <c r="R40" i="1" s="1"/>
  <c r="H40" i="1"/>
  <c r="K40" i="1" s="1"/>
  <c r="G40" i="1"/>
  <c r="K39" i="1"/>
  <c r="T39" i="1" s="1"/>
  <c r="J39" i="1"/>
  <c r="S39" i="1" s="1"/>
  <c r="I39" i="1"/>
  <c r="R39" i="1" s="1"/>
  <c r="K38" i="1"/>
  <c r="T38" i="1" s="1"/>
  <c r="J38" i="1"/>
  <c r="S38" i="1" s="1"/>
  <c r="I38" i="1"/>
  <c r="R38" i="1" s="1"/>
  <c r="Q37" i="1"/>
  <c r="N37" i="1"/>
  <c r="N36" i="1" s="1"/>
  <c r="I37" i="1"/>
  <c r="H37" i="1"/>
  <c r="K37" i="1" s="1"/>
  <c r="G37" i="1"/>
  <c r="C37" i="1"/>
  <c r="P36" i="1"/>
  <c r="O36" i="1"/>
  <c r="M36" i="1"/>
  <c r="L36" i="1"/>
  <c r="F36" i="1"/>
  <c r="E36" i="1"/>
  <c r="D36" i="1"/>
  <c r="B36" i="1"/>
  <c r="I35" i="1"/>
  <c r="R35" i="1" s="1"/>
  <c r="H35" i="1"/>
  <c r="K35" i="1" s="1"/>
  <c r="T35" i="1" s="1"/>
  <c r="C35" i="1"/>
  <c r="J35" i="1" s="1"/>
  <c r="S35" i="1" s="1"/>
  <c r="H34" i="1"/>
  <c r="K34" i="1" s="1"/>
  <c r="T34" i="1" s="1"/>
  <c r="C34" i="1"/>
  <c r="J34" i="1" s="1"/>
  <c r="S34" i="1" s="1"/>
  <c r="Q33" i="1"/>
  <c r="N33" i="1"/>
  <c r="I33" i="1"/>
  <c r="R33" i="1" s="1"/>
  <c r="H33" i="1"/>
  <c r="E33" i="1"/>
  <c r="C33" i="1"/>
  <c r="J33" i="1" s="1"/>
  <c r="S33" i="1" s="1"/>
  <c r="P32" i="1"/>
  <c r="H32" i="1"/>
  <c r="K32" i="1" s="1"/>
  <c r="T32" i="1" s="1"/>
  <c r="C32" i="1"/>
  <c r="J32" i="1" s="1"/>
  <c r="J31" i="1"/>
  <c r="I31" i="1"/>
  <c r="R31" i="1" s="1"/>
  <c r="K30" i="1"/>
  <c r="T30" i="1" s="1"/>
  <c r="I30" i="1"/>
  <c r="R30" i="1" s="1"/>
  <c r="G30" i="1"/>
  <c r="C30" i="1"/>
  <c r="I29" i="1"/>
  <c r="R29" i="1" s="1"/>
  <c r="H29" i="1"/>
  <c r="K29" i="1" s="1"/>
  <c r="T29" i="1" s="1"/>
  <c r="C29" i="1"/>
  <c r="J29" i="1" s="1"/>
  <c r="S29" i="1" s="1"/>
  <c r="N28" i="1"/>
  <c r="I28" i="1"/>
  <c r="R28" i="1" s="1"/>
  <c r="H28" i="1"/>
  <c r="K28" i="1" s="1"/>
  <c r="C28" i="1"/>
  <c r="J28" i="1" s="1"/>
  <c r="S28" i="1" s="1"/>
  <c r="H27" i="1"/>
  <c r="K27" i="1" s="1"/>
  <c r="T27" i="1" s="1"/>
  <c r="G27" i="1"/>
  <c r="F27" i="1"/>
  <c r="I27" i="1" s="1"/>
  <c r="R27" i="1" s="1"/>
  <c r="C27" i="1"/>
  <c r="Q26" i="1"/>
  <c r="I26" i="1"/>
  <c r="R26" i="1" s="1"/>
  <c r="H26" i="1"/>
  <c r="K26" i="1" s="1"/>
  <c r="C26" i="1"/>
  <c r="J26" i="1" s="1"/>
  <c r="S26" i="1" s="1"/>
  <c r="N25" i="1"/>
  <c r="H25" i="1"/>
  <c r="K25" i="1" s="1"/>
  <c r="G25" i="1"/>
  <c r="F25" i="1"/>
  <c r="I25" i="1" s="1"/>
  <c r="R25" i="1" s="1"/>
  <c r="C25" i="1"/>
  <c r="N24" i="1"/>
  <c r="M24" i="1"/>
  <c r="M21" i="1" s="1"/>
  <c r="L24" i="1"/>
  <c r="L21" i="1" s="1"/>
  <c r="I24" i="1"/>
  <c r="H24" i="1"/>
  <c r="K24" i="1" s="1"/>
  <c r="C24" i="1"/>
  <c r="J24" i="1" s="1"/>
  <c r="H23" i="1"/>
  <c r="K23" i="1" s="1"/>
  <c r="T23" i="1" s="1"/>
  <c r="G23" i="1"/>
  <c r="F23" i="1"/>
  <c r="I23" i="1" s="1"/>
  <c r="C23" i="1"/>
  <c r="Q22" i="1"/>
  <c r="J22" i="1"/>
  <c r="S22" i="1" s="1"/>
  <c r="I22" i="1"/>
  <c r="R22" i="1" s="1"/>
  <c r="H22" i="1"/>
  <c r="P21" i="1"/>
  <c r="O21" i="1"/>
  <c r="E21" i="1"/>
  <c r="D21" i="1"/>
  <c r="B21" i="1"/>
  <c r="I20" i="1"/>
  <c r="R20" i="1" s="1"/>
  <c r="H20" i="1"/>
  <c r="K20" i="1" s="1"/>
  <c r="T20" i="1" s="1"/>
  <c r="C20" i="1"/>
  <c r="J20" i="1" s="1"/>
  <c r="S20" i="1" s="1"/>
  <c r="N19" i="1"/>
  <c r="I19" i="1"/>
  <c r="R19" i="1" s="1"/>
  <c r="H19" i="1"/>
  <c r="K19" i="1" s="1"/>
  <c r="C19" i="1"/>
  <c r="J19" i="1" s="1"/>
  <c r="S19" i="1" s="1"/>
  <c r="Q18" i="1"/>
  <c r="K18" i="1"/>
  <c r="G18" i="1"/>
  <c r="C18" i="1"/>
  <c r="Q17" i="1"/>
  <c r="I17" i="1"/>
  <c r="R17" i="1" s="1"/>
  <c r="H17" i="1"/>
  <c r="K17" i="1" s="1"/>
  <c r="C17" i="1"/>
  <c r="J17" i="1" s="1"/>
  <c r="S17" i="1" s="1"/>
  <c r="M16" i="1"/>
  <c r="L16" i="1"/>
  <c r="I16" i="1"/>
  <c r="H16" i="1"/>
  <c r="K16" i="1" s="1"/>
  <c r="T16" i="1" s="1"/>
  <c r="C16" i="1"/>
  <c r="J16" i="1" s="1"/>
  <c r="K15" i="1"/>
  <c r="T15" i="1" s="1"/>
  <c r="J15" i="1"/>
  <c r="S15" i="1" s="1"/>
  <c r="I15" i="1"/>
  <c r="R15" i="1" s="1"/>
  <c r="N14" i="1"/>
  <c r="M14" i="1"/>
  <c r="L14" i="1"/>
  <c r="I14" i="1"/>
  <c r="H14" i="1"/>
  <c r="C14" i="1"/>
  <c r="Q13" i="1"/>
  <c r="P13" i="1"/>
  <c r="O13" i="1"/>
  <c r="G13" i="1"/>
  <c r="F13" i="1"/>
  <c r="E13" i="1"/>
  <c r="D13" i="1"/>
  <c r="B13" i="1"/>
  <c r="K12" i="1"/>
  <c r="T12" i="1" s="1"/>
  <c r="I12" i="1"/>
  <c r="R12" i="1" s="1"/>
  <c r="G12" i="1"/>
  <c r="C12" i="1"/>
  <c r="K11" i="1"/>
  <c r="T11" i="1" s="1"/>
  <c r="I11" i="1"/>
  <c r="R11" i="1" s="1"/>
  <c r="G11" i="1"/>
  <c r="C11" i="1"/>
  <c r="I10" i="1"/>
  <c r="R10" i="1" s="1"/>
  <c r="H10" i="1"/>
  <c r="K10" i="1" s="1"/>
  <c r="T10" i="1" s="1"/>
  <c r="G10" i="1"/>
  <c r="C10" i="1"/>
  <c r="P9" i="1"/>
  <c r="I9" i="1"/>
  <c r="R9" i="1" s="1"/>
  <c r="H9" i="1"/>
  <c r="K9" i="1" s="1"/>
  <c r="T9" i="1" s="1"/>
  <c r="G9" i="1"/>
  <c r="C9" i="1"/>
  <c r="Q8" i="1"/>
  <c r="P8" i="1"/>
  <c r="N8" i="1"/>
  <c r="M8" i="1"/>
  <c r="L8" i="1"/>
  <c r="I8" i="1"/>
  <c r="H8" i="1"/>
  <c r="G8" i="1"/>
  <c r="C8" i="1"/>
  <c r="T89" i="1" l="1"/>
  <c r="N66" i="1"/>
  <c r="Q66" i="1"/>
  <c r="Q65" i="1" s="1"/>
  <c r="I66" i="1"/>
  <c r="K66" i="1"/>
  <c r="J68" i="1"/>
  <c r="S68" i="1" s="1"/>
  <c r="C66" i="1"/>
  <c r="S67" i="1"/>
  <c r="B64" i="1"/>
  <c r="R67" i="1"/>
  <c r="R66" i="1" s="1"/>
  <c r="D64" i="1"/>
  <c r="K97" i="1"/>
  <c r="T97" i="1" s="1"/>
  <c r="J37" i="1"/>
  <c r="S37" i="1" s="1"/>
  <c r="S42" i="1"/>
  <c r="M13" i="1"/>
  <c r="M64" i="1" s="1"/>
  <c r="K84" i="1"/>
  <c r="T84" i="1" s="1"/>
  <c r="T85" i="1" s="1"/>
  <c r="J11" i="1"/>
  <c r="S11" i="1" s="1"/>
  <c r="J48" i="1"/>
  <c r="J47" i="1" s="1"/>
  <c r="C13" i="1"/>
  <c r="J30" i="1"/>
  <c r="S30" i="1" s="1"/>
  <c r="C58" i="1"/>
  <c r="P65" i="1"/>
  <c r="T103" i="1"/>
  <c r="S56" i="1"/>
  <c r="S55" i="1" s="1"/>
  <c r="L13" i="1"/>
  <c r="L64" i="1" s="1"/>
  <c r="B65" i="1"/>
  <c r="T67" i="1"/>
  <c r="K73" i="1"/>
  <c r="T74" i="1"/>
  <c r="T73" i="1" s="1"/>
  <c r="J75" i="1"/>
  <c r="S75" i="1" s="1"/>
  <c r="K48" i="1"/>
  <c r="T48" i="1" s="1"/>
  <c r="F65" i="1"/>
  <c r="H13" i="1"/>
  <c r="J10" i="1"/>
  <c r="S10" i="1" s="1"/>
  <c r="J23" i="1"/>
  <c r="S23" i="1" s="1"/>
  <c r="G21" i="1"/>
  <c r="P55" i="1"/>
  <c r="P64" i="1" s="1"/>
  <c r="R109" i="1"/>
  <c r="T49" i="1"/>
  <c r="G58" i="1"/>
  <c r="J63" i="1"/>
  <c r="S63" i="1" s="1"/>
  <c r="T17" i="1"/>
  <c r="Q36" i="1"/>
  <c r="K56" i="1"/>
  <c r="T56" i="1" s="1"/>
  <c r="Q55" i="1"/>
  <c r="J60" i="1"/>
  <c r="S60" i="1" s="1"/>
  <c r="I60" i="1"/>
  <c r="R60" i="1" s="1"/>
  <c r="E73" i="1"/>
  <c r="I73" i="1"/>
  <c r="K110" i="1"/>
  <c r="H55" i="1"/>
  <c r="O65" i="1"/>
  <c r="J8" i="1"/>
  <c r="J12" i="1"/>
  <c r="S12" i="1" s="1"/>
  <c r="K14" i="1"/>
  <c r="K13" i="1" s="1"/>
  <c r="R14" i="1"/>
  <c r="I13" i="1"/>
  <c r="J18" i="1"/>
  <c r="S18" i="1" s="1"/>
  <c r="F21" i="1"/>
  <c r="T28" i="1"/>
  <c r="S32" i="1"/>
  <c r="J59" i="1"/>
  <c r="J58" i="1" s="1"/>
  <c r="D65" i="1"/>
  <c r="H65" i="1"/>
  <c r="C47" i="1"/>
  <c r="K58" i="1"/>
  <c r="J85" i="1"/>
  <c r="T18" i="1"/>
  <c r="T19" i="1"/>
  <c r="K52" i="1"/>
  <c r="K51" i="1" s="1"/>
  <c r="I79" i="1"/>
  <c r="R79" i="1" s="1"/>
  <c r="R73" i="1"/>
  <c r="N21" i="1"/>
  <c r="T24" i="1"/>
  <c r="T26" i="1"/>
  <c r="S70" i="1"/>
  <c r="K79" i="1"/>
  <c r="D104" i="1"/>
  <c r="J27" i="1"/>
  <c r="S27" i="1" s="1"/>
  <c r="R42" i="1"/>
  <c r="F44" i="1"/>
  <c r="F47" i="1"/>
  <c r="G65" i="1"/>
  <c r="M65" i="1"/>
  <c r="I85" i="1"/>
  <c r="J9" i="1"/>
  <c r="S9" i="1" s="1"/>
  <c r="J14" i="1"/>
  <c r="J13" i="1" s="1"/>
  <c r="S16" i="1"/>
  <c r="Q21" i="1"/>
  <c r="K33" i="1"/>
  <c r="T33" i="1" s="1"/>
  <c r="C36" i="1"/>
  <c r="H36" i="1"/>
  <c r="H51" i="1"/>
  <c r="C55" i="1"/>
  <c r="N65" i="1"/>
  <c r="L65" i="1"/>
  <c r="K98" i="1"/>
  <c r="T98" i="1" s="1"/>
  <c r="S84" i="1"/>
  <c r="S85" i="1" s="1"/>
  <c r="K46" i="1"/>
  <c r="T46" i="1" s="1"/>
  <c r="R48" i="1"/>
  <c r="R47" i="1" s="1"/>
  <c r="I51" i="1"/>
  <c r="R85" i="1"/>
  <c r="J25" i="1"/>
  <c r="S25" i="1" s="1"/>
  <c r="R23" i="1"/>
  <c r="I21" i="1"/>
  <c r="O51" i="1"/>
  <c r="O64" i="1" s="1"/>
  <c r="R52" i="1"/>
  <c r="R51" i="1" s="1"/>
  <c r="Q58" i="1"/>
  <c r="T59" i="1"/>
  <c r="T58" i="1" s="1"/>
  <c r="R16" i="1"/>
  <c r="T40" i="1"/>
  <c r="K36" i="1"/>
  <c r="S74" i="1"/>
  <c r="S24" i="1"/>
  <c r="T25" i="1"/>
  <c r="N13" i="1"/>
  <c r="T57" i="1"/>
  <c r="K22" i="1"/>
  <c r="K21" i="1" s="1"/>
  <c r="H21" i="1"/>
  <c r="R56" i="1"/>
  <c r="R55" i="1" s="1"/>
  <c r="I55" i="1"/>
  <c r="R8" i="1"/>
  <c r="C21" i="1"/>
  <c r="R24" i="1"/>
  <c r="J40" i="1"/>
  <c r="S40" i="1" s="1"/>
  <c r="G36" i="1"/>
  <c r="J45" i="1"/>
  <c r="G44" i="1"/>
  <c r="R37" i="1"/>
  <c r="R36" i="1" s="1"/>
  <c r="I36" i="1"/>
  <c r="H58" i="1"/>
  <c r="R78" i="1"/>
  <c r="J79" i="1"/>
  <c r="C77" i="1"/>
  <c r="T95" i="1"/>
  <c r="N104" i="1"/>
  <c r="T45" i="1"/>
  <c r="K50" i="1"/>
  <c r="E47" i="1"/>
  <c r="E64" i="1" s="1"/>
  <c r="J55" i="1"/>
  <c r="K8" i="1"/>
  <c r="T37" i="1"/>
  <c r="I44" i="1"/>
  <c r="I47" i="1"/>
  <c r="Q47" i="1"/>
  <c r="J52" i="1"/>
  <c r="R59" i="1"/>
  <c r="I104" i="1"/>
  <c r="R92" i="1"/>
  <c r="K94" i="1"/>
  <c r="T94" i="1" s="1"/>
  <c r="J104" i="1"/>
  <c r="S95" i="1"/>
  <c r="S104" i="1" s="1"/>
  <c r="T110" i="1"/>
  <c r="J110" i="1"/>
  <c r="S109" i="1"/>
  <c r="T92" i="1"/>
  <c r="Q104" i="1"/>
  <c r="T96" i="1"/>
  <c r="T70" i="1"/>
  <c r="E104" i="1"/>
  <c r="C104" i="1"/>
  <c r="E85" i="1"/>
  <c r="S66" i="1" l="1"/>
  <c r="J66" i="1"/>
  <c r="K85" i="1"/>
  <c r="K55" i="1"/>
  <c r="T66" i="1"/>
  <c r="R58" i="1"/>
  <c r="N64" i="1"/>
  <c r="N81" i="1" s="1"/>
  <c r="N86" i="1" s="1"/>
  <c r="N90" i="1" s="1"/>
  <c r="N105" i="1" s="1"/>
  <c r="N111" i="1" s="1"/>
  <c r="H64" i="1"/>
  <c r="H81" i="1" s="1"/>
  <c r="H86" i="1" s="1"/>
  <c r="S59" i="1"/>
  <c r="S58" i="1" s="1"/>
  <c r="G64" i="1"/>
  <c r="G81" i="1" s="1"/>
  <c r="G86" i="1" s="1"/>
  <c r="B81" i="1"/>
  <c r="B86" i="1" s="1"/>
  <c r="C64" i="1"/>
  <c r="Q64" i="1"/>
  <c r="F64" i="1"/>
  <c r="F81" i="1" s="1"/>
  <c r="F86" i="1" s="1"/>
  <c r="F90" i="1" s="1"/>
  <c r="F105" i="1" s="1"/>
  <c r="F111" i="1" s="1"/>
  <c r="S8" i="1"/>
  <c r="T8" i="1"/>
  <c r="J73" i="1"/>
  <c r="T52" i="1"/>
  <c r="T51" i="1" s="1"/>
  <c r="S48" i="1"/>
  <c r="S47" i="1" s="1"/>
  <c r="T55" i="1"/>
  <c r="P81" i="1"/>
  <c r="P86" i="1" s="1"/>
  <c r="P90" i="1" s="1"/>
  <c r="P105" i="1" s="1"/>
  <c r="P111" i="1" s="1"/>
  <c r="E65" i="1"/>
  <c r="E81" i="1" s="1"/>
  <c r="E86" i="1" s="1"/>
  <c r="T22" i="1"/>
  <c r="T21" i="1" s="1"/>
  <c r="S73" i="1"/>
  <c r="R13" i="1"/>
  <c r="O81" i="1"/>
  <c r="O86" i="1" s="1"/>
  <c r="I58" i="1"/>
  <c r="I64" i="1" s="1"/>
  <c r="I77" i="1"/>
  <c r="C65" i="1"/>
  <c r="K104" i="1"/>
  <c r="T14" i="1"/>
  <c r="T13" i="1" s="1"/>
  <c r="R77" i="1"/>
  <c r="S14" i="1"/>
  <c r="S13" i="1" s="1"/>
  <c r="D81" i="1"/>
  <c r="D86" i="1" s="1"/>
  <c r="D105" i="1" s="1"/>
  <c r="D111" i="1" s="1"/>
  <c r="M81" i="1"/>
  <c r="M86" i="1" s="1"/>
  <c r="K44" i="1"/>
  <c r="Q81" i="1"/>
  <c r="Q86" i="1" s="1"/>
  <c r="S21" i="1"/>
  <c r="L81" i="1"/>
  <c r="L86" i="1" s="1"/>
  <c r="T44" i="1"/>
  <c r="J21" i="1"/>
  <c r="T79" i="1"/>
  <c r="T77" i="1" s="1"/>
  <c r="K77" i="1"/>
  <c r="K65" i="1" s="1"/>
  <c r="S36" i="1"/>
  <c r="R21" i="1"/>
  <c r="J51" i="1"/>
  <c r="S52" i="1"/>
  <c r="S51" i="1" s="1"/>
  <c r="T36" i="1"/>
  <c r="S45" i="1"/>
  <c r="S44" i="1" s="1"/>
  <c r="J44" i="1"/>
  <c r="T50" i="1"/>
  <c r="T47" i="1" s="1"/>
  <c r="K47" i="1"/>
  <c r="T104" i="1"/>
  <c r="J77" i="1"/>
  <c r="S79" i="1"/>
  <c r="S77" i="1" s="1"/>
  <c r="J36" i="1"/>
  <c r="R64" i="1" l="1"/>
  <c r="M90" i="1"/>
  <c r="M105" i="1" s="1"/>
  <c r="M111" i="1" s="1"/>
  <c r="K64" i="1"/>
  <c r="K81" i="1" s="1"/>
  <c r="K86" i="1" s="1"/>
  <c r="B90" i="1"/>
  <c r="B105" i="1" s="1"/>
  <c r="B111" i="1" s="1"/>
  <c r="J64" i="1"/>
  <c r="R65" i="1"/>
  <c r="R81" i="1" s="1"/>
  <c r="R86" i="1" s="1"/>
  <c r="R90" i="1" s="1"/>
  <c r="R105" i="1" s="1"/>
  <c r="R111" i="1" s="1"/>
  <c r="T65" i="1"/>
  <c r="S64" i="1"/>
  <c r="T64" i="1"/>
  <c r="I65" i="1"/>
  <c r="I81" i="1" s="1"/>
  <c r="I86" i="1" s="1"/>
  <c r="I90" i="1" s="1"/>
  <c r="I105" i="1" s="1"/>
  <c r="I111" i="1" s="1"/>
  <c r="O90" i="1"/>
  <c r="O105" i="1" s="1"/>
  <c r="O111" i="1" s="1"/>
  <c r="L90" i="1"/>
  <c r="L105" i="1" s="1"/>
  <c r="L111" i="1" s="1"/>
  <c r="H90" i="1"/>
  <c r="H105" i="1" s="1"/>
  <c r="H111" i="1" s="1"/>
  <c r="C81" i="1"/>
  <c r="C86" i="1" s="1"/>
  <c r="S65" i="1"/>
  <c r="G90" i="1"/>
  <c r="G105" i="1" s="1"/>
  <c r="G111" i="1" s="1"/>
  <c r="Q90" i="1"/>
  <c r="Q105" i="1" s="1"/>
  <c r="Q111" i="1" s="1"/>
  <c r="E90" i="1"/>
  <c r="E105" i="1" s="1"/>
  <c r="E111" i="1" s="1"/>
  <c r="J65" i="1"/>
  <c r="T81" i="1" l="1"/>
  <c r="T86" i="1" s="1"/>
  <c r="J81" i="1"/>
  <c r="J86" i="1" s="1"/>
  <c r="S81" i="1"/>
  <c r="S86" i="1" s="1"/>
  <c r="S90" i="1" s="1"/>
  <c r="S105" i="1" s="1"/>
  <c r="S111" i="1" s="1"/>
  <c r="C90" i="1"/>
  <c r="C105" i="1" s="1"/>
  <c r="C111" i="1" s="1"/>
  <c r="K105" i="1"/>
  <c r="K111" i="1" s="1"/>
  <c r="T90" i="1" l="1"/>
  <c r="T105" i="1" s="1"/>
  <c r="T111" i="1" s="1"/>
  <c r="J90" i="1"/>
  <c r="J105" i="1" s="1"/>
  <c r="J111" i="1" s="1"/>
</calcChain>
</file>

<file path=xl/sharedStrings.xml><?xml version="1.0" encoding="utf-8"?>
<sst xmlns="http://schemas.openxmlformats.org/spreadsheetml/2006/main" count="208" uniqueCount="144">
  <si>
    <t>DEPARTMENT OF JUSTICE</t>
  </si>
  <si>
    <t>FY 2014 PRESIDENT'S BUDGET</t>
  </si>
  <si>
    <t>(Dollar in thousands)</t>
  </si>
  <si>
    <t>FY 2012 Enacted*</t>
  </si>
  <si>
    <t>Technical Adjustments</t>
  </si>
  <si>
    <t>ADJUSTMENT TO BASE</t>
  </si>
  <si>
    <t>CURRENT SERVICES</t>
  </si>
  <si>
    <t>PROGRAM INCREASES</t>
  </si>
  <si>
    <t>PROGRAM OFFSETS</t>
  </si>
  <si>
    <t>TOTAL</t>
  </si>
  <si>
    <t>APPROPRIATION</t>
  </si>
  <si>
    <t>POS</t>
  </si>
  <si>
    <t>FTE</t>
  </si>
  <si>
    <t>BA</t>
  </si>
  <si>
    <t xml:space="preserve"> </t>
  </si>
  <si>
    <t>[702]</t>
  </si>
  <si>
    <t>[13]</t>
  </si>
  <si>
    <t>[715]</t>
  </si>
  <si>
    <t>[41]</t>
  </si>
  <si>
    <t>[7,833]</t>
  </si>
  <si>
    <t>[880]</t>
  </si>
  <si>
    <t>[-50]</t>
  </si>
  <si>
    <t>[830]</t>
  </si>
  <si>
    <t>[1,314]</t>
  </si>
  <si>
    <t xml:space="preserve">        Minus:  Rescissions from Balances </t>
  </si>
  <si>
    <t>[1,580,595]</t>
  </si>
  <si>
    <t>[3,331]</t>
  </si>
  <si>
    <t>[3,277]</t>
  </si>
  <si>
    <t>[1]</t>
  </si>
  <si>
    <t>[-146]</t>
  </si>
  <si>
    <t>[-145]</t>
  </si>
  <si>
    <t>[3,186]</t>
  </si>
  <si>
    <t>[3,133]</t>
  </si>
  <si>
    <t xml:space="preserve">     Rescission - Balance BOP B&amp;F</t>
  </si>
  <si>
    <t>[1,950]</t>
  </si>
  <si>
    <t>[727]</t>
  </si>
  <si>
    <t>[49]</t>
  </si>
  <si>
    <t>[776]</t>
  </si>
  <si>
    <t>[15]</t>
  </si>
  <si>
    <t>[791]</t>
  </si>
  <si>
    <t>OFFICE OF JUSTICE PROGRAM</t>
  </si>
  <si>
    <t>OJP SALARIES AND EXPENSES</t>
  </si>
  <si>
    <t xml:space="preserve">  STATE and LOCAL LAW ENFORCEMENT ASSIST.</t>
  </si>
  <si>
    <t xml:space="preserve">   OJP- wide rescissions</t>
  </si>
  <si>
    <r>
      <t xml:space="preserve">       </t>
    </r>
    <r>
      <rPr>
        <i/>
        <sz val="16"/>
        <rFont val="Arial"/>
        <family val="2"/>
      </rPr>
      <t>COPS SALARIES AND EXPENSES</t>
    </r>
  </si>
  <si>
    <r>
      <t xml:space="preserve">       </t>
    </r>
    <r>
      <rPr>
        <i/>
        <sz val="16"/>
        <rFont val="Arial"/>
        <family val="2"/>
      </rPr>
      <t>OVW SALARIES AND EXPENSES</t>
    </r>
  </si>
  <si>
    <t>TOTAL, DISCRETIONARY BUDGET AUTHORITY</t>
  </si>
  <si>
    <t>FEE COLLECTIONS:</t>
  </si>
  <si>
    <t xml:space="preserve">  Offset from U.S. Trustee Fees and Interest on U.S. Securities**</t>
  </si>
  <si>
    <t>TOTAL, DISCRETIONARY BUDGET AUTHORITY WITH FEES</t>
  </si>
  <si>
    <t>[-7,878,000]</t>
  </si>
  <si>
    <t>[-675,000]</t>
  </si>
  <si>
    <t>MANDATORY AND OTHER ACCOUNTS:</t>
  </si>
  <si>
    <t>[6,000]</t>
  </si>
  <si>
    <t xml:space="preserve">   RADIATION EXPOSURE Compensation Trust Fund-050 (Mandatory)</t>
  </si>
  <si>
    <t>[23]</t>
  </si>
  <si>
    <t>[1,257]</t>
  </si>
  <si>
    <t>[1,497]</t>
  </si>
  <si>
    <t>[2,777]</t>
  </si>
  <si>
    <t>HEALTH CARE FRAUD REIMBURSEMENTS</t>
  </si>
  <si>
    <t>[N/A]</t>
  </si>
  <si>
    <t>TOTAL BA, DEPARTMENT OF JUSTICE, WITH OFFSET</t>
  </si>
  <si>
    <t xml:space="preserve">* FY 2012 Enacted FTE Estimate </t>
  </si>
  <si>
    <t xml:space="preserve">             1. FY 2013 FTE projected at the end of PP 26. </t>
  </si>
  <si>
    <t xml:space="preserve">           2. If component request is higher than the FY 2013 projected but LESS than FY 2012 actual FTE use, the decision is to use the component request.</t>
  </si>
  <si>
    <t xml:space="preserve">           3. If component request is higher than the FY 2013 projected but MORE than FY 2012 actual FTE use, the decision is to use the FY 2012 actual FTE use. </t>
  </si>
  <si>
    <t>GENERAL ADMINISTRATION</t>
  </si>
  <si>
    <t>NATIONAL DRUG INTEL CENTER</t>
  </si>
  <si>
    <t>JUSTICE INFORMATION SHARING TECHNOLOGY</t>
  </si>
  <si>
    <t>LAW ENFORCEMENT WIRELESS COMMUNICATIONS</t>
  </si>
  <si>
    <t>DETENTION TRUSTEE/FY 2013 FEDERAL PRISONER DETENTION</t>
  </si>
  <si>
    <t>ADMINISTRATIVE REVIEW &amp; APPEALS</t>
  </si>
  <si>
    <t xml:space="preserve">  EXECUTIVE OFFICE FOR IMMIGRATION REVIEW</t>
  </si>
  <si>
    <t xml:space="preserve">  Transfers from Immigration Fees Account</t>
  </si>
  <si>
    <t xml:space="preserve">  PARDON ATTORNEY</t>
  </si>
  <si>
    <t>OFFICE OF THE INSPECTOR GENERAL</t>
  </si>
  <si>
    <t xml:space="preserve">WORKING CAPITAL FUND </t>
  </si>
  <si>
    <t>U.S. PAROLE COMMISSION</t>
  </si>
  <si>
    <t>NATIONAL SECURITY DIVISION</t>
  </si>
  <si>
    <t>GENERAL LEGAL ACTIVITIES</t>
  </si>
  <si>
    <t xml:space="preserve">   SOLICITOR GENERAL</t>
  </si>
  <si>
    <t xml:space="preserve">   TAX DIVISION</t>
  </si>
  <si>
    <t xml:space="preserve">   CRIMINAL DIVISION</t>
  </si>
  <si>
    <t xml:space="preserve">   CIVIL DIVISION</t>
  </si>
  <si>
    <t xml:space="preserve">   ENVIRONMENT &amp; NATURAL RESOURCES DIVISION</t>
  </si>
  <si>
    <t xml:space="preserve">   LEGAL COUNSEL</t>
  </si>
  <si>
    <t xml:space="preserve">   CIVIL RIGHTS DIVISION</t>
  </si>
  <si>
    <t xml:space="preserve">   INTERPOL</t>
  </si>
  <si>
    <t xml:space="preserve">   OFFICE OF DISPUTE RESOLUTION</t>
  </si>
  <si>
    <t>VACCINE INJURY COMPENSATION TRUST FUND</t>
  </si>
  <si>
    <t>ANTITRUST</t>
  </si>
  <si>
    <t>U.S. ATTORNEYS</t>
  </si>
  <si>
    <t>U.S. TRUSTEES</t>
  </si>
  <si>
    <t>FOREIGN CLAIMS SETTLEMENT COMM (150)</t>
  </si>
  <si>
    <t>U.S. MARSHALS SERVICE</t>
  </si>
  <si>
    <t xml:space="preserve">   SALARIES &amp; EXPENSES</t>
  </si>
  <si>
    <t xml:space="preserve">   CONSTRUCTION</t>
  </si>
  <si>
    <t xml:space="preserve">   FEDERAL PRISONER DETENTION</t>
  </si>
  <si>
    <t>COMMUNITY RELATIONS SERVICE</t>
  </si>
  <si>
    <t>ASSETS FORFEITURE FUND CURRENT BUDGET AUTHORITY</t>
  </si>
  <si>
    <t>INTERAGENCY CRIME &amp; DRUG ENFORCEMENT</t>
  </si>
  <si>
    <t xml:space="preserve">   Direct FTE</t>
  </si>
  <si>
    <t>FEDERAL BUREAU OF INVESTIGATION</t>
  </si>
  <si>
    <t>DRUG ENFORCEMENT ADMINISTRATION</t>
  </si>
  <si>
    <t>BUREAU OF ALCOHOL, TOBACCO, FIREARMS &amp; EXPLOSIVES</t>
  </si>
  <si>
    <t xml:space="preserve">   BUREAU OF ALCOHOL, TOBACCO, FIREARMS &amp; EXPLOSIVES</t>
  </si>
  <si>
    <t>FEDERAL PRISON SYSTEM</t>
  </si>
  <si>
    <t xml:space="preserve">   BUILDINGS &amp; FACILITIES</t>
  </si>
  <si>
    <t>FEDERAL PRISON INDUSTRIES (limitation on adm exp.)</t>
  </si>
  <si>
    <t>COMMISSARY FUND</t>
  </si>
  <si>
    <t xml:space="preserve">SUBTOTAL, DISCRETIONARY w/o State and Local </t>
  </si>
  <si>
    <t>DISCRETIONARY GRANTS PROGRAMS</t>
  </si>
  <si>
    <t xml:space="preserve">   RESEARCH EVALUATION AND STATISTIC</t>
  </si>
  <si>
    <t xml:space="preserve">    PSOB</t>
  </si>
  <si>
    <t>COMMUNITY POLICING (INCLUDES OJP PROGRAMS)</t>
  </si>
  <si>
    <t xml:space="preserve">       COMMUNITY POLICING</t>
  </si>
  <si>
    <t xml:space="preserve">        Minus:  COPS Rescissions from Balances</t>
  </si>
  <si>
    <t>OFFICE ON VIOLENCE AGAINST WOMEN</t>
  </si>
  <si>
    <t xml:space="preserve">       Office On Violence Against Women</t>
  </si>
  <si>
    <t xml:space="preserve">        Minus:  OVW Rescissions from Balances</t>
  </si>
  <si>
    <t xml:space="preserve">  Offset from Antitrust Pre-Merger Filing Fee</t>
  </si>
  <si>
    <t>SUBTOTAL, FEE COLLECTIONS</t>
  </si>
  <si>
    <t xml:space="preserve">    CRIME VICTIMS FUND</t>
  </si>
  <si>
    <t xml:space="preserve">    ASSET FORFEITURE FUND</t>
  </si>
  <si>
    <t>SUBTOTAL, DISCRETIONARY CREDITS</t>
  </si>
  <si>
    <t>SUBTOTAL, DISCR WITH FEES AND SCOREKEEPING CREDITS</t>
  </si>
  <si>
    <t xml:space="preserve">   FEES AND EXPENSES OF WITNESSES (Mandatory)</t>
  </si>
  <si>
    <t xml:space="preserve">   INDEPENDENT COUNSEL (PERM Indefinite)</t>
  </si>
  <si>
    <t xml:space="preserve">   PUBLIC SAFETY OFFICERS' DEATH BENEFITS (Mandatory)</t>
  </si>
  <si>
    <t xml:space="preserve">   ASSETS FORFEITURE FUND (Perm Budget Auth)</t>
  </si>
  <si>
    <t xml:space="preserve">   ANTITRUST PRE-MERGER FILING FEE COLLECTIONS</t>
  </si>
  <si>
    <t xml:space="preserve">   U. S. TRUSTEES FEE COLLECTIONS…</t>
  </si>
  <si>
    <t xml:space="preserve">   CRIMINAL JUSTICE INFORMATION SERVICES (FBI)</t>
  </si>
  <si>
    <t xml:space="preserve">   DIVERSION CONTROL FEE</t>
  </si>
  <si>
    <t xml:space="preserve">   9/11 VICTIMS COMPENSATION FUND</t>
  </si>
  <si>
    <t xml:space="preserve">   MEDICAL MALPRACTICE GRANTS</t>
  </si>
  <si>
    <t xml:space="preserve">   CRIME VICTIMS FUND</t>
  </si>
  <si>
    <t>SUBTOTAL, MANDATORY AND OTHER ACCOUNTS</t>
  </si>
  <si>
    <t>TOTAL BA, DISCR &amp; MANDATORY, DEPT. OF JUSTICE</t>
  </si>
  <si>
    <t xml:space="preserve">       HCFAC MANDATORY REIMBURSEMENT</t>
  </si>
  <si>
    <t xml:space="preserve">       FBI- Health Care Fraud - Mandatory</t>
  </si>
  <si>
    <t>SUBTOTAL, HEALTH FRAUD REIMBURSEMENTS</t>
  </si>
  <si>
    <t xml:space="preserve">      HCFAC DISCRETIONARY REIMBURSEMENT</t>
  </si>
  <si>
    <t xml:space="preserve">   JUVENILE JUSTICE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</si>
</sst>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\ h:mm\ AM/PM"/>
    <numFmt numFmtId="166" formatCode="m/d"/>
  </numFmts>
  <fonts count="7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17"/>
      <name val="Arial"/>
      <family val="2"/>
    </font>
    <font>
      <i/>
      <sz val="16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164" fontId="3" fillId="0" borderId="0" xfId="2" applyNumberFormat="1" applyFont="1" applyFill="1" applyBorder="1"/>
    <xf numFmtId="0" fontId="3" fillId="0" borderId="0" xfId="0" applyFont="1" applyFill="1" applyBorder="1"/>
    <xf numFmtId="165" fontId="3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3" fillId="0" borderId="5" xfId="0" applyFont="1" applyFill="1" applyBorder="1"/>
    <xf numFmtId="0" fontId="3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0" fontId="3" fillId="3" borderId="0" xfId="0" applyFont="1" applyFill="1" applyBorder="1"/>
    <xf numFmtId="3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/>
    </xf>
    <xf numFmtId="3" fontId="3" fillId="3" borderId="6" xfId="0" applyNumberFormat="1" applyFont="1" applyFill="1" applyBorder="1"/>
    <xf numFmtId="164" fontId="3" fillId="3" borderId="0" xfId="2" applyNumberFormat="1" applyFont="1" applyFill="1" applyBorder="1"/>
    <xf numFmtId="0" fontId="3" fillId="4" borderId="5" xfId="0" applyFont="1" applyFill="1" applyBorder="1"/>
    <xf numFmtId="3" fontId="3" fillId="4" borderId="10" xfId="0" applyNumberFormat="1" applyFont="1" applyFill="1" applyBorder="1"/>
    <xf numFmtId="0" fontId="5" fillId="0" borderId="5" xfId="0" applyFont="1" applyFill="1" applyBorder="1"/>
    <xf numFmtId="3" fontId="3" fillId="0" borderId="6" xfId="0" applyNumberFormat="1" applyFont="1" applyBorder="1" applyAlignment="1">
      <alignment horizontal="right" vertical="top"/>
    </xf>
    <xf numFmtId="3" fontId="3" fillId="0" borderId="15" xfId="0" applyNumberFormat="1" applyFont="1" applyFill="1" applyBorder="1"/>
    <xf numFmtId="3" fontId="3" fillId="4" borderId="10" xfId="0" applyNumberFormat="1" applyFont="1" applyFill="1" applyBorder="1" applyAlignment="1">
      <alignment horizontal="right"/>
    </xf>
    <xf numFmtId="3" fontId="3" fillId="4" borderId="6" xfId="0" applyNumberFormat="1" applyFont="1" applyFill="1" applyBorder="1"/>
    <xf numFmtId="3" fontId="3" fillId="4" borderId="6" xfId="0" applyNumberFormat="1" applyFont="1" applyFill="1" applyBorder="1" applyAlignment="1">
      <alignment horizontal="right"/>
    </xf>
    <xf numFmtId="0" fontId="1" fillId="4" borderId="16" xfId="0" applyFont="1" applyFill="1" applyBorder="1"/>
    <xf numFmtId="3" fontId="1" fillId="4" borderId="17" xfId="0" applyNumberFormat="1" applyFont="1" applyFill="1" applyBorder="1"/>
    <xf numFmtId="3" fontId="3" fillId="4" borderId="17" xfId="0" applyNumberFormat="1" applyFont="1" applyFill="1" applyBorder="1"/>
    <xf numFmtId="3" fontId="3" fillId="4" borderId="18" xfId="0" applyNumberFormat="1" applyFont="1" applyFill="1" applyBorder="1"/>
    <xf numFmtId="3" fontId="1" fillId="4" borderId="17" xfId="1" applyNumberFormat="1" applyFont="1" applyFill="1" applyBorder="1" applyAlignment="1">
      <alignment horizontal="right"/>
    </xf>
    <xf numFmtId="3" fontId="1" fillId="4" borderId="17" xfId="0" applyNumberFormat="1" applyFont="1" applyFill="1" applyBorder="1" applyAlignment="1">
      <alignment horizontal="right"/>
    </xf>
    <xf numFmtId="3" fontId="1" fillId="3" borderId="6" xfId="0" applyNumberFormat="1" applyFont="1" applyFill="1" applyBorder="1"/>
    <xf numFmtId="3" fontId="1" fillId="3" borderId="6" xfId="1" applyNumberFormat="1" applyFont="1" applyFill="1" applyBorder="1" applyAlignment="1">
      <alignment horizontal="right"/>
    </xf>
    <xf numFmtId="3" fontId="1" fillId="3" borderId="4" xfId="1" applyNumberFormat="1" applyFont="1" applyFill="1" applyBorder="1" applyAlignment="1">
      <alignment horizontal="right"/>
    </xf>
    <xf numFmtId="3" fontId="1" fillId="3" borderId="6" xfId="0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3" fontId="3" fillId="2" borderId="6" xfId="0" applyNumberFormat="1" applyFont="1" applyFill="1" applyBorder="1" applyAlignment="1">
      <alignment horizontal="right"/>
    </xf>
    <xf numFmtId="3" fontId="3" fillId="4" borderId="17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right"/>
    </xf>
    <xf numFmtId="0" fontId="1" fillId="4" borderId="19" xfId="0" applyFont="1" applyFill="1" applyBorder="1"/>
    <xf numFmtId="3" fontId="3" fillId="0" borderId="10" xfId="0" applyNumberFormat="1" applyFont="1" applyFill="1" applyBorder="1"/>
    <xf numFmtId="3" fontId="3" fillId="0" borderId="10" xfId="0" applyNumberFormat="1" applyFont="1" applyFill="1" applyBorder="1" applyAlignment="1">
      <alignment horizontal="right"/>
    </xf>
    <xf numFmtId="3" fontId="3" fillId="4" borderId="20" xfId="0" applyNumberFormat="1" applyFont="1" applyFill="1" applyBorder="1" applyAlignment="1">
      <alignment horizontal="right"/>
    </xf>
    <xf numFmtId="0" fontId="1" fillId="4" borderId="17" xfId="0" applyFont="1" applyFill="1" applyBorder="1"/>
    <xf numFmtId="0" fontId="1" fillId="2" borderId="2" xfId="0" applyFont="1" applyFill="1" applyBorder="1"/>
    <xf numFmtId="3" fontId="1" fillId="2" borderId="0" xfId="0" applyNumberFormat="1" applyFont="1" applyFill="1" applyBorder="1" applyAlignment="1">
      <alignment horizontal="right"/>
    </xf>
    <xf numFmtId="164" fontId="3" fillId="5" borderId="0" xfId="2" applyNumberFormat="1" applyFont="1" applyFill="1" applyBorder="1" applyAlignment="1">
      <alignment horizontal="right"/>
    </xf>
    <xf numFmtId="164" fontId="1" fillId="5" borderId="0" xfId="2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left"/>
    </xf>
    <xf numFmtId="164" fontId="3" fillId="0" borderId="0" xfId="2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166" fontId="3" fillId="0" borderId="0" xfId="0" applyNumberFormat="1" applyFont="1" applyFill="1"/>
    <xf numFmtId="6" fontId="3" fillId="0" borderId="0" xfId="0" applyNumberFormat="1" applyFont="1" applyFill="1"/>
    <xf numFmtId="8" fontId="3" fillId="0" borderId="0" xfId="0" applyNumberFormat="1" applyFont="1" applyFill="1"/>
    <xf numFmtId="0" fontId="3" fillId="0" borderId="0" xfId="0" applyFont="1" applyFill="1" applyBorder="1" applyAlignment="1">
      <alignment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5">
    <cellStyle name="Comma 2" xfId="2"/>
    <cellStyle name="Currency" xfId="1" builtinId="4"/>
    <cellStyle name="Normal" xfId="0" builtinId="0"/>
    <cellStyle name="Normal 2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0093"/>
  </sheetPr>
  <dimension ref="A1:W483"/>
  <sheetViews>
    <sheetView tabSelected="1" view="pageBreakPreview" zoomScale="70" zoomScaleNormal="100" zoomScaleSheetLayoutView="70" workbookViewId="0">
      <pane xSplit="4" ySplit="7" topLeftCell="K8" activePane="bottomRight" state="frozen"/>
      <selection activeCell="E38" sqref="E38"/>
      <selection pane="topRight" activeCell="E38" sqref="E38"/>
      <selection pane="bottomLeft" activeCell="E38" sqref="E38"/>
      <selection pane="bottomRight" activeCell="A109" sqref="A109"/>
    </sheetView>
  </sheetViews>
  <sheetFormatPr defaultColWidth="9.140625" defaultRowHeight="20.25" x14ac:dyDescent="0.3"/>
  <cols>
    <col min="1" max="1" width="97" style="52" customWidth="1"/>
    <col min="2" max="2" width="13.140625" style="2" customWidth="1"/>
    <col min="3" max="3" width="13.7109375" style="2" customWidth="1"/>
    <col min="4" max="4" width="20.5703125" style="2" customWidth="1"/>
    <col min="5" max="5" width="19.85546875" style="2" customWidth="1"/>
    <col min="6" max="6" width="11.85546875" style="2" customWidth="1"/>
    <col min="7" max="7" width="11.42578125" style="2" customWidth="1"/>
    <col min="8" max="8" width="22.85546875" style="2" customWidth="1"/>
    <col min="9" max="9" width="15" style="2" customWidth="1"/>
    <col min="10" max="10" width="15.7109375" style="2" customWidth="1"/>
    <col min="11" max="11" width="23.85546875" style="2" customWidth="1"/>
    <col min="12" max="12" width="11.28515625" style="2" customWidth="1"/>
    <col min="13" max="13" width="11.42578125" style="2" customWidth="1"/>
    <col min="14" max="14" width="19.28515625" style="2" customWidth="1"/>
    <col min="15" max="15" width="10.7109375" style="2" customWidth="1"/>
    <col min="16" max="16" width="9.5703125" style="2" customWidth="1"/>
    <col min="17" max="17" width="18.140625" style="2" customWidth="1"/>
    <col min="18" max="18" width="12.85546875" style="2" customWidth="1"/>
    <col min="19" max="19" width="12.42578125" style="2" customWidth="1"/>
    <col min="20" max="20" width="19" style="2" customWidth="1"/>
    <col min="21" max="21" width="7.7109375" style="1" customWidth="1"/>
    <col min="22" max="22" width="19.28515625" style="2" bestFit="1" customWidth="1"/>
    <col min="23" max="16384" width="9.140625" style="2"/>
  </cols>
  <sheetData>
    <row r="1" spans="1:22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2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2" ht="21" thickBot="1" x14ac:dyDescent="0.35">
      <c r="A4" s="3"/>
      <c r="D4" s="4"/>
      <c r="J4" s="4"/>
      <c r="S4" s="5"/>
    </row>
    <row r="5" spans="1:22" ht="42" customHeight="1" thickTop="1" x14ac:dyDescent="0.3">
      <c r="A5" s="77" t="s">
        <v>10</v>
      </c>
      <c r="B5" s="63" t="s">
        <v>3</v>
      </c>
      <c r="C5" s="64"/>
      <c r="D5" s="65"/>
      <c r="E5" s="69" t="s">
        <v>4</v>
      </c>
      <c r="F5" s="71" t="s">
        <v>1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</row>
    <row r="6" spans="1:22" ht="33.75" customHeight="1" x14ac:dyDescent="0.3">
      <c r="A6" s="78"/>
      <c r="B6" s="66"/>
      <c r="C6" s="67"/>
      <c r="D6" s="68"/>
      <c r="E6" s="70"/>
      <c r="F6" s="74" t="s">
        <v>5</v>
      </c>
      <c r="G6" s="75"/>
      <c r="H6" s="76"/>
      <c r="I6" s="74" t="s">
        <v>6</v>
      </c>
      <c r="J6" s="75"/>
      <c r="K6" s="76"/>
      <c r="L6" s="74" t="s">
        <v>7</v>
      </c>
      <c r="M6" s="75"/>
      <c r="N6" s="76"/>
      <c r="O6" s="74" t="s">
        <v>8</v>
      </c>
      <c r="P6" s="60"/>
      <c r="Q6" s="61"/>
      <c r="R6" s="59" t="s">
        <v>9</v>
      </c>
      <c r="S6" s="60"/>
      <c r="T6" s="61"/>
    </row>
    <row r="7" spans="1:22" x14ac:dyDescent="0.3">
      <c r="A7" s="79"/>
      <c r="B7" s="7" t="s">
        <v>11</v>
      </c>
      <c r="C7" s="7" t="s">
        <v>12</v>
      </c>
      <c r="D7" s="7" t="s">
        <v>13</v>
      </c>
      <c r="E7" s="7" t="s">
        <v>14</v>
      </c>
      <c r="F7" s="7" t="s">
        <v>11</v>
      </c>
      <c r="G7" s="7" t="s">
        <v>12</v>
      </c>
      <c r="H7" s="7" t="s">
        <v>13</v>
      </c>
      <c r="I7" s="7" t="s">
        <v>11</v>
      </c>
      <c r="J7" s="7" t="s">
        <v>12</v>
      </c>
      <c r="K7" s="7" t="s">
        <v>13</v>
      </c>
      <c r="L7" s="7" t="s">
        <v>11</v>
      </c>
      <c r="M7" s="7" t="s">
        <v>12</v>
      </c>
      <c r="N7" s="8" t="s">
        <v>13</v>
      </c>
      <c r="O7" s="7" t="s">
        <v>11</v>
      </c>
      <c r="P7" s="7" t="s">
        <v>12</v>
      </c>
      <c r="Q7" s="8" t="s">
        <v>13</v>
      </c>
      <c r="R7" s="8" t="s">
        <v>11</v>
      </c>
      <c r="S7" s="8" t="s">
        <v>12</v>
      </c>
      <c r="T7" s="8" t="s">
        <v>13</v>
      </c>
    </row>
    <row r="8" spans="1:22" s="9" customFormat="1" ht="20.100000000000001" customHeight="1" x14ac:dyDescent="0.3">
      <c r="A8" s="18" t="s">
        <v>66</v>
      </c>
      <c r="B8" s="10">
        <v>557</v>
      </c>
      <c r="C8" s="10">
        <f>647-88</f>
        <v>559</v>
      </c>
      <c r="D8" s="10">
        <v>110822</v>
      </c>
      <c r="E8" s="10">
        <v>0</v>
      </c>
      <c r="F8" s="10">
        <v>71</v>
      </c>
      <c r="G8" s="10">
        <f>71-61-7</f>
        <v>3</v>
      </c>
      <c r="H8" s="10">
        <f>16049-1598+619</f>
        <v>15070</v>
      </c>
      <c r="I8" s="11">
        <f>SUM(B8,F8)</f>
        <v>628</v>
      </c>
      <c r="J8" s="11">
        <f>SUM(C8,G8)</f>
        <v>562</v>
      </c>
      <c r="K8" s="10">
        <f>SUM(D8,H8,E8)</f>
        <v>125892</v>
      </c>
      <c r="L8" s="10">
        <f>3</f>
        <v>3</v>
      </c>
      <c r="M8" s="10">
        <f>3</f>
        <v>3</v>
      </c>
      <c r="N8" s="10">
        <f>707+1323-1500</f>
        <v>530</v>
      </c>
      <c r="O8" s="10">
        <v>0</v>
      </c>
      <c r="P8" s="10">
        <f>-61+61</f>
        <v>0</v>
      </c>
      <c r="Q8" s="10">
        <f>-28+14-200</f>
        <v>-214</v>
      </c>
      <c r="R8" s="10">
        <f>SUM(O8,L8,I8)</f>
        <v>631</v>
      </c>
      <c r="S8" s="10">
        <f>SUM(P8,M8,J8)</f>
        <v>565</v>
      </c>
      <c r="T8" s="10">
        <f>SUM(Q8,N8,K8)</f>
        <v>126208</v>
      </c>
      <c r="U8" s="1"/>
      <c r="V8" s="4"/>
    </row>
    <row r="9" spans="1:22" ht="20.100000000000001" customHeight="1" x14ac:dyDescent="0.3">
      <c r="A9" s="18" t="s">
        <v>67</v>
      </c>
      <c r="B9" s="10">
        <v>154</v>
      </c>
      <c r="C9" s="10">
        <f>154-154</f>
        <v>0</v>
      </c>
      <c r="D9" s="12">
        <v>20000</v>
      </c>
      <c r="E9" s="12">
        <v>0</v>
      </c>
      <c r="F9" s="10">
        <v>-57</v>
      </c>
      <c r="G9" s="10">
        <f>-57+57</f>
        <v>0</v>
      </c>
      <c r="H9" s="10">
        <f>-8026</f>
        <v>-8026</v>
      </c>
      <c r="I9" s="11">
        <f t="shared" ref="I9:J12" si="0">SUM(B9,F9)</f>
        <v>97</v>
      </c>
      <c r="J9" s="11">
        <f t="shared" si="0"/>
        <v>0</v>
      </c>
      <c r="K9" s="10">
        <f t="shared" ref="K9:K12" si="1">SUM(D9,H9,E9)</f>
        <v>11974</v>
      </c>
      <c r="L9" s="10">
        <v>0</v>
      </c>
      <c r="M9" s="10">
        <v>0</v>
      </c>
      <c r="N9" s="10">
        <v>0</v>
      </c>
      <c r="O9" s="10">
        <v>-97</v>
      </c>
      <c r="P9" s="10">
        <f>-97+97</f>
        <v>0</v>
      </c>
      <c r="Q9" s="10">
        <v>-11974</v>
      </c>
      <c r="R9" s="10">
        <f t="shared" ref="R9:T12" si="2">SUM(O9,L9,I9)</f>
        <v>0</v>
      </c>
      <c r="S9" s="10">
        <f t="shared" si="2"/>
        <v>0</v>
      </c>
      <c r="T9" s="10">
        <f t="shared" si="2"/>
        <v>0</v>
      </c>
      <c r="V9" s="4"/>
    </row>
    <row r="10" spans="1:22" ht="20.100000000000001" customHeight="1" x14ac:dyDescent="0.3">
      <c r="A10" s="18" t="s">
        <v>68</v>
      </c>
      <c r="B10" s="10">
        <v>72</v>
      </c>
      <c r="C10" s="10">
        <f>72-18</f>
        <v>54</v>
      </c>
      <c r="D10" s="10">
        <v>44307</v>
      </c>
      <c r="E10" s="12">
        <v>0</v>
      </c>
      <c r="F10" s="10">
        <v>-13</v>
      </c>
      <c r="G10" s="10">
        <f>-13+18</f>
        <v>5</v>
      </c>
      <c r="H10" s="10">
        <f>-26162-831+128</f>
        <v>-26865</v>
      </c>
      <c r="I10" s="11">
        <f t="shared" si="0"/>
        <v>59</v>
      </c>
      <c r="J10" s="11">
        <f t="shared" si="0"/>
        <v>59</v>
      </c>
      <c r="K10" s="10">
        <f t="shared" si="1"/>
        <v>17442</v>
      </c>
      <c r="L10" s="10">
        <v>0</v>
      </c>
      <c r="M10" s="10">
        <v>0</v>
      </c>
      <c r="N10" s="11">
        <v>8400</v>
      </c>
      <c r="O10" s="10">
        <v>0</v>
      </c>
      <c r="P10" s="10">
        <v>0</v>
      </c>
      <c r="Q10" s="10">
        <v>0</v>
      </c>
      <c r="R10" s="10">
        <f t="shared" si="2"/>
        <v>59</v>
      </c>
      <c r="S10" s="10">
        <f t="shared" si="2"/>
        <v>59</v>
      </c>
      <c r="T10" s="10">
        <f t="shared" si="2"/>
        <v>25842</v>
      </c>
      <c r="V10" s="4"/>
    </row>
    <row r="11" spans="1:22" ht="20.100000000000001" customHeight="1" x14ac:dyDescent="0.3">
      <c r="A11" s="18" t="s">
        <v>70</v>
      </c>
      <c r="B11" s="10">
        <v>27</v>
      </c>
      <c r="C11" s="10">
        <f>27-8</f>
        <v>19</v>
      </c>
      <c r="D11" s="13">
        <v>1580595</v>
      </c>
      <c r="E11" s="14">
        <v>-1580595</v>
      </c>
      <c r="F11" s="10">
        <v>-27</v>
      </c>
      <c r="G11" s="10">
        <f>-27+8</f>
        <v>-19</v>
      </c>
      <c r="H11" s="10">
        <v>0</v>
      </c>
      <c r="I11" s="11">
        <f t="shared" si="0"/>
        <v>0</v>
      </c>
      <c r="J11" s="11">
        <f t="shared" si="0"/>
        <v>0</v>
      </c>
      <c r="K11" s="10">
        <f t="shared" si="1"/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f t="shared" si="2"/>
        <v>0</v>
      </c>
      <c r="S11" s="10">
        <f t="shared" si="2"/>
        <v>0</v>
      </c>
      <c r="T11" s="10">
        <f t="shared" si="2"/>
        <v>0</v>
      </c>
      <c r="V11" s="4"/>
    </row>
    <row r="12" spans="1:22" ht="20.100000000000001" customHeight="1" x14ac:dyDescent="0.3">
      <c r="A12" s="18" t="s">
        <v>69</v>
      </c>
      <c r="B12" s="10">
        <v>35</v>
      </c>
      <c r="C12" s="10">
        <f>35-30</f>
        <v>5</v>
      </c>
      <c r="D12" s="12">
        <v>87000</v>
      </c>
      <c r="E12" s="12">
        <v>0</v>
      </c>
      <c r="F12" s="10">
        <v>-35</v>
      </c>
      <c r="G12" s="10">
        <f>-35+30</f>
        <v>-5</v>
      </c>
      <c r="H12" s="10">
        <v>-87000</v>
      </c>
      <c r="I12" s="11">
        <f t="shared" si="0"/>
        <v>0</v>
      </c>
      <c r="J12" s="11">
        <f t="shared" si="0"/>
        <v>0</v>
      </c>
      <c r="K12" s="10">
        <f t="shared" si="1"/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f t="shared" si="2"/>
        <v>0</v>
      </c>
      <c r="S12" s="10">
        <f t="shared" si="2"/>
        <v>0</v>
      </c>
      <c r="T12" s="10">
        <f t="shared" si="2"/>
        <v>0</v>
      </c>
      <c r="U12" s="15"/>
      <c r="V12" s="4"/>
    </row>
    <row r="13" spans="1:22" ht="20.100000000000001" customHeight="1" x14ac:dyDescent="0.3">
      <c r="A13" s="16" t="s">
        <v>71</v>
      </c>
      <c r="B13" s="17">
        <f>SUM(B14:B16)</f>
        <v>1597</v>
      </c>
      <c r="C13" s="17">
        <f t="shared" ref="C13:T13" si="3">SUM(C14:C16)</f>
        <v>1373</v>
      </c>
      <c r="D13" s="17">
        <f t="shared" si="3"/>
        <v>305000</v>
      </c>
      <c r="E13" s="17">
        <f t="shared" si="3"/>
        <v>-4000</v>
      </c>
      <c r="F13" s="17">
        <f t="shared" si="3"/>
        <v>0</v>
      </c>
      <c r="G13" s="17">
        <f t="shared" si="3"/>
        <v>0</v>
      </c>
      <c r="H13" s="17">
        <f t="shared" si="3"/>
        <v>6347</v>
      </c>
      <c r="I13" s="17">
        <f t="shared" si="3"/>
        <v>1597</v>
      </c>
      <c r="J13" s="17">
        <f t="shared" si="3"/>
        <v>1373</v>
      </c>
      <c r="K13" s="17">
        <f t="shared" si="3"/>
        <v>307347</v>
      </c>
      <c r="L13" s="17">
        <f t="shared" si="3"/>
        <v>218</v>
      </c>
      <c r="M13" s="17">
        <f t="shared" si="3"/>
        <v>109</v>
      </c>
      <c r="N13" s="17">
        <f t="shared" si="3"/>
        <v>25800</v>
      </c>
      <c r="O13" s="17">
        <f t="shared" si="3"/>
        <v>0</v>
      </c>
      <c r="P13" s="17">
        <f t="shared" si="3"/>
        <v>0</v>
      </c>
      <c r="Q13" s="17">
        <f t="shared" si="3"/>
        <v>0</v>
      </c>
      <c r="R13" s="17">
        <f t="shared" si="3"/>
        <v>1815</v>
      </c>
      <c r="S13" s="17">
        <f t="shared" si="3"/>
        <v>1482</v>
      </c>
      <c r="T13" s="17">
        <f t="shared" si="3"/>
        <v>333147</v>
      </c>
      <c r="V13" s="4"/>
    </row>
    <row r="14" spans="1:22" ht="20.100000000000001" customHeight="1" x14ac:dyDescent="0.3">
      <c r="A14" s="18" t="s">
        <v>72</v>
      </c>
      <c r="B14" s="10">
        <v>1582</v>
      </c>
      <c r="C14" s="10">
        <f>1620-261</f>
        <v>1359</v>
      </c>
      <c r="D14" s="10">
        <v>298275</v>
      </c>
      <c r="E14" s="13">
        <v>0</v>
      </c>
      <c r="F14" s="10">
        <v>0</v>
      </c>
      <c r="G14" s="10">
        <v>0</v>
      </c>
      <c r="H14" s="10">
        <f>1016-219+1497</f>
        <v>2294</v>
      </c>
      <c r="I14" s="11">
        <f t="shared" ref="I14:J17" si="4">+B14+F14</f>
        <v>1582</v>
      </c>
      <c r="J14" s="11">
        <f t="shared" si="4"/>
        <v>1359</v>
      </c>
      <c r="K14" s="10">
        <f t="shared" ref="K14:K20" si="5">SUM(D14,H14,E14)</f>
        <v>300569</v>
      </c>
      <c r="L14" s="10">
        <f>106+105</f>
        <v>211</v>
      </c>
      <c r="M14" s="10">
        <f>53+52</f>
        <v>105</v>
      </c>
      <c r="N14" s="10">
        <f>16500+8500</f>
        <v>25000</v>
      </c>
      <c r="O14" s="10">
        <v>0</v>
      </c>
      <c r="P14" s="10">
        <v>0</v>
      </c>
      <c r="Q14" s="10">
        <v>0</v>
      </c>
      <c r="R14" s="10">
        <f t="shared" ref="R14:T20" si="6">SUM(O14,L14,I14)</f>
        <v>1793</v>
      </c>
      <c r="S14" s="10">
        <f t="shared" si="6"/>
        <v>1464</v>
      </c>
      <c r="T14" s="10">
        <f t="shared" si="6"/>
        <v>325569</v>
      </c>
      <c r="V14" s="4"/>
    </row>
    <row r="15" spans="1:22" ht="20.100000000000001" customHeight="1" x14ac:dyDescent="0.3">
      <c r="A15" s="18" t="s">
        <v>73</v>
      </c>
      <c r="B15" s="10">
        <v>0</v>
      </c>
      <c r="C15" s="10">
        <v>0</v>
      </c>
      <c r="D15" s="10">
        <v>4000</v>
      </c>
      <c r="E15" s="13">
        <v>-4000</v>
      </c>
      <c r="F15" s="10">
        <v>0</v>
      </c>
      <c r="G15" s="10">
        <v>0</v>
      </c>
      <c r="H15" s="10">
        <v>4000</v>
      </c>
      <c r="I15" s="11">
        <f t="shared" si="4"/>
        <v>0</v>
      </c>
      <c r="J15" s="11">
        <f t="shared" si="4"/>
        <v>0</v>
      </c>
      <c r="K15" s="10">
        <f t="shared" si="5"/>
        <v>4000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6"/>
        <v>0</v>
      </c>
      <c r="S15" s="10">
        <f t="shared" si="6"/>
        <v>0</v>
      </c>
      <c r="T15" s="10">
        <f t="shared" si="6"/>
        <v>4000</v>
      </c>
      <c r="V15" s="4"/>
    </row>
    <row r="16" spans="1:22" ht="20.100000000000001" customHeight="1" x14ac:dyDescent="0.3">
      <c r="A16" s="18" t="s">
        <v>74</v>
      </c>
      <c r="B16" s="10">
        <v>15</v>
      </c>
      <c r="C16" s="10">
        <f>15-1</f>
        <v>14</v>
      </c>
      <c r="D16" s="10">
        <v>2725</v>
      </c>
      <c r="E16" s="13">
        <v>0</v>
      </c>
      <c r="F16" s="19">
        <v>0</v>
      </c>
      <c r="G16" s="10">
        <v>0</v>
      </c>
      <c r="H16" s="10">
        <f>32+3+18</f>
        <v>53</v>
      </c>
      <c r="I16" s="11">
        <f t="shared" si="4"/>
        <v>15</v>
      </c>
      <c r="J16" s="11">
        <f t="shared" si="4"/>
        <v>14</v>
      </c>
      <c r="K16" s="10">
        <f t="shared" si="5"/>
        <v>2778</v>
      </c>
      <c r="L16" s="10">
        <f>4+3</f>
        <v>7</v>
      </c>
      <c r="M16" s="10">
        <f>2+2</f>
        <v>4</v>
      </c>
      <c r="N16" s="10">
        <v>800</v>
      </c>
      <c r="O16" s="10">
        <v>0</v>
      </c>
      <c r="P16" s="10">
        <v>0</v>
      </c>
      <c r="Q16" s="10">
        <v>0</v>
      </c>
      <c r="R16" s="10">
        <f t="shared" si="6"/>
        <v>22</v>
      </c>
      <c r="S16" s="10">
        <f t="shared" si="6"/>
        <v>18</v>
      </c>
      <c r="T16" s="10">
        <f t="shared" si="6"/>
        <v>3578</v>
      </c>
      <c r="V16" s="4"/>
    </row>
    <row r="17" spans="1:22" ht="20.100000000000001" customHeight="1" x14ac:dyDescent="0.3">
      <c r="A17" s="18" t="s">
        <v>75</v>
      </c>
      <c r="B17" s="10">
        <v>474</v>
      </c>
      <c r="C17" s="10">
        <f>497-43</f>
        <v>454</v>
      </c>
      <c r="D17" s="10">
        <v>84199</v>
      </c>
      <c r="E17" s="11">
        <v>0</v>
      </c>
      <c r="F17" s="10">
        <v>0</v>
      </c>
      <c r="G17" s="10">
        <v>0</v>
      </c>
      <c r="H17" s="10">
        <f>706+494-494+510</f>
        <v>1216</v>
      </c>
      <c r="I17" s="11">
        <f t="shared" si="4"/>
        <v>474</v>
      </c>
      <c r="J17" s="11">
        <f t="shared" si="4"/>
        <v>454</v>
      </c>
      <c r="K17" s="10">
        <f t="shared" si="5"/>
        <v>85415</v>
      </c>
      <c r="L17" s="10">
        <v>0</v>
      </c>
      <c r="M17" s="10">
        <v>0</v>
      </c>
      <c r="N17" s="10">
        <v>468</v>
      </c>
      <c r="O17" s="10">
        <v>0</v>
      </c>
      <c r="P17" s="10">
        <v>-2</v>
      </c>
      <c r="Q17" s="10">
        <f>-176+100+38</f>
        <v>-38</v>
      </c>
      <c r="R17" s="10">
        <f>SUM(O17,L17,I17)</f>
        <v>474</v>
      </c>
      <c r="S17" s="10">
        <f t="shared" si="6"/>
        <v>452</v>
      </c>
      <c r="T17" s="10">
        <f t="shared" si="6"/>
        <v>85845</v>
      </c>
      <c r="V17" s="4"/>
    </row>
    <row r="18" spans="1:22" ht="20.100000000000001" customHeight="1" x14ac:dyDescent="0.3">
      <c r="A18" s="18" t="s">
        <v>76</v>
      </c>
      <c r="B18" s="11" t="s">
        <v>15</v>
      </c>
      <c r="C18" s="10">
        <f>702-145</f>
        <v>557</v>
      </c>
      <c r="D18" s="10">
        <v>-40000</v>
      </c>
      <c r="E18" s="13">
        <v>40000</v>
      </c>
      <c r="F18" s="19" t="s">
        <v>16</v>
      </c>
      <c r="G18" s="19">
        <f>13-13</f>
        <v>0</v>
      </c>
      <c r="H18" s="12">
        <v>0</v>
      </c>
      <c r="I18" s="11" t="s">
        <v>17</v>
      </c>
      <c r="J18" s="11">
        <f>+C18+G18</f>
        <v>557</v>
      </c>
      <c r="K18" s="10">
        <f t="shared" si="5"/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f>-20000-10000</f>
        <v>-30000</v>
      </c>
      <c r="R18" s="11" t="s">
        <v>17</v>
      </c>
      <c r="S18" s="10">
        <f>+P18+M18+J18</f>
        <v>557</v>
      </c>
      <c r="T18" s="10">
        <f t="shared" si="6"/>
        <v>-30000</v>
      </c>
      <c r="V18" s="4"/>
    </row>
    <row r="19" spans="1:22" ht="20.100000000000001" customHeight="1" x14ac:dyDescent="0.3">
      <c r="A19" s="18" t="s">
        <v>77</v>
      </c>
      <c r="B19" s="10">
        <v>85</v>
      </c>
      <c r="C19" s="10">
        <f>87-13</f>
        <v>74</v>
      </c>
      <c r="D19" s="10">
        <v>12833</v>
      </c>
      <c r="E19" s="11">
        <v>0</v>
      </c>
      <c r="F19" s="10">
        <v>0</v>
      </c>
      <c r="G19" s="10">
        <v>0</v>
      </c>
      <c r="H19" s="10">
        <f>710-607+85</f>
        <v>188</v>
      </c>
      <c r="I19" s="11">
        <f>+B19+F19</f>
        <v>85</v>
      </c>
      <c r="J19" s="11">
        <f>+C19+G19</f>
        <v>74</v>
      </c>
      <c r="K19" s="10">
        <f t="shared" si="5"/>
        <v>13021</v>
      </c>
      <c r="L19" s="10">
        <v>0</v>
      </c>
      <c r="M19" s="10">
        <v>0</v>
      </c>
      <c r="N19" s="10">
        <f>-6+6</f>
        <v>0</v>
      </c>
      <c r="O19" s="10">
        <v>0</v>
      </c>
      <c r="P19" s="10">
        <v>0</v>
      </c>
      <c r="Q19" s="10">
        <v>0</v>
      </c>
      <c r="R19" s="10">
        <f t="shared" ref="R19:S20" si="7">SUM(O19,L19,I19)</f>
        <v>85</v>
      </c>
      <c r="S19" s="10">
        <f t="shared" si="7"/>
        <v>74</v>
      </c>
      <c r="T19" s="10">
        <f t="shared" si="6"/>
        <v>13021</v>
      </c>
      <c r="V19" s="4"/>
    </row>
    <row r="20" spans="1:22" ht="20.100000000000001" customHeight="1" x14ac:dyDescent="0.3">
      <c r="A20" s="18" t="s">
        <v>78</v>
      </c>
      <c r="B20" s="10">
        <v>359</v>
      </c>
      <c r="C20" s="10">
        <f>353-49</f>
        <v>304</v>
      </c>
      <c r="D20" s="10">
        <v>87000</v>
      </c>
      <c r="E20" s="13">
        <v>0</v>
      </c>
      <c r="F20" s="10">
        <v>0</v>
      </c>
      <c r="G20" s="10">
        <v>6</v>
      </c>
      <c r="H20" s="10">
        <f>5017-310+425</f>
        <v>5132</v>
      </c>
      <c r="I20" s="11">
        <f>+B20+F20</f>
        <v>359</v>
      </c>
      <c r="J20" s="11">
        <f>+C20+G20</f>
        <v>310</v>
      </c>
      <c r="K20" s="10">
        <f t="shared" si="5"/>
        <v>92132</v>
      </c>
      <c r="L20" s="10">
        <v>30</v>
      </c>
      <c r="M20" s="10">
        <v>15</v>
      </c>
      <c r="N20" s="10">
        <v>4108</v>
      </c>
      <c r="O20" s="10">
        <v>0</v>
      </c>
      <c r="P20" s="10">
        <v>0</v>
      </c>
      <c r="Q20" s="10">
        <v>0</v>
      </c>
      <c r="R20" s="10">
        <f t="shared" si="7"/>
        <v>389</v>
      </c>
      <c r="S20" s="10">
        <f t="shared" si="7"/>
        <v>325</v>
      </c>
      <c r="T20" s="10">
        <f t="shared" si="6"/>
        <v>96240</v>
      </c>
      <c r="V20" s="4"/>
    </row>
    <row r="21" spans="1:22" ht="20.100000000000001" customHeight="1" x14ac:dyDescent="0.3">
      <c r="A21" s="16" t="s">
        <v>79</v>
      </c>
      <c r="B21" s="17">
        <f t="shared" ref="B21:T21" si="8">SUM(B22:B30)</f>
        <v>4227</v>
      </c>
      <c r="C21" s="17">
        <f t="shared" si="8"/>
        <v>4268</v>
      </c>
      <c r="D21" s="17">
        <f t="shared" si="8"/>
        <v>863367</v>
      </c>
      <c r="E21" s="17">
        <f t="shared" si="8"/>
        <v>0</v>
      </c>
      <c r="F21" s="17">
        <f t="shared" si="8"/>
        <v>-7</v>
      </c>
      <c r="G21" s="17">
        <f t="shared" si="8"/>
        <v>-4</v>
      </c>
      <c r="H21" s="17">
        <f t="shared" si="8"/>
        <v>11521</v>
      </c>
      <c r="I21" s="17">
        <f t="shared" si="8"/>
        <v>4220</v>
      </c>
      <c r="J21" s="17">
        <f t="shared" si="8"/>
        <v>4264</v>
      </c>
      <c r="K21" s="17">
        <f t="shared" si="8"/>
        <v>874888</v>
      </c>
      <c r="L21" s="17">
        <f t="shared" si="8"/>
        <v>200</v>
      </c>
      <c r="M21" s="17">
        <f t="shared" si="8"/>
        <v>103</v>
      </c>
      <c r="N21" s="17">
        <f t="shared" si="8"/>
        <v>28180</v>
      </c>
      <c r="O21" s="17">
        <f t="shared" si="8"/>
        <v>0</v>
      </c>
      <c r="P21" s="17">
        <f t="shared" si="8"/>
        <v>0</v>
      </c>
      <c r="Q21" s="17">
        <f t="shared" si="8"/>
        <v>-463</v>
      </c>
      <c r="R21" s="17">
        <f t="shared" si="8"/>
        <v>4420</v>
      </c>
      <c r="S21" s="17">
        <f t="shared" si="8"/>
        <v>4367</v>
      </c>
      <c r="T21" s="17">
        <f t="shared" si="8"/>
        <v>902605</v>
      </c>
      <c r="V21" s="4"/>
    </row>
    <row r="22" spans="1:22" ht="20.100000000000001" customHeight="1" x14ac:dyDescent="0.3">
      <c r="A22" s="18" t="s">
        <v>80</v>
      </c>
      <c r="B22" s="10">
        <v>48</v>
      </c>
      <c r="C22" s="10">
        <v>49</v>
      </c>
      <c r="D22" s="10">
        <v>10724</v>
      </c>
      <c r="E22" s="10">
        <v>0</v>
      </c>
      <c r="F22" s="10">
        <v>6</v>
      </c>
      <c r="G22" s="10">
        <v>6</v>
      </c>
      <c r="H22" s="10">
        <f>650-26+200+62+56</f>
        <v>942</v>
      </c>
      <c r="I22" s="11">
        <f t="shared" ref="I22:J32" si="9">+B22+F22</f>
        <v>54</v>
      </c>
      <c r="J22" s="11">
        <f t="shared" si="9"/>
        <v>55</v>
      </c>
      <c r="K22" s="10">
        <f t="shared" ref="K22:K30" si="10">SUM(D22,H22,E22)</f>
        <v>11666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f>-231-56+56</f>
        <v>-231</v>
      </c>
      <c r="R22" s="20">
        <f t="shared" ref="R22:T35" si="11">SUM(O22,L22,I22)</f>
        <v>54</v>
      </c>
      <c r="S22" s="20">
        <f t="shared" si="11"/>
        <v>55</v>
      </c>
      <c r="T22" s="10">
        <f t="shared" si="11"/>
        <v>11435</v>
      </c>
      <c r="V22" s="4"/>
    </row>
    <row r="23" spans="1:22" ht="20.100000000000001" customHeight="1" x14ac:dyDescent="0.3">
      <c r="A23" s="18" t="s">
        <v>81</v>
      </c>
      <c r="B23" s="10">
        <v>639</v>
      </c>
      <c r="C23" s="10">
        <f>582-63</f>
        <v>519</v>
      </c>
      <c r="D23" s="10">
        <v>104877</v>
      </c>
      <c r="E23" s="10">
        <v>0</v>
      </c>
      <c r="F23" s="19">
        <f>-16+16</f>
        <v>0</v>
      </c>
      <c r="G23" s="19">
        <f>-10+10</f>
        <v>0</v>
      </c>
      <c r="H23" s="12">
        <f>1324-391+669</f>
        <v>1602</v>
      </c>
      <c r="I23" s="11">
        <f t="shared" si="9"/>
        <v>639</v>
      </c>
      <c r="J23" s="11">
        <f t="shared" si="9"/>
        <v>519</v>
      </c>
      <c r="K23" s="10">
        <f t="shared" si="10"/>
        <v>106479</v>
      </c>
      <c r="L23" s="19">
        <v>0</v>
      </c>
      <c r="M23" s="19">
        <v>0</v>
      </c>
      <c r="N23" s="12">
        <v>0</v>
      </c>
      <c r="O23" s="19">
        <v>0</v>
      </c>
      <c r="P23" s="19">
        <v>0</v>
      </c>
      <c r="Q23" s="12">
        <v>0</v>
      </c>
      <c r="R23" s="10">
        <f t="shared" si="11"/>
        <v>639</v>
      </c>
      <c r="S23" s="10">
        <f t="shared" si="11"/>
        <v>519</v>
      </c>
      <c r="T23" s="10">
        <f t="shared" si="11"/>
        <v>106479</v>
      </c>
      <c r="V23" s="4"/>
    </row>
    <row r="24" spans="1:22" ht="20.100000000000001" customHeight="1" x14ac:dyDescent="0.3">
      <c r="A24" s="18" t="s">
        <v>82</v>
      </c>
      <c r="B24" s="10">
        <v>751</v>
      </c>
      <c r="C24" s="10">
        <f>1091-139</f>
        <v>952</v>
      </c>
      <c r="D24" s="10">
        <v>174000</v>
      </c>
      <c r="E24" s="10">
        <v>0</v>
      </c>
      <c r="F24" s="10">
        <v>-1</v>
      </c>
      <c r="G24" s="10">
        <v>-1</v>
      </c>
      <c r="H24" s="10">
        <f>-3543+948-948+962</f>
        <v>-2581</v>
      </c>
      <c r="I24" s="11">
        <f t="shared" si="9"/>
        <v>750</v>
      </c>
      <c r="J24" s="11">
        <f t="shared" si="9"/>
        <v>951</v>
      </c>
      <c r="K24" s="10">
        <f t="shared" si="10"/>
        <v>171419</v>
      </c>
      <c r="L24" s="10">
        <f>25+28+14-3</f>
        <v>64</v>
      </c>
      <c r="M24" s="10">
        <f>14+14+7-1</f>
        <v>34</v>
      </c>
      <c r="N24" s="10">
        <f>6450+1130+3500</f>
        <v>11080</v>
      </c>
      <c r="O24" s="10">
        <v>0</v>
      </c>
      <c r="P24" s="10">
        <v>0</v>
      </c>
      <c r="Q24" s="10">
        <v>0</v>
      </c>
      <c r="R24" s="10">
        <f t="shared" si="11"/>
        <v>814</v>
      </c>
      <c r="S24" s="10">
        <f t="shared" si="11"/>
        <v>985</v>
      </c>
      <c r="T24" s="10">
        <f t="shared" si="11"/>
        <v>182499</v>
      </c>
      <c r="V24" s="4"/>
    </row>
    <row r="25" spans="1:22" ht="19.5" customHeight="1" x14ac:dyDescent="0.3">
      <c r="A25" s="18" t="s">
        <v>83</v>
      </c>
      <c r="B25" s="10">
        <v>1420</v>
      </c>
      <c r="C25" s="10">
        <f>1512-155</f>
        <v>1357</v>
      </c>
      <c r="D25" s="10">
        <v>283103</v>
      </c>
      <c r="E25" s="10">
        <v>0</v>
      </c>
      <c r="F25" s="10">
        <f>5-5</f>
        <v>0</v>
      </c>
      <c r="G25" s="10">
        <f>5-5</f>
        <v>0</v>
      </c>
      <c r="H25" s="10">
        <f>4192-240+1658</f>
        <v>5610</v>
      </c>
      <c r="I25" s="11">
        <f t="shared" si="9"/>
        <v>1420</v>
      </c>
      <c r="J25" s="11">
        <f t="shared" si="9"/>
        <v>1357</v>
      </c>
      <c r="K25" s="10">
        <f t="shared" si="10"/>
        <v>288713</v>
      </c>
      <c r="L25" s="10">
        <v>51</v>
      </c>
      <c r="M25" s="10">
        <v>26</v>
      </c>
      <c r="N25" s="10">
        <f>4100+4500</f>
        <v>8600</v>
      </c>
      <c r="O25" s="10">
        <v>0</v>
      </c>
      <c r="P25" s="10">
        <v>0</v>
      </c>
      <c r="Q25" s="10">
        <v>0</v>
      </c>
      <c r="R25" s="10">
        <f t="shared" si="11"/>
        <v>1471</v>
      </c>
      <c r="S25" s="10">
        <f t="shared" si="11"/>
        <v>1383</v>
      </c>
      <c r="T25" s="10">
        <f t="shared" si="11"/>
        <v>297313</v>
      </c>
      <c r="V25" s="4"/>
    </row>
    <row r="26" spans="1:22" ht="20.100000000000001" customHeight="1" x14ac:dyDescent="0.3">
      <c r="A26" s="18" t="s">
        <v>84</v>
      </c>
      <c r="B26" s="10">
        <v>537</v>
      </c>
      <c r="C26" s="10">
        <f>697-62</f>
        <v>635</v>
      </c>
      <c r="D26" s="10">
        <v>108009</v>
      </c>
      <c r="E26" s="10">
        <v>0</v>
      </c>
      <c r="F26" s="10">
        <v>0</v>
      </c>
      <c r="G26" s="10">
        <v>0</v>
      </c>
      <c r="H26" s="10">
        <f>4435-488+676</f>
        <v>4623</v>
      </c>
      <c r="I26" s="11">
        <f t="shared" si="9"/>
        <v>537</v>
      </c>
      <c r="J26" s="11">
        <f t="shared" si="9"/>
        <v>635</v>
      </c>
      <c r="K26" s="10">
        <f t="shared" si="10"/>
        <v>112632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f>-84+84</f>
        <v>0</v>
      </c>
      <c r="R26" s="10">
        <f t="shared" si="11"/>
        <v>537</v>
      </c>
      <c r="S26" s="10">
        <f t="shared" si="11"/>
        <v>635</v>
      </c>
      <c r="T26" s="10">
        <f t="shared" si="11"/>
        <v>112632</v>
      </c>
      <c r="V26" s="4"/>
    </row>
    <row r="27" spans="1:22" ht="20.100000000000001" customHeight="1" x14ac:dyDescent="0.3">
      <c r="A27" s="18" t="s">
        <v>85</v>
      </c>
      <c r="B27" s="10">
        <v>37</v>
      </c>
      <c r="C27" s="10">
        <f>37-9</f>
        <v>28</v>
      </c>
      <c r="D27" s="10">
        <v>7605</v>
      </c>
      <c r="E27" s="14">
        <v>0</v>
      </c>
      <c r="F27" s="10">
        <f>-8</f>
        <v>-8</v>
      </c>
      <c r="G27" s="10">
        <f>-8</f>
        <v>-8</v>
      </c>
      <c r="H27" s="10">
        <f>-374+200-21+48-56</f>
        <v>-203</v>
      </c>
      <c r="I27" s="11">
        <f>+B27+F27</f>
        <v>29</v>
      </c>
      <c r="J27" s="11">
        <f>+C27+G27</f>
        <v>20</v>
      </c>
      <c r="K27" s="10">
        <f t="shared" si="10"/>
        <v>7402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-232</v>
      </c>
      <c r="R27" s="10">
        <f t="shared" si="11"/>
        <v>29</v>
      </c>
      <c r="S27" s="10">
        <f t="shared" si="11"/>
        <v>20</v>
      </c>
      <c r="T27" s="10">
        <f t="shared" si="11"/>
        <v>7170</v>
      </c>
      <c r="V27" s="4"/>
    </row>
    <row r="28" spans="1:22" ht="20.100000000000001" customHeight="1" x14ac:dyDescent="0.3">
      <c r="A28" s="18" t="s">
        <v>86</v>
      </c>
      <c r="B28" s="10">
        <v>715</v>
      </c>
      <c r="C28" s="10">
        <f>746-87</f>
        <v>659</v>
      </c>
      <c r="D28" s="10">
        <v>144500</v>
      </c>
      <c r="E28" s="10">
        <v>0</v>
      </c>
      <c r="F28" s="10">
        <v>-1</v>
      </c>
      <c r="G28" s="10">
        <v>-1</v>
      </c>
      <c r="H28" s="10">
        <f>2419-973+787</f>
        <v>2233</v>
      </c>
      <c r="I28" s="11">
        <f t="shared" si="9"/>
        <v>714</v>
      </c>
      <c r="J28" s="11">
        <f t="shared" si="9"/>
        <v>658</v>
      </c>
      <c r="K28" s="10">
        <f t="shared" si="10"/>
        <v>146733</v>
      </c>
      <c r="L28" s="10">
        <v>85</v>
      </c>
      <c r="M28" s="10">
        <v>43</v>
      </c>
      <c r="N28" s="10">
        <f>8000+500</f>
        <v>8500</v>
      </c>
      <c r="O28" s="10">
        <v>0</v>
      </c>
      <c r="P28" s="10">
        <v>0</v>
      </c>
      <c r="Q28" s="10">
        <v>0</v>
      </c>
      <c r="R28" s="10">
        <f t="shared" si="11"/>
        <v>799</v>
      </c>
      <c r="S28" s="10">
        <f t="shared" si="11"/>
        <v>701</v>
      </c>
      <c r="T28" s="10">
        <f t="shared" si="11"/>
        <v>155233</v>
      </c>
      <c r="V28" s="4"/>
    </row>
    <row r="29" spans="1:22" ht="20.100000000000001" customHeight="1" x14ac:dyDescent="0.3">
      <c r="A29" s="18" t="s">
        <v>87</v>
      </c>
      <c r="B29" s="10">
        <v>77</v>
      </c>
      <c r="C29" s="10">
        <f>79-10</f>
        <v>69</v>
      </c>
      <c r="D29" s="10">
        <v>29754</v>
      </c>
      <c r="E29" s="14">
        <v>0</v>
      </c>
      <c r="F29" s="10">
        <v>0</v>
      </c>
      <c r="G29" s="10">
        <v>0</v>
      </c>
      <c r="H29" s="10">
        <f>1610-1593+73</f>
        <v>90</v>
      </c>
      <c r="I29" s="11">
        <f t="shared" si="9"/>
        <v>77</v>
      </c>
      <c r="J29" s="11">
        <f t="shared" si="9"/>
        <v>69</v>
      </c>
      <c r="K29" s="10">
        <f t="shared" si="10"/>
        <v>29844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 t="shared" si="11"/>
        <v>77</v>
      </c>
      <c r="S29" s="10">
        <f t="shared" si="11"/>
        <v>69</v>
      </c>
      <c r="T29" s="10">
        <f t="shared" si="11"/>
        <v>29844</v>
      </c>
      <c r="V29" s="4"/>
    </row>
    <row r="30" spans="1:22" ht="20.100000000000001" customHeight="1" x14ac:dyDescent="0.3">
      <c r="A30" s="18" t="s">
        <v>88</v>
      </c>
      <c r="B30" s="10">
        <v>3</v>
      </c>
      <c r="C30" s="10">
        <f>3-3</f>
        <v>0</v>
      </c>
      <c r="D30" s="10">
        <v>795</v>
      </c>
      <c r="E30" s="10">
        <v>0</v>
      </c>
      <c r="F30" s="10">
        <v>-3</v>
      </c>
      <c r="G30" s="10">
        <f>-3+3</f>
        <v>0</v>
      </c>
      <c r="H30" s="10">
        <v>-795</v>
      </c>
      <c r="I30" s="11">
        <f t="shared" si="9"/>
        <v>0</v>
      </c>
      <c r="J30" s="11">
        <f t="shared" si="9"/>
        <v>0</v>
      </c>
      <c r="K30" s="10">
        <f t="shared" si="10"/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f t="shared" si="11"/>
        <v>0</v>
      </c>
      <c r="S30" s="10">
        <f t="shared" si="11"/>
        <v>0</v>
      </c>
      <c r="T30" s="10">
        <f t="shared" si="11"/>
        <v>0</v>
      </c>
      <c r="V30" s="4"/>
    </row>
    <row r="31" spans="1:22" ht="20.100000000000001" customHeight="1" x14ac:dyDescent="0.3">
      <c r="A31" s="18" t="s">
        <v>89</v>
      </c>
      <c r="B31" s="10">
        <v>0</v>
      </c>
      <c r="C31" s="11" t="s">
        <v>18</v>
      </c>
      <c r="D31" s="11" t="s">
        <v>19</v>
      </c>
      <c r="E31" s="13">
        <v>0</v>
      </c>
      <c r="F31" s="10">
        <v>0</v>
      </c>
      <c r="G31" s="10">
        <v>0</v>
      </c>
      <c r="H31" s="11">
        <v>0</v>
      </c>
      <c r="I31" s="11">
        <f>+B31+F31</f>
        <v>0</v>
      </c>
      <c r="J31" s="11" t="str">
        <f>+C31</f>
        <v>[41]</v>
      </c>
      <c r="K31" s="11" t="s">
        <v>19</v>
      </c>
      <c r="L31" s="10">
        <v>0</v>
      </c>
      <c r="M31" s="10">
        <v>0</v>
      </c>
      <c r="N31" s="11">
        <v>0</v>
      </c>
      <c r="O31" s="10">
        <v>0</v>
      </c>
      <c r="P31" s="10">
        <v>0</v>
      </c>
      <c r="Q31" s="11">
        <v>0</v>
      </c>
      <c r="R31" s="10">
        <f>+O31+L31+I31</f>
        <v>0</v>
      </c>
      <c r="S31" s="11" t="s">
        <v>18</v>
      </c>
      <c r="T31" s="11" t="s">
        <v>19</v>
      </c>
      <c r="V31" s="4"/>
    </row>
    <row r="32" spans="1:22" ht="20.100000000000001" customHeight="1" x14ac:dyDescent="0.3">
      <c r="A32" s="18" t="s">
        <v>90</v>
      </c>
      <c r="B32" s="13" t="s">
        <v>20</v>
      </c>
      <c r="C32" s="14">
        <f>851-175</f>
        <v>676</v>
      </c>
      <c r="D32" s="14">
        <v>159587</v>
      </c>
      <c r="E32" s="13">
        <v>0</v>
      </c>
      <c r="F32" s="13">
        <v>0</v>
      </c>
      <c r="G32" s="14">
        <v>0</v>
      </c>
      <c r="H32" s="14">
        <f>297-199+725</f>
        <v>823</v>
      </c>
      <c r="I32" s="13" t="s">
        <v>20</v>
      </c>
      <c r="J32" s="11">
        <f t="shared" si="9"/>
        <v>676</v>
      </c>
      <c r="K32" s="14">
        <f t="shared" ref="K32:K35" si="12">SUM(D32,H32,E32)</f>
        <v>160410</v>
      </c>
      <c r="L32" s="13">
        <v>0</v>
      </c>
      <c r="M32" s="14">
        <v>0</v>
      </c>
      <c r="N32" s="14">
        <v>0</v>
      </c>
      <c r="O32" s="13" t="s">
        <v>21</v>
      </c>
      <c r="P32" s="14">
        <f>-50+50</f>
        <v>0</v>
      </c>
      <c r="Q32" s="14">
        <v>0</v>
      </c>
      <c r="R32" s="13" t="s">
        <v>22</v>
      </c>
      <c r="S32" s="10">
        <f t="shared" ref="R32:S34" si="13">SUM(P32,M32,J32)</f>
        <v>676</v>
      </c>
      <c r="T32" s="14">
        <f t="shared" si="11"/>
        <v>160410</v>
      </c>
      <c r="V32" s="4"/>
    </row>
    <row r="33" spans="1:22" ht="20.100000000000001" customHeight="1" x14ac:dyDescent="0.3">
      <c r="A33" s="18" t="s">
        <v>91</v>
      </c>
      <c r="B33" s="10">
        <v>10629</v>
      </c>
      <c r="C33" s="10">
        <f>12379-1023</f>
        <v>11356</v>
      </c>
      <c r="D33" s="13">
        <v>1960000</v>
      </c>
      <c r="E33" s="14">
        <f>10607-10607</f>
        <v>0</v>
      </c>
      <c r="F33" s="10">
        <v>-5</v>
      </c>
      <c r="G33" s="10">
        <v>32</v>
      </c>
      <c r="H33" s="10">
        <f>38451-8360-1867+10493</f>
        <v>38717</v>
      </c>
      <c r="I33" s="11">
        <f>+B33+F33</f>
        <v>10624</v>
      </c>
      <c r="J33" s="11">
        <f>+C33+G33</f>
        <v>11388</v>
      </c>
      <c r="K33" s="10">
        <f t="shared" si="12"/>
        <v>1998717</v>
      </c>
      <c r="L33" s="10">
        <v>190</v>
      </c>
      <c r="M33" s="10">
        <v>95</v>
      </c>
      <c r="N33" s="10">
        <f>10000+16500</f>
        <v>26500</v>
      </c>
      <c r="O33" s="10">
        <v>0</v>
      </c>
      <c r="P33" s="10">
        <v>0</v>
      </c>
      <c r="Q33" s="10">
        <f>-36655+19155-11456+4279+7177</f>
        <v>-17500</v>
      </c>
      <c r="R33" s="10">
        <f t="shared" si="13"/>
        <v>10814</v>
      </c>
      <c r="S33" s="10">
        <f t="shared" si="13"/>
        <v>11483</v>
      </c>
      <c r="T33" s="10">
        <f t="shared" si="11"/>
        <v>2007717</v>
      </c>
      <c r="V33" s="4"/>
    </row>
    <row r="34" spans="1:22" ht="20.100000000000001" customHeight="1" x14ac:dyDescent="0.3">
      <c r="A34" s="18" t="s">
        <v>92</v>
      </c>
      <c r="B34" s="13" t="s">
        <v>23</v>
      </c>
      <c r="C34" s="14">
        <f>1314-112</f>
        <v>1202</v>
      </c>
      <c r="D34" s="14">
        <v>223258</v>
      </c>
      <c r="E34" s="13">
        <v>0</v>
      </c>
      <c r="F34" s="14">
        <v>0</v>
      </c>
      <c r="G34" s="14">
        <v>0</v>
      </c>
      <c r="H34" s="10">
        <f>1122+2837-2837+1348</f>
        <v>2470</v>
      </c>
      <c r="I34" s="13" t="s">
        <v>23</v>
      </c>
      <c r="J34" s="11">
        <f>+C34+G34</f>
        <v>1202</v>
      </c>
      <c r="K34" s="10">
        <f t="shared" si="12"/>
        <v>225728</v>
      </c>
      <c r="L34" s="13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3" t="s">
        <v>23</v>
      </c>
      <c r="S34" s="10">
        <f t="shared" si="13"/>
        <v>1202</v>
      </c>
      <c r="T34" s="10">
        <f t="shared" si="11"/>
        <v>225728</v>
      </c>
      <c r="V34" s="4"/>
    </row>
    <row r="35" spans="1:22" ht="20.100000000000001" customHeight="1" x14ac:dyDescent="0.3">
      <c r="A35" s="18" t="s">
        <v>93</v>
      </c>
      <c r="B35" s="10">
        <v>11</v>
      </c>
      <c r="C35" s="10">
        <f>11-2</f>
        <v>9</v>
      </c>
      <c r="D35" s="10">
        <v>2000</v>
      </c>
      <c r="E35" s="11">
        <v>0</v>
      </c>
      <c r="F35" s="10">
        <v>0</v>
      </c>
      <c r="G35" s="10">
        <v>0</v>
      </c>
      <c r="H35" s="10">
        <f>217-12+13</f>
        <v>218</v>
      </c>
      <c r="I35" s="11">
        <f>+B35+F35</f>
        <v>11</v>
      </c>
      <c r="J35" s="11">
        <f>+C35+G35</f>
        <v>9</v>
      </c>
      <c r="K35" s="10">
        <f t="shared" si="12"/>
        <v>2218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ref="R35:S35" si="14">SUM(O35,L35,I35)</f>
        <v>11</v>
      </c>
      <c r="S35" s="10">
        <f t="shared" si="14"/>
        <v>9</v>
      </c>
      <c r="T35" s="10">
        <f t="shared" si="11"/>
        <v>2218</v>
      </c>
      <c r="V35" s="4"/>
    </row>
    <row r="36" spans="1:22" ht="20.100000000000001" customHeight="1" x14ac:dyDescent="0.3">
      <c r="A36" s="16" t="s">
        <v>94</v>
      </c>
      <c r="B36" s="17">
        <f>SUM(B37:B41)</f>
        <v>5544</v>
      </c>
      <c r="C36" s="17">
        <f t="shared" ref="C36:T36" si="15">SUM(C37:C41)</f>
        <v>5508</v>
      </c>
      <c r="D36" s="17">
        <f t="shared" si="15"/>
        <v>1186800</v>
      </c>
      <c r="E36" s="17">
        <f t="shared" si="15"/>
        <v>1582795</v>
      </c>
      <c r="F36" s="17">
        <f t="shared" si="15"/>
        <v>27</v>
      </c>
      <c r="G36" s="17">
        <f t="shared" si="15"/>
        <v>27</v>
      </c>
      <c r="H36" s="17">
        <f t="shared" si="15"/>
        <v>35111</v>
      </c>
      <c r="I36" s="17">
        <f t="shared" si="15"/>
        <v>5571</v>
      </c>
      <c r="J36" s="17">
        <f t="shared" si="15"/>
        <v>5535</v>
      </c>
      <c r="K36" s="17">
        <f t="shared" si="15"/>
        <v>2804706</v>
      </c>
      <c r="L36" s="17">
        <f t="shared" si="15"/>
        <v>0</v>
      </c>
      <c r="M36" s="17">
        <f t="shared" si="15"/>
        <v>0</v>
      </c>
      <c r="N36" s="17">
        <f t="shared" si="15"/>
        <v>54875</v>
      </c>
      <c r="O36" s="17">
        <f t="shared" si="15"/>
        <v>0</v>
      </c>
      <c r="P36" s="17">
        <f t="shared" si="15"/>
        <v>0</v>
      </c>
      <c r="Q36" s="17">
        <f t="shared" si="15"/>
        <v>-102210</v>
      </c>
      <c r="R36" s="17">
        <f t="shared" si="15"/>
        <v>5571</v>
      </c>
      <c r="S36" s="17">
        <f t="shared" si="15"/>
        <v>5535</v>
      </c>
      <c r="T36" s="17">
        <f t="shared" si="15"/>
        <v>2757371</v>
      </c>
      <c r="V36" s="4"/>
    </row>
    <row r="37" spans="1:22" ht="20.100000000000001" customHeight="1" x14ac:dyDescent="0.3">
      <c r="A37" s="18" t="s">
        <v>95</v>
      </c>
      <c r="B37" s="10">
        <v>5544</v>
      </c>
      <c r="C37" s="10">
        <f>5877-369</f>
        <v>5508</v>
      </c>
      <c r="D37" s="11">
        <v>1174000</v>
      </c>
      <c r="E37" s="11">
        <v>0</v>
      </c>
      <c r="F37" s="10">
        <v>0</v>
      </c>
      <c r="G37" s="10">
        <f>3+5</f>
        <v>8</v>
      </c>
      <c r="H37" s="10">
        <f>35027-5748+5805-41</f>
        <v>35043</v>
      </c>
      <c r="I37" s="11">
        <f t="shared" ref="I37:J43" si="16">+B37+F37</f>
        <v>5544</v>
      </c>
      <c r="J37" s="11">
        <f t="shared" si="16"/>
        <v>5516</v>
      </c>
      <c r="K37" s="10">
        <f t="shared" ref="K37:K46" si="17">SUM(D37,H37,E37)</f>
        <v>1209043</v>
      </c>
      <c r="L37" s="10">
        <v>0</v>
      </c>
      <c r="M37" s="10">
        <v>0</v>
      </c>
      <c r="N37" s="10">
        <f>20080-20080</f>
        <v>0</v>
      </c>
      <c r="O37" s="10">
        <v>0</v>
      </c>
      <c r="P37" s="10">
        <v>0</v>
      </c>
      <c r="Q37" s="10">
        <f>-10020+3533+1477</f>
        <v>-5010</v>
      </c>
      <c r="R37" s="10">
        <f t="shared" ref="R37:T43" si="18">SUM(O37,L37,I37)</f>
        <v>5544</v>
      </c>
      <c r="S37" s="10">
        <f t="shared" si="18"/>
        <v>5516</v>
      </c>
      <c r="T37" s="10">
        <f t="shared" si="18"/>
        <v>1204033</v>
      </c>
      <c r="V37" s="4"/>
    </row>
    <row r="38" spans="1:22" ht="20.100000000000001" customHeight="1" x14ac:dyDescent="0.3">
      <c r="A38" s="18" t="s">
        <v>24</v>
      </c>
      <c r="B38" s="10">
        <v>0</v>
      </c>
      <c r="C38" s="10">
        <v>0</v>
      </c>
      <c r="D38" s="11">
        <v>-2200</v>
      </c>
      <c r="E38" s="11">
        <v>2200</v>
      </c>
      <c r="F38" s="10">
        <v>0</v>
      </c>
      <c r="G38" s="10">
        <v>0</v>
      </c>
      <c r="H38" s="10">
        <v>0</v>
      </c>
      <c r="I38" s="11">
        <f t="shared" si="16"/>
        <v>0</v>
      </c>
      <c r="J38" s="11">
        <f t="shared" si="16"/>
        <v>0</v>
      </c>
      <c r="K38" s="10">
        <f t="shared" si="17"/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-12200</v>
      </c>
      <c r="R38" s="10">
        <f t="shared" si="18"/>
        <v>0</v>
      </c>
      <c r="S38" s="10">
        <f t="shared" si="18"/>
        <v>0</v>
      </c>
      <c r="T38" s="10">
        <f t="shared" si="18"/>
        <v>-12200</v>
      </c>
      <c r="V38" s="4"/>
    </row>
    <row r="39" spans="1:22" ht="19.5" customHeight="1" x14ac:dyDescent="0.3">
      <c r="A39" s="18" t="s">
        <v>96</v>
      </c>
      <c r="B39" s="10">
        <v>0</v>
      </c>
      <c r="C39" s="10">
        <v>0</v>
      </c>
      <c r="D39" s="10">
        <v>15000</v>
      </c>
      <c r="E39" s="11">
        <v>0</v>
      </c>
      <c r="F39" s="10">
        <v>0</v>
      </c>
      <c r="G39" s="10">
        <v>0</v>
      </c>
      <c r="H39" s="10">
        <v>0</v>
      </c>
      <c r="I39" s="11">
        <f t="shared" si="16"/>
        <v>0</v>
      </c>
      <c r="J39" s="11">
        <f t="shared" si="16"/>
        <v>0</v>
      </c>
      <c r="K39" s="10">
        <f t="shared" si="17"/>
        <v>15000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-5000</v>
      </c>
      <c r="R39" s="10">
        <f t="shared" si="18"/>
        <v>0</v>
      </c>
      <c r="S39" s="10">
        <f t="shared" si="18"/>
        <v>0</v>
      </c>
      <c r="T39" s="10">
        <f t="shared" si="18"/>
        <v>10000</v>
      </c>
      <c r="V39" s="4"/>
    </row>
    <row r="40" spans="1:22" ht="20.100000000000001" customHeight="1" x14ac:dyDescent="0.3">
      <c r="A40" s="18" t="s">
        <v>97</v>
      </c>
      <c r="B40" s="11">
        <v>0</v>
      </c>
      <c r="C40" s="11">
        <v>0</v>
      </c>
      <c r="D40" s="11" t="s">
        <v>25</v>
      </c>
      <c r="E40" s="11">
        <v>1580595</v>
      </c>
      <c r="F40" s="10">
        <v>27</v>
      </c>
      <c r="G40" s="10">
        <f>27-8</f>
        <v>19</v>
      </c>
      <c r="H40" s="11">
        <f>27+41</f>
        <v>68</v>
      </c>
      <c r="I40" s="11">
        <f>+F40</f>
        <v>27</v>
      </c>
      <c r="J40" s="11">
        <f>+G40</f>
        <v>19</v>
      </c>
      <c r="K40" s="10">
        <f t="shared" si="17"/>
        <v>1580663</v>
      </c>
      <c r="L40" s="10">
        <v>0</v>
      </c>
      <c r="M40" s="10">
        <v>0</v>
      </c>
      <c r="N40" s="11">
        <v>54875</v>
      </c>
      <c r="O40" s="11">
        <v>0</v>
      </c>
      <c r="P40" s="11">
        <v>0</v>
      </c>
      <c r="Q40" s="10">
        <f>-106+106</f>
        <v>0</v>
      </c>
      <c r="R40" s="10">
        <f t="shared" si="18"/>
        <v>27</v>
      </c>
      <c r="S40" s="10">
        <f t="shared" si="18"/>
        <v>19</v>
      </c>
      <c r="T40" s="10">
        <f t="shared" si="18"/>
        <v>1635538</v>
      </c>
      <c r="V40" s="4"/>
    </row>
    <row r="41" spans="1:22" ht="20.100000000000001" customHeight="1" x14ac:dyDescent="0.3">
      <c r="A41" s="18" t="s">
        <v>24</v>
      </c>
      <c r="B41" s="10">
        <v>0</v>
      </c>
      <c r="C41" s="10">
        <v>0</v>
      </c>
      <c r="D41" s="11">
        <v>0</v>
      </c>
      <c r="E41" s="11">
        <v>0</v>
      </c>
      <c r="F41" s="10">
        <v>0</v>
      </c>
      <c r="G41" s="10">
        <v>0</v>
      </c>
      <c r="H41" s="10">
        <v>0</v>
      </c>
      <c r="I41" s="11">
        <f t="shared" ref="I41:J41" si="19">+B41+F41</f>
        <v>0</v>
      </c>
      <c r="J41" s="11">
        <f t="shared" si="19"/>
        <v>0</v>
      </c>
      <c r="K41" s="10">
        <f t="shared" si="17"/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-80000</v>
      </c>
      <c r="R41" s="10">
        <f t="shared" si="18"/>
        <v>0</v>
      </c>
      <c r="S41" s="10">
        <f t="shared" si="18"/>
        <v>0</v>
      </c>
      <c r="T41" s="10">
        <f t="shared" si="18"/>
        <v>-80000</v>
      </c>
      <c r="V41" s="4"/>
    </row>
    <row r="42" spans="1:22" ht="20.100000000000001" customHeight="1" x14ac:dyDescent="0.3">
      <c r="A42" s="18" t="s">
        <v>98</v>
      </c>
      <c r="B42" s="10">
        <v>56</v>
      </c>
      <c r="C42" s="10">
        <f>56-12</f>
        <v>44</v>
      </c>
      <c r="D42" s="10">
        <v>11456</v>
      </c>
      <c r="E42" s="11">
        <v>0</v>
      </c>
      <c r="F42" s="10">
        <v>0</v>
      </c>
      <c r="G42" s="10">
        <v>0</v>
      </c>
      <c r="H42" s="10">
        <f>444-76+93</f>
        <v>461</v>
      </c>
      <c r="I42" s="11">
        <f>+B42+F42</f>
        <v>56</v>
      </c>
      <c r="J42" s="11">
        <f>+C42+G42</f>
        <v>44</v>
      </c>
      <c r="K42" s="10">
        <f t="shared" si="17"/>
        <v>11917</v>
      </c>
      <c r="L42" s="10">
        <f>8+5-5</f>
        <v>8</v>
      </c>
      <c r="M42" s="10">
        <f>4+3-3</f>
        <v>4</v>
      </c>
      <c r="N42" s="10">
        <v>547</v>
      </c>
      <c r="O42" s="10">
        <f>-1+1</f>
        <v>0</v>
      </c>
      <c r="P42" s="10">
        <v>0</v>
      </c>
      <c r="Q42" s="10">
        <v>0</v>
      </c>
      <c r="R42" s="10">
        <f>SUM(O42,L42,I42)</f>
        <v>64</v>
      </c>
      <c r="S42" s="10">
        <f>SUM(P42,M42,J42)</f>
        <v>48</v>
      </c>
      <c r="T42" s="10">
        <f>SUM(Q42,N42,K42)</f>
        <v>12464</v>
      </c>
      <c r="V42" s="4"/>
    </row>
    <row r="43" spans="1:22" ht="20.100000000000001" customHeight="1" x14ac:dyDescent="0.3">
      <c r="A43" s="18" t="s">
        <v>99</v>
      </c>
      <c r="B43" s="10">
        <v>0</v>
      </c>
      <c r="C43" s="10">
        <v>0</v>
      </c>
      <c r="D43" s="10">
        <v>20948</v>
      </c>
      <c r="E43" s="11">
        <v>0</v>
      </c>
      <c r="F43" s="10">
        <v>0</v>
      </c>
      <c r="G43" s="10">
        <v>0</v>
      </c>
      <c r="H43" s="10">
        <v>0</v>
      </c>
      <c r="I43" s="11">
        <f t="shared" si="16"/>
        <v>0</v>
      </c>
      <c r="J43" s="11">
        <f t="shared" si="16"/>
        <v>0</v>
      </c>
      <c r="K43" s="10">
        <f t="shared" si="17"/>
        <v>20948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f t="shared" si="18"/>
        <v>0</v>
      </c>
      <c r="S43" s="10">
        <f t="shared" si="18"/>
        <v>0</v>
      </c>
      <c r="T43" s="10">
        <f t="shared" si="18"/>
        <v>20948</v>
      </c>
      <c r="V43" s="4"/>
    </row>
    <row r="44" spans="1:22" ht="19.5" customHeight="1" x14ac:dyDescent="0.3">
      <c r="A44" s="16" t="s">
        <v>100</v>
      </c>
      <c r="B44" s="21">
        <f t="shared" ref="B44:C44" si="20">SUM(B45:B46)</f>
        <v>22</v>
      </c>
      <c r="C44" s="21">
        <f t="shared" si="20"/>
        <v>22</v>
      </c>
      <c r="D44" s="17">
        <f>SUM(D45:D46)</f>
        <v>527512</v>
      </c>
      <c r="E44" s="17">
        <f t="shared" ref="E44:J44" si="21">SUM(E45:E46)</f>
        <v>0</v>
      </c>
      <c r="F44" s="17">
        <f t="shared" si="21"/>
        <v>0</v>
      </c>
      <c r="G44" s="17">
        <f t="shared" si="21"/>
        <v>0</v>
      </c>
      <c r="H44" s="17">
        <f t="shared" si="21"/>
        <v>5175</v>
      </c>
      <c r="I44" s="21">
        <f t="shared" si="21"/>
        <v>22</v>
      </c>
      <c r="J44" s="21">
        <f t="shared" si="21"/>
        <v>22</v>
      </c>
      <c r="K44" s="17">
        <f>SUM(K45:K46)</f>
        <v>532687</v>
      </c>
      <c r="L44" s="21">
        <f t="shared" ref="L44:T44" si="22">SUM(L45:L46)</f>
        <v>0</v>
      </c>
      <c r="M44" s="21">
        <f t="shared" si="22"/>
        <v>0</v>
      </c>
      <c r="N44" s="17">
        <f t="shared" si="22"/>
        <v>3000</v>
      </c>
      <c r="O44" s="21">
        <f t="shared" si="22"/>
        <v>0</v>
      </c>
      <c r="P44" s="21">
        <f t="shared" si="22"/>
        <v>0</v>
      </c>
      <c r="Q44" s="17">
        <f t="shared" si="22"/>
        <v>-12650</v>
      </c>
      <c r="R44" s="21">
        <f t="shared" si="22"/>
        <v>22</v>
      </c>
      <c r="S44" s="21">
        <f t="shared" si="22"/>
        <v>22</v>
      </c>
      <c r="T44" s="17">
        <f t="shared" si="22"/>
        <v>523037</v>
      </c>
      <c r="V44" s="4"/>
    </row>
    <row r="45" spans="1:22" ht="20.100000000000001" customHeight="1" x14ac:dyDescent="0.3">
      <c r="A45" s="18" t="s">
        <v>101</v>
      </c>
      <c r="B45" s="10">
        <v>22</v>
      </c>
      <c r="C45" s="10">
        <v>22</v>
      </c>
      <c r="D45" s="14">
        <v>0</v>
      </c>
      <c r="E45" s="11">
        <v>0</v>
      </c>
      <c r="F45" s="11">
        <f>23-23</f>
        <v>0</v>
      </c>
      <c r="G45" s="11">
        <f>23-23</f>
        <v>0</v>
      </c>
      <c r="H45" s="10">
        <v>0</v>
      </c>
      <c r="I45" s="11">
        <f t="shared" ref="I45:J45" si="23">+B45+F45</f>
        <v>22</v>
      </c>
      <c r="J45" s="11">
        <f t="shared" si="23"/>
        <v>22</v>
      </c>
      <c r="K45" s="14">
        <f t="shared" ref="K45" si="24">SUM(D45,H45,E45)</f>
        <v>0</v>
      </c>
      <c r="L45" s="11">
        <v>0</v>
      </c>
      <c r="M45" s="11">
        <v>0</v>
      </c>
      <c r="N45" s="10">
        <v>0</v>
      </c>
      <c r="O45" s="11">
        <v>0</v>
      </c>
      <c r="P45" s="11">
        <v>0</v>
      </c>
      <c r="Q45" s="10">
        <v>0</v>
      </c>
      <c r="R45" s="11">
        <f t="shared" ref="R45:T46" si="25">SUM(O45,L45,I45)</f>
        <v>22</v>
      </c>
      <c r="S45" s="11">
        <f t="shared" si="25"/>
        <v>22</v>
      </c>
      <c r="T45" s="10">
        <f t="shared" si="25"/>
        <v>0</v>
      </c>
      <c r="V45" s="4"/>
    </row>
    <row r="46" spans="1:22" ht="20.100000000000001" customHeight="1" x14ac:dyDescent="0.3">
      <c r="A46" s="18" t="s">
        <v>95</v>
      </c>
      <c r="B46" s="11" t="s">
        <v>26</v>
      </c>
      <c r="C46" s="11" t="s">
        <v>27</v>
      </c>
      <c r="D46" s="10">
        <v>527512</v>
      </c>
      <c r="E46" s="11">
        <v>0</v>
      </c>
      <c r="F46" s="11">
        <v>0</v>
      </c>
      <c r="G46" s="11">
        <v>0</v>
      </c>
      <c r="H46" s="10">
        <f>1481+3694</f>
        <v>5175</v>
      </c>
      <c r="I46" s="11" t="s">
        <v>26</v>
      </c>
      <c r="J46" s="11" t="s">
        <v>27</v>
      </c>
      <c r="K46" s="14">
        <f t="shared" si="17"/>
        <v>532687</v>
      </c>
      <c r="L46" s="11" t="s">
        <v>28</v>
      </c>
      <c r="M46" s="11" t="s">
        <v>28</v>
      </c>
      <c r="N46" s="10">
        <v>3000</v>
      </c>
      <c r="O46" s="11" t="s">
        <v>29</v>
      </c>
      <c r="P46" s="11" t="s">
        <v>30</v>
      </c>
      <c r="Q46" s="10">
        <f>-12799+6399-6250</f>
        <v>-12650</v>
      </c>
      <c r="R46" s="11" t="s">
        <v>31</v>
      </c>
      <c r="S46" s="11" t="s">
        <v>32</v>
      </c>
      <c r="T46" s="10">
        <f t="shared" si="25"/>
        <v>523037</v>
      </c>
      <c r="V46" s="4"/>
    </row>
    <row r="47" spans="1:22" ht="19.5" customHeight="1" x14ac:dyDescent="0.3">
      <c r="A47" s="16" t="s">
        <v>102</v>
      </c>
      <c r="B47" s="17">
        <f t="shared" ref="B47:T47" si="26">SUM(B48:B50)</f>
        <v>34019</v>
      </c>
      <c r="C47" s="17">
        <f t="shared" si="26"/>
        <v>35957</v>
      </c>
      <c r="D47" s="17">
        <f t="shared" si="26"/>
        <v>8117973</v>
      </c>
      <c r="E47" s="17">
        <f t="shared" si="26"/>
        <v>0</v>
      </c>
      <c r="F47" s="17">
        <f t="shared" si="26"/>
        <v>35</v>
      </c>
      <c r="G47" s="17">
        <f t="shared" si="26"/>
        <v>126</v>
      </c>
      <c r="H47" s="17">
        <f t="shared" si="26"/>
        <v>170928</v>
      </c>
      <c r="I47" s="17">
        <f t="shared" si="26"/>
        <v>34054</v>
      </c>
      <c r="J47" s="17">
        <f t="shared" si="26"/>
        <v>36083</v>
      </c>
      <c r="K47" s="17">
        <f t="shared" si="26"/>
        <v>8288901</v>
      </c>
      <c r="L47" s="17">
        <f t="shared" si="26"/>
        <v>748</v>
      </c>
      <c r="M47" s="17">
        <f t="shared" si="26"/>
        <v>374</v>
      </c>
      <c r="N47" s="17">
        <f t="shared" si="26"/>
        <v>214959</v>
      </c>
      <c r="O47" s="17">
        <f t="shared" si="26"/>
        <v>-15</v>
      </c>
      <c r="P47" s="17">
        <f t="shared" si="26"/>
        <v>-15</v>
      </c>
      <c r="Q47" s="17">
        <f t="shared" si="26"/>
        <v>-211191</v>
      </c>
      <c r="R47" s="17">
        <f t="shared" si="26"/>
        <v>34787</v>
      </c>
      <c r="S47" s="17">
        <f t="shared" si="26"/>
        <v>36442</v>
      </c>
      <c r="T47" s="17">
        <f t="shared" si="26"/>
        <v>8292669</v>
      </c>
      <c r="V47" s="4"/>
    </row>
    <row r="48" spans="1:22" ht="20.100000000000001" customHeight="1" x14ac:dyDescent="0.3">
      <c r="A48" s="18" t="s">
        <v>95</v>
      </c>
      <c r="B48" s="10">
        <v>34019</v>
      </c>
      <c r="C48" s="10">
        <f>36521-564</f>
        <v>35957</v>
      </c>
      <c r="D48" s="14">
        <v>8036991</v>
      </c>
      <c r="E48" s="11">
        <v>0</v>
      </c>
      <c r="F48" s="10">
        <f>335-300</f>
        <v>35</v>
      </c>
      <c r="G48" s="10">
        <f>426-300</f>
        <v>126</v>
      </c>
      <c r="H48" s="10">
        <f>110386-23455+47384+36613</f>
        <v>170928</v>
      </c>
      <c r="I48" s="11">
        <f t="shared" ref="I48:J50" si="27">+B48+F48</f>
        <v>34054</v>
      </c>
      <c r="J48" s="11">
        <f t="shared" si="27"/>
        <v>36083</v>
      </c>
      <c r="K48" s="10">
        <f t="shared" ref="K48:K50" si="28">SUM(D48,H48,E48)</f>
        <v>8207919</v>
      </c>
      <c r="L48" s="10">
        <f>710+55+29-14-31+1-2</f>
        <v>748</v>
      </c>
      <c r="M48" s="10">
        <f>356+41-7-13+15-18</f>
        <v>374</v>
      </c>
      <c r="N48" s="10">
        <f>228532-7000-8779+10000+15785-4962-10000-4000+10000+8143-22760</f>
        <v>214959</v>
      </c>
      <c r="O48" s="10">
        <v>-15</v>
      </c>
      <c r="P48" s="10">
        <v>-15</v>
      </c>
      <c r="Q48" s="10">
        <f>-61191+36007-3557-7826-24624</f>
        <v>-61191</v>
      </c>
      <c r="R48" s="10">
        <f t="shared" ref="R48:T50" si="29">SUM(O48,L48,I48)</f>
        <v>34787</v>
      </c>
      <c r="S48" s="10">
        <f t="shared" si="29"/>
        <v>36442</v>
      </c>
      <c r="T48" s="10">
        <f t="shared" si="29"/>
        <v>8361687</v>
      </c>
      <c r="V48" s="4"/>
    </row>
    <row r="49" spans="1:23" ht="20.100000000000001" customHeight="1" x14ac:dyDescent="0.3">
      <c r="A49" s="18" t="s">
        <v>24</v>
      </c>
      <c r="B49" s="10">
        <v>0</v>
      </c>
      <c r="C49" s="10">
        <v>0</v>
      </c>
      <c r="D49" s="14">
        <v>0</v>
      </c>
      <c r="E49" s="11">
        <v>0</v>
      </c>
      <c r="F49" s="10">
        <v>0</v>
      </c>
      <c r="G49" s="10">
        <v>0</v>
      </c>
      <c r="H49" s="10">
        <v>0</v>
      </c>
      <c r="I49" s="11">
        <f t="shared" si="27"/>
        <v>0</v>
      </c>
      <c r="J49" s="11">
        <f t="shared" si="27"/>
        <v>0</v>
      </c>
      <c r="K49" s="10">
        <f t="shared" si="28"/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>-100000-5000-45000</f>
        <v>-150000</v>
      </c>
      <c r="R49" s="10">
        <f t="shared" si="29"/>
        <v>0</v>
      </c>
      <c r="S49" s="10">
        <f t="shared" si="29"/>
        <v>0</v>
      </c>
      <c r="T49" s="10">
        <f t="shared" si="29"/>
        <v>-150000</v>
      </c>
      <c r="V49" s="4"/>
    </row>
    <row r="50" spans="1:23" ht="19.5" customHeight="1" x14ac:dyDescent="0.3">
      <c r="A50" s="18" t="s">
        <v>96</v>
      </c>
      <c r="B50" s="10">
        <v>0</v>
      </c>
      <c r="C50" s="10">
        <v>0</v>
      </c>
      <c r="D50" s="10">
        <v>80982</v>
      </c>
      <c r="E50" s="11">
        <f>-107310-25295+132605</f>
        <v>0</v>
      </c>
      <c r="F50" s="10">
        <v>0</v>
      </c>
      <c r="G50" s="10">
        <v>0</v>
      </c>
      <c r="H50" s="10">
        <v>0</v>
      </c>
      <c r="I50" s="11">
        <f t="shared" si="27"/>
        <v>0</v>
      </c>
      <c r="J50" s="11">
        <f t="shared" si="27"/>
        <v>0</v>
      </c>
      <c r="K50" s="10">
        <f t="shared" si="28"/>
        <v>80982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f t="shared" si="29"/>
        <v>0</v>
      </c>
      <c r="S50" s="10">
        <f t="shared" si="29"/>
        <v>0</v>
      </c>
      <c r="T50" s="10">
        <f t="shared" si="29"/>
        <v>80982</v>
      </c>
      <c r="V50" s="4"/>
    </row>
    <row r="51" spans="1:23" ht="20.100000000000001" customHeight="1" x14ac:dyDescent="0.3">
      <c r="A51" s="16" t="s">
        <v>103</v>
      </c>
      <c r="B51" s="22">
        <f t="shared" ref="B51:T51" si="30">SUM(B52:B54)</f>
        <v>8304</v>
      </c>
      <c r="C51" s="22">
        <f t="shared" si="30"/>
        <v>8320</v>
      </c>
      <c r="D51" s="23">
        <f t="shared" si="30"/>
        <v>2025000</v>
      </c>
      <c r="E51" s="23">
        <f t="shared" si="30"/>
        <v>10000</v>
      </c>
      <c r="F51" s="22">
        <f t="shared" si="30"/>
        <v>57</v>
      </c>
      <c r="G51" s="22">
        <f t="shared" si="30"/>
        <v>-28</v>
      </c>
      <c r="H51" s="22">
        <f t="shared" si="30"/>
        <v>44870</v>
      </c>
      <c r="I51" s="23">
        <f t="shared" si="30"/>
        <v>8361</v>
      </c>
      <c r="J51" s="23">
        <f t="shared" si="30"/>
        <v>8292</v>
      </c>
      <c r="K51" s="22">
        <f t="shared" si="30"/>
        <v>2079870</v>
      </c>
      <c r="L51" s="22">
        <f t="shared" si="30"/>
        <v>0</v>
      </c>
      <c r="M51" s="22">
        <f t="shared" si="30"/>
        <v>0</v>
      </c>
      <c r="N51" s="22">
        <f t="shared" si="30"/>
        <v>0</v>
      </c>
      <c r="O51" s="22">
        <f t="shared" si="30"/>
        <v>-514</v>
      </c>
      <c r="P51" s="22">
        <f t="shared" si="30"/>
        <v>0</v>
      </c>
      <c r="Q51" s="22">
        <f t="shared" si="30"/>
        <v>-21918</v>
      </c>
      <c r="R51" s="22">
        <f t="shared" si="30"/>
        <v>7847</v>
      </c>
      <c r="S51" s="22">
        <f t="shared" si="30"/>
        <v>8292</v>
      </c>
      <c r="T51" s="22">
        <f t="shared" si="30"/>
        <v>2057952</v>
      </c>
      <c r="V51" s="4"/>
    </row>
    <row r="52" spans="1:23" ht="20.100000000000001" customHeight="1" x14ac:dyDescent="0.3">
      <c r="A52" s="18" t="s">
        <v>95</v>
      </c>
      <c r="B52" s="10">
        <v>8304</v>
      </c>
      <c r="C52" s="10">
        <f>9531-1211</f>
        <v>8320</v>
      </c>
      <c r="D52" s="13">
        <v>2025000</v>
      </c>
      <c r="E52" s="13">
        <f>10806-10806</f>
        <v>0</v>
      </c>
      <c r="F52" s="11">
        <v>57</v>
      </c>
      <c r="G52" s="11">
        <f>57+47-57-75</f>
        <v>-28</v>
      </c>
      <c r="H52" s="11">
        <f>49278-2841+8433</f>
        <v>54870</v>
      </c>
      <c r="I52" s="11">
        <f t="shared" ref="I52:J57" si="31">+B52+F52</f>
        <v>8361</v>
      </c>
      <c r="J52" s="11">
        <f t="shared" si="31"/>
        <v>8292</v>
      </c>
      <c r="K52" s="10">
        <f t="shared" ref="K52:K57" si="32">SUM(D52,H52,E52)</f>
        <v>2079870</v>
      </c>
      <c r="L52" s="11">
        <v>0</v>
      </c>
      <c r="M52" s="11">
        <v>0</v>
      </c>
      <c r="N52" s="11">
        <v>0</v>
      </c>
      <c r="O52" s="11">
        <f>-350-164</f>
        <v>-514</v>
      </c>
      <c r="P52" s="11">
        <f>-350-164+514</f>
        <v>0</v>
      </c>
      <c r="Q52" s="11">
        <f>-23834+11916</f>
        <v>-11918</v>
      </c>
      <c r="R52" s="10">
        <f t="shared" ref="R52:T57" si="33">SUM(O52,L52,I52)</f>
        <v>7847</v>
      </c>
      <c r="S52" s="10">
        <f t="shared" si="33"/>
        <v>8292</v>
      </c>
      <c r="T52" s="10">
        <f>SUM(Q52,N52,K52)</f>
        <v>2067952</v>
      </c>
      <c r="V52" s="4"/>
    </row>
    <row r="53" spans="1:23" ht="20.100000000000001" customHeight="1" x14ac:dyDescent="0.3">
      <c r="A53" s="18" t="s">
        <v>24</v>
      </c>
      <c r="B53" s="10">
        <v>0</v>
      </c>
      <c r="C53" s="10">
        <v>0</v>
      </c>
      <c r="D53" s="13">
        <v>-10000</v>
      </c>
      <c r="E53" s="13">
        <v>10000</v>
      </c>
      <c r="F53" s="11">
        <v>0</v>
      </c>
      <c r="G53" s="11">
        <v>0</v>
      </c>
      <c r="H53" s="11">
        <v>0</v>
      </c>
      <c r="I53" s="11">
        <f t="shared" si="31"/>
        <v>0</v>
      </c>
      <c r="J53" s="11">
        <f t="shared" si="31"/>
        <v>0</v>
      </c>
      <c r="K53" s="10">
        <f t="shared" si="32"/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-10000</v>
      </c>
      <c r="R53" s="10">
        <f t="shared" si="33"/>
        <v>0</v>
      </c>
      <c r="S53" s="10">
        <f t="shared" si="33"/>
        <v>0</v>
      </c>
      <c r="T53" s="10">
        <f>SUM(Q53,N53,K53)</f>
        <v>-10000</v>
      </c>
      <c r="V53" s="4"/>
    </row>
    <row r="54" spans="1:23" ht="20.100000000000001" customHeight="1" x14ac:dyDescent="0.3">
      <c r="A54" s="18" t="s">
        <v>96</v>
      </c>
      <c r="B54" s="10">
        <v>0</v>
      </c>
      <c r="C54" s="10">
        <v>0</v>
      </c>
      <c r="D54" s="11">
        <v>10000</v>
      </c>
      <c r="E54" s="11">
        <v>0</v>
      </c>
      <c r="F54" s="10">
        <v>0</v>
      </c>
      <c r="G54" s="10">
        <v>0</v>
      </c>
      <c r="H54" s="10">
        <v>-10000</v>
      </c>
      <c r="I54" s="11">
        <f t="shared" si="31"/>
        <v>0</v>
      </c>
      <c r="J54" s="11">
        <f t="shared" si="31"/>
        <v>0</v>
      </c>
      <c r="K54" s="10">
        <f t="shared" si="32"/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f t="shared" si="33"/>
        <v>0</v>
      </c>
      <c r="S54" s="10">
        <f t="shared" si="33"/>
        <v>0</v>
      </c>
      <c r="T54" s="10">
        <f t="shared" si="33"/>
        <v>0</v>
      </c>
      <c r="V54" s="4"/>
    </row>
    <row r="55" spans="1:23" ht="20.100000000000001" customHeight="1" x14ac:dyDescent="0.3">
      <c r="A55" s="16" t="s">
        <v>104</v>
      </c>
      <c r="B55" s="22">
        <f>SUM(B56:B57)</f>
        <v>5101</v>
      </c>
      <c r="C55" s="22">
        <f>SUM(C56:C57)</f>
        <v>4803</v>
      </c>
      <c r="D55" s="23">
        <f>SUM(D56:D57)</f>
        <v>1152000</v>
      </c>
      <c r="E55" s="23">
        <f>SUM(E56:E57)</f>
        <v>0</v>
      </c>
      <c r="F55" s="22">
        <f>SUM(F56:F57)</f>
        <v>0</v>
      </c>
      <c r="G55" s="22">
        <f>SUM(G56:G57)</f>
        <v>0</v>
      </c>
      <c r="H55" s="22">
        <f>SUM(H56:H57)</f>
        <v>14587</v>
      </c>
      <c r="I55" s="23">
        <f>SUM(I56:I57)</f>
        <v>5101</v>
      </c>
      <c r="J55" s="23">
        <f>SUM(J56:J57)</f>
        <v>4803</v>
      </c>
      <c r="K55" s="22">
        <f>SUM(K56:K57)</f>
        <v>1166587</v>
      </c>
      <c r="L55" s="22">
        <f>SUM(L56:L57)</f>
        <v>255</v>
      </c>
      <c r="M55" s="22">
        <f>SUM(M56:M57)</f>
        <v>128</v>
      </c>
      <c r="N55" s="22">
        <f>SUM(N56:N57)</f>
        <v>73078</v>
      </c>
      <c r="O55" s="22">
        <f>SUM(O56:O57)</f>
        <v>-164</v>
      </c>
      <c r="P55" s="22">
        <f>SUM(P56:P57)</f>
        <v>0</v>
      </c>
      <c r="Q55" s="22">
        <f>SUM(Q56:Q57)</f>
        <v>-22547</v>
      </c>
      <c r="R55" s="22">
        <f>SUM(R56:R57)</f>
        <v>5192</v>
      </c>
      <c r="S55" s="22">
        <f>SUM(S56:S57)</f>
        <v>4931</v>
      </c>
      <c r="T55" s="22">
        <f>SUM(T56:T57)</f>
        <v>1217118</v>
      </c>
      <c r="V55" s="4"/>
    </row>
    <row r="56" spans="1:23" ht="19.5" customHeight="1" x14ac:dyDescent="0.3">
      <c r="A56" s="18" t="s">
        <v>105</v>
      </c>
      <c r="B56" s="10">
        <v>5101</v>
      </c>
      <c r="C56" s="10">
        <f>5080-277</f>
        <v>4803</v>
      </c>
      <c r="D56" s="10">
        <v>1152000</v>
      </c>
      <c r="E56" s="13">
        <f>11815-11815</f>
        <v>0</v>
      </c>
      <c r="F56" s="10">
        <v>0</v>
      </c>
      <c r="G56" s="10">
        <v>0</v>
      </c>
      <c r="H56" s="10">
        <f>10943-2343+5987</f>
        <v>14587</v>
      </c>
      <c r="I56" s="11">
        <f t="shared" si="31"/>
        <v>5101</v>
      </c>
      <c r="J56" s="11">
        <f t="shared" si="31"/>
        <v>4803</v>
      </c>
      <c r="K56" s="10">
        <f t="shared" si="32"/>
        <v>1166587</v>
      </c>
      <c r="L56" s="10">
        <v>255</v>
      </c>
      <c r="M56" s="10">
        <v>128</v>
      </c>
      <c r="N56" s="10">
        <f>53078-13078+13078+20000</f>
        <v>73078</v>
      </c>
      <c r="O56" s="10">
        <v>-164</v>
      </c>
      <c r="P56" s="10">
        <f>-164+164</f>
        <v>0</v>
      </c>
      <c r="Q56" s="10">
        <f>-7399-2748</f>
        <v>-10147</v>
      </c>
      <c r="R56" s="10">
        <f t="shared" si="33"/>
        <v>5192</v>
      </c>
      <c r="S56" s="10">
        <f t="shared" si="33"/>
        <v>4931</v>
      </c>
      <c r="T56" s="10">
        <f t="shared" si="33"/>
        <v>1229518</v>
      </c>
      <c r="V56" s="4"/>
    </row>
    <row r="57" spans="1:23" ht="19.5" customHeight="1" x14ac:dyDescent="0.3">
      <c r="A57" s="18" t="s">
        <v>24</v>
      </c>
      <c r="B57" s="10">
        <v>0</v>
      </c>
      <c r="C57" s="10">
        <v>0</v>
      </c>
      <c r="D57" s="10">
        <v>0</v>
      </c>
      <c r="E57" s="13">
        <v>0</v>
      </c>
      <c r="F57" s="10">
        <v>0</v>
      </c>
      <c r="G57" s="10">
        <v>0</v>
      </c>
      <c r="H57" s="10">
        <v>0</v>
      </c>
      <c r="I57" s="11">
        <f t="shared" si="31"/>
        <v>0</v>
      </c>
      <c r="J57" s="11">
        <f t="shared" si="31"/>
        <v>0</v>
      </c>
      <c r="K57" s="10">
        <f t="shared" si="32"/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-12400</v>
      </c>
      <c r="R57" s="10">
        <f t="shared" si="33"/>
        <v>0</v>
      </c>
      <c r="S57" s="10">
        <f t="shared" si="33"/>
        <v>0</v>
      </c>
      <c r="T57" s="10">
        <f t="shared" si="33"/>
        <v>-12400</v>
      </c>
      <c r="V57" s="4"/>
    </row>
    <row r="58" spans="1:23" ht="20.100000000000001" customHeight="1" x14ac:dyDescent="0.3">
      <c r="A58" s="16" t="s">
        <v>106</v>
      </c>
      <c r="B58" s="17">
        <f t="shared" ref="B58:P58" si="34">SUM(B59:B61)</f>
        <v>41310</v>
      </c>
      <c r="C58" s="17">
        <f t="shared" si="34"/>
        <v>36112</v>
      </c>
      <c r="D58" s="21">
        <f t="shared" si="34"/>
        <v>6596281</v>
      </c>
      <c r="E58" s="21">
        <f t="shared" si="34"/>
        <v>45000</v>
      </c>
      <c r="F58" s="21">
        <f t="shared" si="34"/>
        <v>-36</v>
      </c>
      <c r="G58" s="21">
        <f t="shared" si="34"/>
        <v>283</v>
      </c>
      <c r="H58" s="21">
        <f t="shared" si="34"/>
        <v>214509</v>
      </c>
      <c r="I58" s="21">
        <f t="shared" si="34"/>
        <v>41274</v>
      </c>
      <c r="J58" s="21">
        <f t="shared" si="34"/>
        <v>36395</v>
      </c>
      <c r="K58" s="21">
        <f t="shared" si="34"/>
        <v>6855790</v>
      </c>
      <c r="L58" s="21">
        <f t="shared" si="34"/>
        <v>2087</v>
      </c>
      <c r="M58" s="21">
        <f t="shared" si="34"/>
        <v>604</v>
      </c>
      <c r="N58" s="21">
        <f t="shared" si="34"/>
        <v>181335</v>
      </c>
      <c r="O58" s="21">
        <f t="shared" si="34"/>
        <v>0</v>
      </c>
      <c r="P58" s="21">
        <f t="shared" si="34"/>
        <v>0</v>
      </c>
      <c r="Q58" s="21">
        <f>SUM(Q59:Q61)</f>
        <v>-130731</v>
      </c>
      <c r="R58" s="21">
        <f>SUM(R59:R61)</f>
        <v>43361</v>
      </c>
      <c r="S58" s="21">
        <f>SUM(S59:S61)</f>
        <v>36999</v>
      </c>
      <c r="T58" s="21">
        <f>SUM(T59:T61)</f>
        <v>6906394</v>
      </c>
      <c r="V58" s="4"/>
    </row>
    <row r="59" spans="1:23" ht="20.100000000000001" customHeight="1" x14ac:dyDescent="0.3">
      <c r="A59" s="18" t="s">
        <v>95</v>
      </c>
      <c r="B59" s="10">
        <v>41035</v>
      </c>
      <c r="C59" s="10">
        <f>37083-1095</f>
        <v>35988</v>
      </c>
      <c r="D59" s="11">
        <v>6551281</v>
      </c>
      <c r="E59" s="11">
        <v>0</v>
      </c>
      <c r="F59" s="10">
        <v>0</v>
      </c>
      <c r="G59" s="10">
        <f>226+57</f>
        <v>283</v>
      </c>
      <c r="H59" s="10">
        <f>189998-1246-2000+27513</f>
        <v>214265</v>
      </c>
      <c r="I59" s="11">
        <f t="shared" ref="I59:J61" si="35">+B59+F59</f>
        <v>41035</v>
      </c>
      <c r="J59" s="11">
        <f t="shared" si="35"/>
        <v>36271</v>
      </c>
      <c r="K59" s="10">
        <f t="shared" ref="K59:K63" si="36">SUM(D59,H59,E59)</f>
        <v>6765546</v>
      </c>
      <c r="L59" s="10">
        <f>1782+305</f>
        <v>2087</v>
      </c>
      <c r="M59" s="10">
        <f>812-210</f>
        <v>602</v>
      </c>
      <c r="N59" s="10">
        <f>161700-18700-22365+18700+2000+6300-200-6100+25000</f>
        <v>166335</v>
      </c>
      <c r="O59" s="10">
        <f>-60+60</f>
        <v>0</v>
      </c>
      <c r="P59" s="10">
        <f>-60+60</f>
        <v>0</v>
      </c>
      <c r="Q59" s="10">
        <f>-65232+7616-2115-41000</f>
        <v>-100731</v>
      </c>
      <c r="R59" s="10">
        <f t="shared" ref="R59:T61" si="37">SUM(O59,L59,I59)</f>
        <v>43122</v>
      </c>
      <c r="S59" s="10">
        <f t="shared" si="37"/>
        <v>36873</v>
      </c>
      <c r="T59" s="10">
        <f t="shared" si="37"/>
        <v>6831150</v>
      </c>
      <c r="V59" s="4"/>
    </row>
    <row r="60" spans="1:23" ht="19.5" customHeight="1" x14ac:dyDescent="0.3">
      <c r="A60" s="18" t="s">
        <v>107</v>
      </c>
      <c r="B60" s="10">
        <v>275</v>
      </c>
      <c r="C60" s="10">
        <f>256-132</f>
        <v>124</v>
      </c>
      <c r="D60" s="11">
        <v>90000</v>
      </c>
      <c r="E60" s="13">
        <v>0</v>
      </c>
      <c r="F60" s="10">
        <f>-21-15</f>
        <v>-36</v>
      </c>
      <c r="G60" s="10">
        <f>-21-15+36</f>
        <v>0</v>
      </c>
      <c r="H60" s="10">
        <f>103+141</f>
        <v>244</v>
      </c>
      <c r="I60" s="11">
        <f t="shared" si="35"/>
        <v>239</v>
      </c>
      <c r="J60" s="11">
        <f t="shared" si="35"/>
        <v>124</v>
      </c>
      <c r="K60" s="10">
        <f t="shared" si="36"/>
        <v>90244</v>
      </c>
      <c r="L60" s="11">
        <v>0</v>
      </c>
      <c r="M60" s="11">
        <v>2</v>
      </c>
      <c r="N60" s="11">
        <v>15000</v>
      </c>
      <c r="O60" s="10">
        <v>0</v>
      </c>
      <c r="P60" s="10">
        <v>0</v>
      </c>
      <c r="Q60" s="10">
        <v>0</v>
      </c>
      <c r="R60" s="10">
        <f t="shared" si="37"/>
        <v>239</v>
      </c>
      <c r="S60" s="10">
        <f t="shared" si="37"/>
        <v>126</v>
      </c>
      <c r="T60" s="10">
        <f t="shared" si="37"/>
        <v>105244</v>
      </c>
      <c r="V60" s="4"/>
    </row>
    <row r="61" spans="1:23" ht="19.5" customHeight="1" x14ac:dyDescent="0.3">
      <c r="A61" s="18" t="s">
        <v>33</v>
      </c>
      <c r="B61" s="10">
        <v>0</v>
      </c>
      <c r="C61" s="10">
        <v>0</v>
      </c>
      <c r="D61" s="11">
        <v>-45000</v>
      </c>
      <c r="E61" s="13">
        <v>45000</v>
      </c>
      <c r="F61" s="10">
        <v>0</v>
      </c>
      <c r="G61" s="10">
        <v>0</v>
      </c>
      <c r="H61" s="10">
        <v>0</v>
      </c>
      <c r="I61" s="11">
        <f t="shared" si="35"/>
        <v>0</v>
      </c>
      <c r="J61" s="11">
        <f t="shared" si="35"/>
        <v>0</v>
      </c>
      <c r="K61" s="10">
        <f t="shared" si="36"/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-30000</v>
      </c>
      <c r="R61" s="10">
        <f t="shared" si="37"/>
        <v>0</v>
      </c>
      <c r="S61" s="10">
        <f t="shared" si="37"/>
        <v>0</v>
      </c>
      <c r="T61" s="10">
        <f t="shared" si="37"/>
        <v>-30000</v>
      </c>
      <c r="V61" s="4"/>
    </row>
    <row r="62" spans="1:23" ht="20.100000000000001" customHeight="1" x14ac:dyDescent="0.3">
      <c r="A62" s="18" t="s">
        <v>108</v>
      </c>
      <c r="B62" s="11" t="s">
        <v>34</v>
      </c>
      <c r="C62" s="10">
        <f>1806-659</f>
        <v>1147</v>
      </c>
      <c r="D62" s="10">
        <v>2700</v>
      </c>
      <c r="E62" s="13">
        <v>0</v>
      </c>
      <c r="F62" s="11">
        <v>0</v>
      </c>
      <c r="G62" s="10">
        <v>0</v>
      </c>
      <c r="H62" s="10">
        <v>0</v>
      </c>
      <c r="I62" s="11" t="s">
        <v>34</v>
      </c>
      <c r="J62" s="11">
        <f>+C62+G62</f>
        <v>1147</v>
      </c>
      <c r="K62" s="10">
        <f t="shared" si="36"/>
        <v>2700</v>
      </c>
      <c r="L62" s="11">
        <v>0</v>
      </c>
      <c r="M62" s="10">
        <v>0</v>
      </c>
      <c r="N62" s="10">
        <v>0</v>
      </c>
      <c r="O62" s="11">
        <v>0</v>
      </c>
      <c r="P62" s="10">
        <v>0</v>
      </c>
      <c r="Q62" s="10">
        <v>0</v>
      </c>
      <c r="R62" s="11" t="s">
        <v>34</v>
      </c>
      <c r="S62" s="10">
        <f>+P62+M62+J62</f>
        <v>1147</v>
      </c>
      <c r="T62" s="10">
        <f>+Q62+N62+K62</f>
        <v>2700</v>
      </c>
      <c r="V62" s="4"/>
    </row>
    <row r="63" spans="1:23" ht="20.100000000000001" customHeight="1" thickBot="1" x14ac:dyDescent="0.35">
      <c r="A63" s="18" t="s">
        <v>109</v>
      </c>
      <c r="B63" s="11" t="s">
        <v>35</v>
      </c>
      <c r="C63" s="10">
        <f>724-49</f>
        <v>675</v>
      </c>
      <c r="D63" s="10">
        <v>0</v>
      </c>
      <c r="E63" s="13">
        <v>0</v>
      </c>
      <c r="F63" s="11" t="s">
        <v>36</v>
      </c>
      <c r="G63" s="10">
        <f>49+5</f>
        <v>54</v>
      </c>
      <c r="H63" s="10">
        <v>0</v>
      </c>
      <c r="I63" s="11" t="s">
        <v>37</v>
      </c>
      <c r="J63" s="10">
        <f>+C63+G63</f>
        <v>729</v>
      </c>
      <c r="K63" s="10">
        <f t="shared" si="36"/>
        <v>0</v>
      </c>
      <c r="L63" s="11" t="s">
        <v>38</v>
      </c>
      <c r="M63" s="10">
        <f>13-13</f>
        <v>0</v>
      </c>
      <c r="N63" s="10">
        <v>0</v>
      </c>
      <c r="O63" s="10">
        <v>0</v>
      </c>
      <c r="P63" s="10">
        <v>0</v>
      </c>
      <c r="Q63" s="10">
        <v>0</v>
      </c>
      <c r="R63" s="11" t="s">
        <v>39</v>
      </c>
      <c r="S63" s="10">
        <f>+P63+M63+J63</f>
        <v>729</v>
      </c>
      <c r="T63" s="10">
        <f>+Q63+N63+K63</f>
        <v>0</v>
      </c>
      <c r="V63" s="4"/>
    </row>
    <row r="64" spans="1:23" ht="20.100000000000001" customHeight="1" thickTop="1" thickBot="1" x14ac:dyDescent="0.35">
      <c r="A64" s="24" t="s">
        <v>110</v>
      </c>
      <c r="B64" s="25">
        <f>SUM(B8:B11,B12,B13,B17:B18,B19,B20,B21,,B31,B32,B33,B34,B35,B36,B42:B43,B44:B44,B47,B51,B55,B58,B62,B63)</f>
        <v>112583</v>
      </c>
      <c r="C64" s="25">
        <f>SUM(C8:C11,C12,C13,C17:C18,C19,C20,C21,,C31,C32,C33,C34,C35,C36,C42:C43,C44:C44,C47,C51,C55,C58,C62,C63)</f>
        <v>113498</v>
      </c>
      <c r="D64" s="25">
        <f>SUM(D8:D11,D12,D13,D17:D18,D19,D20,D21,,D31,D32,D33,D34,D35,D36,D42:D43,D44:D44,D47,D51,D55,D58,D62,D63)</f>
        <v>25140638</v>
      </c>
      <c r="E64" s="25">
        <f>SUM(E8:E11,E12,E13,E17:E18,E19,E20,E21,,E31,E32,E33,E34,E35,E36,E42:E43,E44:E44,E47,E51,E56,E57,,E58,E62,E63)</f>
        <v>93200</v>
      </c>
      <c r="F64" s="25">
        <f>SUM(F8:F11,F12,F13,F17:F18,F19,F20,F21,,F31,F32,F33,F34,F35,F36,F42:F43,F44:F44,F47,F51,F55,F58,F62,F63)</f>
        <v>10</v>
      </c>
      <c r="G64" s="25">
        <f>SUM(G8:G11,G12,G13,G17:G18,G19,G20,G21,,G31,G32,G33,G34,G35,G36,G42:G43,G44:G44,G47,G51,G55,G58,G62,G63)</f>
        <v>480</v>
      </c>
      <c r="H64" s="25">
        <f>SUM(H8:H11,H12,H13,H17:H18,H19,H20,H21,,H31,H32,H33,H34,H35,H36,H42:H43,H44:H44,H47,H51,H55,H58,H62,H63)</f>
        <v>445452</v>
      </c>
      <c r="I64" s="25">
        <f>SUM(I8:I11,I12,I13,I17:I18,I19,I20,I21,,I31,I32,I33,I34,I35,I36,I42:I43,I44:I44,I47,I51,I55,I58,I62,I63)</f>
        <v>112593</v>
      </c>
      <c r="J64" s="25">
        <f>SUM(J8:J11,J12,J13,J17:J18,J19,J20,J21,,J31,J32,J33,J34,J35,J36,J42:J43,J44:J44,J47,J51,J55,J58,J62,J63)</f>
        <v>113978</v>
      </c>
      <c r="K64" s="25">
        <f>SUM(K8:K11,K12,K13,K17:K18,K19,K20,K21,,K31,K32,K33,K34,K35,K36,K42:K43,K44:K44,K47,K51,K55,K58,K62,K63)</f>
        <v>25679290</v>
      </c>
      <c r="L64" s="25">
        <f>SUM(L8:L11,L12,L13,L17:L18,L19,L20,L21,,L31,L32,L33,L34,L35,L36,L42:L43,L44:L44,L47,L51,L55,L58,L62,L63)</f>
        <v>3739</v>
      </c>
      <c r="M64" s="25">
        <f>SUM(M8:M11,M12,M13,M17:M18,M19,M20,M21,,M31,M32,M33,M34,M35,M36,M42:M43,M44:M44,M47,M51,M55,M58,M62,M63)</f>
        <v>1435</v>
      </c>
      <c r="N64" s="25">
        <f>SUM(N8:N11,N12,N13,N17:N18,N19,N20,N21,,N31,N32,N33,N34,N35,N36,N42:N43,N44:N44,N47,N51,N55,N58,N62,N63)</f>
        <v>621780</v>
      </c>
      <c r="O64" s="25">
        <f>SUM(O8:O11,O12,O13,O17:O18,O19,O20,O21,,O31,O32,O33,O34,O35,O36,O42:O43,O44:O44,O47,O51,O55,O58,O62,O63)</f>
        <v>-790</v>
      </c>
      <c r="P64" s="25">
        <f>SUM(P8:P11,P12,P13,P17:P18,P19,P20,P21,,P31,P32,P33,P34,P35,P36,P42:P43,P44:P44,P47,P51,P55,P58,P62,P63)</f>
        <v>-17</v>
      </c>
      <c r="Q64" s="25">
        <f>SUM(Q8:Q11,Q12,Q13,Q17:Q18,Q19,Q20,Q21,,Q31,Q32,Q33,Q34,Q35,Q36,Q42:Q43,Q44:Q44,Q47,Q51,Q55,Q58,Q62,Q63)</f>
        <v>-561436</v>
      </c>
      <c r="R64" s="25">
        <f>SUM(R8:R11,R12,R13,R17:R18,R19,R20,R21,,R31,R32,R33,R34,R35,R36,R42:R43,R44:R44,R47,R51,R55,R58,R62,R63)</f>
        <v>115542</v>
      </c>
      <c r="S64" s="25">
        <f>SUM(S8:S11,S12,S13,S17:S18,S19,S20,S21,,S31,S32,S33,S34,S35,S36,S42:S43,S44:S44,S47,S51,S55,S58,S62,S63)</f>
        <v>115396</v>
      </c>
      <c r="T64" s="25">
        <f>SUM(T8:T11,T12,T13,T17:T18,T19,T20,T21,,T31,T32,T33,T34,T35,T36,T42:T43,T44:T44,T47,T51,T55,T58,T62,T63)</f>
        <v>25739634</v>
      </c>
      <c r="U64" s="4"/>
      <c r="V64" s="1"/>
      <c r="W64" s="4"/>
    </row>
    <row r="65" spans="1:22" ht="20.100000000000001" customHeight="1" thickTop="1" thickBot="1" x14ac:dyDescent="0.35">
      <c r="A65" s="16" t="s">
        <v>111</v>
      </c>
      <c r="B65" s="26">
        <f>SUM(B66,B73,B77)</f>
        <v>960</v>
      </c>
      <c r="C65" s="26">
        <f>SUM(C66,C73,C77)</f>
        <v>787</v>
      </c>
      <c r="D65" s="26">
        <f>SUM(D66,D73,D77)</f>
        <v>2071695</v>
      </c>
      <c r="E65" s="26">
        <f>SUM(E66,E73,E77)</f>
        <v>93605</v>
      </c>
      <c r="F65" s="27">
        <f>SUM(F66,F73,F77)</f>
        <v>0</v>
      </c>
      <c r="G65" s="27">
        <f>SUM(G66,G73,G77)</f>
        <v>0</v>
      </c>
      <c r="H65" s="27">
        <f>SUM(H66,H73,H77)</f>
        <v>0</v>
      </c>
      <c r="I65" s="27">
        <f>SUM(I66,I73,I77)</f>
        <v>960</v>
      </c>
      <c r="J65" s="27">
        <f>SUM(J66,J73,J77)</f>
        <v>787</v>
      </c>
      <c r="K65" s="27">
        <f>SUM(K66,K73,K77)</f>
        <v>2165300</v>
      </c>
      <c r="L65" s="27">
        <f>SUM(L66,L73,L77)</f>
        <v>10</v>
      </c>
      <c r="M65" s="27">
        <f>SUM(M66,M73,M77)</f>
        <v>10</v>
      </c>
      <c r="N65" s="27">
        <f>SUM(N66,N73,N77)</f>
        <v>741400</v>
      </c>
      <c r="O65" s="27">
        <f>SUM(O66,O73,O77)</f>
        <v>0</v>
      </c>
      <c r="P65" s="27">
        <f>SUM(P66,P73,P77)</f>
        <v>0</v>
      </c>
      <c r="Q65" s="27">
        <f>SUM(Q66,Q73,Q77)</f>
        <v>-633700</v>
      </c>
      <c r="R65" s="27">
        <f>SUM(R66,R73,R77)</f>
        <v>970</v>
      </c>
      <c r="S65" s="27">
        <f>SUM(S66,S73,S77)</f>
        <v>797</v>
      </c>
      <c r="T65" s="27">
        <f>SUM(T66,T73,T77)</f>
        <v>2273000</v>
      </c>
      <c r="V65" s="4"/>
    </row>
    <row r="66" spans="1:22" ht="20.100000000000001" customHeight="1" thickTop="1" x14ac:dyDescent="0.3">
      <c r="A66" s="16" t="s">
        <v>40</v>
      </c>
      <c r="B66" s="27">
        <f>B67+B68+B69+B70+B71+B72</f>
        <v>702</v>
      </c>
      <c r="C66" s="27">
        <f>C67+C68+C69+C70+C71+C72</f>
        <v>601</v>
      </c>
      <c r="D66" s="27">
        <f>D67+D68+D69+D70+D71+D72</f>
        <v>1499300</v>
      </c>
      <c r="E66" s="27">
        <f>E67+E68+E69+E70+E71+E72</f>
        <v>55000</v>
      </c>
      <c r="F66" s="27">
        <f>F67+F68+F69+F70+F71+F72</f>
        <v>0</v>
      </c>
      <c r="G66" s="27">
        <f>G67+G68+G69+G70+G71+G72</f>
        <v>0</v>
      </c>
      <c r="H66" s="27">
        <f>H67+H68+H69+H70+H71+H72</f>
        <v>0</v>
      </c>
      <c r="I66" s="27">
        <f>I67+I68+I69+I70+I71+I72</f>
        <v>702</v>
      </c>
      <c r="J66" s="27">
        <f>J67+J68+J69+J70+J71+J72</f>
        <v>601</v>
      </c>
      <c r="K66" s="27">
        <f>K67+K68+K69+K70+K71+K72</f>
        <v>1554300</v>
      </c>
      <c r="L66" s="27">
        <f>L67+L68+L69+L70+L71+L72</f>
        <v>10</v>
      </c>
      <c r="M66" s="27">
        <f>M67+M68+M69+M70+M71+M72</f>
        <v>10</v>
      </c>
      <c r="N66" s="27">
        <f>N67+N68+N69+N70+N71+N72</f>
        <v>480900</v>
      </c>
      <c r="O66" s="27">
        <f>O67+O68+O69+O70+O71+O72</f>
        <v>0</v>
      </c>
      <c r="P66" s="27">
        <f>P67+P68+P69+P70+P71+P72</f>
        <v>0</v>
      </c>
      <c r="Q66" s="27">
        <f>Q67+Q68+Q69+Q70+Q71+Q72</f>
        <v>-594000</v>
      </c>
      <c r="R66" s="27">
        <f>R67+R68+R69+R70+R71+R72</f>
        <v>712</v>
      </c>
      <c r="S66" s="27">
        <f>S67+S68+S69+S70+S71+S72</f>
        <v>611</v>
      </c>
      <c r="T66" s="27">
        <f>T67+T68+T69+T70+T71+T72</f>
        <v>1441200</v>
      </c>
      <c r="V66" s="4"/>
    </row>
    <row r="67" spans="1:22" ht="20.100000000000001" customHeight="1" x14ac:dyDescent="0.3">
      <c r="A67" s="18" t="s">
        <v>112</v>
      </c>
      <c r="B67" s="10">
        <v>0</v>
      </c>
      <c r="C67" s="10">
        <v>0</v>
      </c>
      <c r="D67" s="11">
        <v>113000</v>
      </c>
      <c r="E67" s="13">
        <v>0</v>
      </c>
      <c r="F67" s="10">
        <v>0</v>
      </c>
      <c r="G67" s="10">
        <v>0</v>
      </c>
      <c r="H67" s="10">
        <v>0</v>
      </c>
      <c r="I67" s="11">
        <f t="shared" ref="I67:J67" si="38">+B67+F67</f>
        <v>0</v>
      </c>
      <c r="J67" s="11">
        <f t="shared" si="38"/>
        <v>0</v>
      </c>
      <c r="K67" s="10">
        <f t="shared" ref="K67:K68" si="39">SUM(D67,H67,E67)</f>
        <v>113000</v>
      </c>
      <c r="L67" s="10">
        <v>0</v>
      </c>
      <c r="M67" s="10">
        <v>0</v>
      </c>
      <c r="N67" s="10">
        <f>14400+9000</f>
        <v>23400</v>
      </c>
      <c r="O67" s="10">
        <v>0</v>
      </c>
      <c r="P67" s="10">
        <v>0</v>
      </c>
      <c r="Q67" s="10">
        <v>-2000</v>
      </c>
      <c r="R67" s="10">
        <f t="shared" ref="R67:T68" si="40">SUM(O67,L67,I67)</f>
        <v>0</v>
      </c>
      <c r="S67" s="10">
        <f t="shared" si="40"/>
        <v>0</v>
      </c>
      <c r="T67" s="10">
        <f t="shared" si="40"/>
        <v>134400</v>
      </c>
      <c r="V67" s="4"/>
    </row>
    <row r="68" spans="1:22" ht="20.100000000000001" customHeight="1" x14ac:dyDescent="0.3">
      <c r="A68" s="6" t="s">
        <v>41</v>
      </c>
      <c r="B68" s="10">
        <v>702</v>
      </c>
      <c r="C68" s="10">
        <f>686-85</f>
        <v>601</v>
      </c>
      <c r="D68" s="10">
        <v>0</v>
      </c>
      <c r="E68" s="13">
        <v>0</v>
      </c>
      <c r="F68" s="10">
        <v>0</v>
      </c>
      <c r="G68" s="10">
        <v>0</v>
      </c>
      <c r="H68" s="10">
        <v>0</v>
      </c>
      <c r="I68" s="11">
        <f>SUM(B68,F68)</f>
        <v>702</v>
      </c>
      <c r="J68" s="11">
        <f>SUM(C68,G68)</f>
        <v>601</v>
      </c>
      <c r="K68" s="10">
        <f t="shared" si="39"/>
        <v>0</v>
      </c>
      <c r="L68" s="10">
        <v>10</v>
      </c>
      <c r="M68" s="10">
        <v>10</v>
      </c>
      <c r="N68" s="10">
        <v>0</v>
      </c>
      <c r="O68" s="10">
        <v>0</v>
      </c>
      <c r="P68" s="10">
        <v>0</v>
      </c>
      <c r="Q68" s="10">
        <v>0</v>
      </c>
      <c r="R68" s="10">
        <f t="shared" si="40"/>
        <v>712</v>
      </c>
      <c r="S68" s="10">
        <f t="shared" si="40"/>
        <v>611</v>
      </c>
      <c r="T68" s="10">
        <f t="shared" si="40"/>
        <v>0</v>
      </c>
      <c r="V68" s="4"/>
    </row>
    <row r="69" spans="1:22" ht="20.100000000000001" customHeight="1" x14ac:dyDescent="0.3">
      <c r="A69" s="18" t="s">
        <v>143</v>
      </c>
      <c r="B69" s="10">
        <v>0</v>
      </c>
      <c r="C69" s="10">
        <v>0</v>
      </c>
      <c r="D69" s="10">
        <v>262500</v>
      </c>
      <c r="E69" s="13">
        <v>0</v>
      </c>
      <c r="F69" s="10">
        <v>0</v>
      </c>
      <c r="G69" s="10">
        <v>0</v>
      </c>
      <c r="H69" s="10">
        <v>0</v>
      </c>
      <c r="I69" s="11">
        <f>+B69+F69</f>
        <v>0</v>
      </c>
      <c r="J69" s="11">
        <f>+C69+G69</f>
        <v>0</v>
      </c>
      <c r="K69" s="10">
        <f t="shared" ref="K69" si="41">SUM(D69,H69,E69)</f>
        <v>262500</v>
      </c>
      <c r="L69" s="10">
        <v>0</v>
      </c>
      <c r="M69" s="10">
        <v>0</v>
      </c>
      <c r="N69" s="10">
        <v>109500</v>
      </c>
      <c r="O69" s="10">
        <v>0</v>
      </c>
      <c r="P69" s="10">
        <v>0</v>
      </c>
      <c r="Q69" s="10">
        <v>-39500</v>
      </c>
      <c r="R69" s="10">
        <f t="shared" ref="R69:T69" si="42">SUM(O69,L69,I69)</f>
        <v>0</v>
      </c>
      <c r="S69" s="10">
        <f t="shared" si="42"/>
        <v>0</v>
      </c>
      <c r="T69" s="10">
        <f t="shared" si="42"/>
        <v>332500</v>
      </c>
      <c r="V69" s="4"/>
    </row>
    <row r="70" spans="1:22" ht="20.100000000000001" customHeight="1" x14ac:dyDescent="0.3">
      <c r="A70" s="18" t="s">
        <v>42</v>
      </c>
      <c r="B70" s="10">
        <v>0</v>
      </c>
      <c r="C70" s="10">
        <v>0</v>
      </c>
      <c r="D70" s="10">
        <v>1162500</v>
      </c>
      <c r="E70" s="13">
        <v>0</v>
      </c>
      <c r="F70" s="10">
        <v>0</v>
      </c>
      <c r="G70" s="10">
        <v>0</v>
      </c>
      <c r="H70" s="10">
        <v>0</v>
      </c>
      <c r="I70" s="11">
        <f t="shared" ref="I70:J72" si="43">+B70+F70</f>
        <v>0</v>
      </c>
      <c r="J70" s="11">
        <f t="shared" si="43"/>
        <v>0</v>
      </c>
      <c r="K70" s="10">
        <f t="shared" ref="K70:K72" si="44">SUM(D70,H70,E70)</f>
        <v>1162500</v>
      </c>
      <c r="L70" s="10">
        <v>0</v>
      </c>
      <c r="M70" s="10">
        <v>0</v>
      </c>
      <c r="N70" s="10">
        <f>254000-5000+99000</f>
        <v>348000</v>
      </c>
      <c r="O70" s="10">
        <v>0</v>
      </c>
      <c r="P70" s="10">
        <v>0</v>
      </c>
      <c r="Q70" s="10">
        <f>-510500+5000</f>
        <v>-505500</v>
      </c>
      <c r="R70" s="10">
        <f t="shared" ref="R70:T72" si="45">SUM(O70,L70,I70)</f>
        <v>0</v>
      </c>
      <c r="S70" s="10">
        <f t="shared" si="45"/>
        <v>0</v>
      </c>
      <c r="T70" s="10">
        <f t="shared" si="45"/>
        <v>1005000</v>
      </c>
      <c r="V70" s="4"/>
    </row>
    <row r="71" spans="1:22" ht="20.100000000000001" customHeight="1" x14ac:dyDescent="0.3">
      <c r="A71" s="6" t="s">
        <v>113</v>
      </c>
      <c r="B71" s="10">
        <v>0</v>
      </c>
      <c r="C71" s="10">
        <v>0</v>
      </c>
      <c r="D71" s="10">
        <v>16300</v>
      </c>
      <c r="E71" s="13">
        <v>0</v>
      </c>
      <c r="F71" s="10">
        <v>0</v>
      </c>
      <c r="G71" s="10">
        <v>0</v>
      </c>
      <c r="H71" s="10">
        <v>0</v>
      </c>
      <c r="I71" s="11">
        <f t="shared" si="43"/>
        <v>0</v>
      </c>
      <c r="J71" s="11">
        <f t="shared" si="43"/>
        <v>0</v>
      </c>
      <c r="K71" s="10">
        <f t="shared" si="44"/>
        <v>16300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f t="shared" si="45"/>
        <v>0</v>
      </c>
      <c r="S71" s="10">
        <f t="shared" si="45"/>
        <v>0</v>
      </c>
      <c r="T71" s="10">
        <f t="shared" si="45"/>
        <v>16300</v>
      </c>
      <c r="V71" s="4"/>
    </row>
    <row r="72" spans="1:22" ht="20.100000000000001" customHeight="1" x14ac:dyDescent="0.3">
      <c r="A72" s="6" t="s">
        <v>43</v>
      </c>
      <c r="B72" s="10">
        <v>0</v>
      </c>
      <c r="C72" s="10">
        <v>0</v>
      </c>
      <c r="D72" s="10">
        <v>-55000</v>
      </c>
      <c r="E72" s="13">
        <v>55000</v>
      </c>
      <c r="F72" s="10">
        <v>0</v>
      </c>
      <c r="G72" s="10">
        <v>0</v>
      </c>
      <c r="H72" s="10">
        <v>0</v>
      </c>
      <c r="I72" s="11">
        <f t="shared" si="43"/>
        <v>0</v>
      </c>
      <c r="J72" s="11">
        <f t="shared" si="43"/>
        <v>0</v>
      </c>
      <c r="K72" s="10">
        <f t="shared" si="44"/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-47000</v>
      </c>
      <c r="R72" s="10">
        <f t="shared" si="45"/>
        <v>0</v>
      </c>
      <c r="S72" s="10">
        <f t="shared" si="45"/>
        <v>0</v>
      </c>
      <c r="T72" s="10">
        <f t="shared" si="45"/>
        <v>-47000</v>
      </c>
      <c r="V72" s="4"/>
    </row>
    <row r="73" spans="1:22" ht="20.100000000000001" customHeight="1" x14ac:dyDescent="0.3">
      <c r="A73" s="16" t="s">
        <v>114</v>
      </c>
      <c r="B73" s="17">
        <f t="shared" ref="B73:T73" si="46">SUM(B74:B76)</f>
        <v>188</v>
      </c>
      <c r="C73" s="17">
        <f t="shared" si="46"/>
        <v>128</v>
      </c>
      <c r="D73" s="17">
        <f t="shared" si="46"/>
        <v>174895</v>
      </c>
      <c r="E73" s="17">
        <f t="shared" si="46"/>
        <v>23605</v>
      </c>
      <c r="F73" s="17">
        <f t="shared" si="46"/>
        <v>0</v>
      </c>
      <c r="G73" s="17">
        <f t="shared" si="46"/>
        <v>0</v>
      </c>
      <c r="H73" s="17">
        <f t="shared" si="46"/>
        <v>0</v>
      </c>
      <c r="I73" s="17">
        <f t="shared" si="46"/>
        <v>188</v>
      </c>
      <c r="J73" s="17">
        <f t="shared" si="46"/>
        <v>128</v>
      </c>
      <c r="K73" s="17">
        <f t="shared" si="46"/>
        <v>198500</v>
      </c>
      <c r="L73" s="17">
        <f t="shared" si="46"/>
        <v>0</v>
      </c>
      <c r="M73" s="17">
        <f t="shared" si="46"/>
        <v>0</v>
      </c>
      <c r="N73" s="17">
        <f t="shared" si="46"/>
        <v>241000</v>
      </c>
      <c r="O73" s="17">
        <f t="shared" si="46"/>
        <v>0</v>
      </c>
      <c r="P73" s="17">
        <f t="shared" si="46"/>
        <v>0</v>
      </c>
      <c r="Q73" s="17">
        <f t="shared" si="46"/>
        <v>-14000</v>
      </c>
      <c r="R73" s="17">
        <f t="shared" si="46"/>
        <v>188</v>
      </c>
      <c r="S73" s="17">
        <f t="shared" si="46"/>
        <v>128</v>
      </c>
      <c r="T73" s="17">
        <f t="shared" si="46"/>
        <v>425500</v>
      </c>
      <c r="V73" s="4"/>
    </row>
    <row r="74" spans="1:22" ht="20.100000000000001" customHeight="1" x14ac:dyDescent="0.3">
      <c r="A74" s="18" t="s">
        <v>115</v>
      </c>
      <c r="B74" s="10">
        <v>0</v>
      </c>
      <c r="C74" s="10">
        <v>0</v>
      </c>
      <c r="D74" s="10">
        <v>198500</v>
      </c>
      <c r="E74" s="13">
        <f>-194108+194108</f>
        <v>0</v>
      </c>
      <c r="F74" s="10">
        <v>0</v>
      </c>
      <c r="G74" s="10">
        <v>0</v>
      </c>
      <c r="H74" s="10">
        <v>0</v>
      </c>
      <c r="I74" s="11">
        <f>+B74+F74</f>
        <v>0</v>
      </c>
      <c r="J74" s="11">
        <f>+C74+G74</f>
        <v>0</v>
      </c>
      <c r="K74" s="10">
        <f t="shared" ref="K74:K76" si="47">SUM(D74,H74,E74)</f>
        <v>198500</v>
      </c>
      <c r="L74" s="10">
        <v>0</v>
      </c>
      <c r="M74" s="10">
        <v>0</v>
      </c>
      <c r="N74" s="10">
        <f>90071+1215-199+149913</f>
        <v>241000</v>
      </c>
      <c r="O74" s="10">
        <v>0</v>
      </c>
      <c r="P74" s="10">
        <v>0</v>
      </c>
      <c r="Q74" s="10">
        <f>-199+199</f>
        <v>0</v>
      </c>
      <c r="R74" s="10">
        <f t="shared" ref="R74:T76" si="48">SUM(O74,L74,I74)</f>
        <v>0</v>
      </c>
      <c r="S74" s="10">
        <f t="shared" si="48"/>
        <v>0</v>
      </c>
      <c r="T74" s="10">
        <f t="shared" si="48"/>
        <v>439500</v>
      </c>
      <c r="V74" s="4"/>
    </row>
    <row r="75" spans="1:22" ht="20.100000000000001" customHeight="1" x14ac:dyDescent="0.3">
      <c r="A75" s="18" t="s">
        <v>44</v>
      </c>
      <c r="B75" s="10">
        <v>188</v>
      </c>
      <c r="C75" s="10">
        <f>164-36</f>
        <v>128</v>
      </c>
      <c r="D75" s="10">
        <v>0</v>
      </c>
      <c r="E75" s="13">
        <f>2850-2850</f>
        <v>0</v>
      </c>
      <c r="F75" s="10">
        <v>0</v>
      </c>
      <c r="G75" s="10">
        <v>0</v>
      </c>
      <c r="H75" s="10">
        <v>0</v>
      </c>
      <c r="I75" s="11">
        <f>SUM(B75,F75)</f>
        <v>188</v>
      </c>
      <c r="J75" s="11">
        <f>SUM(C75,G75)</f>
        <v>128</v>
      </c>
      <c r="K75" s="10">
        <f t="shared" si="47"/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f t="shared" si="48"/>
        <v>188</v>
      </c>
      <c r="S75" s="10">
        <f t="shared" si="48"/>
        <v>128</v>
      </c>
      <c r="T75" s="10">
        <f t="shared" si="48"/>
        <v>0</v>
      </c>
      <c r="V75" s="4"/>
    </row>
    <row r="76" spans="1:22" ht="20.100000000000001" customHeight="1" x14ac:dyDescent="0.3">
      <c r="A76" s="18" t="s">
        <v>116</v>
      </c>
      <c r="B76" s="10">
        <v>0</v>
      </c>
      <c r="C76" s="10">
        <v>0</v>
      </c>
      <c r="D76" s="10">
        <v>-23605</v>
      </c>
      <c r="E76" s="13">
        <v>23605</v>
      </c>
      <c r="F76" s="10">
        <v>0</v>
      </c>
      <c r="G76" s="10">
        <v>0</v>
      </c>
      <c r="H76" s="10">
        <v>0</v>
      </c>
      <c r="I76" s="11">
        <f>+B76+F76</f>
        <v>0</v>
      </c>
      <c r="J76" s="11">
        <f>+C76+G76</f>
        <v>0</v>
      </c>
      <c r="K76" s="10">
        <f t="shared" si="47"/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-14000</v>
      </c>
      <c r="R76" s="10">
        <f t="shared" si="48"/>
        <v>0</v>
      </c>
      <c r="S76" s="10">
        <f t="shared" si="48"/>
        <v>0</v>
      </c>
      <c r="T76" s="10">
        <f t="shared" si="48"/>
        <v>-14000</v>
      </c>
      <c r="V76" s="4"/>
    </row>
    <row r="77" spans="1:22" ht="20.100000000000001" customHeight="1" x14ac:dyDescent="0.3">
      <c r="A77" s="16" t="s">
        <v>117</v>
      </c>
      <c r="B77" s="22">
        <f t="shared" ref="B77:D77" si="49">SUM(B78:B80)</f>
        <v>70</v>
      </c>
      <c r="C77" s="22">
        <f t="shared" si="49"/>
        <v>58</v>
      </c>
      <c r="D77" s="22">
        <f t="shared" si="49"/>
        <v>397500</v>
      </c>
      <c r="E77" s="23">
        <f t="shared" ref="E77:Q77" si="50">SUM(E78:E80)</f>
        <v>15000</v>
      </c>
      <c r="F77" s="22">
        <f t="shared" si="50"/>
        <v>0</v>
      </c>
      <c r="G77" s="22">
        <f t="shared" si="50"/>
        <v>0</v>
      </c>
      <c r="H77" s="22">
        <f t="shared" si="50"/>
        <v>0</v>
      </c>
      <c r="I77" s="23">
        <f t="shared" si="50"/>
        <v>70</v>
      </c>
      <c r="J77" s="23">
        <f t="shared" si="50"/>
        <v>58</v>
      </c>
      <c r="K77" s="22">
        <f t="shared" si="50"/>
        <v>412500</v>
      </c>
      <c r="L77" s="22">
        <f t="shared" si="50"/>
        <v>0</v>
      </c>
      <c r="M77" s="22">
        <f t="shared" si="50"/>
        <v>0</v>
      </c>
      <c r="N77" s="22">
        <f t="shared" si="50"/>
        <v>19500</v>
      </c>
      <c r="O77" s="22">
        <f t="shared" si="50"/>
        <v>0</v>
      </c>
      <c r="P77" s="22">
        <f t="shared" si="50"/>
        <v>0</v>
      </c>
      <c r="Q77" s="22">
        <f t="shared" si="50"/>
        <v>-25700</v>
      </c>
      <c r="R77" s="22">
        <f>SUM(R78:R79)</f>
        <v>70</v>
      </c>
      <c r="S77" s="22">
        <f>SUM(S78:S79)</f>
        <v>58</v>
      </c>
      <c r="T77" s="22">
        <f>SUM(T78:T80)</f>
        <v>406300</v>
      </c>
      <c r="V77" s="4"/>
    </row>
    <row r="78" spans="1:22" ht="20.100000000000001" customHeight="1" x14ac:dyDescent="0.3">
      <c r="A78" s="18" t="s">
        <v>118</v>
      </c>
      <c r="B78" s="10">
        <v>0</v>
      </c>
      <c r="C78" s="10">
        <v>0</v>
      </c>
      <c r="D78" s="10">
        <v>412500</v>
      </c>
      <c r="E78" s="11">
        <v>0</v>
      </c>
      <c r="F78" s="10">
        <v>0</v>
      </c>
      <c r="G78" s="10">
        <v>0</v>
      </c>
      <c r="H78" s="10">
        <v>0</v>
      </c>
      <c r="I78" s="11">
        <f>+B78+F78</f>
        <v>0</v>
      </c>
      <c r="J78" s="11">
        <f>+C78+G78</f>
        <v>0</v>
      </c>
      <c r="K78" s="10">
        <f t="shared" ref="K78:K80" si="51">SUM(D78,H78,E78)</f>
        <v>412500</v>
      </c>
      <c r="L78" s="10">
        <v>0</v>
      </c>
      <c r="M78" s="10">
        <v>0</v>
      </c>
      <c r="N78" s="10">
        <v>19500</v>
      </c>
      <c r="O78" s="10">
        <v>0</v>
      </c>
      <c r="P78" s="10">
        <v>0</v>
      </c>
      <c r="Q78" s="10">
        <v>-19500</v>
      </c>
      <c r="R78" s="10">
        <f t="shared" ref="R78:T80" si="52">SUM(O78,L78,I78)</f>
        <v>0</v>
      </c>
      <c r="S78" s="10">
        <f t="shared" si="52"/>
        <v>0</v>
      </c>
      <c r="T78" s="10">
        <f t="shared" si="52"/>
        <v>412500</v>
      </c>
      <c r="V78" s="4"/>
    </row>
    <row r="79" spans="1:22" ht="20.100000000000001" customHeight="1" x14ac:dyDescent="0.3">
      <c r="A79" s="18" t="s">
        <v>45</v>
      </c>
      <c r="B79" s="10">
        <v>70</v>
      </c>
      <c r="C79" s="10">
        <f>70-12</f>
        <v>58</v>
      </c>
      <c r="D79" s="10">
        <v>0</v>
      </c>
      <c r="E79" s="11">
        <f>7027-7027</f>
        <v>0</v>
      </c>
      <c r="F79" s="10">
        <f>-26+26+32-32</f>
        <v>0</v>
      </c>
      <c r="G79" s="10">
        <f>11-22+11+16-16</f>
        <v>0</v>
      </c>
      <c r="H79" s="10">
        <v>0</v>
      </c>
      <c r="I79" s="11">
        <f>SUM(B79,F79)</f>
        <v>70</v>
      </c>
      <c r="J79" s="11">
        <f>SUM(C79,G79)</f>
        <v>58</v>
      </c>
      <c r="K79" s="10">
        <f t="shared" si="51"/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f t="shared" si="52"/>
        <v>70</v>
      </c>
      <c r="S79" s="10">
        <f t="shared" si="52"/>
        <v>58</v>
      </c>
      <c r="T79" s="10">
        <f t="shared" si="52"/>
        <v>0</v>
      </c>
      <c r="V79" s="4"/>
    </row>
    <row r="80" spans="1:22" ht="20.100000000000001" customHeight="1" thickBot="1" x14ac:dyDescent="0.35">
      <c r="A80" s="18" t="s">
        <v>119</v>
      </c>
      <c r="B80" s="10">
        <v>0</v>
      </c>
      <c r="C80" s="10">
        <v>0</v>
      </c>
      <c r="D80" s="10">
        <v>-15000</v>
      </c>
      <c r="E80" s="11">
        <v>15000</v>
      </c>
      <c r="F80" s="10">
        <v>0</v>
      </c>
      <c r="G80" s="10">
        <v>0</v>
      </c>
      <c r="H80" s="10">
        <v>0</v>
      </c>
      <c r="I80" s="11">
        <f>SUM(B80,F80)</f>
        <v>0</v>
      </c>
      <c r="J80" s="11">
        <f>SUM(C80,G80)</f>
        <v>0</v>
      </c>
      <c r="K80" s="10">
        <f t="shared" si="51"/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-6200</v>
      </c>
      <c r="R80" s="10">
        <f t="shared" si="52"/>
        <v>0</v>
      </c>
      <c r="S80" s="10">
        <f t="shared" si="52"/>
        <v>0</v>
      </c>
      <c r="T80" s="10">
        <f t="shared" si="52"/>
        <v>-6200</v>
      </c>
      <c r="V80" s="4"/>
    </row>
    <row r="81" spans="1:22" ht="20.100000000000001" customHeight="1" thickTop="1" thickBot="1" x14ac:dyDescent="0.35">
      <c r="A81" s="24" t="s">
        <v>46</v>
      </c>
      <c r="B81" s="25">
        <f>+B65+B64</f>
        <v>113543</v>
      </c>
      <c r="C81" s="25">
        <f>+C65+C64</f>
        <v>114285</v>
      </c>
      <c r="D81" s="28">
        <f>+D65+D64</f>
        <v>27212333</v>
      </c>
      <c r="E81" s="28">
        <f>+E65+E64</f>
        <v>186805</v>
      </c>
      <c r="F81" s="28">
        <f>+F65+F64</f>
        <v>10</v>
      </c>
      <c r="G81" s="28">
        <f>+G65+G64</f>
        <v>480</v>
      </c>
      <c r="H81" s="28">
        <f>+H65+H64</f>
        <v>445452</v>
      </c>
      <c r="I81" s="28">
        <f>+I65+I64</f>
        <v>113553</v>
      </c>
      <c r="J81" s="28">
        <f>+J65+J64</f>
        <v>114765</v>
      </c>
      <c r="K81" s="28">
        <f>+K65+K64</f>
        <v>27844590</v>
      </c>
      <c r="L81" s="29">
        <f>+L65+L64</f>
        <v>3749</v>
      </c>
      <c r="M81" s="29">
        <f>+M65+M64</f>
        <v>1445</v>
      </c>
      <c r="N81" s="29">
        <f>+N65+N64</f>
        <v>1363180</v>
      </c>
      <c r="O81" s="29">
        <f>+O65+O64</f>
        <v>-790</v>
      </c>
      <c r="P81" s="29">
        <f>+P65+P64</f>
        <v>-17</v>
      </c>
      <c r="Q81" s="29">
        <f>+Q65+Q64</f>
        <v>-1195136</v>
      </c>
      <c r="R81" s="29">
        <f>+R65+R64</f>
        <v>116512</v>
      </c>
      <c r="S81" s="29">
        <f>+S65+S64</f>
        <v>116193</v>
      </c>
      <c r="T81" s="29">
        <f>+T65+T64</f>
        <v>28012634</v>
      </c>
      <c r="V81" s="4"/>
    </row>
    <row r="82" spans="1:22" s="9" customFormat="1" ht="23.25" customHeight="1" thickTop="1" x14ac:dyDescent="0.3">
      <c r="A82" s="18" t="s">
        <v>47</v>
      </c>
      <c r="B82" s="30"/>
      <c r="C82" s="30"/>
      <c r="D82" s="31"/>
      <c r="E82" s="32"/>
      <c r="F82" s="31"/>
      <c r="G82" s="31"/>
      <c r="H82" s="31"/>
      <c r="I82" s="31"/>
      <c r="J82" s="31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15"/>
      <c r="V82" s="34"/>
    </row>
    <row r="83" spans="1:22" ht="20.100000000000001" customHeight="1" x14ac:dyDescent="0.3">
      <c r="A83" s="18" t="s">
        <v>120</v>
      </c>
      <c r="B83" s="10">
        <v>0</v>
      </c>
      <c r="C83" s="10">
        <v>0</v>
      </c>
      <c r="D83" s="10">
        <v>-110000</v>
      </c>
      <c r="E83" s="13">
        <v>7700</v>
      </c>
      <c r="F83" s="10">
        <v>0</v>
      </c>
      <c r="G83" s="10">
        <v>0</v>
      </c>
      <c r="H83" s="10">
        <v>0</v>
      </c>
      <c r="I83" s="11">
        <f>+B83+F83</f>
        <v>0</v>
      </c>
      <c r="J83" s="11">
        <f>+C83+G83</f>
        <v>0</v>
      </c>
      <c r="K83" s="10">
        <f t="shared" ref="K83:K84" si="53">SUM(D83,H83,E83)</f>
        <v>-102300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f t="shared" ref="R83:T84" si="54">SUM(O83,L83,I83)</f>
        <v>0</v>
      </c>
      <c r="S83" s="10">
        <f t="shared" si="54"/>
        <v>0</v>
      </c>
      <c r="T83" s="10">
        <f t="shared" si="54"/>
        <v>-102300</v>
      </c>
      <c r="V83" s="4"/>
    </row>
    <row r="84" spans="1:22" ht="20.100000000000001" customHeight="1" thickBot="1" x14ac:dyDescent="0.35">
      <c r="A84" s="18" t="s">
        <v>48</v>
      </c>
      <c r="B84" s="10">
        <v>0</v>
      </c>
      <c r="C84" s="10">
        <v>0</v>
      </c>
      <c r="D84" s="10">
        <v>-281829</v>
      </c>
      <c r="E84" s="13">
        <f>20339</f>
        <v>20339</v>
      </c>
      <c r="F84" s="10">
        <v>0</v>
      </c>
      <c r="G84" s="10">
        <v>0</v>
      </c>
      <c r="H84" s="10">
        <v>0</v>
      </c>
      <c r="I84" s="11">
        <f>+B84+F84</f>
        <v>0</v>
      </c>
      <c r="J84" s="11">
        <f>+C84+G84</f>
        <v>0</v>
      </c>
      <c r="K84" s="10">
        <f t="shared" si="53"/>
        <v>-261490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f t="shared" si="54"/>
        <v>0</v>
      </c>
      <c r="S84" s="10">
        <f t="shared" si="54"/>
        <v>0</v>
      </c>
      <c r="T84" s="10">
        <f t="shared" si="54"/>
        <v>-261490</v>
      </c>
      <c r="V84" s="4"/>
    </row>
    <row r="85" spans="1:22" ht="20.100000000000001" customHeight="1" thickTop="1" thickBot="1" x14ac:dyDescent="0.35">
      <c r="A85" s="24" t="s">
        <v>121</v>
      </c>
      <c r="B85" s="25">
        <f>SUM(B83:B84)</f>
        <v>0</v>
      </c>
      <c r="C85" s="25">
        <f t="shared" ref="C85:T85" si="55">SUM(C83:C84)</f>
        <v>0</v>
      </c>
      <c r="D85" s="25">
        <f t="shared" si="55"/>
        <v>-391829</v>
      </c>
      <c r="E85" s="25">
        <f t="shared" si="55"/>
        <v>28039</v>
      </c>
      <c r="F85" s="25">
        <f t="shared" si="55"/>
        <v>0</v>
      </c>
      <c r="G85" s="25">
        <f t="shared" si="55"/>
        <v>0</v>
      </c>
      <c r="H85" s="25">
        <f t="shared" si="55"/>
        <v>0</v>
      </c>
      <c r="I85" s="25">
        <f t="shared" si="55"/>
        <v>0</v>
      </c>
      <c r="J85" s="25">
        <f t="shared" si="55"/>
        <v>0</v>
      </c>
      <c r="K85" s="25">
        <f t="shared" si="55"/>
        <v>-363790</v>
      </c>
      <c r="L85" s="25">
        <f t="shared" si="55"/>
        <v>0</v>
      </c>
      <c r="M85" s="25">
        <f t="shared" si="55"/>
        <v>0</v>
      </c>
      <c r="N85" s="25">
        <f t="shared" si="55"/>
        <v>0</v>
      </c>
      <c r="O85" s="25">
        <f t="shared" si="55"/>
        <v>0</v>
      </c>
      <c r="P85" s="25">
        <f t="shared" si="55"/>
        <v>0</v>
      </c>
      <c r="Q85" s="25">
        <f t="shared" si="55"/>
        <v>0</v>
      </c>
      <c r="R85" s="25">
        <f t="shared" si="55"/>
        <v>0</v>
      </c>
      <c r="S85" s="25">
        <f t="shared" si="55"/>
        <v>0</v>
      </c>
      <c r="T85" s="25">
        <f t="shared" si="55"/>
        <v>-363790</v>
      </c>
      <c r="V85" s="4"/>
    </row>
    <row r="86" spans="1:22" ht="20.100000000000001" customHeight="1" thickTop="1" thickBot="1" x14ac:dyDescent="0.35">
      <c r="A86" s="24" t="s">
        <v>49</v>
      </c>
      <c r="B86" s="25">
        <f>+B85+B81</f>
        <v>113543</v>
      </c>
      <c r="C86" s="25">
        <f t="shared" ref="C86:T86" si="56">+C85+C81</f>
        <v>114285</v>
      </c>
      <c r="D86" s="25">
        <f t="shared" si="56"/>
        <v>26820504</v>
      </c>
      <c r="E86" s="25">
        <f t="shared" si="56"/>
        <v>214844</v>
      </c>
      <c r="F86" s="25">
        <f t="shared" si="56"/>
        <v>10</v>
      </c>
      <c r="G86" s="25">
        <f t="shared" si="56"/>
        <v>480</v>
      </c>
      <c r="H86" s="25">
        <f t="shared" si="56"/>
        <v>445452</v>
      </c>
      <c r="I86" s="25">
        <f t="shared" si="56"/>
        <v>113553</v>
      </c>
      <c r="J86" s="25">
        <f t="shared" si="56"/>
        <v>114765</v>
      </c>
      <c r="K86" s="25">
        <f t="shared" si="56"/>
        <v>27480800</v>
      </c>
      <c r="L86" s="25">
        <f t="shared" si="56"/>
        <v>3749</v>
      </c>
      <c r="M86" s="25">
        <f t="shared" si="56"/>
        <v>1445</v>
      </c>
      <c r="N86" s="25">
        <f t="shared" si="56"/>
        <v>1363180</v>
      </c>
      <c r="O86" s="25">
        <f t="shared" si="56"/>
        <v>-790</v>
      </c>
      <c r="P86" s="25">
        <f t="shared" si="56"/>
        <v>-17</v>
      </c>
      <c r="Q86" s="25">
        <f t="shared" si="56"/>
        <v>-1195136</v>
      </c>
      <c r="R86" s="25">
        <f t="shared" si="56"/>
        <v>116512</v>
      </c>
      <c r="S86" s="25">
        <f t="shared" si="56"/>
        <v>116193</v>
      </c>
      <c r="T86" s="25">
        <f t="shared" si="56"/>
        <v>27648844</v>
      </c>
      <c r="V86" s="1"/>
    </row>
    <row r="87" spans="1:22" ht="20.100000000000001" customHeight="1" thickTop="1" x14ac:dyDescent="0.3">
      <c r="A87" s="18" t="s">
        <v>122</v>
      </c>
      <c r="B87" s="10">
        <v>0</v>
      </c>
      <c r="C87" s="10">
        <v>0</v>
      </c>
      <c r="D87" s="11" t="s">
        <v>50</v>
      </c>
      <c r="E87" s="11">
        <v>0</v>
      </c>
      <c r="F87" s="10">
        <v>0</v>
      </c>
      <c r="G87" s="10">
        <v>0</v>
      </c>
      <c r="H87" s="10">
        <v>0</v>
      </c>
      <c r="I87" s="11">
        <f>+B87+F87</f>
        <v>0</v>
      </c>
      <c r="J87" s="11">
        <f>+C87+G87</f>
        <v>0</v>
      </c>
      <c r="K87" s="11" t="s">
        <v>50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-10631000</v>
      </c>
      <c r="R87" s="10">
        <f t="shared" ref="R87:S88" si="57">+O87+L87+I87</f>
        <v>0</v>
      </c>
      <c r="S87" s="10">
        <f t="shared" si="57"/>
        <v>0</v>
      </c>
      <c r="T87" s="10">
        <f t="shared" ref="T87:T88" si="58">SUM(Q87,N87,K87)</f>
        <v>-10631000</v>
      </c>
      <c r="V87" s="4"/>
    </row>
    <row r="88" spans="1:22" ht="20.100000000000001" customHeight="1" thickBot="1" x14ac:dyDescent="0.35">
      <c r="A88" s="18" t="s">
        <v>123</v>
      </c>
      <c r="B88" s="10">
        <v>0</v>
      </c>
      <c r="C88" s="10">
        <v>0</v>
      </c>
      <c r="D88" s="11" t="s">
        <v>51</v>
      </c>
      <c r="E88" s="35">
        <v>0</v>
      </c>
      <c r="F88" s="10">
        <v>0</v>
      </c>
      <c r="G88" s="10">
        <v>0</v>
      </c>
      <c r="H88" s="10">
        <v>0</v>
      </c>
      <c r="I88" s="11">
        <f>+B88+F88</f>
        <v>0</v>
      </c>
      <c r="J88" s="11">
        <f>+C88+G88</f>
        <v>0</v>
      </c>
      <c r="K88" s="11" t="s">
        <v>51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-675000</v>
      </c>
      <c r="R88" s="10">
        <f t="shared" si="57"/>
        <v>0</v>
      </c>
      <c r="S88" s="10">
        <f t="shared" si="57"/>
        <v>0</v>
      </c>
      <c r="T88" s="10">
        <f t="shared" si="58"/>
        <v>-675000</v>
      </c>
      <c r="V88" s="4"/>
    </row>
    <row r="89" spans="1:22" ht="20.100000000000001" customHeight="1" thickTop="1" thickBot="1" x14ac:dyDescent="0.35">
      <c r="A89" s="24" t="s">
        <v>124</v>
      </c>
      <c r="B89" s="36">
        <f>+B88+B87</f>
        <v>0</v>
      </c>
      <c r="C89" s="36">
        <f>+C88+C87</f>
        <v>0</v>
      </c>
      <c r="D89" s="36" t="s">
        <v>50</v>
      </c>
      <c r="E89" s="36">
        <f>+E88+E87</f>
        <v>0</v>
      </c>
      <c r="F89" s="36">
        <f>+F88+F87</f>
        <v>0</v>
      </c>
      <c r="G89" s="36">
        <f>+G88+G87</f>
        <v>0</v>
      </c>
      <c r="H89" s="36">
        <f>+H88+H87</f>
        <v>0</v>
      </c>
      <c r="I89" s="36">
        <f>+I88+I87</f>
        <v>0</v>
      </c>
      <c r="J89" s="36">
        <f>+J88+J87</f>
        <v>0</v>
      </c>
      <c r="K89" s="36" t="s">
        <v>50</v>
      </c>
      <c r="L89" s="36">
        <f>+L88+L87</f>
        <v>0</v>
      </c>
      <c r="M89" s="36">
        <f>+M88+M87</f>
        <v>0</v>
      </c>
      <c r="N89" s="36">
        <f>+N88+N87</f>
        <v>0</v>
      </c>
      <c r="O89" s="36">
        <f>+O88+O87</f>
        <v>0</v>
      </c>
      <c r="P89" s="36">
        <f>+P88+P87</f>
        <v>0</v>
      </c>
      <c r="Q89" s="36">
        <f>+Q88+Q87</f>
        <v>-11306000</v>
      </c>
      <c r="R89" s="36">
        <f>+R88+R87</f>
        <v>0</v>
      </c>
      <c r="S89" s="36">
        <f>+S88+S87</f>
        <v>0</v>
      </c>
      <c r="T89" s="36">
        <f>+T88+T87</f>
        <v>-11306000</v>
      </c>
      <c r="V89" s="4"/>
    </row>
    <row r="90" spans="1:22" ht="20.100000000000001" customHeight="1" thickTop="1" thickBot="1" x14ac:dyDescent="0.35">
      <c r="A90" s="24" t="s">
        <v>125</v>
      </c>
      <c r="B90" s="29">
        <f>+B89+B86</f>
        <v>113543</v>
      </c>
      <c r="C90" s="29">
        <f>+C89+C86</f>
        <v>114285</v>
      </c>
      <c r="D90" s="29">
        <f>D86</f>
        <v>26820504</v>
      </c>
      <c r="E90" s="29">
        <f>+E89+E86</f>
        <v>214844</v>
      </c>
      <c r="F90" s="29">
        <f>+F89+F86</f>
        <v>10</v>
      </c>
      <c r="G90" s="29">
        <f>+G89+G86</f>
        <v>480</v>
      </c>
      <c r="H90" s="29">
        <f>+H89+H86</f>
        <v>445452</v>
      </c>
      <c r="I90" s="29">
        <f>+I89+I86</f>
        <v>113553</v>
      </c>
      <c r="J90" s="29">
        <f>+J89+J86</f>
        <v>114765</v>
      </c>
      <c r="K90" s="29">
        <f>K86</f>
        <v>27480800</v>
      </c>
      <c r="L90" s="29">
        <f>+L89+L86</f>
        <v>3749</v>
      </c>
      <c r="M90" s="29">
        <f>+M89+M86</f>
        <v>1445</v>
      </c>
      <c r="N90" s="29">
        <f>+N89+N86</f>
        <v>1363180</v>
      </c>
      <c r="O90" s="29">
        <f>+O89+O86</f>
        <v>-790</v>
      </c>
      <c r="P90" s="29">
        <f>+P89+P86</f>
        <v>-17</v>
      </c>
      <c r="Q90" s="29">
        <f>+Q89+Q86</f>
        <v>-12501136</v>
      </c>
      <c r="R90" s="29">
        <f>+R89+R86</f>
        <v>116512</v>
      </c>
      <c r="S90" s="29">
        <f>+S89+S86</f>
        <v>116193</v>
      </c>
      <c r="T90" s="29">
        <f>+T89+T86</f>
        <v>16342844</v>
      </c>
      <c r="V90" s="4"/>
    </row>
    <row r="91" spans="1:22" ht="20.100000000000001" customHeight="1" thickTop="1" x14ac:dyDescent="0.3">
      <c r="A91" s="18" t="s">
        <v>52</v>
      </c>
      <c r="B91" s="10"/>
      <c r="C91" s="10"/>
      <c r="D91" s="10"/>
      <c r="E91" s="11"/>
      <c r="F91" s="10"/>
      <c r="G91" s="10"/>
      <c r="H91" s="10"/>
      <c r="I91" s="11"/>
      <c r="J91" s="11" t="s">
        <v>14</v>
      </c>
      <c r="K91" s="10" t="s">
        <v>14</v>
      </c>
      <c r="L91" s="10"/>
      <c r="M91" s="10"/>
      <c r="N91" s="10"/>
      <c r="O91" s="10"/>
      <c r="P91" s="10"/>
      <c r="Q91" s="10"/>
      <c r="R91" s="10"/>
      <c r="S91" s="10"/>
      <c r="T91" s="10"/>
      <c r="V91" s="4"/>
    </row>
    <row r="92" spans="1:22" ht="20.100000000000001" customHeight="1" x14ac:dyDescent="0.3">
      <c r="A92" s="18" t="s">
        <v>126</v>
      </c>
      <c r="B92" s="10">
        <v>0</v>
      </c>
      <c r="C92" s="10">
        <v>0</v>
      </c>
      <c r="D92" s="10">
        <v>270000</v>
      </c>
      <c r="E92" s="13">
        <f>101700-101700</f>
        <v>0</v>
      </c>
      <c r="F92" s="10">
        <v>0</v>
      </c>
      <c r="G92" s="10">
        <v>0</v>
      </c>
      <c r="H92" s="10">
        <v>0</v>
      </c>
      <c r="I92" s="11">
        <f t="shared" ref="I92:J102" si="59">+B92+F92</f>
        <v>0</v>
      </c>
      <c r="J92" s="11">
        <f t="shared" si="59"/>
        <v>0</v>
      </c>
      <c r="K92" s="10">
        <f t="shared" ref="K92:K103" si="60">SUM(D92,H92,E92)</f>
        <v>270000</v>
      </c>
      <c r="L92" s="10">
        <v>0</v>
      </c>
      <c r="M92" s="10">
        <v>0</v>
      </c>
      <c r="N92" s="11" t="s">
        <v>53</v>
      </c>
      <c r="O92" s="10">
        <v>0</v>
      </c>
      <c r="P92" s="10">
        <v>0</v>
      </c>
      <c r="Q92" s="10">
        <v>0</v>
      </c>
      <c r="R92" s="10">
        <f t="shared" ref="R92:S98" si="61">+O92+L92+I92</f>
        <v>0</v>
      </c>
      <c r="S92" s="10">
        <f t="shared" si="61"/>
        <v>0</v>
      </c>
      <c r="T92" s="10">
        <f t="shared" ref="T92:T103" si="62">SUM(Q92,N92,K92)</f>
        <v>270000</v>
      </c>
      <c r="V92" s="4"/>
    </row>
    <row r="93" spans="1:22" ht="20.100000000000001" customHeight="1" x14ac:dyDescent="0.3">
      <c r="A93" s="18" t="s">
        <v>127</v>
      </c>
      <c r="B93" s="10">
        <v>0</v>
      </c>
      <c r="C93" s="10">
        <v>0</v>
      </c>
      <c r="D93" s="10">
        <v>500</v>
      </c>
      <c r="E93" s="13">
        <v>0</v>
      </c>
      <c r="F93" s="10">
        <v>0</v>
      </c>
      <c r="G93" s="10">
        <v>0</v>
      </c>
      <c r="H93" s="10">
        <v>0</v>
      </c>
      <c r="I93" s="11">
        <f t="shared" si="59"/>
        <v>0</v>
      </c>
      <c r="J93" s="11">
        <f t="shared" si="59"/>
        <v>0</v>
      </c>
      <c r="K93" s="10">
        <f t="shared" si="60"/>
        <v>500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f t="shared" si="61"/>
        <v>0</v>
      </c>
      <c r="S93" s="10">
        <f t="shared" si="61"/>
        <v>0</v>
      </c>
      <c r="T93" s="10">
        <f t="shared" si="62"/>
        <v>500</v>
      </c>
      <c r="V93" s="4"/>
    </row>
    <row r="94" spans="1:22" ht="20.100000000000001" customHeight="1" x14ac:dyDescent="0.3">
      <c r="A94" s="18" t="s">
        <v>54</v>
      </c>
      <c r="B94" s="10">
        <v>0</v>
      </c>
      <c r="C94" s="10">
        <v>0</v>
      </c>
      <c r="D94" s="10">
        <f>60000+34000</f>
        <v>94000</v>
      </c>
      <c r="E94" s="13">
        <v>0</v>
      </c>
      <c r="F94" s="10">
        <v>0</v>
      </c>
      <c r="G94" s="10">
        <v>0</v>
      </c>
      <c r="H94" s="10">
        <f>22000-34000</f>
        <v>-12000</v>
      </c>
      <c r="I94" s="11">
        <f t="shared" si="59"/>
        <v>0</v>
      </c>
      <c r="J94" s="11">
        <f t="shared" si="59"/>
        <v>0</v>
      </c>
      <c r="K94" s="10">
        <f t="shared" si="60"/>
        <v>82000</v>
      </c>
      <c r="L94" s="10">
        <v>0</v>
      </c>
      <c r="M94" s="10">
        <v>0</v>
      </c>
      <c r="N94" s="11">
        <v>0</v>
      </c>
      <c r="O94" s="10">
        <v>0</v>
      </c>
      <c r="P94" s="10">
        <v>0</v>
      </c>
      <c r="Q94" s="10">
        <v>0</v>
      </c>
      <c r="R94" s="10">
        <f t="shared" si="61"/>
        <v>0</v>
      </c>
      <c r="S94" s="10">
        <f t="shared" si="61"/>
        <v>0</v>
      </c>
      <c r="T94" s="10">
        <f t="shared" si="62"/>
        <v>82000</v>
      </c>
      <c r="V94" s="4"/>
    </row>
    <row r="95" spans="1:22" ht="20.100000000000001" customHeight="1" x14ac:dyDescent="0.3">
      <c r="A95" s="18" t="s">
        <v>128</v>
      </c>
      <c r="B95" s="10">
        <v>0</v>
      </c>
      <c r="C95" s="10">
        <v>0</v>
      </c>
      <c r="D95" s="10">
        <f>65000-3000</f>
        <v>62000</v>
      </c>
      <c r="E95" s="13">
        <v>0</v>
      </c>
      <c r="F95" s="10">
        <v>0</v>
      </c>
      <c r="G95" s="10">
        <v>0</v>
      </c>
      <c r="H95" s="10">
        <v>0</v>
      </c>
      <c r="I95" s="11">
        <f t="shared" si="59"/>
        <v>0</v>
      </c>
      <c r="J95" s="11">
        <f t="shared" si="59"/>
        <v>0</v>
      </c>
      <c r="K95" s="10">
        <f t="shared" si="60"/>
        <v>62000</v>
      </c>
      <c r="L95" s="10">
        <v>0</v>
      </c>
      <c r="M95" s="10">
        <v>0</v>
      </c>
      <c r="N95" s="10">
        <f>3000+16300-16300</f>
        <v>3000</v>
      </c>
      <c r="O95" s="10">
        <v>0</v>
      </c>
      <c r="P95" s="10">
        <v>0</v>
      </c>
      <c r="Q95" s="10">
        <v>0</v>
      </c>
      <c r="R95" s="10">
        <f t="shared" si="61"/>
        <v>0</v>
      </c>
      <c r="S95" s="10">
        <f t="shared" si="61"/>
        <v>0</v>
      </c>
      <c r="T95" s="10">
        <f t="shared" si="62"/>
        <v>65000</v>
      </c>
      <c r="V95" s="4"/>
    </row>
    <row r="96" spans="1:22" ht="20.100000000000001" customHeight="1" x14ac:dyDescent="0.3">
      <c r="A96" s="18" t="s">
        <v>129</v>
      </c>
      <c r="B96" s="11" t="s">
        <v>55</v>
      </c>
      <c r="C96" s="10">
        <f>23-1</f>
        <v>22</v>
      </c>
      <c r="D96" s="10">
        <f>3706158+774599</f>
        <v>4480757</v>
      </c>
      <c r="E96" s="14">
        <v>0</v>
      </c>
      <c r="F96" s="10">
        <v>23</v>
      </c>
      <c r="G96" s="10">
        <v>0</v>
      </c>
      <c r="H96" s="10">
        <v>0</v>
      </c>
      <c r="I96" s="37">
        <v>23</v>
      </c>
      <c r="J96" s="11">
        <f t="shared" si="59"/>
        <v>22</v>
      </c>
      <c r="K96" s="10">
        <f t="shared" si="60"/>
        <v>4480757</v>
      </c>
      <c r="L96" s="11">
        <v>0</v>
      </c>
      <c r="M96" s="10">
        <v>0</v>
      </c>
      <c r="N96" s="10">
        <v>0</v>
      </c>
      <c r="O96" s="10">
        <v>0</v>
      </c>
      <c r="P96" s="10">
        <v>0</v>
      </c>
      <c r="Q96" s="10">
        <f>-2319162+170000-774599</f>
        <v>-2923761</v>
      </c>
      <c r="R96" s="10">
        <f t="shared" si="61"/>
        <v>23</v>
      </c>
      <c r="S96" s="10">
        <f t="shared" si="61"/>
        <v>22</v>
      </c>
      <c r="T96" s="10">
        <f t="shared" si="62"/>
        <v>1556996</v>
      </c>
      <c r="V96" s="4"/>
    </row>
    <row r="97" spans="1:22" ht="20.100000000000001" customHeight="1" x14ac:dyDescent="0.3">
      <c r="A97" s="18" t="s">
        <v>130</v>
      </c>
      <c r="B97" s="10">
        <v>0</v>
      </c>
      <c r="C97" s="10">
        <v>0</v>
      </c>
      <c r="D97" s="10">
        <f>-D83</f>
        <v>110000</v>
      </c>
      <c r="E97" s="13">
        <f>-E83</f>
        <v>-7700</v>
      </c>
      <c r="F97" s="10">
        <v>0</v>
      </c>
      <c r="G97" s="10">
        <v>0</v>
      </c>
      <c r="H97" s="10">
        <v>0</v>
      </c>
      <c r="I97" s="11">
        <f t="shared" si="59"/>
        <v>0</v>
      </c>
      <c r="J97" s="11">
        <f t="shared" si="59"/>
        <v>0</v>
      </c>
      <c r="K97" s="10">
        <f t="shared" si="60"/>
        <v>102300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f t="shared" si="61"/>
        <v>0</v>
      </c>
      <c r="S97" s="10">
        <f t="shared" si="61"/>
        <v>0</v>
      </c>
      <c r="T97" s="10">
        <f t="shared" si="62"/>
        <v>102300</v>
      </c>
      <c r="V97" s="4"/>
    </row>
    <row r="98" spans="1:22" ht="20.100000000000001" customHeight="1" x14ac:dyDescent="0.3">
      <c r="A98" s="18" t="s">
        <v>131</v>
      </c>
      <c r="B98" s="10">
        <v>0</v>
      </c>
      <c r="C98" s="10">
        <v>0</v>
      </c>
      <c r="D98" s="10">
        <f>-D84</f>
        <v>281829</v>
      </c>
      <c r="E98" s="13">
        <f>-E84</f>
        <v>-20339</v>
      </c>
      <c r="F98" s="10">
        <v>0</v>
      </c>
      <c r="G98" s="10">
        <v>0</v>
      </c>
      <c r="H98" s="10">
        <v>0</v>
      </c>
      <c r="I98" s="11">
        <f t="shared" si="59"/>
        <v>0</v>
      </c>
      <c r="J98" s="11">
        <f t="shared" si="59"/>
        <v>0</v>
      </c>
      <c r="K98" s="10">
        <f t="shared" si="60"/>
        <v>261490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f t="shared" si="61"/>
        <v>0</v>
      </c>
      <c r="S98" s="10">
        <f t="shared" si="61"/>
        <v>0</v>
      </c>
      <c r="T98" s="10">
        <f t="shared" si="62"/>
        <v>261490</v>
      </c>
      <c r="V98" s="4"/>
    </row>
    <row r="99" spans="1:22" ht="20.100000000000001" customHeight="1" x14ac:dyDescent="0.3">
      <c r="A99" s="18" t="s">
        <v>132</v>
      </c>
      <c r="B99" s="11" t="s">
        <v>56</v>
      </c>
      <c r="C99" s="11" t="s">
        <v>56</v>
      </c>
      <c r="D99" s="10">
        <v>433000</v>
      </c>
      <c r="E99" s="13">
        <v>0</v>
      </c>
      <c r="F99" s="10">
        <v>0</v>
      </c>
      <c r="G99" s="10">
        <v>0</v>
      </c>
      <c r="H99" s="10">
        <v>0</v>
      </c>
      <c r="I99" s="11" t="s">
        <v>56</v>
      </c>
      <c r="J99" s="11" t="s">
        <v>56</v>
      </c>
      <c r="K99" s="10">
        <f t="shared" si="60"/>
        <v>433000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1" t="s">
        <v>56</v>
      </c>
      <c r="S99" s="11" t="s">
        <v>56</v>
      </c>
      <c r="T99" s="10">
        <f t="shared" si="62"/>
        <v>433000</v>
      </c>
      <c r="V99" s="4"/>
    </row>
    <row r="100" spans="1:22" ht="19.5" customHeight="1" x14ac:dyDescent="0.3">
      <c r="A100" s="18" t="s">
        <v>133</v>
      </c>
      <c r="B100" s="11" t="s">
        <v>57</v>
      </c>
      <c r="C100" s="10">
        <f>1493-146</f>
        <v>1347</v>
      </c>
      <c r="D100" s="10">
        <v>351937</v>
      </c>
      <c r="E100" s="11">
        <v>0</v>
      </c>
      <c r="F100" s="11">
        <v>0</v>
      </c>
      <c r="G100" s="10">
        <v>0</v>
      </c>
      <c r="H100" s="10">
        <f>6825+17+17+209+1532+380</f>
        <v>8980</v>
      </c>
      <c r="I100" s="11" t="s">
        <v>57</v>
      </c>
      <c r="J100" s="11">
        <f t="shared" si="59"/>
        <v>1347</v>
      </c>
      <c r="K100" s="10">
        <f t="shared" si="60"/>
        <v>360917</v>
      </c>
      <c r="L100" s="11">
        <v>0</v>
      </c>
      <c r="M100" s="10">
        <v>0</v>
      </c>
      <c r="N100" s="10">
        <v>0</v>
      </c>
      <c r="O100" s="11">
        <v>0</v>
      </c>
      <c r="P100" s="10">
        <v>0</v>
      </c>
      <c r="Q100" s="10">
        <v>0</v>
      </c>
      <c r="R100" s="11" t="s">
        <v>57</v>
      </c>
      <c r="S100" s="10">
        <f>+P100+M100+J100</f>
        <v>1347</v>
      </c>
      <c r="T100" s="10">
        <f t="shared" si="62"/>
        <v>360917</v>
      </c>
      <c r="V100" s="4"/>
    </row>
    <row r="101" spans="1:22" ht="20.100000000000001" customHeight="1" x14ac:dyDescent="0.3">
      <c r="A101" s="18" t="s">
        <v>134</v>
      </c>
      <c r="B101" s="10">
        <v>0</v>
      </c>
      <c r="C101" s="10">
        <v>0</v>
      </c>
      <c r="D101" s="10">
        <v>322000</v>
      </c>
      <c r="E101" s="11">
        <v>0</v>
      </c>
      <c r="F101" s="11">
        <v>0</v>
      </c>
      <c r="G101" s="10">
        <v>0</v>
      </c>
      <c r="H101" s="10">
        <v>0</v>
      </c>
      <c r="I101" s="11">
        <f>+B101+F101</f>
        <v>0</v>
      </c>
      <c r="J101" s="11">
        <f t="shared" si="59"/>
        <v>0</v>
      </c>
      <c r="K101" s="10">
        <f t="shared" si="60"/>
        <v>322000</v>
      </c>
      <c r="L101" s="11">
        <v>0</v>
      </c>
      <c r="M101" s="10">
        <v>0</v>
      </c>
      <c r="N101" s="10">
        <v>0</v>
      </c>
      <c r="O101" s="11">
        <v>0</v>
      </c>
      <c r="P101" s="10">
        <v>0</v>
      </c>
      <c r="Q101" s="10">
        <v>-122000</v>
      </c>
      <c r="R101" s="10">
        <f>+O101+L101+I101</f>
        <v>0</v>
      </c>
      <c r="S101" s="10">
        <f>+P101+M101+J101</f>
        <v>0</v>
      </c>
      <c r="T101" s="10">
        <f t="shared" si="62"/>
        <v>200000</v>
      </c>
      <c r="V101" s="4"/>
    </row>
    <row r="102" spans="1:22" ht="20.100000000000001" customHeight="1" x14ac:dyDescent="0.3">
      <c r="A102" s="18" t="s">
        <v>135</v>
      </c>
      <c r="B102" s="10">
        <v>0</v>
      </c>
      <c r="C102" s="10">
        <v>0</v>
      </c>
      <c r="D102" s="10">
        <v>0</v>
      </c>
      <c r="E102" s="11">
        <v>0</v>
      </c>
      <c r="F102" s="11">
        <v>0</v>
      </c>
      <c r="G102" s="10">
        <v>0</v>
      </c>
      <c r="H102" s="10">
        <v>0</v>
      </c>
      <c r="I102" s="11">
        <f>+B102+F102</f>
        <v>0</v>
      </c>
      <c r="J102" s="11">
        <f t="shared" si="59"/>
        <v>0</v>
      </c>
      <c r="K102" s="10">
        <f t="shared" si="60"/>
        <v>0</v>
      </c>
      <c r="L102" s="11">
        <v>0</v>
      </c>
      <c r="M102" s="10">
        <v>0</v>
      </c>
      <c r="N102" s="10">
        <v>0</v>
      </c>
      <c r="O102" s="11">
        <v>0</v>
      </c>
      <c r="P102" s="10">
        <v>0</v>
      </c>
      <c r="Q102" s="10">
        <v>0</v>
      </c>
      <c r="R102" s="10">
        <f>+O102+L102+I102</f>
        <v>0</v>
      </c>
      <c r="S102" s="10">
        <f>+P102+M102+J102</f>
        <v>0</v>
      </c>
      <c r="T102" s="10">
        <f t="shared" si="62"/>
        <v>0</v>
      </c>
      <c r="V102" s="4"/>
    </row>
    <row r="103" spans="1:22" ht="20.100000000000001" customHeight="1" thickBot="1" x14ac:dyDescent="0.35">
      <c r="A103" s="18" t="s">
        <v>136</v>
      </c>
      <c r="B103" s="10">
        <v>0</v>
      </c>
      <c r="C103" s="10">
        <v>0</v>
      </c>
      <c r="D103" s="10">
        <v>705000</v>
      </c>
      <c r="E103" s="13">
        <v>0</v>
      </c>
      <c r="F103" s="10">
        <v>0</v>
      </c>
      <c r="G103" s="10">
        <v>0</v>
      </c>
      <c r="H103" s="10">
        <v>0</v>
      </c>
      <c r="I103" s="11">
        <f>+B103+F103</f>
        <v>0</v>
      </c>
      <c r="J103" s="11">
        <f>+C103+G103</f>
        <v>0</v>
      </c>
      <c r="K103" s="10">
        <f t="shared" si="60"/>
        <v>705000</v>
      </c>
      <c r="L103" s="11">
        <v>0</v>
      </c>
      <c r="M103" s="11">
        <v>0</v>
      </c>
      <c r="N103" s="10">
        <f>70000+100000-75000</f>
        <v>95000</v>
      </c>
      <c r="O103" s="10">
        <v>0</v>
      </c>
      <c r="P103" s="10">
        <v>0</v>
      </c>
      <c r="Q103" s="10">
        <v>0</v>
      </c>
      <c r="R103" s="11">
        <v>0</v>
      </c>
      <c r="S103" s="11">
        <v>0</v>
      </c>
      <c r="T103" s="10">
        <f t="shared" si="62"/>
        <v>800000</v>
      </c>
      <c r="V103" s="4"/>
    </row>
    <row r="104" spans="1:22" ht="20.100000000000001" customHeight="1" thickTop="1" thickBot="1" x14ac:dyDescent="0.35">
      <c r="A104" s="24" t="s">
        <v>137</v>
      </c>
      <c r="B104" s="36" t="s">
        <v>58</v>
      </c>
      <c r="C104" s="36">
        <f t="shared" ref="C104:T104" si="63">SUM(C92:C103)</f>
        <v>1369</v>
      </c>
      <c r="D104" s="36">
        <f t="shared" si="63"/>
        <v>7111023</v>
      </c>
      <c r="E104" s="36">
        <f t="shared" si="63"/>
        <v>-28039</v>
      </c>
      <c r="F104" s="36">
        <f>SUM(F92:F103)</f>
        <v>23</v>
      </c>
      <c r="G104" s="36">
        <f>SUM(G92:G103)</f>
        <v>0</v>
      </c>
      <c r="H104" s="36">
        <f>SUM(H92:H103)</f>
        <v>-3020</v>
      </c>
      <c r="I104" s="36">
        <f>SUM(I92:I103)</f>
        <v>23</v>
      </c>
      <c r="J104" s="36">
        <f t="shared" si="63"/>
        <v>1369</v>
      </c>
      <c r="K104" s="36">
        <f t="shared" si="63"/>
        <v>7079964</v>
      </c>
      <c r="L104" s="36">
        <f>SUM(L92:L103)</f>
        <v>0</v>
      </c>
      <c r="M104" s="36">
        <f>SUM(M92:M103)</f>
        <v>0</v>
      </c>
      <c r="N104" s="36">
        <f>SUM(N92:N103)</f>
        <v>98000</v>
      </c>
      <c r="O104" s="36">
        <f t="shared" ref="O104:Q104" si="64">SUM(O92:O103)</f>
        <v>0</v>
      </c>
      <c r="P104" s="36">
        <f t="shared" si="64"/>
        <v>0</v>
      </c>
      <c r="Q104" s="36">
        <f t="shared" si="64"/>
        <v>-3045761</v>
      </c>
      <c r="R104" s="36" t="s">
        <v>58</v>
      </c>
      <c r="S104" s="36">
        <f t="shared" si="63"/>
        <v>1369</v>
      </c>
      <c r="T104" s="36">
        <f t="shared" si="63"/>
        <v>4132203</v>
      </c>
      <c r="V104" s="4"/>
    </row>
    <row r="105" spans="1:22" ht="20.100000000000001" customHeight="1" thickTop="1" thickBot="1" x14ac:dyDescent="0.35">
      <c r="A105" s="38" t="s">
        <v>138</v>
      </c>
      <c r="B105" s="29">
        <f>SUM(B90,B104)</f>
        <v>113543</v>
      </c>
      <c r="C105" s="29">
        <f>C90+C104</f>
        <v>115654</v>
      </c>
      <c r="D105" s="29">
        <f>D90+D104</f>
        <v>33931527</v>
      </c>
      <c r="E105" s="29">
        <f t="shared" ref="E105" si="65">+E104+E90</f>
        <v>186805</v>
      </c>
      <c r="F105" s="29">
        <f>+F104+F90</f>
        <v>33</v>
      </c>
      <c r="G105" s="29">
        <f>+G104+G90</f>
        <v>480</v>
      </c>
      <c r="H105" s="29">
        <f>+H104+H90</f>
        <v>442432</v>
      </c>
      <c r="I105" s="29">
        <f>SUM(I90,I104)</f>
        <v>113576</v>
      </c>
      <c r="J105" s="29">
        <f t="shared" ref="J105:T105" si="66">+J104+J90</f>
        <v>116134</v>
      </c>
      <c r="K105" s="29">
        <f t="shared" si="66"/>
        <v>34560764</v>
      </c>
      <c r="L105" s="29">
        <f>+L104+L90</f>
        <v>3749</v>
      </c>
      <c r="M105" s="29">
        <f>+M104+M90</f>
        <v>1445</v>
      </c>
      <c r="N105" s="29">
        <f>+N104+N90</f>
        <v>1461180</v>
      </c>
      <c r="O105" s="29">
        <f t="shared" ref="O105:Q105" si="67">+O104+O90</f>
        <v>-790</v>
      </c>
      <c r="P105" s="29">
        <f t="shared" si="67"/>
        <v>-17</v>
      </c>
      <c r="Q105" s="29">
        <f t="shared" si="67"/>
        <v>-15546897</v>
      </c>
      <c r="R105" s="29">
        <f>SUM(R90,R104,R96)</f>
        <v>116535</v>
      </c>
      <c r="S105" s="29">
        <f>+S104+S90</f>
        <v>117562</v>
      </c>
      <c r="T105" s="29">
        <f t="shared" si="66"/>
        <v>20475047</v>
      </c>
      <c r="V105" s="4"/>
    </row>
    <row r="106" spans="1:22" ht="20.100000000000001" customHeight="1" thickTop="1" x14ac:dyDescent="0.3">
      <c r="A106" s="18" t="s">
        <v>59</v>
      </c>
      <c r="B106" s="10" t="s">
        <v>14</v>
      </c>
      <c r="C106" s="10"/>
      <c r="D106" s="10"/>
      <c r="E106" s="11"/>
      <c r="F106" s="10"/>
      <c r="G106" s="10"/>
      <c r="H106" s="10"/>
      <c r="I106" s="11"/>
      <c r="J106" s="11"/>
      <c r="K106" s="10"/>
      <c r="L106" s="10"/>
      <c r="M106" s="10"/>
      <c r="N106" s="10"/>
      <c r="O106" s="10"/>
      <c r="P106" s="10"/>
      <c r="Q106" s="10"/>
      <c r="R106" s="11"/>
      <c r="S106" s="10"/>
      <c r="T106" s="10"/>
      <c r="V106" s="4"/>
    </row>
    <row r="107" spans="1:22" ht="20.100000000000001" customHeight="1" x14ac:dyDescent="0.3">
      <c r="A107" s="18" t="s">
        <v>139</v>
      </c>
      <c r="B107" s="11" t="s">
        <v>60</v>
      </c>
      <c r="C107" s="11" t="s">
        <v>60</v>
      </c>
      <c r="D107" s="10">
        <v>61225</v>
      </c>
      <c r="E107" s="11">
        <v>0</v>
      </c>
      <c r="F107" s="10">
        <v>0</v>
      </c>
      <c r="G107" s="10">
        <v>0</v>
      </c>
      <c r="H107" s="10">
        <v>1307</v>
      </c>
      <c r="I107" s="11">
        <v>0</v>
      </c>
      <c r="J107" s="11">
        <v>0</v>
      </c>
      <c r="K107" s="10">
        <f t="shared" ref="K107:K109" si="68">SUM(D107,H107,E107)</f>
        <v>62532</v>
      </c>
      <c r="L107" s="10">
        <v>0</v>
      </c>
      <c r="M107" s="10">
        <v>0</v>
      </c>
      <c r="N107" s="10">
        <v>72822</v>
      </c>
      <c r="O107" s="10">
        <v>0</v>
      </c>
      <c r="P107" s="10">
        <v>0</v>
      </c>
      <c r="Q107" s="10">
        <v>0</v>
      </c>
      <c r="R107" s="11" t="s">
        <v>60</v>
      </c>
      <c r="S107" s="11" t="s">
        <v>60</v>
      </c>
      <c r="T107" s="10">
        <f>+Q107+N107+K107</f>
        <v>135354</v>
      </c>
      <c r="V107" s="4"/>
    </row>
    <row r="108" spans="1:22" ht="20.100000000000001" customHeight="1" x14ac:dyDescent="0.3">
      <c r="A108" s="18" t="s">
        <v>140</v>
      </c>
      <c r="B108" s="11" t="s">
        <v>37</v>
      </c>
      <c r="C108" s="11" t="s">
        <v>37</v>
      </c>
      <c r="D108" s="10">
        <v>131872</v>
      </c>
      <c r="E108" s="11">
        <v>0</v>
      </c>
      <c r="F108" s="10">
        <v>0</v>
      </c>
      <c r="G108" s="10">
        <v>0</v>
      </c>
      <c r="H108" s="10">
        <v>6000</v>
      </c>
      <c r="I108" s="11">
        <v>0</v>
      </c>
      <c r="J108" s="11">
        <v>0</v>
      </c>
      <c r="K108" s="10">
        <f t="shared" si="68"/>
        <v>137872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1" t="s">
        <v>37</v>
      </c>
      <c r="S108" s="11" t="s">
        <v>37</v>
      </c>
      <c r="T108" s="10">
        <f>+Q108+N108+K108</f>
        <v>137872</v>
      </c>
      <c r="V108" s="4"/>
    </row>
    <row r="109" spans="1:22" ht="20.100000000000001" customHeight="1" thickBot="1" x14ac:dyDescent="0.35">
      <c r="A109" s="18" t="s">
        <v>142</v>
      </c>
      <c r="B109" s="10">
        <v>0</v>
      </c>
      <c r="C109" s="10">
        <v>0</v>
      </c>
      <c r="D109" s="10">
        <v>29674</v>
      </c>
      <c r="E109" s="11">
        <v>0</v>
      </c>
      <c r="F109" s="10">
        <v>0</v>
      </c>
      <c r="G109" s="10">
        <v>0</v>
      </c>
      <c r="H109" s="39">
        <v>115</v>
      </c>
      <c r="I109" s="11">
        <f>+B109+F109</f>
        <v>0</v>
      </c>
      <c r="J109" s="11">
        <f>+C109+G109</f>
        <v>0</v>
      </c>
      <c r="K109" s="39">
        <f t="shared" si="68"/>
        <v>29789</v>
      </c>
      <c r="L109" s="10">
        <v>0</v>
      </c>
      <c r="M109" s="10">
        <v>0</v>
      </c>
      <c r="N109" s="39">
        <v>0</v>
      </c>
      <c r="O109" s="10">
        <v>0</v>
      </c>
      <c r="P109" s="10">
        <v>0</v>
      </c>
      <c r="Q109" s="39">
        <v>0</v>
      </c>
      <c r="R109" s="11">
        <f>+O109+L109+I109</f>
        <v>0</v>
      </c>
      <c r="S109" s="10">
        <f>+P109+M109+J109</f>
        <v>0</v>
      </c>
      <c r="T109" s="40">
        <f>+Q109+N109+K109</f>
        <v>29789</v>
      </c>
      <c r="V109" s="4"/>
    </row>
    <row r="110" spans="1:22" ht="20.100000000000001" customHeight="1" thickTop="1" thickBot="1" x14ac:dyDescent="0.35">
      <c r="A110" s="24" t="s">
        <v>141</v>
      </c>
      <c r="B110" s="41" t="s">
        <v>37</v>
      </c>
      <c r="C110" s="41" t="s">
        <v>37</v>
      </c>
      <c r="D110" s="41">
        <f t="shared" ref="D110:K110" si="69">SUM(D107:D109)</f>
        <v>222771</v>
      </c>
      <c r="E110" s="41">
        <f t="shared" si="69"/>
        <v>0</v>
      </c>
      <c r="F110" s="41">
        <f>SUM(F107:F109)</f>
        <v>0</v>
      </c>
      <c r="G110" s="41">
        <f>SUM(G107:G109)</f>
        <v>0</v>
      </c>
      <c r="H110" s="41">
        <f>SUM(H107:H109)</f>
        <v>7422</v>
      </c>
      <c r="I110" s="41">
        <f t="shared" si="69"/>
        <v>0</v>
      </c>
      <c r="J110" s="41">
        <f t="shared" si="69"/>
        <v>0</v>
      </c>
      <c r="K110" s="41">
        <f t="shared" si="69"/>
        <v>230193</v>
      </c>
      <c r="L110" s="41">
        <f>SUM(L107:L109)</f>
        <v>0</v>
      </c>
      <c r="M110" s="41">
        <f>SUM(M107:M109)</f>
        <v>0</v>
      </c>
      <c r="N110" s="41">
        <f>SUM(N107:N109)</f>
        <v>72822</v>
      </c>
      <c r="O110" s="41">
        <f t="shared" ref="O110:Q110" si="70">SUM(O107:O109)</f>
        <v>0</v>
      </c>
      <c r="P110" s="41">
        <f t="shared" si="70"/>
        <v>0</v>
      </c>
      <c r="Q110" s="41">
        <f t="shared" si="70"/>
        <v>0</v>
      </c>
      <c r="R110" s="41" t="s">
        <v>37</v>
      </c>
      <c r="S110" s="41" t="s">
        <v>37</v>
      </c>
      <c r="T110" s="41">
        <f>SUM(T107:T109)</f>
        <v>303015</v>
      </c>
      <c r="V110" s="4"/>
    </row>
    <row r="111" spans="1:22" ht="20.100000000000001" customHeight="1" thickTop="1" thickBot="1" x14ac:dyDescent="0.35">
      <c r="A111" s="42" t="s">
        <v>61</v>
      </c>
      <c r="B111" s="29">
        <f t="shared" ref="B111:T111" si="71">SUM(B105,B110)</f>
        <v>113543</v>
      </c>
      <c r="C111" s="29">
        <f t="shared" si="71"/>
        <v>115654</v>
      </c>
      <c r="D111" s="29">
        <f t="shared" si="71"/>
        <v>34154298</v>
      </c>
      <c r="E111" s="29">
        <f t="shared" si="71"/>
        <v>186805</v>
      </c>
      <c r="F111" s="29">
        <f>SUM(F105,F110)</f>
        <v>33</v>
      </c>
      <c r="G111" s="29">
        <f>SUM(G105,G110)</f>
        <v>480</v>
      </c>
      <c r="H111" s="29">
        <f>SUM(H105,H110)</f>
        <v>449854</v>
      </c>
      <c r="I111" s="29">
        <f t="shared" si="71"/>
        <v>113576</v>
      </c>
      <c r="J111" s="29">
        <f t="shared" si="71"/>
        <v>116134</v>
      </c>
      <c r="K111" s="29">
        <f t="shared" si="71"/>
        <v>34790957</v>
      </c>
      <c r="L111" s="29">
        <f>SUM(L105,L110)</f>
        <v>3749</v>
      </c>
      <c r="M111" s="29">
        <f>SUM(M105,M110)</f>
        <v>1445</v>
      </c>
      <c r="N111" s="29">
        <f>SUM(N105,N110)</f>
        <v>1534002</v>
      </c>
      <c r="O111" s="29">
        <f t="shared" ref="O111:Q111" si="72">SUM(O105,O110)</f>
        <v>-790</v>
      </c>
      <c r="P111" s="29">
        <f t="shared" si="72"/>
        <v>-17</v>
      </c>
      <c r="Q111" s="29">
        <f t="shared" si="72"/>
        <v>-15546897</v>
      </c>
      <c r="R111" s="29">
        <f t="shared" si="71"/>
        <v>116535</v>
      </c>
      <c r="S111" s="29">
        <f t="shared" si="71"/>
        <v>117562</v>
      </c>
      <c r="T111" s="29">
        <f t="shared" si="71"/>
        <v>20778062</v>
      </c>
      <c r="V111" s="4"/>
    </row>
    <row r="112" spans="1:22" ht="18" customHeight="1" thickTop="1" x14ac:dyDescent="0.3">
      <c r="A112" s="4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5"/>
    </row>
    <row r="113" spans="1:21" x14ac:dyDescent="0.3">
      <c r="A113" s="58" t="s">
        <v>62</v>
      </c>
      <c r="B113" s="4"/>
      <c r="C113" s="4"/>
      <c r="D113" s="4"/>
      <c r="E113" s="4"/>
      <c r="H113" s="4"/>
      <c r="I113" s="4"/>
      <c r="J113" s="4"/>
      <c r="K113" s="4"/>
      <c r="N113" s="4"/>
      <c r="Q113" s="4"/>
      <c r="R113" s="4"/>
      <c r="S113" s="4"/>
      <c r="T113" s="4"/>
      <c r="U113" s="46"/>
    </row>
    <row r="114" spans="1:21" x14ac:dyDescent="0.3">
      <c r="A114" s="47" t="s">
        <v>63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1" x14ac:dyDescent="0.3">
      <c r="A115" s="48" t="s">
        <v>64</v>
      </c>
      <c r="B115" s="4"/>
      <c r="C115" s="4"/>
      <c r="D115" s="4"/>
      <c r="E115" s="4"/>
      <c r="H115" s="4"/>
      <c r="I115" s="4"/>
      <c r="J115" s="4"/>
      <c r="K115" s="4"/>
      <c r="N115" s="4"/>
      <c r="Q115" s="4"/>
      <c r="R115" s="4"/>
      <c r="S115" s="4"/>
      <c r="T115" s="4"/>
    </row>
    <row r="116" spans="1:21" x14ac:dyDescent="0.3">
      <c r="A116" s="48" t="s">
        <v>65</v>
      </c>
      <c r="B116" s="4"/>
      <c r="C116" s="4"/>
      <c r="D116" s="4"/>
      <c r="E116" s="4"/>
      <c r="I116" s="4"/>
      <c r="J116" s="4"/>
      <c r="K116" s="4"/>
      <c r="N116" s="4"/>
      <c r="Q116" s="4"/>
      <c r="R116" s="4"/>
      <c r="S116" s="4"/>
      <c r="T116" s="4"/>
    </row>
    <row r="117" spans="1:21" x14ac:dyDescent="0.3">
      <c r="A117" s="50"/>
      <c r="B117" s="4"/>
      <c r="C117" s="4"/>
      <c r="D117" s="4"/>
      <c r="E117" s="4"/>
      <c r="I117" s="4"/>
      <c r="J117" s="4"/>
      <c r="K117" s="4"/>
      <c r="N117" s="4"/>
      <c r="Q117" s="4"/>
      <c r="R117" s="4"/>
      <c r="S117" s="4"/>
      <c r="T117" s="4"/>
      <c r="U117" s="51"/>
    </row>
    <row r="118" spans="1:21" x14ac:dyDescent="0.3">
      <c r="A118" s="50"/>
      <c r="B118" s="4"/>
      <c r="C118" s="4"/>
      <c r="D118" s="4"/>
      <c r="E118" s="4"/>
      <c r="I118" s="4"/>
      <c r="J118" s="4"/>
      <c r="K118" s="4"/>
      <c r="N118" s="4"/>
      <c r="Q118" s="4"/>
      <c r="R118" s="4"/>
      <c r="S118" s="4"/>
      <c r="T118" s="4"/>
      <c r="U118" s="45"/>
    </row>
    <row r="119" spans="1:21" x14ac:dyDescent="0.3">
      <c r="A119" s="49"/>
      <c r="B119" s="4"/>
      <c r="C119" s="4"/>
      <c r="D119" s="4"/>
      <c r="E119" s="4"/>
      <c r="U119" s="46"/>
    </row>
    <row r="120" spans="1:21" x14ac:dyDescent="0.3">
      <c r="A120" s="53"/>
      <c r="B120" s="4"/>
      <c r="C120" s="4"/>
      <c r="D120" s="4"/>
      <c r="E120" s="4"/>
    </row>
    <row r="121" spans="1:21" x14ac:dyDescent="0.3">
      <c r="A121" s="53"/>
      <c r="B121" s="4"/>
      <c r="C121" s="4"/>
      <c r="D121" s="4"/>
      <c r="E121" s="4"/>
    </row>
    <row r="122" spans="1:21" x14ac:dyDescent="0.3">
      <c r="A122" s="53"/>
      <c r="B122" s="4"/>
      <c r="C122" s="4"/>
      <c r="D122" s="4"/>
      <c r="E122" s="4"/>
    </row>
    <row r="123" spans="1:21" x14ac:dyDescent="0.3">
      <c r="A123" s="53"/>
      <c r="B123" s="4"/>
      <c r="C123" s="4"/>
      <c r="D123" s="4"/>
      <c r="E123" s="4"/>
    </row>
    <row r="124" spans="1:21" x14ac:dyDescent="0.3">
      <c r="A124" s="53"/>
      <c r="B124" s="4"/>
      <c r="C124" s="4"/>
      <c r="D124" s="4"/>
      <c r="E124" s="4"/>
    </row>
    <row r="125" spans="1:21" x14ac:dyDescent="0.3">
      <c r="A125" s="53"/>
      <c r="B125" s="4"/>
      <c r="C125" s="4"/>
      <c r="D125" s="4"/>
      <c r="E125" s="4"/>
    </row>
    <row r="126" spans="1:21" x14ac:dyDescent="0.3">
      <c r="A126" s="53"/>
      <c r="B126" s="4"/>
      <c r="C126" s="4"/>
      <c r="D126" s="4"/>
      <c r="E126" s="4"/>
    </row>
    <row r="127" spans="1:21" x14ac:dyDescent="0.3">
      <c r="A127" s="53"/>
      <c r="B127" s="4"/>
      <c r="C127" s="4"/>
      <c r="D127" s="4"/>
      <c r="E127" s="4"/>
    </row>
    <row r="128" spans="1:21" x14ac:dyDescent="0.3">
      <c r="A128" s="53"/>
      <c r="B128" s="4"/>
      <c r="C128" s="4"/>
      <c r="D128" s="4"/>
      <c r="E128" s="4"/>
    </row>
    <row r="129" spans="1:5" x14ac:dyDescent="0.3">
      <c r="A129" s="53"/>
      <c r="B129" s="4"/>
      <c r="C129" s="4"/>
      <c r="D129" s="4"/>
      <c r="E129" s="4"/>
    </row>
    <row r="130" spans="1:5" x14ac:dyDescent="0.3">
      <c r="A130" s="53"/>
      <c r="B130" s="4"/>
      <c r="C130" s="4"/>
      <c r="D130" s="4"/>
      <c r="E130" s="4"/>
    </row>
    <row r="131" spans="1:5" x14ac:dyDescent="0.3">
      <c r="A131" s="53"/>
      <c r="B131" s="4"/>
      <c r="C131" s="4"/>
      <c r="D131" s="4"/>
      <c r="E131" s="4"/>
    </row>
    <row r="132" spans="1:5" x14ac:dyDescent="0.3">
      <c r="A132" s="53"/>
      <c r="B132" s="4"/>
      <c r="C132" s="4"/>
      <c r="D132" s="4"/>
      <c r="E132" s="4"/>
    </row>
    <row r="133" spans="1:5" x14ac:dyDescent="0.3">
      <c r="A133" s="53"/>
      <c r="B133" s="4"/>
      <c r="C133" s="4"/>
      <c r="D133" s="4"/>
      <c r="E133" s="4"/>
    </row>
    <row r="134" spans="1:5" x14ac:dyDescent="0.3">
      <c r="A134" s="53"/>
      <c r="B134" s="4"/>
      <c r="C134" s="4"/>
      <c r="D134" s="4"/>
      <c r="E134" s="4"/>
    </row>
    <row r="135" spans="1:5" x14ac:dyDescent="0.3">
      <c r="A135" s="54"/>
      <c r="B135" s="4"/>
      <c r="C135" s="4"/>
      <c r="D135" s="4"/>
      <c r="E135" s="4"/>
    </row>
    <row r="136" spans="1:5" x14ac:dyDescent="0.3">
      <c r="A136" s="54"/>
      <c r="B136" s="4"/>
      <c r="C136" s="4"/>
      <c r="D136" s="4"/>
      <c r="E136" s="4"/>
    </row>
    <row r="137" spans="1:5" x14ac:dyDescent="0.3">
      <c r="A137" s="54"/>
      <c r="B137" s="4"/>
      <c r="C137" s="4"/>
      <c r="D137" s="4"/>
      <c r="E137" s="4"/>
    </row>
    <row r="138" spans="1:5" x14ac:dyDescent="0.3">
      <c r="A138" s="54"/>
      <c r="B138" s="4"/>
      <c r="C138" s="4"/>
      <c r="D138" s="4"/>
      <c r="E138" s="4"/>
    </row>
    <row r="139" spans="1:5" x14ac:dyDescent="0.3">
      <c r="A139" s="54"/>
      <c r="B139" s="4"/>
      <c r="C139" s="4"/>
      <c r="D139" s="4"/>
      <c r="E139" s="4"/>
    </row>
    <row r="140" spans="1:5" x14ac:dyDescent="0.3">
      <c r="A140" s="54"/>
      <c r="B140" s="4"/>
      <c r="C140" s="4"/>
      <c r="D140" s="4"/>
      <c r="E140" s="4"/>
    </row>
    <row r="141" spans="1:5" x14ac:dyDescent="0.3">
      <c r="A141" s="54"/>
      <c r="B141" s="4"/>
      <c r="C141" s="4"/>
      <c r="D141" s="4"/>
      <c r="E141" s="4"/>
    </row>
    <row r="142" spans="1:5" x14ac:dyDescent="0.3">
      <c r="A142" s="54"/>
      <c r="B142" s="4"/>
      <c r="C142" s="4"/>
      <c r="D142" s="4"/>
      <c r="E142" s="4"/>
    </row>
    <row r="143" spans="1:5" x14ac:dyDescent="0.3">
      <c r="A143" s="54"/>
      <c r="B143" s="4"/>
      <c r="C143" s="4"/>
      <c r="D143" s="4"/>
      <c r="E143" s="4"/>
    </row>
    <row r="144" spans="1:5" x14ac:dyDescent="0.3">
      <c r="A144" s="54"/>
      <c r="B144" s="4"/>
      <c r="C144" s="4"/>
      <c r="D144" s="4"/>
      <c r="E144" s="4"/>
    </row>
    <row r="145" spans="1:5" x14ac:dyDescent="0.3">
      <c r="A145" s="54"/>
      <c r="B145" s="4"/>
      <c r="C145" s="4"/>
      <c r="D145" s="4"/>
      <c r="E145" s="4"/>
    </row>
    <row r="146" spans="1:5" x14ac:dyDescent="0.3">
      <c r="A146" s="54"/>
      <c r="B146" s="4"/>
      <c r="C146" s="4"/>
      <c r="D146" s="4"/>
      <c r="E146" s="4"/>
    </row>
    <row r="147" spans="1:5" x14ac:dyDescent="0.3">
      <c r="A147" s="54"/>
      <c r="B147" s="4"/>
      <c r="C147" s="4"/>
      <c r="D147" s="4"/>
      <c r="E147" s="4"/>
    </row>
    <row r="148" spans="1:5" x14ac:dyDescent="0.3">
      <c r="A148" s="54"/>
      <c r="B148" s="4"/>
      <c r="C148" s="4"/>
      <c r="D148" s="4"/>
      <c r="E148" s="4"/>
    </row>
    <row r="149" spans="1:5" x14ac:dyDescent="0.3">
      <c r="A149" s="54"/>
      <c r="B149" s="4"/>
      <c r="C149" s="4"/>
      <c r="D149" s="4"/>
      <c r="E149" s="4"/>
    </row>
    <row r="150" spans="1:5" x14ac:dyDescent="0.3">
      <c r="A150" s="54"/>
      <c r="B150" s="4"/>
      <c r="C150" s="4"/>
      <c r="D150" s="4"/>
      <c r="E150" s="4"/>
    </row>
    <row r="151" spans="1:5" x14ac:dyDescent="0.3">
      <c r="A151" s="54"/>
      <c r="B151" s="4"/>
      <c r="C151" s="4"/>
      <c r="D151" s="4"/>
      <c r="E151" s="4"/>
    </row>
    <row r="152" spans="1:5" x14ac:dyDescent="0.3">
      <c r="A152" s="54"/>
      <c r="B152" s="4"/>
      <c r="C152" s="4"/>
      <c r="D152" s="4"/>
      <c r="E152" s="4"/>
    </row>
    <row r="153" spans="1:5" x14ac:dyDescent="0.3">
      <c r="A153" s="54"/>
      <c r="B153" s="4"/>
      <c r="C153" s="4"/>
      <c r="D153" s="4"/>
      <c r="E153" s="4"/>
    </row>
    <row r="154" spans="1:5" x14ac:dyDescent="0.3">
      <c r="A154" s="54"/>
      <c r="B154" s="4"/>
      <c r="C154" s="4"/>
      <c r="D154" s="4"/>
      <c r="E154" s="4"/>
    </row>
    <row r="155" spans="1:5" x14ac:dyDescent="0.3">
      <c r="A155" s="54"/>
      <c r="B155" s="4"/>
      <c r="C155" s="4"/>
      <c r="D155" s="4"/>
      <c r="E155" s="4"/>
    </row>
    <row r="156" spans="1:5" x14ac:dyDescent="0.3">
      <c r="A156" s="54"/>
      <c r="B156" s="4"/>
      <c r="C156" s="4"/>
      <c r="D156" s="4"/>
      <c r="E156" s="4"/>
    </row>
    <row r="157" spans="1:5" x14ac:dyDescent="0.3">
      <c r="A157" s="54"/>
      <c r="B157" s="4"/>
      <c r="C157" s="4"/>
      <c r="D157" s="4"/>
      <c r="E157" s="4"/>
    </row>
    <row r="158" spans="1:5" x14ac:dyDescent="0.3">
      <c r="A158" s="54"/>
      <c r="B158" s="4"/>
      <c r="C158" s="4"/>
      <c r="D158" s="4"/>
      <c r="E158" s="4"/>
    </row>
    <row r="159" spans="1:5" x14ac:dyDescent="0.3">
      <c r="A159" s="54"/>
      <c r="B159" s="4"/>
      <c r="C159" s="4"/>
      <c r="D159" s="4"/>
      <c r="E159" s="4"/>
    </row>
    <row r="160" spans="1:5" x14ac:dyDescent="0.3">
      <c r="A160" s="54"/>
      <c r="B160" s="4"/>
      <c r="C160" s="4"/>
      <c r="D160" s="4"/>
      <c r="E160" s="4"/>
    </row>
    <row r="161" spans="1:5" x14ac:dyDescent="0.3">
      <c r="A161" s="54"/>
      <c r="B161" s="4"/>
      <c r="C161" s="4"/>
      <c r="D161" s="4"/>
      <c r="E161" s="4"/>
    </row>
    <row r="162" spans="1:5" x14ac:dyDescent="0.3">
      <c r="A162" s="54"/>
      <c r="B162" s="4"/>
      <c r="C162" s="4"/>
      <c r="D162" s="4"/>
      <c r="E162" s="4"/>
    </row>
    <row r="163" spans="1:5" x14ac:dyDescent="0.3">
      <c r="A163" s="54"/>
      <c r="B163" s="4"/>
      <c r="C163" s="4"/>
      <c r="D163" s="4"/>
      <c r="E163" s="4"/>
    </row>
    <row r="164" spans="1:5" x14ac:dyDescent="0.3">
      <c r="A164" s="54"/>
      <c r="B164" s="4"/>
      <c r="C164" s="4"/>
      <c r="D164" s="4"/>
      <c r="E164" s="4"/>
    </row>
    <row r="165" spans="1:5" x14ac:dyDescent="0.3">
      <c r="A165" s="54"/>
      <c r="B165" s="4"/>
      <c r="C165" s="4"/>
      <c r="D165" s="4"/>
      <c r="E165" s="4"/>
    </row>
    <row r="166" spans="1:5" x14ac:dyDescent="0.3">
      <c r="A166" s="54"/>
      <c r="B166" s="4"/>
      <c r="C166" s="4"/>
      <c r="D166" s="4"/>
      <c r="E166" s="4"/>
    </row>
    <row r="167" spans="1:5" x14ac:dyDescent="0.3">
      <c r="A167" s="54"/>
      <c r="B167" s="4"/>
      <c r="C167" s="4"/>
      <c r="D167" s="4"/>
      <c r="E167" s="4"/>
    </row>
    <row r="168" spans="1:5" x14ac:dyDescent="0.3">
      <c r="A168" s="54"/>
      <c r="B168" s="4"/>
      <c r="C168" s="4"/>
      <c r="D168" s="4"/>
      <c r="E168" s="4"/>
    </row>
    <row r="169" spans="1:5" x14ac:dyDescent="0.3">
      <c r="A169" s="54"/>
      <c r="B169" s="4"/>
      <c r="C169" s="4"/>
      <c r="D169" s="4"/>
      <c r="E169" s="4"/>
    </row>
    <row r="170" spans="1:5" x14ac:dyDescent="0.3">
      <c r="A170" s="54"/>
      <c r="B170" s="4"/>
      <c r="C170" s="4"/>
      <c r="D170" s="4"/>
      <c r="E170" s="4"/>
    </row>
    <row r="171" spans="1:5" x14ac:dyDescent="0.3">
      <c r="A171" s="54"/>
      <c r="B171" s="4"/>
      <c r="C171" s="4"/>
      <c r="D171" s="4"/>
      <c r="E171" s="4"/>
    </row>
    <row r="172" spans="1:5" x14ac:dyDescent="0.3">
      <c r="A172" s="54"/>
      <c r="B172" s="4"/>
      <c r="C172" s="4"/>
      <c r="D172" s="4"/>
      <c r="E172" s="4"/>
    </row>
    <row r="173" spans="1:5" x14ac:dyDescent="0.3">
      <c r="A173" s="54"/>
      <c r="B173" s="4"/>
      <c r="C173" s="4"/>
      <c r="D173" s="4"/>
      <c r="E173" s="4"/>
    </row>
    <row r="174" spans="1:5" x14ac:dyDescent="0.3">
      <c r="A174" s="54"/>
      <c r="B174" s="4"/>
      <c r="C174" s="4"/>
      <c r="D174" s="4"/>
      <c r="E174" s="4"/>
    </row>
    <row r="175" spans="1:5" x14ac:dyDescent="0.3">
      <c r="A175" s="54"/>
      <c r="B175" s="4"/>
      <c r="C175" s="4"/>
      <c r="D175" s="4"/>
      <c r="E175" s="4"/>
    </row>
    <row r="176" spans="1:5" x14ac:dyDescent="0.3">
      <c r="B176" s="4"/>
      <c r="C176" s="4"/>
      <c r="D176" s="4"/>
      <c r="E176" s="4"/>
    </row>
    <row r="177" spans="1:5" x14ac:dyDescent="0.3">
      <c r="B177" s="4"/>
      <c r="C177" s="4"/>
      <c r="D177" s="4"/>
      <c r="E177" s="4"/>
    </row>
    <row r="178" spans="1:5" x14ac:dyDescent="0.3">
      <c r="B178" s="4"/>
      <c r="C178" s="4"/>
      <c r="D178" s="4"/>
      <c r="E178" s="4"/>
    </row>
    <row r="179" spans="1:5" x14ac:dyDescent="0.3">
      <c r="B179" s="4"/>
      <c r="C179" s="4"/>
      <c r="D179" s="4"/>
      <c r="E179" s="4"/>
    </row>
    <row r="180" spans="1:5" x14ac:dyDescent="0.3">
      <c r="B180" s="4"/>
      <c r="C180" s="4"/>
      <c r="D180" s="4"/>
      <c r="E180" s="4"/>
    </row>
    <row r="181" spans="1:5" x14ac:dyDescent="0.3">
      <c r="B181" s="4"/>
      <c r="C181" s="4"/>
      <c r="D181" s="4"/>
      <c r="E181" s="4"/>
    </row>
    <row r="182" spans="1:5" x14ac:dyDescent="0.3">
      <c r="B182" s="4"/>
      <c r="C182" s="4"/>
      <c r="D182" s="4"/>
      <c r="E182" s="4"/>
    </row>
    <row r="183" spans="1:5" x14ac:dyDescent="0.3">
      <c r="B183" s="4"/>
      <c r="C183" s="4"/>
      <c r="D183" s="4"/>
      <c r="E183" s="4"/>
    </row>
    <row r="184" spans="1:5" x14ac:dyDescent="0.3">
      <c r="B184" s="4"/>
      <c r="C184" s="4"/>
      <c r="D184" s="4"/>
      <c r="E184" s="4"/>
    </row>
    <row r="185" spans="1:5" x14ac:dyDescent="0.3">
      <c r="B185" s="4"/>
      <c r="C185" s="4"/>
      <c r="D185" s="4"/>
      <c r="E185" s="4"/>
    </row>
    <row r="186" spans="1:5" x14ac:dyDescent="0.3">
      <c r="A186" s="55"/>
      <c r="B186" s="4"/>
      <c r="C186" s="4"/>
      <c r="D186" s="4"/>
      <c r="E186" s="4"/>
    </row>
    <row r="187" spans="1:5" x14ac:dyDescent="0.3">
      <c r="B187" s="4"/>
      <c r="C187" s="4"/>
      <c r="D187" s="4"/>
      <c r="E187" s="4"/>
    </row>
    <row r="188" spans="1:5" x14ac:dyDescent="0.3">
      <c r="B188" s="4"/>
      <c r="C188" s="4"/>
      <c r="D188" s="4"/>
      <c r="E188" s="4"/>
    </row>
    <row r="189" spans="1:5" x14ac:dyDescent="0.3">
      <c r="A189" s="56"/>
      <c r="B189" s="4"/>
      <c r="C189" s="4"/>
      <c r="D189" s="4"/>
      <c r="E189" s="4"/>
    </row>
    <row r="190" spans="1:5" x14ac:dyDescent="0.3">
      <c r="B190" s="4"/>
      <c r="C190" s="4"/>
      <c r="D190" s="4"/>
      <c r="E190" s="4"/>
    </row>
    <row r="191" spans="1:5" x14ac:dyDescent="0.3">
      <c r="B191" s="4"/>
      <c r="C191" s="4"/>
      <c r="D191" s="4"/>
      <c r="E191" s="4"/>
    </row>
    <row r="192" spans="1:5" x14ac:dyDescent="0.3">
      <c r="B192" s="4"/>
      <c r="C192" s="4"/>
      <c r="D192" s="4"/>
      <c r="E192" s="4"/>
    </row>
    <row r="193" spans="1:5" x14ac:dyDescent="0.3">
      <c r="B193" s="4"/>
      <c r="C193" s="4"/>
      <c r="D193" s="4"/>
      <c r="E193" s="4"/>
    </row>
    <row r="194" spans="1:5" x14ac:dyDescent="0.3">
      <c r="B194" s="4"/>
      <c r="C194" s="4"/>
      <c r="D194" s="4"/>
      <c r="E194" s="4"/>
    </row>
    <row r="195" spans="1:5" x14ac:dyDescent="0.3">
      <c r="B195" s="4"/>
      <c r="C195" s="4"/>
      <c r="D195" s="4"/>
      <c r="E195" s="4"/>
    </row>
    <row r="196" spans="1:5" x14ac:dyDescent="0.3">
      <c r="B196" s="4"/>
      <c r="C196" s="4"/>
      <c r="D196" s="4"/>
      <c r="E196" s="4"/>
    </row>
    <row r="197" spans="1:5" x14ac:dyDescent="0.3">
      <c r="B197" s="4"/>
      <c r="C197" s="4"/>
      <c r="D197" s="4"/>
      <c r="E197" s="4"/>
    </row>
    <row r="198" spans="1:5" x14ac:dyDescent="0.3">
      <c r="B198" s="4"/>
      <c r="C198" s="4"/>
      <c r="D198" s="4"/>
      <c r="E198" s="4"/>
    </row>
    <row r="199" spans="1:5" x14ac:dyDescent="0.3">
      <c r="B199" s="4"/>
      <c r="C199" s="4"/>
      <c r="D199" s="4"/>
      <c r="E199" s="4"/>
    </row>
    <row r="200" spans="1:5" x14ac:dyDescent="0.3">
      <c r="B200" s="4"/>
      <c r="C200" s="4"/>
      <c r="D200" s="4"/>
      <c r="E200" s="4"/>
    </row>
    <row r="201" spans="1:5" x14ac:dyDescent="0.3">
      <c r="B201" s="4"/>
      <c r="C201" s="4"/>
      <c r="D201" s="4"/>
      <c r="E201" s="4"/>
    </row>
    <row r="202" spans="1:5" x14ac:dyDescent="0.3">
      <c r="A202" s="57"/>
      <c r="B202" s="4"/>
      <c r="C202" s="4"/>
      <c r="D202" s="4"/>
      <c r="E202" s="4"/>
    </row>
    <row r="203" spans="1:5" x14ac:dyDescent="0.3">
      <c r="A203" s="57"/>
      <c r="B203" s="4"/>
      <c r="C203" s="4"/>
      <c r="D203" s="4"/>
      <c r="E203" s="4"/>
    </row>
    <row r="204" spans="1:5" x14ac:dyDescent="0.3">
      <c r="B204" s="4"/>
      <c r="C204" s="4"/>
      <c r="D204" s="4"/>
      <c r="E204" s="4"/>
    </row>
    <row r="205" spans="1:5" x14ac:dyDescent="0.3">
      <c r="B205" s="4"/>
      <c r="C205" s="4"/>
      <c r="D205" s="4"/>
      <c r="E205" s="4"/>
    </row>
    <row r="206" spans="1:5" x14ac:dyDescent="0.3">
      <c r="B206" s="4"/>
      <c r="C206" s="4"/>
      <c r="D206" s="4"/>
      <c r="E206" s="4"/>
    </row>
    <row r="207" spans="1:5" x14ac:dyDescent="0.3">
      <c r="B207" s="4"/>
      <c r="C207" s="4"/>
      <c r="D207" s="4"/>
      <c r="E207" s="4"/>
    </row>
    <row r="208" spans="1:5" x14ac:dyDescent="0.3">
      <c r="B208" s="4"/>
      <c r="C208" s="4"/>
      <c r="D208" s="4"/>
      <c r="E208" s="4"/>
    </row>
    <row r="209" spans="2:5" x14ac:dyDescent="0.3">
      <c r="B209" s="4"/>
      <c r="C209" s="4"/>
      <c r="D209" s="4"/>
      <c r="E209" s="4"/>
    </row>
    <row r="210" spans="2:5" x14ac:dyDescent="0.3">
      <c r="B210" s="4"/>
      <c r="C210" s="4"/>
      <c r="D210" s="4"/>
      <c r="E210" s="4"/>
    </row>
    <row r="211" spans="2:5" x14ac:dyDescent="0.3">
      <c r="B211" s="4"/>
      <c r="C211" s="4"/>
      <c r="D211" s="4"/>
      <c r="E211" s="4"/>
    </row>
    <row r="212" spans="2:5" x14ac:dyDescent="0.3">
      <c r="B212" s="4"/>
      <c r="C212" s="4"/>
      <c r="D212" s="4"/>
      <c r="E212" s="4"/>
    </row>
    <row r="213" spans="2:5" x14ac:dyDescent="0.3">
      <c r="B213" s="4"/>
      <c r="C213" s="4"/>
      <c r="D213" s="4"/>
      <c r="E213" s="4"/>
    </row>
    <row r="214" spans="2:5" x14ac:dyDescent="0.3">
      <c r="B214" s="4"/>
      <c r="C214" s="4"/>
      <c r="D214" s="4"/>
      <c r="E214" s="4"/>
    </row>
    <row r="215" spans="2:5" x14ac:dyDescent="0.3">
      <c r="B215" s="4"/>
      <c r="C215" s="4"/>
      <c r="D215" s="4"/>
      <c r="E215" s="4"/>
    </row>
    <row r="216" spans="2:5" x14ac:dyDescent="0.3">
      <c r="B216" s="4"/>
      <c r="C216" s="4"/>
      <c r="D216" s="4"/>
      <c r="E216" s="4"/>
    </row>
    <row r="217" spans="2:5" x14ac:dyDescent="0.3">
      <c r="B217" s="4"/>
      <c r="C217" s="4"/>
      <c r="D217" s="4"/>
      <c r="E217" s="4"/>
    </row>
    <row r="218" spans="2:5" x14ac:dyDescent="0.3">
      <c r="B218" s="4"/>
      <c r="C218" s="4"/>
      <c r="D218" s="4"/>
      <c r="E218" s="4"/>
    </row>
    <row r="219" spans="2:5" x14ac:dyDescent="0.3">
      <c r="B219" s="4"/>
      <c r="C219" s="4"/>
      <c r="D219" s="4"/>
      <c r="E219" s="4"/>
    </row>
    <row r="220" spans="2:5" x14ac:dyDescent="0.3">
      <c r="B220" s="4"/>
      <c r="C220" s="4"/>
      <c r="D220" s="4"/>
      <c r="E220" s="4"/>
    </row>
    <row r="221" spans="2:5" x14ac:dyDescent="0.3">
      <c r="B221" s="4"/>
      <c r="C221" s="4"/>
      <c r="D221" s="4"/>
      <c r="E221" s="4"/>
    </row>
    <row r="222" spans="2:5" x14ac:dyDescent="0.3">
      <c r="B222" s="4"/>
      <c r="C222" s="4"/>
      <c r="D222" s="4"/>
      <c r="E222" s="4"/>
    </row>
    <row r="223" spans="2:5" x14ac:dyDescent="0.3">
      <c r="B223" s="4"/>
      <c r="C223" s="4"/>
      <c r="D223" s="4"/>
      <c r="E223" s="4"/>
    </row>
    <row r="224" spans="2:5" x14ac:dyDescent="0.3">
      <c r="B224" s="4"/>
      <c r="C224" s="4"/>
      <c r="D224" s="4"/>
      <c r="E224" s="4"/>
    </row>
    <row r="225" spans="2:5" x14ac:dyDescent="0.3">
      <c r="B225" s="4"/>
      <c r="C225" s="4"/>
      <c r="D225" s="4"/>
      <c r="E225" s="4"/>
    </row>
    <row r="226" spans="2:5" x14ac:dyDescent="0.3">
      <c r="B226" s="4"/>
      <c r="C226" s="4"/>
      <c r="D226" s="4"/>
      <c r="E226" s="4"/>
    </row>
    <row r="227" spans="2:5" x14ac:dyDescent="0.3">
      <c r="B227" s="4"/>
      <c r="C227" s="4"/>
      <c r="D227" s="4"/>
      <c r="E227" s="4"/>
    </row>
    <row r="228" spans="2:5" x14ac:dyDescent="0.3">
      <c r="B228" s="4"/>
      <c r="C228" s="4"/>
      <c r="D228" s="4"/>
      <c r="E228" s="4"/>
    </row>
    <row r="229" spans="2:5" x14ac:dyDescent="0.3">
      <c r="B229" s="4"/>
      <c r="C229" s="4"/>
      <c r="D229" s="4"/>
      <c r="E229" s="4"/>
    </row>
    <row r="230" spans="2:5" x14ac:dyDescent="0.3">
      <c r="B230" s="4"/>
      <c r="C230" s="4"/>
      <c r="D230" s="4"/>
      <c r="E230" s="4"/>
    </row>
    <row r="231" spans="2:5" x14ac:dyDescent="0.3">
      <c r="B231" s="4"/>
      <c r="C231" s="4"/>
      <c r="D231" s="4"/>
      <c r="E231" s="4"/>
    </row>
    <row r="232" spans="2:5" x14ac:dyDescent="0.3">
      <c r="B232" s="4"/>
      <c r="C232" s="4"/>
      <c r="D232" s="4"/>
      <c r="E232" s="4"/>
    </row>
    <row r="233" spans="2:5" x14ac:dyDescent="0.3">
      <c r="B233" s="4"/>
      <c r="C233" s="4"/>
      <c r="D233" s="4"/>
      <c r="E233" s="4"/>
    </row>
    <row r="234" spans="2:5" x14ac:dyDescent="0.3">
      <c r="B234" s="4"/>
      <c r="C234" s="4"/>
      <c r="D234" s="4"/>
      <c r="E234" s="4"/>
    </row>
    <row r="235" spans="2:5" x14ac:dyDescent="0.3">
      <c r="B235" s="4"/>
      <c r="C235" s="4"/>
      <c r="D235" s="4"/>
      <c r="E235" s="4"/>
    </row>
    <row r="236" spans="2:5" x14ac:dyDescent="0.3">
      <c r="B236" s="4"/>
      <c r="C236" s="4"/>
      <c r="D236" s="4"/>
      <c r="E236" s="4"/>
    </row>
    <row r="237" spans="2:5" x14ac:dyDescent="0.3">
      <c r="B237" s="4"/>
      <c r="C237" s="4"/>
      <c r="D237" s="4"/>
      <c r="E237" s="4"/>
    </row>
    <row r="238" spans="2:5" x14ac:dyDescent="0.3">
      <c r="B238" s="4"/>
      <c r="C238" s="4"/>
      <c r="D238" s="4"/>
      <c r="E238" s="4"/>
    </row>
    <row r="239" spans="2:5" x14ac:dyDescent="0.3">
      <c r="B239" s="4"/>
      <c r="C239" s="4"/>
      <c r="D239" s="4"/>
      <c r="E239" s="4"/>
    </row>
    <row r="240" spans="2:5" x14ac:dyDescent="0.3">
      <c r="B240" s="4"/>
      <c r="C240" s="4"/>
      <c r="D240" s="4"/>
      <c r="E240" s="4"/>
    </row>
    <row r="241" spans="2:5" x14ac:dyDescent="0.3">
      <c r="B241" s="4"/>
      <c r="C241" s="4"/>
      <c r="D241" s="4"/>
      <c r="E241" s="4"/>
    </row>
    <row r="242" spans="2:5" x14ac:dyDescent="0.3">
      <c r="B242" s="4"/>
      <c r="C242" s="4"/>
      <c r="D242" s="4"/>
      <c r="E242" s="4"/>
    </row>
    <row r="243" spans="2:5" x14ac:dyDescent="0.3">
      <c r="B243" s="4"/>
      <c r="C243" s="4"/>
      <c r="D243" s="4"/>
      <c r="E243" s="4"/>
    </row>
    <row r="244" spans="2:5" x14ac:dyDescent="0.3">
      <c r="B244" s="4"/>
      <c r="C244" s="4"/>
      <c r="D244" s="4"/>
      <c r="E244" s="4"/>
    </row>
    <row r="245" spans="2:5" x14ac:dyDescent="0.3">
      <c r="B245" s="4"/>
      <c r="C245" s="4"/>
      <c r="D245" s="4"/>
      <c r="E245" s="4"/>
    </row>
    <row r="246" spans="2:5" x14ac:dyDescent="0.3">
      <c r="B246" s="4"/>
      <c r="C246" s="4"/>
      <c r="D246" s="4"/>
      <c r="E246" s="4"/>
    </row>
    <row r="247" spans="2:5" x14ac:dyDescent="0.3">
      <c r="B247" s="4"/>
      <c r="C247" s="4"/>
      <c r="D247" s="4"/>
      <c r="E247" s="4"/>
    </row>
    <row r="248" spans="2:5" x14ac:dyDescent="0.3">
      <c r="B248" s="4"/>
      <c r="C248" s="4"/>
      <c r="D248" s="4"/>
      <c r="E248" s="4"/>
    </row>
    <row r="249" spans="2:5" x14ac:dyDescent="0.3">
      <c r="B249" s="4"/>
      <c r="C249" s="4"/>
      <c r="D249" s="4"/>
      <c r="E249" s="4"/>
    </row>
    <row r="250" spans="2:5" x14ac:dyDescent="0.3">
      <c r="B250" s="4"/>
      <c r="C250" s="4"/>
      <c r="D250" s="4"/>
      <c r="E250" s="4"/>
    </row>
    <row r="251" spans="2:5" x14ac:dyDescent="0.3">
      <c r="B251" s="4"/>
      <c r="C251" s="4"/>
      <c r="D251" s="4"/>
      <c r="E251" s="4"/>
    </row>
    <row r="252" spans="2:5" x14ac:dyDescent="0.3">
      <c r="B252" s="4"/>
      <c r="C252" s="4"/>
      <c r="D252" s="4"/>
      <c r="E252" s="4"/>
    </row>
    <row r="253" spans="2:5" x14ac:dyDescent="0.3">
      <c r="B253" s="4"/>
      <c r="C253" s="4"/>
      <c r="D253" s="4"/>
      <c r="E253" s="4"/>
    </row>
    <row r="254" spans="2:5" x14ac:dyDescent="0.3">
      <c r="B254" s="4"/>
      <c r="C254" s="4"/>
      <c r="D254" s="4"/>
      <c r="E254" s="4"/>
    </row>
    <row r="255" spans="2:5" x14ac:dyDescent="0.3">
      <c r="B255" s="4"/>
      <c r="C255" s="4"/>
      <c r="D255" s="4"/>
      <c r="E255" s="4"/>
    </row>
    <row r="256" spans="2:5" x14ac:dyDescent="0.3">
      <c r="B256" s="4"/>
      <c r="C256" s="4"/>
      <c r="D256" s="4"/>
      <c r="E256" s="4"/>
    </row>
    <row r="257" spans="2:5" x14ac:dyDescent="0.3">
      <c r="B257" s="4"/>
      <c r="C257" s="4"/>
      <c r="D257" s="4"/>
      <c r="E257" s="4"/>
    </row>
    <row r="258" spans="2:5" x14ac:dyDescent="0.3">
      <c r="B258" s="4"/>
      <c r="C258" s="4"/>
      <c r="D258" s="4"/>
      <c r="E258" s="4"/>
    </row>
    <row r="259" spans="2:5" x14ac:dyDescent="0.3">
      <c r="B259" s="4"/>
      <c r="C259" s="4"/>
      <c r="D259" s="4"/>
      <c r="E259" s="4"/>
    </row>
    <row r="260" spans="2:5" x14ac:dyDescent="0.3">
      <c r="B260" s="4"/>
      <c r="C260" s="4"/>
      <c r="D260" s="4"/>
      <c r="E260" s="4"/>
    </row>
    <row r="261" spans="2:5" x14ac:dyDescent="0.3">
      <c r="B261" s="4"/>
      <c r="C261" s="4"/>
      <c r="D261" s="4"/>
      <c r="E261" s="4"/>
    </row>
    <row r="262" spans="2:5" x14ac:dyDescent="0.3">
      <c r="B262" s="4"/>
      <c r="C262" s="4"/>
      <c r="D262" s="4"/>
      <c r="E262" s="4"/>
    </row>
    <row r="263" spans="2:5" x14ac:dyDescent="0.3">
      <c r="B263" s="4"/>
      <c r="C263" s="4"/>
      <c r="D263" s="4"/>
      <c r="E263" s="4"/>
    </row>
    <row r="264" spans="2:5" x14ac:dyDescent="0.3">
      <c r="B264" s="4"/>
      <c r="C264" s="4"/>
      <c r="D264" s="4"/>
      <c r="E264" s="4"/>
    </row>
    <row r="265" spans="2:5" x14ac:dyDescent="0.3">
      <c r="B265" s="4"/>
      <c r="C265" s="4"/>
      <c r="D265" s="4"/>
      <c r="E265" s="4"/>
    </row>
    <row r="266" spans="2:5" x14ac:dyDescent="0.3">
      <c r="B266" s="4"/>
      <c r="C266" s="4"/>
      <c r="D266" s="4"/>
      <c r="E266" s="4"/>
    </row>
    <row r="267" spans="2:5" x14ac:dyDescent="0.3">
      <c r="B267" s="4"/>
      <c r="C267" s="4"/>
      <c r="D267" s="4"/>
      <c r="E267" s="4"/>
    </row>
    <row r="268" spans="2:5" x14ac:dyDescent="0.3">
      <c r="B268" s="4"/>
      <c r="C268" s="4"/>
      <c r="D268" s="4"/>
      <c r="E268" s="4"/>
    </row>
    <row r="269" spans="2:5" x14ac:dyDescent="0.3">
      <c r="B269" s="4"/>
      <c r="C269" s="4"/>
      <c r="D269" s="4"/>
      <c r="E269" s="4"/>
    </row>
    <row r="270" spans="2:5" x14ac:dyDescent="0.3">
      <c r="B270" s="4"/>
      <c r="C270" s="4"/>
      <c r="D270" s="4"/>
      <c r="E270" s="4"/>
    </row>
    <row r="271" spans="2:5" x14ac:dyDescent="0.3">
      <c r="B271" s="4"/>
      <c r="C271" s="4"/>
      <c r="D271" s="4"/>
      <c r="E271" s="4"/>
    </row>
    <row r="272" spans="2:5" x14ac:dyDescent="0.3">
      <c r="B272" s="4"/>
      <c r="C272" s="4"/>
      <c r="D272" s="4"/>
      <c r="E272" s="4"/>
    </row>
    <row r="273" spans="2:5" x14ac:dyDescent="0.3">
      <c r="B273" s="4"/>
      <c r="C273" s="4"/>
      <c r="D273" s="4"/>
      <c r="E273" s="4"/>
    </row>
    <row r="274" spans="2:5" x14ac:dyDescent="0.3">
      <c r="B274" s="4"/>
      <c r="C274" s="4"/>
      <c r="D274" s="4"/>
      <c r="E274" s="4"/>
    </row>
    <row r="275" spans="2:5" x14ac:dyDescent="0.3">
      <c r="B275" s="4"/>
      <c r="C275" s="4"/>
      <c r="D275" s="4"/>
      <c r="E275" s="4"/>
    </row>
    <row r="276" spans="2:5" x14ac:dyDescent="0.3">
      <c r="B276" s="4"/>
      <c r="C276" s="4"/>
      <c r="D276" s="4"/>
      <c r="E276" s="4"/>
    </row>
    <row r="277" spans="2:5" x14ac:dyDescent="0.3">
      <c r="B277" s="4"/>
      <c r="C277" s="4"/>
      <c r="D277" s="4"/>
      <c r="E277" s="4"/>
    </row>
    <row r="278" spans="2:5" x14ac:dyDescent="0.3">
      <c r="B278" s="4"/>
      <c r="C278" s="4"/>
      <c r="D278" s="4"/>
      <c r="E278" s="4"/>
    </row>
    <row r="279" spans="2:5" x14ac:dyDescent="0.3">
      <c r="B279" s="4"/>
      <c r="C279" s="4"/>
      <c r="D279" s="4"/>
      <c r="E279" s="4"/>
    </row>
    <row r="280" spans="2:5" x14ac:dyDescent="0.3">
      <c r="B280" s="4"/>
      <c r="C280" s="4"/>
      <c r="D280" s="4"/>
      <c r="E280" s="4"/>
    </row>
    <row r="281" spans="2:5" x14ac:dyDescent="0.3">
      <c r="B281" s="4"/>
      <c r="C281" s="4"/>
      <c r="D281" s="4"/>
      <c r="E281" s="4"/>
    </row>
    <row r="282" spans="2:5" x14ac:dyDescent="0.3">
      <c r="B282" s="4"/>
      <c r="C282" s="4"/>
      <c r="D282" s="4"/>
      <c r="E282" s="4"/>
    </row>
    <row r="283" spans="2:5" x14ac:dyDescent="0.3">
      <c r="B283" s="4"/>
      <c r="C283" s="4"/>
      <c r="D283" s="4"/>
      <c r="E283" s="4"/>
    </row>
    <row r="284" spans="2:5" x14ac:dyDescent="0.3">
      <c r="B284" s="4"/>
      <c r="C284" s="4"/>
      <c r="D284" s="4"/>
      <c r="E284" s="4"/>
    </row>
    <row r="285" spans="2:5" x14ac:dyDescent="0.3">
      <c r="B285" s="4"/>
      <c r="C285" s="4"/>
      <c r="D285" s="4"/>
      <c r="E285" s="4"/>
    </row>
    <row r="286" spans="2:5" x14ac:dyDescent="0.3">
      <c r="B286" s="4"/>
      <c r="C286" s="4"/>
      <c r="D286" s="4"/>
      <c r="E286" s="4"/>
    </row>
    <row r="287" spans="2:5" x14ac:dyDescent="0.3">
      <c r="B287" s="4"/>
      <c r="C287" s="4"/>
      <c r="D287" s="4"/>
      <c r="E287" s="4"/>
    </row>
    <row r="288" spans="2:5" x14ac:dyDescent="0.3">
      <c r="B288" s="4"/>
      <c r="C288" s="4"/>
      <c r="D288" s="4"/>
      <c r="E288" s="4"/>
    </row>
    <row r="289" spans="2:5" x14ac:dyDescent="0.3">
      <c r="B289" s="4"/>
      <c r="C289" s="4"/>
      <c r="D289" s="4"/>
      <c r="E289" s="4"/>
    </row>
    <row r="290" spans="2:5" x14ac:dyDescent="0.3">
      <c r="B290" s="4"/>
      <c r="C290" s="4"/>
      <c r="D290" s="4"/>
      <c r="E290" s="4"/>
    </row>
    <row r="291" spans="2:5" x14ac:dyDescent="0.3">
      <c r="B291" s="4"/>
      <c r="C291" s="4"/>
      <c r="D291" s="4"/>
      <c r="E291" s="4"/>
    </row>
    <row r="292" spans="2:5" x14ac:dyDescent="0.3">
      <c r="B292" s="4"/>
      <c r="C292" s="4"/>
      <c r="D292" s="4"/>
      <c r="E292" s="4"/>
    </row>
    <row r="293" spans="2:5" x14ac:dyDescent="0.3">
      <c r="B293" s="4"/>
      <c r="C293" s="4"/>
      <c r="D293" s="4"/>
      <c r="E293" s="4"/>
    </row>
    <row r="294" spans="2:5" x14ac:dyDescent="0.3">
      <c r="B294" s="4"/>
      <c r="C294" s="4"/>
      <c r="D294" s="4"/>
      <c r="E294" s="4"/>
    </row>
    <row r="295" spans="2:5" x14ac:dyDescent="0.3">
      <c r="B295" s="4"/>
      <c r="C295" s="4"/>
      <c r="D295" s="4"/>
      <c r="E295" s="4"/>
    </row>
    <row r="296" spans="2:5" x14ac:dyDescent="0.3">
      <c r="B296" s="4"/>
      <c r="C296" s="4"/>
      <c r="D296" s="4"/>
      <c r="E296" s="4"/>
    </row>
    <row r="297" spans="2:5" x14ac:dyDescent="0.3">
      <c r="B297" s="4"/>
      <c r="C297" s="4"/>
      <c r="D297" s="4"/>
      <c r="E297" s="4"/>
    </row>
    <row r="298" spans="2:5" x14ac:dyDescent="0.3">
      <c r="B298" s="4"/>
      <c r="C298" s="4"/>
      <c r="D298" s="4"/>
      <c r="E298" s="4"/>
    </row>
    <row r="299" spans="2:5" x14ac:dyDescent="0.3">
      <c r="B299" s="4"/>
      <c r="C299" s="4"/>
      <c r="D299" s="4"/>
      <c r="E299" s="4"/>
    </row>
    <row r="300" spans="2:5" x14ac:dyDescent="0.3">
      <c r="B300" s="4"/>
      <c r="C300" s="4"/>
      <c r="D300" s="4"/>
      <c r="E300" s="4"/>
    </row>
    <row r="301" spans="2:5" x14ac:dyDescent="0.3">
      <c r="B301" s="4"/>
      <c r="C301" s="4"/>
      <c r="D301" s="4"/>
      <c r="E301" s="4"/>
    </row>
    <row r="302" spans="2:5" x14ac:dyDescent="0.3">
      <c r="B302" s="4"/>
      <c r="C302" s="4"/>
      <c r="D302" s="4"/>
      <c r="E302" s="4"/>
    </row>
    <row r="303" spans="2:5" x14ac:dyDescent="0.3">
      <c r="B303" s="4"/>
      <c r="C303" s="4"/>
      <c r="D303" s="4"/>
      <c r="E303" s="4"/>
    </row>
    <row r="304" spans="2:5" x14ac:dyDescent="0.3">
      <c r="B304" s="4"/>
      <c r="C304" s="4"/>
      <c r="D304" s="4"/>
      <c r="E304" s="4"/>
    </row>
    <row r="305" spans="2:5" x14ac:dyDescent="0.3">
      <c r="B305" s="4"/>
      <c r="C305" s="4"/>
      <c r="D305" s="4"/>
      <c r="E305" s="4"/>
    </row>
    <row r="306" spans="2:5" x14ac:dyDescent="0.3">
      <c r="B306" s="4"/>
      <c r="C306" s="4"/>
      <c r="D306" s="4"/>
      <c r="E306" s="4"/>
    </row>
    <row r="307" spans="2:5" x14ac:dyDescent="0.3">
      <c r="B307" s="4"/>
      <c r="C307" s="4"/>
      <c r="D307" s="4"/>
      <c r="E307" s="4"/>
    </row>
    <row r="308" spans="2:5" x14ac:dyDescent="0.3">
      <c r="B308" s="4"/>
      <c r="C308" s="4"/>
      <c r="D308" s="4"/>
      <c r="E308" s="4"/>
    </row>
    <row r="309" spans="2:5" x14ac:dyDescent="0.3">
      <c r="B309" s="4"/>
      <c r="C309" s="4"/>
      <c r="D309" s="4"/>
      <c r="E309" s="4"/>
    </row>
    <row r="310" spans="2:5" x14ac:dyDescent="0.3">
      <c r="B310" s="4"/>
      <c r="C310" s="4"/>
      <c r="D310" s="4"/>
      <c r="E310" s="4"/>
    </row>
    <row r="311" spans="2:5" x14ac:dyDescent="0.3">
      <c r="B311" s="4"/>
      <c r="C311" s="4"/>
      <c r="D311" s="4"/>
      <c r="E311" s="4"/>
    </row>
    <row r="312" spans="2:5" x14ac:dyDescent="0.3">
      <c r="B312" s="4"/>
      <c r="C312" s="4"/>
      <c r="D312" s="4"/>
      <c r="E312" s="4"/>
    </row>
    <row r="313" spans="2:5" x14ac:dyDescent="0.3">
      <c r="B313" s="4"/>
      <c r="C313" s="4"/>
      <c r="D313" s="4"/>
      <c r="E313" s="4"/>
    </row>
    <row r="314" spans="2:5" x14ac:dyDescent="0.3">
      <c r="B314" s="4"/>
      <c r="C314" s="4"/>
      <c r="D314" s="4"/>
      <c r="E314" s="4"/>
    </row>
    <row r="315" spans="2:5" x14ac:dyDescent="0.3">
      <c r="B315" s="4"/>
      <c r="C315" s="4"/>
      <c r="D315" s="4"/>
      <c r="E315" s="4"/>
    </row>
    <row r="316" spans="2:5" x14ac:dyDescent="0.3">
      <c r="B316" s="4"/>
      <c r="C316" s="4"/>
      <c r="D316" s="4"/>
      <c r="E316" s="4"/>
    </row>
    <row r="317" spans="2:5" x14ac:dyDescent="0.3">
      <c r="B317" s="4"/>
      <c r="C317" s="4"/>
      <c r="D317" s="4"/>
      <c r="E317" s="4"/>
    </row>
    <row r="318" spans="2:5" x14ac:dyDescent="0.3">
      <c r="B318" s="4"/>
      <c r="C318" s="4"/>
      <c r="D318" s="4"/>
      <c r="E318" s="4"/>
    </row>
    <row r="319" spans="2:5" x14ac:dyDescent="0.3">
      <c r="B319" s="4"/>
      <c r="C319" s="4"/>
      <c r="D319" s="4"/>
      <c r="E319" s="4"/>
    </row>
    <row r="320" spans="2:5" x14ac:dyDescent="0.3">
      <c r="B320" s="4"/>
      <c r="C320" s="4"/>
      <c r="D320" s="4"/>
      <c r="E320" s="4"/>
    </row>
    <row r="321" spans="2:5" x14ac:dyDescent="0.3">
      <c r="B321" s="4"/>
      <c r="C321" s="4"/>
      <c r="D321" s="4"/>
      <c r="E321" s="4"/>
    </row>
    <row r="322" spans="2:5" x14ac:dyDescent="0.3">
      <c r="B322" s="4"/>
      <c r="C322" s="4"/>
      <c r="D322" s="4"/>
      <c r="E322" s="4"/>
    </row>
    <row r="323" spans="2:5" x14ac:dyDescent="0.3">
      <c r="B323" s="4"/>
      <c r="C323" s="4"/>
      <c r="D323" s="4"/>
      <c r="E323" s="4"/>
    </row>
    <row r="324" spans="2:5" x14ac:dyDescent="0.3">
      <c r="B324" s="4"/>
      <c r="C324" s="4"/>
      <c r="D324" s="4"/>
      <c r="E324" s="4"/>
    </row>
    <row r="325" spans="2:5" x14ac:dyDescent="0.3">
      <c r="B325" s="4"/>
      <c r="C325" s="4"/>
      <c r="D325" s="4"/>
      <c r="E325" s="4"/>
    </row>
    <row r="326" spans="2:5" x14ac:dyDescent="0.3">
      <c r="B326" s="4"/>
      <c r="C326" s="4"/>
      <c r="D326" s="4"/>
      <c r="E326" s="4"/>
    </row>
    <row r="327" spans="2:5" x14ac:dyDescent="0.3">
      <c r="B327" s="4"/>
      <c r="C327" s="4"/>
      <c r="D327" s="4"/>
      <c r="E327" s="4"/>
    </row>
    <row r="328" spans="2:5" x14ac:dyDescent="0.3">
      <c r="B328" s="4"/>
      <c r="C328" s="4"/>
      <c r="D328" s="4"/>
      <c r="E328" s="4"/>
    </row>
    <row r="329" spans="2:5" x14ac:dyDescent="0.3">
      <c r="B329" s="4"/>
      <c r="C329" s="4"/>
      <c r="D329" s="4"/>
      <c r="E329" s="4"/>
    </row>
    <row r="330" spans="2:5" x14ac:dyDescent="0.3">
      <c r="B330" s="4"/>
      <c r="C330" s="4"/>
      <c r="D330" s="4"/>
      <c r="E330" s="4"/>
    </row>
    <row r="331" spans="2:5" x14ac:dyDescent="0.3">
      <c r="B331" s="4"/>
      <c r="C331" s="4"/>
      <c r="D331" s="4"/>
      <c r="E331" s="4"/>
    </row>
    <row r="332" spans="2:5" x14ac:dyDescent="0.3">
      <c r="B332" s="4"/>
      <c r="C332" s="4"/>
      <c r="D332" s="4"/>
      <c r="E332" s="4"/>
    </row>
    <row r="333" spans="2:5" x14ac:dyDescent="0.3">
      <c r="B333" s="4"/>
      <c r="C333" s="4"/>
      <c r="D333" s="4"/>
      <c r="E333" s="4"/>
    </row>
    <row r="334" spans="2:5" x14ac:dyDescent="0.3">
      <c r="B334" s="4"/>
      <c r="C334" s="4"/>
      <c r="D334" s="4"/>
      <c r="E334" s="4"/>
    </row>
    <row r="335" spans="2:5" x14ac:dyDescent="0.3">
      <c r="B335" s="4"/>
      <c r="C335" s="4"/>
      <c r="D335" s="4"/>
      <c r="E335" s="4"/>
    </row>
    <row r="336" spans="2:5" x14ac:dyDescent="0.3">
      <c r="B336" s="4"/>
      <c r="C336" s="4"/>
      <c r="D336" s="4"/>
      <c r="E336" s="4"/>
    </row>
    <row r="337" spans="2:5" x14ac:dyDescent="0.3">
      <c r="B337" s="4"/>
      <c r="C337" s="4"/>
      <c r="D337" s="4"/>
      <c r="E337" s="4"/>
    </row>
    <row r="338" spans="2:5" x14ac:dyDescent="0.3">
      <c r="B338" s="4"/>
      <c r="C338" s="4"/>
      <c r="D338" s="4"/>
      <c r="E338" s="4"/>
    </row>
    <row r="339" spans="2:5" x14ac:dyDescent="0.3">
      <c r="B339" s="4"/>
      <c r="C339" s="4"/>
      <c r="D339" s="4"/>
      <c r="E339" s="4"/>
    </row>
    <row r="340" spans="2:5" x14ac:dyDescent="0.3">
      <c r="B340" s="4"/>
      <c r="C340" s="4"/>
      <c r="D340" s="4"/>
      <c r="E340" s="4"/>
    </row>
    <row r="341" spans="2:5" x14ac:dyDescent="0.3">
      <c r="B341" s="4"/>
      <c r="C341" s="4"/>
      <c r="D341" s="4"/>
      <c r="E341" s="4"/>
    </row>
    <row r="342" spans="2:5" x14ac:dyDescent="0.3">
      <c r="B342" s="4"/>
      <c r="C342" s="4"/>
      <c r="D342" s="4"/>
      <c r="E342" s="4"/>
    </row>
    <row r="343" spans="2:5" x14ac:dyDescent="0.3">
      <c r="B343" s="4"/>
      <c r="C343" s="4"/>
      <c r="D343" s="4"/>
      <c r="E343" s="4"/>
    </row>
    <row r="344" spans="2:5" x14ac:dyDescent="0.3">
      <c r="B344" s="4"/>
      <c r="C344" s="4"/>
      <c r="D344" s="4"/>
      <c r="E344" s="4"/>
    </row>
    <row r="345" spans="2:5" x14ac:dyDescent="0.3">
      <c r="B345" s="4"/>
      <c r="C345" s="4"/>
      <c r="D345" s="4"/>
      <c r="E345" s="4"/>
    </row>
    <row r="346" spans="2:5" x14ac:dyDescent="0.3">
      <c r="B346" s="4"/>
      <c r="C346" s="4"/>
      <c r="D346" s="4"/>
      <c r="E346" s="4"/>
    </row>
    <row r="347" spans="2:5" x14ac:dyDescent="0.3">
      <c r="B347" s="4"/>
      <c r="C347" s="4"/>
      <c r="D347" s="4"/>
      <c r="E347" s="4"/>
    </row>
    <row r="348" spans="2:5" x14ac:dyDescent="0.3">
      <c r="B348" s="4"/>
      <c r="C348" s="4"/>
      <c r="D348" s="4"/>
      <c r="E348" s="4"/>
    </row>
    <row r="349" spans="2:5" x14ac:dyDescent="0.3">
      <c r="B349" s="4"/>
      <c r="C349" s="4"/>
      <c r="D349" s="4"/>
      <c r="E349" s="4"/>
    </row>
    <row r="350" spans="2:5" x14ac:dyDescent="0.3">
      <c r="B350" s="4"/>
      <c r="C350" s="4"/>
      <c r="D350" s="4"/>
      <c r="E350" s="4"/>
    </row>
    <row r="351" spans="2:5" x14ac:dyDescent="0.3">
      <c r="B351" s="4"/>
      <c r="C351" s="4"/>
      <c r="D351" s="4"/>
      <c r="E351" s="4"/>
    </row>
    <row r="352" spans="2:5" x14ac:dyDescent="0.3">
      <c r="B352" s="4"/>
      <c r="C352" s="4"/>
      <c r="D352" s="4"/>
      <c r="E352" s="4"/>
    </row>
    <row r="353" spans="2:5" x14ac:dyDescent="0.3">
      <c r="B353" s="4"/>
      <c r="C353" s="4"/>
      <c r="D353" s="4"/>
      <c r="E353" s="4"/>
    </row>
    <row r="354" spans="2:5" x14ac:dyDescent="0.3">
      <c r="B354" s="4"/>
      <c r="C354" s="4"/>
      <c r="D354" s="4"/>
      <c r="E354" s="4"/>
    </row>
    <row r="355" spans="2:5" x14ac:dyDescent="0.3">
      <c r="B355" s="4"/>
      <c r="C355" s="4"/>
      <c r="D355" s="4"/>
      <c r="E355" s="4"/>
    </row>
    <row r="356" spans="2:5" x14ac:dyDescent="0.3">
      <c r="B356" s="4"/>
      <c r="C356" s="4"/>
      <c r="D356" s="4"/>
      <c r="E356" s="4"/>
    </row>
    <row r="357" spans="2:5" x14ac:dyDescent="0.3">
      <c r="B357" s="4"/>
      <c r="C357" s="4"/>
      <c r="D357" s="4"/>
      <c r="E357" s="4"/>
    </row>
    <row r="358" spans="2:5" x14ac:dyDescent="0.3">
      <c r="B358" s="4"/>
      <c r="C358" s="4"/>
      <c r="D358" s="4"/>
      <c r="E358" s="4"/>
    </row>
    <row r="359" spans="2:5" x14ac:dyDescent="0.3">
      <c r="B359" s="4"/>
      <c r="C359" s="4"/>
      <c r="D359" s="4"/>
      <c r="E359" s="4"/>
    </row>
    <row r="360" spans="2:5" x14ac:dyDescent="0.3">
      <c r="B360" s="4"/>
      <c r="C360" s="4"/>
      <c r="D360" s="4"/>
      <c r="E360" s="4"/>
    </row>
    <row r="361" spans="2:5" x14ac:dyDescent="0.3">
      <c r="B361" s="4"/>
      <c r="C361" s="4"/>
      <c r="D361" s="4"/>
      <c r="E361" s="4"/>
    </row>
    <row r="362" spans="2:5" x14ac:dyDescent="0.3">
      <c r="B362" s="4"/>
      <c r="C362" s="4"/>
      <c r="D362" s="4"/>
      <c r="E362" s="4"/>
    </row>
    <row r="363" spans="2:5" x14ac:dyDescent="0.3">
      <c r="B363" s="4"/>
      <c r="C363" s="4"/>
      <c r="D363" s="4"/>
      <c r="E363" s="4"/>
    </row>
    <row r="364" spans="2:5" x14ac:dyDescent="0.3">
      <c r="B364" s="4"/>
      <c r="C364" s="4"/>
      <c r="D364" s="4"/>
      <c r="E364" s="4"/>
    </row>
    <row r="365" spans="2:5" x14ac:dyDescent="0.3">
      <c r="B365" s="4"/>
      <c r="C365" s="4"/>
      <c r="D365" s="4"/>
      <c r="E365" s="4"/>
    </row>
    <row r="366" spans="2:5" x14ac:dyDescent="0.3">
      <c r="B366" s="4"/>
      <c r="C366" s="4"/>
      <c r="D366" s="4"/>
      <c r="E366" s="4"/>
    </row>
    <row r="367" spans="2:5" x14ac:dyDescent="0.3">
      <c r="B367" s="4"/>
      <c r="C367" s="4"/>
      <c r="D367" s="4"/>
      <c r="E367" s="4"/>
    </row>
    <row r="368" spans="2:5" x14ac:dyDescent="0.3">
      <c r="B368" s="4"/>
      <c r="C368" s="4"/>
      <c r="D368" s="4"/>
      <c r="E368" s="4"/>
    </row>
    <row r="369" spans="2:5" x14ac:dyDescent="0.3">
      <c r="B369" s="4"/>
      <c r="C369" s="4"/>
      <c r="D369" s="4"/>
      <c r="E369" s="4"/>
    </row>
    <row r="370" spans="2:5" x14ac:dyDescent="0.3">
      <c r="B370" s="4"/>
      <c r="C370" s="4"/>
      <c r="D370" s="4"/>
      <c r="E370" s="4"/>
    </row>
    <row r="371" spans="2:5" x14ac:dyDescent="0.3">
      <c r="B371" s="4"/>
      <c r="C371" s="4"/>
      <c r="D371" s="4"/>
      <c r="E371" s="4"/>
    </row>
    <row r="372" spans="2:5" x14ac:dyDescent="0.3">
      <c r="B372" s="4"/>
      <c r="C372" s="4"/>
      <c r="D372" s="4"/>
      <c r="E372" s="4"/>
    </row>
    <row r="373" spans="2:5" x14ac:dyDescent="0.3">
      <c r="B373" s="4"/>
      <c r="C373" s="4"/>
      <c r="D373" s="4"/>
      <c r="E373" s="4"/>
    </row>
    <row r="374" spans="2:5" x14ac:dyDescent="0.3">
      <c r="B374" s="4"/>
      <c r="C374" s="4"/>
      <c r="D374" s="4"/>
      <c r="E374" s="4"/>
    </row>
    <row r="375" spans="2:5" x14ac:dyDescent="0.3">
      <c r="B375" s="4"/>
      <c r="C375" s="4"/>
      <c r="D375" s="4"/>
      <c r="E375" s="4"/>
    </row>
    <row r="376" spans="2:5" x14ac:dyDescent="0.3">
      <c r="B376" s="4"/>
      <c r="C376" s="4"/>
      <c r="D376" s="4"/>
      <c r="E376" s="4"/>
    </row>
    <row r="377" spans="2:5" x14ac:dyDescent="0.3">
      <c r="B377" s="4"/>
      <c r="C377" s="4"/>
      <c r="D377" s="4"/>
      <c r="E377" s="4"/>
    </row>
    <row r="378" spans="2:5" x14ac:dyDescent="0.3">
      <c r="B378" s="4"/>
      <c r="C378" s="4"/>
      <c r="D378" s="4"/>
      <c r="E378" s="4"/>
    </row>
    <row r="379" spans="2:5" x14ac:dyDescent="0.3">
      <c r="B379" s="4"/>
      <c r="C379" s="4"/>
      <c r="D379" s="4"/>
      <c r="E379" s="4"/>
    </row>
    <row r="380" spans="2:5" x14ac:dyDescent="0.3">
      <c r="B380" s="4"/>
      <c r="C380" s="4"/>
      <c r="D380" s="4"/>
      <c r="E380" s="4"/>
    </row>
    <row r="381" spans="2:5" x14ac:dyDescent="0.3">
      <c r="B381" s="4"/>
      <c r="C381" s="4"/>
      <c r="D381" s="4"/>
      <c r="E381" s="4"/>
    </row>
    <row r="382" spans="2:5" x14ac:dyDescent="0.3">
      <c r="B382" s="4"/>
      <c r="C382" s="4"/>
      <c r="D382" s="4"/>
      <c r="E382" s="4"/>
    </row>
    <row r="383" spans="2:5" x14ac:dyDescent="0.3">
      <c r="B383" s="4"/>
      <c r="C383" s="4"/>
      <c r="D383" s="4"/>
      <c r="E383" s="4"/>
    </row>
    <row r="384" spans="2:5" x14ac:dyDescent="0.3">
      <c r="B384" s="4"/>
      <c r="C384" s="4"/>
      <c r="D384" s="4"/>
      <c r="E384" s="4"/>
    </row>
    <row r="385" spans="2:5" x14ac:dyDescent="0.3">
      <c r="B385" s="4"/>
      <c r="C385" s="4"/>
      <c r="D385" s="4"/>
      <c r="E385" s="4"/>
    </row>
    <row r="386" spans="2:5" x14ac:dyDescent="0.3">
      <c r="B386" s="4"/>
      <c r="C386" s="4"/>
      <c r="D386" s="4"/>
      <c r="E386" s="4"/>
    </row>
    <row r="387" spans="2:5" x14ac:dyDescent="0.3">
      <c r="B387" s="4"/>
      <c r="C387" s="4"/>
      <c r="D387" s="4"/>
      <c r="E387" s="4"/>
    </row>
    <row r="388" spans="2:5" x14ac:dyDescent="0.3">
      <c r="B388" s="4"/>
      <c r="C388" s="4"/>
      <c r="D388" s="4"/>
      <c r="E388" s="4"/>
    </row>
    <row r="389" spans="2:5" x14ac:dyDescent="0.3">
      <c r="B389" s="4"/>
      <c r="C389" s="4"/>
      <c r="D389" s="4"/>
      <c r="E389" s="4"/>
    </row>
    <row r="390" spans="2:5" x14ac:dyDescent="0.3">
      <c r="B390" s="4"/>
      <c r="C390" s="4"/>
      <c r="D390" s="4"/>
      <c r="E390" s="4"/>
    </row>
    <row r="391" spans="2:5" x14ac:dyDescent="0.3">
      <c r="B391" s="4"/>
      <c r="C391" s="4"/>
      <c r="D391" s="4"/>
      <c r="E391" s="4"/>
    </row>
    <row r="392" spans="2:5" x14ac:dyDescent="0.3">
      <c r="B392" s="4"/>
      <c r="C392" s="4"/>
      <c r="D392" s="4"/>
      <c r="E392" s="4"/>
    </row>
    <row r="393" spans="2:5" x14ac:dyDescent="0.3">
      <c r="B393" s="4"/>
      <c r="C393" s="4"/>
      <c r="D393" s="4"/>
      <c r="E393" s="4"/>
    </row>
    <row r="394" spans="2:5" x14ac:dyDescent="0.3">
      <c r="B394" s="4"/>
      <c r="C394" s="4"/>
      <c r="D394" s="4"/>
      <c r="E394" s="4"/>
    </row>
    <row r="395" spans="2:5" x14ac:dyDescent="0.3">
      <c r="B395" s="4"/>
      <c r="C395" s="4"/>
      <c r="D395" s="4"/>
      <c r="E395" s="4"/>
    </row>
    <row r="396" spans="2:5" x14ac:dyDescent="0.3">
      <c r="B396" s="4"/>
      <c r="C396" s="4"/>
      <c r="D396" s="4"/>
      <c r="E396" s="4"/>
    </row>
    <row r="397" spans="2:5" x14ac:dyDescent="0.3">
      <c r="B397" s="4"/>
      <c r="C397" s="4"/>
      <c r="D397" s="4"/>
      <c r="E397" s="4"/>
    </row>
    <row r="398" spans="2:5" x14ac:dyDescent="0.3">
      <c r="B398" s="4"/>
      <c r="C398" s="4"/>
      <c r="D398" s="4"/>
      <c r="E398" s="4"/>
    </row>
    <row r="399" spans="2:5" x14ac:dyDescent="0.3">
      <c r="B399" s="4"/>
      <c r="C399" s="4"/>
      <c r="D399" s="4"/>
      <c r="E399" s="4"/>
    </row>
    <row r="400" spans="2:5" x14ac:dyDescent="0.3">
      <c r="B400" s="4"/>
      <c r="C400" s="4"/>
      <c r="D400" s="4"/>
      <c r="E400" s="4"/>
    </row>
    <row r="401" spans="2:5" x14ac:dyDescent="0.3">
      <c r="B401" s="4"/>
      <c r="C401" s="4"/>
      <c r="D401" s="4"/>
      <c r="E401" s="4"/>
    </row>
    <row r="402" spans="2:5" x14ac:dyDescent="0.3">
      <c r="B402" s="4"/>
      <c r="C402" s="4"/>
      <c r="D402" s="4"/>
      <c r="E402" s="4"/>
    </row>
    <row r="403" spans="2:5" x14ac:dyDescent="0.3">
      <c r="B403" s="4"/>
      <c r="C403" s="4"/>
      <c r="D403" s="4"/>
      <c r="E403" s="4"/>
    </row>
    <row r="404" spans="2:5" x14ac:dyDescent="0.3">
      <c r="B404" s="4"/>
      <c r="C404" s="4"/>
      <c r="D404" s="4"/>
      <c r="E404" s="4"/>
    </row>
    <row r="405" spans="2:5" x14ac:dyDescent="0.3">
      <c r="B405" s="4"/>
      <c r="C405" s="4"/>
      <c r="D405" s="4"/>
      <c r="E405" s="4"/>
    </row>
    <row r="406" spans="2:5" x14ac:dyDescent="0.3">
      <c r="B406" s="4"/>
      <c r="C406" s="4"/>
      <c r="D406" s="4"/>
      <c r="E406" s="4"/>
    </row>
    <row r="407" spans="2:5" x14ac:dyDescent="0.3">
      <c r="B407" s="4"/>
      <c r="C407" s="4"/>
      <c r="D407" s="4"/>
      <c r="E407" s="4"/>
    </row>
    <row r="408" spans="2:5" x14ac:dyDescent="0.3">
      <c r="B408" s="4"/>
      <c r="C408" s="4"/>
      <c r="D408" s="4"/>
      <c r="E408" s="4"/>
    </row>
    <row r="409" spans="2:5" x14ac:dyDescent="0.3">
      <c r="B409" s="4"/>
      <c r="C409" s="4"/>
      <c r="D409" s="4"/>
      <c r="E409" s="4"/>
    </row>
    <row r="410" spans="2:5" x14ac:dyDescent="0.3">
      <c r="B410" s="4"/>
      <c r="C410" s="4"/>
      <c r="D410" s="4"/>
      <c r="E410" s="4"/>
    </row>
    <row r="411" spans="2:5" x14ac:dyDescent="0.3">
      <c r="B411" s="4"/>
      <c r="C411" s="4"/>
      <c r="D411" s="4"/>
      <c r="E411" s="4"/>
    </row>
    <row r="412" spans="2:5" x14ac:dyDescent="0.3">
      <c r="B412" s="4"/>
      <c r="C412" s="4"/>
      <c r="D412" s="4"/>
      <c r="E412" s="4"/>
    </row>
    <row r="413" spans="2:5" x14ac:dyDescent="0.3">
      <c r="B413" s="4"/>
      <c r="C413" s="4"/>
      <c r="D413" s="4"/>
      <c r="E413" s="4"/>
    </row>
    <row r="414" spans="2:5" x14ac:dyDescent="0.3">
      <c r="B414" s="4"/>
      <c r="C414" s="4"/>
      <c r="D414" s="4"/>
      <c r="E414" s="4"/>
    </row>
    <row r="415" spans="2:5" x14ac:dyDescent="0.3">
      <c r="B415" s="4"/>
      <c r="C415" s="4"/>
      <c r="D415" s="4"/>
      <c r="E415" s="4"/>
    </row>
    <row r="416" spans="2:5" x14ac:dyDescent="0.3">
      <c r="B416" s="4"/>
      <c r="C416" s="4"/>
      <c r="D416" s="4"/>
      <c r="E416" s="4"/>
    </row>
    <row r="417" spans="2:5" x14ac:dyDescent="0.3">
      <c r="B417" s="4"/>
      <c r="C417" s="4"/>
      <c r="D417" s="4"/>
      <c r="E417" s="4"/>
    </row>
    <row r="418" spans="2:5" x14ac:dyDescent="0.3">
      <c r="B418" s="4"/>
      <c r="C418" s="4"/>
      <c r="D418" s="4"/>
      <c r="E418" s="4"/>
    </row>
    <row r="419" spans="2:5" x14ac:dyDescent="0.3">
      <c r="B419" s="4"/>
      <c r="C419" s="4"/>
      <c r="D419" s="4"/>
      <c r="E419" s="4"/>
    </row>
    <row r="420" spans="2:5" x14ac:dyDescent="0.3">
      <c r="B420" s="4"/>
      <c r="C420" s="4"/>
      <c r="D420" s="4"/>
      <c r="E420" s="4"/>
    </row>
    <row r="421" spans="2:5" x14ac:dyDescent="0.3">
      <c r="B421" s="4"/>
      <c r="C421" s="4"/>
      <c r="D421" s="4"/>
      <c r="E421" s="4"/>
    </row>
    <row r="422" spans="2:5" x14ac:dyDescent="0.3">
      <c r="B422" s="4"/>
      <c r="C422" s="4"/>
      <c r="D422" s="4"/>
      <c r="E422" s="4"/>
    </row>
    <row r="423" spans="2:5" x14ac:dyDescent="0.3">
      <c r="B423" s="4"/>
      <c r="C423" s="4"/>
      <c r="D423" s="4"/>
      <c r="E423" s="4"/>
    </row>
    <row r="424" spans="2:5" x14ac:dyDescent="0.3">
      <c r="B424" s="4"/>
      <c r="C424" s="4"/>
      <c r="D424" s="4"/>
      <c r="E424" s="4"/>
    </row>
    <row r="425" spans="2:5" x14ac:dyDescent="0.3">
      <c r="B425" s="4"/>
      <c r="C425" s="4"/>
      <c r="D425" s="4"/>
      <c r="E425" s="4"/>
    </row>
    <row r="426" spans="2:5" x14ac:dyDescent="0.3">
      <c r="B426" s="4"/>
      <c r="C426" s="4"/>
      <c r="D426" s="4"/>
      <c r="E426" s="4"/>
    </row>
    <row r="427" spans="2:5" x14ac:dyDescent="0.3">
      <c r="B427" s="4"/>
      <c r="C427" s="4"/>
      <c r="D427" s="4"/>
      <c r="E427" s="4"/>
    </row>
    <row r="428" spans="2:5" x14ac:dyDescent="0.3">
      <c r="B428" s="4"/>
      <c r="C428" s="4"/>
      <c r="D428" s="4"/>
      <c r="E428" s="4"/>
    </row>
    <row r="429" spans="2:5" x14ac:dyDescent="0.3">
      <c r="B429" s="4"/>
      <c r="C429" s="4"/>
      <c r="D429" s="4"/>
      <c r="E429" s="4"/>
    </row>
    <row r="430" spans="2:5" x14ac:dyDescent="0.3">
      <c r="B430" s="4"/>
      <c r="C430" s="4"/>
      <c r="D430" s="4"/>
      <c r="E430" s="4"/>
    </row>
    <row r="431" spans="2:5" x14ac:dyDescent="0.3">
      <c r="B431" s="4"/>
      <c r="C431" s="4"/>
      <c r="D431" s="4"/>
      <c r="E431" s="4"/>
    </row>
    <row r="432" spans="2:5" x14ac:dyDescent="0.3">
      <c r="B432" s="4"/>
      <c r="C432" s="4"/>
      <c r="D432" s="4"/>
      <c r="E432" s="4"/>
    </row>
    <row r="433" spans="2:5" x14ac:dyDescent="0.3">
      <c r="B433" s="4"/>
      <c r="C433" s="4"/>
      <c r="D433" s="4"/>
      <c r="E433" s="4"/>
    </row>
    <row r="434" spans="2:5" x14ac:dyDescent="0.3">
      <c r="B434" s="4"/>
      <c r="C434" s="4"/>
      <c r="D434" s="4"/>
      <c r="E434" s="4"/>
    </row>
    <row r="435" spans="2:5" x14ac:dyDescent="0.3">
      <c r="B435" s="4"/>
      <c r="C435" s="4"/>
      <c r="D435" s="4"/>
      <c r="E435" s="4"/>
    </row>
    <row r="436" spans="2:5" x14ac:dyDescent="0.3">
      <c r="B436" s="4"/>
      <c r="C436" s="4"/>
      <c r="D436" s="4"/>
      <c r="E436" s="4"/>
    </row>
    <row r="437" spans="2:5" x14ac:dyDescent="0.3">
      <c r="B437" s="4"/>
      <c r="C437" s="4"/>
      <c r="D437" s="4"/>
      <c r="E437" s="4"/>
    </row>
    <row r="438" spans="2:5" x14ac:dyDescent="0.3">
      <c r="B438" s="4"/>
      <c r="C438" s="4"/>
      <c r="D438" s="4"/>
      <c r="E438" s="4"/>
    </row>
    <row r="439" spans="2:5" x14ac:dyDescent="0.3">
      <c r="B439" s="4"/>
      <c r="C439" s="4"/>
      <c r="D439" s="4"/>
      <c r="E439" s="4"/>
    </row>
    <row r="440" spans="2:5" x14ac:dyDescent="0.3">
      <c r="B440" s="4"/>
      <c r="C440" s="4"/>
      <c r="D440" s="4"/>
      <c r="E440" s="4"/>
    </row>
    <row r="441" spans="2:5" x14ac:dyDescent="0.3">
      <c r="B441" s="4"/>
      <c r="C441" s="4"/>
      <c r="D441" s="4"/>
      <c r="E441" s="4"/>
    </row>
    <row r="442" spans="2:5" x14ac:dyDescent="0.3">
      <c r="B442" s="4"/>
      <c r="C442" s="4"/>
      <c r="D442" s="4"/>
      <c r="E442" s="4"/>
    </row>
    <row r="443" spans="2:5" x14ac:dyDescent="0.3">
      <c r="B443" s="4"/>
      <c r="C443" s="4"/>
      <c r="D443" s="4"/>
      <c r="E443" s="4"/>
    </row>
    <row r="444" spans="2:5" x14ac:dyDescent="0.3">
      <c r="B444" s="4"/>
      <c r="C444" s="4"/>
      <c r="D444" s="4"/>
      <c r="E444" s="4"/>
    </row>
    <row r="445" spans="2:5" x14ac:dyDescent="0.3">
      <c r="B445" s="4"/>
      <c r="C445" s="4"/>
      <c r="D445" s="4"/>
      <c r="E445" s="4"/>
    </row>
    <row r="446" spans="2:5" x14ac:dyDescent="0.3">
      <c r="B446" s="4"/>
      <c r="C446" s="4"/>
      <c r="D446" s="4"/>
      <c r="E446" s="4"/>
    </row>
    <row r="447" spans="2:5" x14ac:dyDescent="0.3">
      <c r="B447" s="4"/>
      <c r="C447" s="4"/>
      <c r="D447" s="4"/>
      <c r="E447" s="4"/>
    </row>
    <row r="448" spans="2:5" x14ac:dyDescent="0.3">
      <c r="B448" s="4"/>
      <c r="C448" s="4"/>
      <c r="D448" s="4"/>
      <c r="E448" s="4"/>
    </row>
    <row r="449" spans="2:5" x14ac:dyDescent="0.3">
      <c r="B449" s="4"/>
      <c r="C449" s="4"/>
      <c r="D449" s="4"/>
      <c r="E449" s="4"/>
    </row>
    <row r="450" spans="2:5" x14ac:dyDescent="0.3">
      <c r="B450" s="4"/>
      <c r="C450" s="4"/>
      <c r="D450" s="4"/>
      <c r="E450" s="4"/>
    </row>
    <row r="451" spans="2:5" x14ac:dyDescent="0.3">
      <c r="B451" s="4"/>
      <c r="C451" s="4"/>
      <c r="D451" s="4"/>
      <c r="E451" s="4"/>
    </row>
    <row r="452" spans="2:5" x14ac:dyDescent="0.3">
      <c r="B452" s="4"/>
      <c r="C452" s="4"/>
      <c r="D452" s="4"/>
      <c r="E452" s="4"/>
    </row>
    <row r="453" spans="2:5" x14ac:dyDescent="0.3">
      <c r="B453" s="4"/>
      <c r="C453" s="4"/>
      <c r="D453" s="4"/>
      <c r="E453" s="4"/>
    </row>
    <row r="454" spans="2:5" x14ac:dyDescent="0.3">
      <c r="B454" s="4"/>
      <c r="C454" s="4"/>
      <c r="D454" s="4"/>
      <c r="E454" s="4"/>
    </row>
    <row r="455" spans="2:5" x14ac:dyDescent="0.3">
      <c r="B455" s="4"/>
      <c r="C455" s="4"/>
      <c r="D455" s="4"/>
      <c r="E455" s="4"/>
    </row>
    <row r="456" spans="2:5" x14ac:dyDescent="0.3">
      <c r="B456" s="4"/>
      <c r="C456" s="4"/>
      <c r="D456" s="4"/>
      <c r="E456" s="4"/>
    </row>
    <row r="457" spans="2:5" x14ac:dyDescent="0.3">
      <c r="B457" s="4"/>
      <c r="C457" s="4"/>
      <c r="D457" s="4"/>
      <c r="E457" s="4"/>
    </row>
    <row r="458" spans="2:5" x14ac:dyDescent="0.3">
      <c r="B458" s="4"/>
      <c r="C458" s="4"/>
      <c r="D458" s="4"/>
      <c r="E458" s="4"/>
    </row>
    <row r="459" spans="2:5" x14ac:dyDescent="0.3">
      <c r="B459" s="4"/>
      <c r="C459" s="4"/>
      <c r="D459" s="4"/>
      <c r="E459" s="4"/>
    </row>
    <row r="460" spans="2:5" x14ac:dyDescent="0.3">
      <c r="B460" s="4"/>
      <c r="C460" s="4"/>
      <c r="D460" s="4"/>
      <c r="E460" s="4"/>
    </row>
    <row r="461" spans="2:5" x14ac:dyDescent="0.3">
      <c r="B461" s="4"/>
      <c r="C461" s="4"/>
      <c r="D461" s="4"/>
      <c r="E461" s="4"/>
    </row>
    <row r="462" spans="2:5" x14ac:dyDescent="0.3">
      <c r="B462" s="4"/>
      <c r="C462" s="4"/>
      <c r="D462" s="4"/>
      <c r="E462" s="4"/>
    </row>
    <row r="463" spans="2:5" x14ac:dyDescent="0.3">
      <c r="B463" s="4"/>
      <c r="C463" s="4"/>
      <c r="D463" s="4"/>
      <c r="E463" s="4"/>
    </row>
    <row r="464" spans="2:5" x14ac:dyDescent="0.3">
      <c r="B464" s="4"/>
      <c r="C464" s="4"/>
      <c r="D464" s="4"/>
      <c r="E464" s="4"/>
    </row>
    <row r="465" spans="2:5" x14ac:dyDescent="0.3">
      <c r="B465" s="4"/>
      <c r="C465" s="4"/>
      <c r="D465" s="4"/>
      <c r="E465" s="4"/>
    </row>
    <row r="466" spans="2:5" x14ac:dyDescent="0.3">
      <c r="B466" s="4"/>
      <c r="C466" s="4"/>
      <c r="D466" s="4"/>
      <c r="E466" s="4"/>
    </row>
    <row r="467" spans="2:5" x14ac:dyDescent="0.3">
      <c r="B467" s="4"/>
      <c r="C467" s="4"/>
      <c r="D467" s="4"/>
      <c r="E467" s="4"/>
    </row>
    <row r="468" spans="2:5" x14ac:dyDescent="0.3">
      <c r="B468" s="4"/>
      <c r="C468" s="4"/>
      <c r="D468" s="4"/>
      <c r="E468" s="4"/>
    </row>
    <row r="469" spans="2:5" x14ac:dyDescent="0.3">
      <c r="B469" s="4"/>
      <c r="C469" s="4"/>
      <c r="D469" s="4"/>
      <c r="E469" s="4"/>
    </row>
    <row r="470" spans="2:5" x14ac:dyDescent="0.3">
      <c r="B470" s="4"/>
      <c r="C470" s="4"/>
      <c r="D470" s="4"/>
      <c r="E470" s="4"/>
    </row>
    <row r="471" spans="2:5" x14ac:dyDescent="0.3">
      <c r="B471" s="4"/>
      <c r="C471" s="4"/>
      <c r="D471" s="4"/>
      <c r="E471" s="4"/>
    </row>
    <row r="472" spans="2:5" x14ac:dyDescent="0.3">
      <c r="B472" s="4"/>
      <c r="C472" s="4"/>
      <c r="D472" s="4"/>
      <c r="E472" s="4"/>
    </row>
    <row r="473" spans="2:5" x14ac:dyDescent="0.3">
      <c r="B473" s="4"/>
      <c r="C473" s="4"/>
      <c r="D473" s="4"/>
      <c r="E473" s="4"/>
    </row>
    <row r="474" spans="2:5" x14ac:dyDescent="0.3">
      <c r="B474" s="4"/>
      <c r="C474" s="4"/>
      <c r="D474" s="4"/>
      <c r="E474" s="4"/>
    </row>
    <row r="475" spans="2:5" x14ac:dyDescent="0.3">
      <c r="B475" s="4"/>
      <c r="C475" s="4"/>
      <c r="D475" s="4"/>
      <c r="E475" s="4"/>
    </row>
    <row r="476" spans="2:5" x14ac:dyDescent="0.3">
      <c r="B476" s="4"/>
      <c r="C476" s="4"/>
      <c r="D476" s="4"/>
      <c r="E476" s="4"/>
    </row>
    <row r="477" spans="2:5" x14ac:dyDescent="0.3">
      <c r="B477" s="4"/>
      <c r="C477" s="4"/>
      <c r="D477" s="4"/>
      <c r="E477" s="4"/>
    </row>
    <row r="478" spans="2:5" x14ac:dyDescent="0.3">
      <c r="B478" s="4"/>
      <c r="C478" s="4"/>
      <c r="D478" s="4"/>
      <c r="E478" s="4"/>
    </row>
    <row r="479" spans="2:5" x14ac:dyDescent="0.3">
      <c r="B479" s="4"/>
      <c r="C479" s="4"/>
      <c r="D479" s="4"/>
      <c r="E479" s="4"/>
    </row>
    <row r="480" spans="2:5" x14ac:dyDescent="0.3">
      <c r="B480" s="4"/>
      <c r="C480" s="4"/>
      <c r="D480" s="4"/>
      <c r="E480" s="4"/>
    </row>
    <row r="481" spans="2:5" x14ac:dyDescent="0.3">
      <c r="B481" s="4"/>
      <c r="C481" s="4"/>
      <c r="D481" s="4"/>
      <c r="E481" s="4"/>
    </row>
    <row r="482" spans="2:5" x14ac:dyDescent="0.3">
      <c r="B482" s="4"/>
      <c r="C482" s="4"/>
      <c r="D482" s="4"/>
      <c r="E482" s="4"/>
    </row>
    <row r="483" spans="2:5" x14ac:dyDescent="0.3">
      <c r="B483" s="4"/>
      <c r="C483" s="4"/>
      <c r="D483" s="4"/>
      <c r="E483" s="4"/>
    </row>
  </sheetData>
  <mergeCells count="12">
    <mergeCell ref="R6:T6"/>
    <mergeCell ref="A1:T1"/>
    <mergeCell ref="A2:T2"/>
    <mergeCell ref="A3:T3"/>
    <mergeCell ref="B5:D6"/>
    <mergeCell ref="E5:E6"/>
    <mergeCell ref="F5:T5"/>
    <mergeCell ref="F6:H6"/>
    <mergeCell ref="I6:K6"/>
    <mergeCell ref="L6:N6"/>
    <mergeCell ref="O6:Q6"/>
    <mergeCell ref="A5:A7"/>
  </mergeCells>
  <printOptions horizontalCentered="1"/>
  <pageMargins left="0.27" right="0.27" top="0.4" bottom="0.4" header="0.2" footer="0.24"/>
  <pageSetup paperSize="5" scale="42" fitToHeight="2" orientation="landscape" r:id="rId1"/>
  <headerFooter alignWithMargins="0">
    <oddFooter>&amp;R&amp;D &amp;T</oddFooter>
  </headerFooter>
  <rowBreaks count="1" manualBreakCount="1">
    <brk id="64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Pres. Budget</vt:lpstr>
      <vt:lpstr>'Pres. Budget'!Print_Area</vt:lpstr>
      <vt:lpstr>'Pres. Budget'!Print_Titles</vt:lpstr>
    </vt:vector>
  </TitlesOfParts>
  <Company>USDOJ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tphan</dc:creator>
  <cp:lastModifiedBy>tphan</cp:lastModifiedBy>
  <dcterms:created xsi:type="dcterms:W3CDTF">2013-04-09T19:22:42Z</dcterms:created>
  <dcterms:modified xsi:type="dcterms:W3CDTF">2013-04-09T20:56:56Z</dcterms:modified>
</cp:coreProperties>
</file>