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410" windowHeight="12405" tabRatio="806" firstSheet="5" activeTab="7"/>
  </bookViews>
  <sheets>
    <sheet name="A. Org Chart" sheetId="25" r:id="rId1"/>
    <sheet name="B. Summ of Req._S&amp;E" sheetId="1" r:id="rId2"/>
    <sheet name="B. Summ of Req. by DU_S&amp;E" sheetId="4" r:id="rId3"/>
    <sheet name="B. Summ of Req._Con" sheetId="20" r:id="rId4"/>
    <sheet name="B. Summ of Req. by DU_Con" sheetId="21" r:id="rId5"/>
    <sheet name="C. Program Changes by DU_S&amp;E" sheetId="5" r:id="rId6"/>
    <sheet name="C. Program Changes by DU_Con" sheetId="23" r:id="rId7"/>
    <sheet name="D. Strategic Goals S&amp;E" sheetId="34" r:id="rId8"/>
    <sheet name="D. Strategic Goals Con" sheetId="35" r:id="rId9"/>
    <sheet name="E. ATB Justification" sheetId="26" r:id="rId10"/>
    <sheet name="F. 2012 Crosswalk" sheetId="29" r:id="rId11"/>
    <sheet name="G. 2013 Crosswalk" sheetId="30" r:id="rId12"/>
    <sheet name="H. Reimbursable Resources" sheetId="12" r:id="rId13"/>
    <sheet name="I. Permanent Positions" sheetId="24" r:id="rId14"/>
    <sheet name="J. Financial Analysis" sheetId="31" r:id="rId15"/>
    <sheet name="K. Summary by Grade" sheetId="33" r:id="rId16"/>
    <sheet name="L. Summary by OC_SE" sheetId="27" r:id="rId17"/>
    <sheet name="L. Summary by OC_Con" sheetId="28" r:id="rId18"/>
  </sheets>
  <definedNames>
    <definedName name="_11POS_BY_CAT" localSheetId="11">#REF!</definedName>
    <definedName name="_11POS_BY_CAT">#REF!</definedName>
    <definedName name="_1ATTORNEY_SUPP" localSheetId="11">#REF!</definedName>
    <definedName name="_1ATTORNEY_SUPP">#REF!</definedName>
    <definedName name="_2ATTORNEY_SUPP" localSheetId="11">#REF!</definedName>
    <definedName name="_2ATTORNEY_SUPP">#REF!</definedName>
    <definedName name="_2GA_ROLLUP" localSheetId="11">#REF!</definedName>
    <definedName name="_2GA_ROLLUP">#REF!</definedName>
    <definedName name="_3POS_BY_CAT" localSheetId="11">#REF!</definedName>
    <definedName name="_3POS_BY_CAT">#REF!</definedName>
    <definedName name="_6GA_ROLLUP" localSheetId="11">#REF!</definedName>
    <definedName name="_6GA_ROLLUP">#REF!</definedName>
    <definedName name="_7GA_ROLLUP" localSheetId="11">#REF!</definedName>
    <definedName name="_7GA_ROLLUP">#REF!</definedName>
    <definedName name="_9POS_BY_CAT" localSheetId="11">#REF!</definedName>
    <definedName name="_9POS_BY_CAT">#REF!</definedName>
    <definedName name="DL" localSheetId="11">#REF!</definedName>
    <definedName name="DL">#REF!</definedName>
    <definedName name="EXECSUPP" localSheetId="11">#REF!</definedName>
    <definedName name="EXECSUPP">#REF!</definedName>
    <definedName name="FY0711.1" localSheetId="11">#REF!</definedName>
    <definedName name="FY0711.1">#REF!</definedName>
    <definedName name="FY0711.5" localSheetId="11">#REF!</definedName>
    <definedName name="FY0711.5">#REF!</definedName>
    <definedName name="FY0712.1" localSheetId="11">#REF!</definedName>
    <definedName name="FY0712.1">#REF!</definedName>
    <definedName name="FY0721.0" localSheetId="11">#REF!</definedName>
    <definedName name="FY0721.0">#REF!</definedName>
    <definedName name="FY0722.0" localSheetId="11">#REF!</definedName>
    <definedName name="FY0722.0">#REF!</definedName>
    <definedName name="FY0723.1" localSheetId="11">#REF!</definedName>
    <definedName name="FY0723.1">#REF!</definedName>
    <definedName name="FY0723.2" localSheetId="11">#REF!</definedName>
    <definedName name="FY0723.2">#REF!</definedName>
    <definedName name="FY0723.3" localSheetId="11">#REF!</definedName>
    <definedName name="FY0723.3">#REF!</definedName>
    <definedName name="FY0724.0" localSheetId="11">#REF!</definedName>
    <definedName name="FY0724.0">#REF!</definedName>
    <definedName name="FY0725.2" localSheetId="11">#REF!</definedName>
    <definedName name="FY0725.2">#REF!</definedName>
    <definedName name="FY0725.3" localSheetId="11">#REF!</definedName>
    <definedName name="FY0725.3">#REF!</definedName>
    <definedName name="FY0725.6" localSheetId="11">#REF!</definedName>
    <definedName name="FY0725.6">#REF!</definedName>
    <definedName name="FY0726.0" localSheetId="11">#REF!</definedName>
    <definedName name="FY0726.0">#REF!</definedName>
    <definedName name="FY0731.0" localSheetId="11">#REF!</definedName>
    <definedName name="FY0731.0">#REF!</definedName>
    <definedName name="FY0732.0" localSheetId="11">#REF!</definedName>
    <definedName name="FY0732.0">#REF!</definedName>
    <definedName name="FY07Ling" localSheetId="11">#REF!</definedName>
    <definedName name="FY07Ling">#REF!</definedName>
    <definedName name="FY07Mult" localSheetId="11">#REF!</definedName>
    <definedName name="FY07Mult">#REF!</definedName>
    <definedName name="FY07PEPI" localSheetId="11">#REF!</definedName>
    <definedName name="FY07PEPI">#REF!</definedName>
    <definedName name="FY07Tot" localSheetId="11">#REF!</definedName>
    <definedName name="FY07Tot">#REF!</definedName>
    <definedName name="FY07Train" localSheetId="11">#REF!</definedName>
    <definedName name="FY07Train">#REF!</definedName>
    <definedName name="FY0811.1" localSheetId="11">#REF!</definedName>
    <definedName name="FY0811.1">#REF!</definedName>
    <definedName name="FY0811.5" localSheetId="11">#REF!</definedName>
    <definedName name="FY0811.5">#REF!</definedName>
    <definedName name="FY0812.1" localSheetId="11">#REF!</definedName>
    <definedName name="FY0812.1">#REF!</definedName>
    <definedName name="FY0821.0" localSheetId="11">#REF!</definedName>
    <definedName name="FY0821.0">#REF!</definedName>
    <definedName name="FY0822.0" localSheetId="11">#REF!</definedName>
    <definedName name="FY0822.0">#REF!</definedName>
    <definedName name="FY0823.1" localSheetId="11">#REF!</definedName>
    <definedName name="FY0823.1">#REF!</definedName>
    <definedName name="FY0823.2" localSheetId="11">#REF!</definedName>
    <definedName name="FY0823.2">#REF!</definedName>
    <definedName name="FY0823.3" localSheetId="11">#REF!</definedName>
    <definedName name="FY0823.3">#REF!</definedName>
    <definedName name="FY0824.0" localSheetId="11">#REF!</definedName>
    <definedName name="FY0824.0">#REF!</definedName>
    <definedName name="FY0825.2" localSheetId="11">#REF!</definedName>
    <definedName name="FY0825.2">#REF!</definedName>
    <definedName name="FY0825.3" localSheetId="11">#REF!</definedName>
    <definedName name="FY0825.3">#REF!</definedName>
    <definedName name="FY0825.6" localSheetId="11">#REF!</definedName>
    <definedName name="FY0825.6">#REF!</definedName>
    <definedName name="FY0826.0" localSheetId="11">#REF!</definedName>
    <definedName name="FY0826.0">#REF!</definedName>
    <definedName name="FY0831.0" localSheetId="11">#REF!</definedName>
    <definedName name="FY0831.0">#REF!</definedName>
    <definedName name="FY0832.0" localSheetId="11">#REF!</definedName>
    <definedName name="FY0832.0">#REF!</definedName>
    <definedName name="FY08Ling" localSheetId="11">#REF!</definedName>
    <definedName name="FY08Ling">#REF!</definedName>
    <definedName name="FY08Mult" localSheetId="11">#REF!</definedName>
    <definedName name="FY08Mult">#REF!</definedName>
    <definedName name="FY08PEPI" localSheetId="11">#REF!</definedName>
    <definedName name="FY08PEPI">#REF!</definedName>
    <definedName name="FY08Tot" localSheetId="11">#REF!</definedName>
    <definedName name="FY08Tot">#REF!</definedName>
    <definedName name="FY08Train" localSheetId="11">#REF!</definedName>
    <definedName name="FY08Train">#REF!</definedName>
    <definedName name="FY0911.1" localSheetId="11">#REF!</definedName>
    <definedName name="FY0911.1">#REF!</definedName>
    <definedName name="FY0911.5" localSheetId="11">#REF!</definedName>
    <definedName name="FY0911.5">#REF!</definedName>
    <definedName name="FY0912.1" localSheetId="11">#REF!</definedName>
    <definedName name="FY0912.1">#REF!</definedName>
    <definedName name="FY0921.0" localSheetId="11">#REF!</definedName>
    <definedName name="FY0921.0">#REF!</definedName>
    <definedName name="FY0922.0" localSheetId="11">#REF!</definedName>
    <definedName name="FY0922.0">#REF!</definedName>
    <definedName name="FY0923.1" localSheetId="11">#REF!</definedName>
    <definedName name="FY0923.1">#REF!</definedName>
    <definedName name="FY0923.2" localSheetId="11">#REF!</definedName>
    <definedName name="FY0923.2">#REF!</definedName>
    <definedName name="FY0923.3" localSheetId="11">#REF!</definedName>
    <definedName name="FY0923.3">#REF!</definedName>
    <definedName name="FY0924.0" localSheetId="11">#REF!</definedName>
    <definedName name="FY0924.0">#REF!</definedName>
    <definedName name="FY0925.2" localSheetId="11">#REF!</definedName>
    <definedName name="FY0925.2">#REF!</definedName>
    <definedName name="FY0925.3" localSheetId="11">#REF!</definedName>
    <definedName name="FY0925.3">#REF!</definedName>
    <definedName name="FY0925.6" localSheetId="11">#REF!</definedName>
    <definedName name="FY0925.6">#REF!</definedName>
    <definedName name="FY0926.0" localSheetId="11">#REF!</definedName>
    <definedName name="FY0926.0">#REF!</definedName>
    <definedName name="FY0931.0" localSheetId="11">#REF!</definedName>
    <definedName name="FY0931.0">#REF!</definedName>
    <definedName name="FY0932.0" localSheetId="11">#REF!</definedName>
    <definedName name="FY0932.0">#REF!</definedName>
    <definedName name="FY09Ling" localSheetId="11">#REF!</definedName>
    <definedName name="FY09Ling">#REF!</definedName>
    <definedName name="FY09Mult" localSheetId="11">#REF!</definedName>
    <definedName name="FY09Mult">#REF!</definedName>
    <definedName name="FY09PEPI" localSheetId="11">#REF!</definedName>
    <definedName name="FY09PEPI">#REF!</definedName>
    <definedName name="FY09Tot" localSheetId="11">#REF!</definedName>
    <definedName name="FY09Tot">#REF!</definedName>
    <definedName name="FY09Train" localSheetId="11">#REF!</definedName>
    <definedName name="FY09Train">#REF!</definedName>
    <definedName name="INTEL" localSheetId="11">#REF!</definedName>
    <definedName name="INTEL">#REF!</definedName>
    <definedName name="JMD" localSheetId="11">#REF!</definedName>
    <definedName name="JMD">#REF!</definedName>
    <definedName name="PART" localSheetId="11">#REF!</definedName>
    <definedName name="PART">#REF!</definedName>
    <definedName name="_xlnm.Print_Area" localSheetId="0">'A. Org Chart'!$A$1:$L$29</definedName>
    <definedName name="_xlnm.Print_Area" localSheetId="4">'B. Summ of Req. by DU_Con'!$A$1:$M$23</definedName>
    <definedName name="_xlnm.Print_Area" localSheetId="2">'B. Summ of Req. by DU_S&amp;E'!$A$1:$M$43</definedName>
    <definedName name="_xlnm.Print_Area" localSheetId="3">'B. Summ of Req._Con'!$A$1:$D$32</definedName>
    <definedName name="_xlnm.Print_Area" localSheetId="1">'B. Summ of Req._S&amp;E'!$A$1:$D$45</definedName>
    <definedName name="_xlnm.Print_Area" localSheetId="6">'C. Program Changes by DU_Con'!$A$1:$J$9</definedName>
    <definedName name="_xlnm.Print_Area" localSheetId="5">'C. Program Changes by DU_S&amp;E'!$A$1:$N$16</definedName>
    <definedName name="_xlnm.Print_Area" localSheetId="8">'D. Strategic Goals Con'!$A$1:$L$14</definedName>
    <definedName name="_xlnm.Print_Area" localSheetId="7">'D. Strategic Goals S&amp;E'!$A$1:$L$26</definedName>
    <definedName name="_xlnm.Print_Area" localSheetId="9">'E. ATB Justification'!$A$1:$G$44</definedName>
    <definedName name="_xlnm.Print_Area" localSheetId="10">'F. 2012 Crosswalk'!$A$1:$O$54</definedName>
    <definedName name="_xlnm.Print_Area" localSheetId="11">'G. 2013 Crosswalk'!$A$1:$L$57</definedName>
    <definedName name="_xlnm.Print_Area" localSheetId="12">'H. Reimbursable Resources'!$A$1:$M$28</definedName>
    <definedName name="_xlnm.Print_Area" localSheetId="13">'I. Permanent Positions'!$A$1:$G$36</definedName>
    <definedName name="_xlnm.Print_Area" localSheetId="14">'J. Financial Analysis'!$A$1:$S$87</definedName>
    <definedName name="_xlnm.Print_Area" localSheetId="15">'K. Summary by Grade'!$A$1:$L$30</definedName>
    <definedName name="_xlnm.Print_Area" localSheetId="17">'L. Summary by OC_Con'!$A$1:$I$14</definedName>
    <definedName name="_xlnm.Print_Area" localSheetId="16">'L. Summary by OC_SE'!$A$1:$I$49</definedName>
    <definedName name="_xlnm.Print_Area">#REF!</definedName>
    <definedName name="_xlnm.Print_Titles" localSheetId="9">'E. ATB Justification'!$1:$6</definedName>
    <definedName name="_xlnm.Print_Titles" localSheetId="14">'J. Financial Analysis'!$1:$5</definedName>
    <definedName name="REIMPRO" localSheetId="11">#REF!</definedName>
    <definedName name="REIMPRO">#REF!</definedName>
    <definedName name="REIMSOR" localSheetId="11">#REF!</definedName>
    <definedName name="REIMSOR">#REF!</definedName>
    <definedName name="Test" localSheetId="11">#REF!</definedName>
    <definedName name="Test">#REF!</definedName>
  </definedNames>
  <calcPr calcId="145621"/>
</workbook>
</file>

<file path=xl/calcChain.xml><?xml version="1.0" encoding="utf-8"?>
<calcChain xmlns="http://schemas.openxmlformats.org/spreadsheetml/2006/main">
  <c r="J11" i="4" l="1"/>
  <c r="H13" i="34" l="1"/>
  <c r="H10" i="34"/>
  <c r="F10" i="34"/>
  <c r="D10" i="34"/>
  <c r="G10" i="28" l="1"/>
  <c r="I12" i="28"/>
  <c r="G30" i="26" l="1"/>
  <c r="K11" i="35" l="1"/>
  <c r="K12" i="35" s="1"/>
  <c r="J11" i="35"/>
  <c r="J12" i="35" s="1"/>
  <c r="I11" i="35"/>
  <c r="I12" i="35" s="1"/>
  <c r="H11" i="35"/>
  <c r="H12" i="35" s="1"/>
  <c r="G11" i="35"/>
  <c r="G12" i="35" s="1"/>
  <c r="F11" i="35"/>
  <c r="F12" i="35" s="1"/>
  <c r="E11" i="35"/>
  <c r="E12" i="35" s="1"/>
  <c r="D11" i="35"/>
  <c r="D12" i="35" s="1"/>
  <c r="C11" i="35"/>
  <c r="C12" i="35" s="1"/>
  <c r="L10" i="35"/>
  <c r="L11" i="35" s="1"/>
  <c r="L12" i="35" s="1"/>
  <c r="I22" i="34"/>
  <c r="I23" i="34" s="1"/>
  <c r="L21" i="34"/>
  <c r="K21" i="34"/>
  <c r="L20" i="34"/>
  <c r="K20" i="34"/>
  <c r="J20" i="34"/>
  <c r="J19" i="34"/>
  <c r="J22" i="34" s="1"/>
  <c r="L18" i="34"/>
  <c r="K18" i="34"/>
  <c r="J16" i="34"/>
  <c r="I16" i="34"/>
  <c r="H16" i="34"/>
  <c r="L15" i="34"/>
  <c r="G15" i="34"/>
  <c r="K15" i="34" s="1"/>
  <c r="E15" i="34"/>
  <c r="C15" i="34"/>
  <c r="L14" i="34"/>
  <c r="K14" i="34"/>
  <c r="L13" i="34"/>
  <c r="G13" i="34"/>
  <c r="K13" i="34" s="1"/>
  <c r="K16" i="34" s="1"/>
  <c r="F13" i="34"/>
  <c r="F16" i="34" s="1"/>
  <c r="E13" i="34"/>
  <c r="E16" i="34" s="1"/>
  <c r="D13" i="34"/>
  <c r="D16" i="34" s="1"/>
  <c r="C13" i="34"/>
  <c r="C16" i="34" s="1"/>
  <c r="J11" i="34"/>
  <c r="I11" i="34"/>
  <c r="K10" i="34"/>
  <c r="K11" i="34" s="1"/>
  <c r="L10" i="34"/>
  <c r="L11" i="34" s="1"/>
  <c r="G11" i="34"/>
  <c r="F11" i="34"/>
  <c r="E11" i="34"/>
  <c r="D11" i="34"/>
  <c r="C10" i="34"/>
  <c r="C11" i="34" s="1"/>
  <c r="C19" i="34" s="1"/>
  <c r="E19" i="34" l="1"/>
  <c r="E22" i="34" s="1"/>
  <c r="E23" i="34" s="1"/>
  <c r="F19" i="34"/>
  <c r="F22" i="34" s="1"/>
  <c r="F23" i="34" s="1"/>
  <c r="L16" i="34"/>
  <c r="D19" i="34"/>
  <c r="D22" i="34" s="1"/>
  <c r="D23" i="34" s="1"/>
  <c r="J23" i="34"/>
  <c r="C22" i="34"/>
  <c r="C23" i="34" s="1"/>
  <c r="G16" i="34"/>
  <c r="G19" i="34" s="1"/>
  <c r="K19" i="34" s="1"/>
  <c r="K22" i="34" s="1"/>
  <c r="K23" i="34" s="1"/>
  <c r="H11" i="34"/>
  <c r="H19" i="34" s="1"/>
  <c r="G22" i="34" l="1"/>
  <c r="G23" i="34" s="1"/>
  <c r="L19" i="34"/>
  <c r="L22" i="34" s="1"/>
  <c r="L23" i="34" s="1"/>
  <c r="H22" i="34"/>
  <c r="H23" i="34" s="1"/>
  <c r="K9" i="33" l="1"/>
  <c r="L9" i="33"/>
  <c r="E10" i="33"/>
  <c r="K10" i="33"/>
  <c r="L10" i="33"/>
  <c r="K11" i="33"/>
  <c r="L11" i="33"/>
  <c r="K12" i="33"/>
  <c r="L12" i="33"/>
  <c r="K13" i="33"/>
  <c r="L13" i="33"/>
  <c r="K14" i="33"/>
  <c r="L14" i="33"/>
  <c r="K15" i="33"/>
  <c r="L15" i="33"/>
  <c r="K16" i="33"/>
  <c r="L16" i="33"/>
  <c r="K17" i="33"/>
  <c r="L17" i="33"/>
  <c r="K18" i="33"/>
  <c r="L18" i="33"/>
  <c r="K19" i="33"/>
  <c r="L19" i="33"/>
  <c r="K20" i="33"/>
  <c r="L20" i="33"/>
  <c r="K21" i="33"/>
  <c r="L21" i="33"/>
  <c r="K22" i="33"/>
  <c r="L22" i="33"/>
  <c r="K23" i="33"/>
  <c r="L23" i="33"/>
  <c r="K24" i="33"/>
  <c r="L24" i="33"/>
  <c r="K25" i="33"/>
  <c r="L25" i="33"/>
  <c r="E26" i="33"/>
  <c r="F26" i="33"/>
  <c r="G26" i="33"/>
  <c r="H26" i="33"/>
  <c r="I26" i="33"/>
  <c r="J26" i="33"/>
  <c r="L26" i="33"/>
  <c r="B21" i="31"/>
  <c r="B22" i="31" s="1"/>
  <c r="B24" i="31" s="1"/>
  <c r="C21" i="31"/>
  <c r="C22" i="31" s="1"/>
  <c r="C24" i="31" s="1"/>
  <c r="D21" i="31"/>
  <c r="D22" i="31" s="1"/>
  <c r="D24" i="31" s="1"/>
  <c r="D38" i="31" s="1"/>
  <c r="E21" i="31"/>
  <c r="F21" i="31"/>
  <c r="G21" i="31"/>
  <c r="G24" i="31" s="1"/>
  <c r="G38" i="31" s="1"/>
  <c r="H21" i="31"/>
  <c r="I21" i="31"/>
  <c r="I22" i="31" s="1"/>
  <c r="J21" i="31"/>
  <c r="J22" i="31" s="1"/>
  <c r="J24" i="31" s="1"/>
  <c r="J38" i="31" s="1"/>
  <c r="K21" i="31"/>
  <c r="K22" i="31" s="1"/>
  <c r="K24" i="31" s="1"/>
  <c r="K38" i="31" s="1"/>
  <c r="L21" i="31"/>
  <c r="M21" i="31"/>
  <c r="M24" i="31" s="1"/>
  <c r="M38" i="31" s="1"/>
  <c r="N21" i="31"/>
  <c r="O21" i="31"/>
  <c r="O22" i="31" s="1"/>
  <c r="P21" i="31"/>
  <c r="Q21" i="31"/>
  <c r="R21" i="31"/>
  <c r="S21" i="31"/>
  <c r="S24" i="31" s="1"/>
  <c r="S38" i="31" s="1"/>
  <c r="F22" i="31"/>
  <c r="F24" i="31" s="1"/>
  <c r="F38" i="31" s="1"/>
  <c r="H22" i="31"/>
  <c r="H24" i="31" s="1"/>
  <c r="H38" i="31" s="1"/>
  <c r="L22" i="31"/>
  <c r="L24" i="31" s="1"/>
  <c r="L38" i="31" s="1"/>
  <c r="N22" i="31"/>
  <c r="P22" i="31"/>
  <c r="Q22" i="31"/>
  <c r="R22" i="31"/>
  <c r="P24" i="31"/>
  <c r="P38" i="31" s="1"/>
  <c r="R44" i="31"/>
  <c r="S44" i="31"/>
  <c r="R45" i="31"/>
  <c r="S45" i="31"/>
  <c r="R46" i="31"/>
  <c r="S46" i="31"/>
  <c r="R47" i="31"/>
  <c r="S47" i="31"/>
  <c r="R48" i="31"/>
  <c r="S48" i="31"/>
  <c r="R49" i="31"/>
  <c r="S49" i="31"/>
  <c r="R50" i="31"/>
  <c r="S50" i="31"/>
  <c r="R51" i="31"/>
  <c r="S51" i="31"/>
  <c r="R52" i="31"/>
  <c r="S52" i="31"/>
  <c r="R53" i="31"/>
  <c r="S53" i="31"/>
  <c r="R54" i="31"/>
  <c r="S54" i="31"/>
  <c r="R55" i="31"/>
  <c r="S55" i="31"/>
  <c r="B56" i="31"/>
  <c r="C56" i="31"/>
  <c r="C57" i="31" s="1"/>
  <c r="D56" i="31"/>
  <c r="E56" i="31"/>
  <c r="F56" i="31"/>
  <c r="G56" i="31"/>
  <c r="G59" i="31" s="1"/>
  <c r="G73" i="31" s="1"/>
  <c r="H56" i="31"/>
  <c r="H57" i="31" s="1"/>
  <c r="I56" i="31"/>
  <c r="J56" i="31"/>
  <c r="K56" i="31"/>
  <c r="L56" i="31"/>
  <c r="L57" i="31" s="1"/>
  <c r="M56" i="31"/>
  <c r="M59" i="31" s="1"/>
  <c r="M73" i="31" s="1"/>
  <c r="B57" i="31"/>
  <c r="B59" i="31" s="1"/>
  <c r="B73" i="31" s="1"/>
  <c r="B86" i="31" s="1"/>
  <c r="E57" i="31"/>
  <c r="E59" i="31" s="1"/>
  <c r="E73" i="31" s="1"/>
  <c r="E86" i="31" s="1"/>
  <c r="F57" i="31"/>
  <c r="F59" i="31" s="1"/>
  <c r="F73" i="31" s="1"/>
  <c r="F86" i="31" s="1"/>
  <c r="I57" i="31"/>
  <c r="J57" i="31"/>
  <c r="J59" i="31" s="1"/>
  <c r="J73" i="31" s="1"/>
  <c r="K57" i="31"/>
  <c r="S58" i="31"/>
  <c r="I59" i="31"/>
  <c r="I73" i="31" s="1"/>
  <c r="S60" i="31"/>
  <c r="S61" i="31"/>
  <c r="S62" i="31"/>
  <c r="S63" i="31"/>
  <c r="S64" i="31"/>
  <c r="S65" i="31"/>
  <c r="S66" i="31"/>
  <c r="S67" i="31"/>
  <c r="S68" i="31"/>
  <c r="S69" i="31"/>
  <c r="S70" i="31"/>
  <c r="S71" i="31"/>
  <c r="S72" i="31"/>
  <c r="M85" i="31"/>
  <c r="M86" i="31" s="1"/>
  <c r="G86" i="31"/>
  <c r="K47" i="30"/>
  <c r="J47" i="30"/>
  <c r="I47" i="30"/>
  <c r="H47" i="30"/>
  <c r="G47" i="30"/>
  <c r="F47" i="30"/>
  <c r="E47" i="30"/>
  <c r="D47" i="30"/>
  <c r="C47" i="30"/>
  <c r="B47" i="30"/>
  <c r="L46" i="30"/>
  <c r="L47" i="30" s="1"/>
  <c r="K20" i="30"/>
  <c r="K19" i="30"/>
  <c r="K15" i="30"/>
  <c r="I14" i="30"/>
  <c r="F14" i="30"/>
  <c r="F16" i="30" s="1"/>
  <c r="F21" i="30" s="1"/>
  <c r="E14" i="30"/>
  <c r="D14" i="30"/>
  <c r="C14" i="30"/>
  <c r="C16" i="30" s="1"/>
  <c r="C21" i="30" s="1"/>
  <c r="B14" i="30"/>
  <c r="L13" i="30"/>
  <c r="K13" i="30"/>
  <c r="J13" i="30"/>
  <c r="L12" i="30"/>
  <c r="K12" i="30"/>
  <c r="J12" i="30"/>
  <c r="L11" i="30"/>
  <c r="K11" i="30"/>
  <c r="J11" i="30"/>
  <c r="L10" i="30"/>
  <c r="K10" i="30"/>
  <c r="J10" i="30"/>
  <c r="G10" i="30"/>
  <c r="K9" i="30"/>
  <c r="J9" i="30"/>
  <c r="H9" i="30"/>
  <c r="H14" i="30" s="1"/>
  <c r="G9" i="30"/>
  <c r="G14" i="30" s="1"/>
  <c r="L47" i="29"/>
  <c r="K47" i="29"/>
  <c r="J47" i="29"/>
  <c r="I47" i="29"/>
  <c r="H47" i="29"/>
  <c r="G47" i="29"/>
  <c r="F47" i="29"/>
  <c r="E47" i="29"/>
  <c r="D47" i="29"/>
  <c r="C47" i="29"/>
  <c r="B47" i="29"/>
  <c r="O46" i="29"/>
  <c r="O47" i="29" s="1"/>
  <c r="N46" i="29"/>
  <c r="N47" i="29" s="1"/>
  <c r="M46" i="29"/>
  <c r="M47" i="29" s="1"/>
  <c r="N20" i="29"/>
  <c r="N19" i="29"/>
  <c r="N15" i="29"/>
  <c r="I14" i="29"/>
  <c r="I16" i="29" s="1"/>
  <c r="I21" i="29" s="1"/>
  <c r="H14" i="29"/>
  <c r="G14" i="29"/>
  <c r="F14" i="29"/>
  <c r="F16" i="29" s="1"/>
  <c r="F21" i="29" s="1"/>
  <c r="E14" i="29"/>
  <c r="D14" i="29"/>
  <c r="C14" i="29"/>
  <c r="C16" i="29" s="1"/>
  <c r="C21" i="29" s="1"/>
  <c r="B14" i="29"/>
  <c r="O13" i="29"/>
  <c r="N13" i="29"/>
  <c r="M13" i="29"/>
  <c r="K13" i="29"/>
  <c r="K14" i="29" s="1"/>
  <c r="O12" i="29"/>
  <c r="N12" i="29"/>
  <c r="M12" i="29"/>
  <c r="O11" i="29"/>
  <c r="N11" i="29"/>
  <c r="M11" i="29"/>
  <c r="N10" i="29"/>
  <c r="M10" i="29"/>
  <c r="L10" i="29"/>
  <c r="J10" i="29"/>
  <c r="J14" i="29" s="1"/>
  <c r="N9" i="29"/>
  <c r="M9" i="29"/>
  <c r="L9" i="29"/>
  <c r="O9" i="29" s="1"/>
  <c r="K26" i="33" l="1"/>
  <c r="R24" i="31"/>
  <c r="R38" i="31" s="1"/>
  <c r="N24" i="31"/>
  <c r="N38" i="31" s="1"/>
  <c r="N14" i="29"/>
  <c r="N16" i="29" s="1"/>
  <c r="N21" i="29" s="1"/>
  <c r="J14" i="30"/>
  <c r="K14" i="30"/>
  <c r="K16" i="30" s="1"/>
  <c r="K21" i="30" s="1"/>
  <c r="L9" i="30"/>
  <c r="L14" i="30" s="1"/>
  <c r="K59" i="31"/>
  <c r="K73" i="31" s="1"/>
  <c r="O24" i="31"/>
  <c r="O38" i="31" s="1"/>
  <c r="Q24" i="31"/>
  <c r="Q38" i="31" s="1"/>
  <c r="M14" i="29"/>
  <c r="C38" i="31"/>
  <c r="B38" i="31"/>
  <c r="H59" i="31"/>
  <c r="H73" i="31" s="1"/>
  <c r="C59" i="31"/>
  <c r="C73" i="31" s="1"/>
  <c r="C86" i="31" s="1"/>
  <c r="D57" i="31"/>
  <c r="D59" i="31" s="1"/>
  <c r="R56" i="31"/>
  <c r="E22" i="31"/>
  <c r="E24" i="31" s="1"/>
  <c r="L59" i="31"/>
  <c r="L73" i="31" s="1"/>
  <c r="L86" i="31" s="1"/>
  <c r="S56" i="31"/>
  <c r="I24" i="31"/>
  <c r="I38" i="31" s="1"/>
  <c r="O10" i="29"/>
  <c r="O14" i="29" s="1"/>
  <c r="L14" i="29"/>
  <c r="S57" i="31" l="1"/>
  <c r="E38" i="31"/>
  <c r="S59" i="31"/>
  <c r="S73" i="31" s="1"/>
  <c r="D73" i="31"/>
  <c r="D86" i="31" s="1"/>
  <c r="R59" i="31"/>
  <c r="R73" i="31" s="1"/>
  <c r="R57" i="31"/>
  <c r="H14" i="28" l="1"/>
  <c r="F14" i="28"/>
  <c r="D14" i="28"/>
  <c r="B14" i="28"/>
  <c r="I13" i="28"/>
  <c r="I11" i="28"/>
  <c r="I10" i="28"/>
  <c r="G9" i="28"/>
  <c r="G14" i="28" s="1"/>
  <c r="E9" i="28"/>
  <c r="E14" i="28" s="1"/>
  <c r="C9" i="28"/>
  <c r="C14" i="28" s="1"/>
  <c r="I8" i="28"/>
  <c r="I9" i="28" s="1"/>
  <c r="G47" i="27"/>
  <c r="I47" i="27" s="1"/>
  <c r="E47" i="27"/>
  <c r="C47" i="27"/>
  <c r="C46" i="27" s="1"/>
  <c r="E46" i="27"/>
  <c r="H44" i="27"/>
  <c r="H42" i="27"/>
  <c r="F42" i="27"/>
  <c r="D42" i="27"/>
  <c r="B42" i="27"/>
  <c r="I41" i="27"/>
  <c r="C41" i="27"/>
  <c r="C40" i="27"/>
  <c r="I39" i="27"/>
  <c r="E38" i="27"/>
  <c r="I38" i="27" s="1"/>
  <c r="C38" i="27"/>
  <c r="E37" i="27"/>
  <c r="E40" i="27" s="1"/>
  <c r="G37" i="27" s="1"/>
  <c r="I35" i="27"/>
  <c r="I34" i="27"/>
  <c r="I33" i="27"/>
  <c r="G32" i="27"/>
  <c r="E32" i="27"/>
  <c r="I31" i="27"/>
  <c r="I30" i="27"/>
  <c r="I29" i="27"/>
  <c r="I28" i="27"/>
  <c r="I26" i="27"/>
  <c r="G25" i="27"/>
  <c r="E25" i="27"/>
  <c r="I25" i="27" s="1"/>
  <c r="C25" i="27"/>
  <c r="I24" i="27"/>
  <c r="I23" i="27"/>
  <c r="I22" i="27"/>
  <c r="I21" i="27"/>
  <c r="G20" i="27"/>
  <c r="E20" i="27"/>
  <c r="I20" i="27" s="1"/>
  <c r="I19" i="27"/>
  <c r="I18" i="27"/>
  <c r="I17" i="27"/>
  <c r="I16" i="27"/>
  <c r="I13" i="27"/>
  <c r="H13" i="27"/>
  <c r="H12" i="27"/>
  <c r="G12" i="27"/>
  <c r="E12" i="27"/>
  <c r="I11" i="27"/>
  <c r="H11" i="27"/>
  <c r="F10" i="27"/>
  <c r="H10" i="27" s="1"/>
  <c r="E10" i="27"/>
  <c r="E14" i="27" s="1"/>
  <c r="E36" i="27" s="1"/>
  <c r="D10" i="27"/>
  <c r="D14" i="27" s="1"/>
  <c r="C10" i="27"/>
  <c r="C14" i="27" s="1"/>
  <c r="C36" i="27" s="1"/>
  <c r="B10" i="27"/>
  <c r="B14" i="27" s="1"/>
  <c r="I9" i="27"/>
  <c r="H9" i="27"/>
  <c r="I8" i="27"/>
  <c r="H8" i="27"/>
  <c r="G42" i="26"/>
  <c r="F42" i="26"/>
  <c r="E42" i="26"/>
  <c r="G34" i="26"/>
  <c r="F34" i="26"/>
  <c r="E34" i="26"/>
  <c r="F30" i="26"/>
  <c r="E30" i="26"/>
  <c r="G26" i="26"/>
  <c r="F26" i="26"/>
  <c r="E26" i="26"/>
  <c r="G17" i="26"/>
  <c r="F17" i="26"/>
  <c r="E17" i="26"/>
  <c r="G10" i="26"/>
  <c r="F10" i="26"/>
  <c r="E10" i="26"/>
  <c r="C42" i="27" l="1"/>
  <c r="I12" i="27"/>
  <c r="G46" i="27"/>
  <c r="I46" i="27" s="1"/>
  <c r="I32" i="27"/>
  <c r="G43" i="26"/>
  <c r="E43" i="26"/>
  <c r="F43" i="26"/>
  <c r="H14" i="27"/>
  <c r="I14" i="28"/>
  <c r="E42" i="27"/>
  <c r="G40" i="27"/>
  <c r="I40" i="27" s="1"/>
  <c r="I37" i="27"/>
  <c r="G10" i="27"/>
  <c r="F14" i="27"/>
  <c r="G14" i="27" l="1"/>
  <c r="G36" i="27" s="1"/>
  <c r="G42" i="27" s="1"/>
  <c r="I10" i="27"/>
  <c r="I14" i="27" s="1"/>
  <c r="I36" i="27" s="1"/>
  <c r="I42" i="27" s="1"/>
  <c r="L13" i="21" l="1"/>
  <c r="F32" i="24" l="1"/>
  <c r="F31" i="24"/>
  <c r="F30" i="24"/>
  <c r="F28" i="24"/>
  <c r="F27" i="24"/>
  <c r="F26" i="24"/>
  <c r="F25" i="24"/>
  <c r="F24" i="24"/>
  <c r="F23" i="24"/>
  <c r="F22" i="24"/>
  <c r="F21" i="24"/>
  <c r="F20" i="24"/>
  <c r="F19" i="24"/>
  <c r="F18" i="24"/>
  <c r="F17" i="24"/>
  <c r="F16" i="24"/>
  <c r="F15" i="24"/>
  <c r="F14" i="24"/>
  <c r="F13" i="24"/>
  <c r="F12" i="24"/>
  <c r="F11" i="24"/>
  <c r="F10" i="24"/>
  <c r="F9" i="24"/>
  <c r="B29" i="24" l="1"/>
  <c r="C29" i="24"/>
  <c r="D29" i="24"/>
  <c r="E29" i="24"/>
  <c r="G29" i="24"/>
  <c r="B33" i="24"/>
  <c r="C33" i="24"/>
  <c r="D33" i="24"/>
  <c r="E33" i="24"/>
  <c r="G33" i="24"/>
  <c r="F29" i="24" l="1"/>
  <c r="F33" i="24" l="1"/>
  <c r="I8" i="23" l="1"/>
  <c r="I9" i="23" s="1"/>
  <c r="H8" i="23"/>
  <c r="G8" i="23"/>
  <c r="J8" i="23"/>
  <c r="J9" i="23" s="1"/>
  <c r="G9" i="23"/>
  <c r="H9" i="23"/>
  <c r="C9" i="23"/>
  <c r="D9" i="23"/>
  <c r="E9" i="23"/>
  <c r="F9" i="23"/>
  <c r="N14" i="5" l="1"/>
  <c r="N15" i="5"/>
  <c r="N10" i="5"/>
  <c r="M10" i="5"/>
  <c r="L10" i="5"/>
  <c r="K10" i="5"/>
  <c r="B25" i="20" l="1"/>
  <c r="C25" i="20"/>
  <c r="D25" i="20"/>
  <c r="G18" i="21"/>
  <c r="G20" i="21" s="1"/>
  <c r="F18" i="21"/>
  <c r="E18" i="21"/>
  <c r="D18" i="21"/>
  <c r="D20" i="21" s="1"/>
  <c r="C18" i="21"/>
  <c r="B18" i="21"/>
  <c r="A17" i="21"/>
  <c r="M11" i="21"/>
  <c r="J19" i="21" s="1"/>
  <c r="I10" i="21"/>
  <c r="H10" i="21"/>
  <c r="G10" i="21"/>
  <c r="G12" i="21" s="1"/>
  <c r="F10" i="21"/>
  <c r="E10" i="21"/>
  <c r="D10" i="21"/>
  <c r="D12" i="21" s="1"/>
  <c r="C10" i="21"/>
  <c r="B10" i="21"/>
  <c r="L9" i="21"/>
  <c r="I17" i="21" s="1"/>
  <c r="K9" i="21"/>
  <c r="M9" i="21"/>
  <c r="K10" i="21" l="1"/>
  <c r="I18" i="21"/>
  <c r="J17" i="21"/>
  <c r="J18" i="21" s="1"/>
  <c r="M10" i="21"/>
  <c r="H17" i="21"/>
  <c r="H18" i="21" s="1"/>
  <c r="J10" i="21"/>
  <c r="J12" i="21" s="1"/>
  <c r="M12" i="21" s="1"/>
  <c r="J20" i="21" s="1"/>
  <c r="L10" i="21"/>
  <c r="D26" i="20" l="1"/>
  <c r="C26" i="20"/>
  <c r="B26" i="20"/>
  <c r="D17" i="20"/>
  <c r="C17" i="20"/>
  <c r="B17" i="20"/>
  <c r="D13" i="20"/>
  <c r="C13" i="20"/>
  <c r="B13" i="20"/>
  <c r="D10" i="20"/>
  <c r="C10" i="20"/>
  <c r="B10" i="20"/>
  <c r="J13" i="4"/>
  <c r="H30" i="4"/>
  <c r="M12" i="4"/>
  <c r="J30" i="4" s="1"/>
  <c r="L12" i="4"/>
  <c r="I30" i="4" s="1"/>
  <c r="K12" i="4"/>
  <c r="J12" i="4"/>
  <c r="J10" i="4"/>
  <c r="J9" i="4"/>
  <c r="A30" i="4"/>
  <c r="D31" i="1"/>
  <c r="C20" i="20" l="1"/>
  <c r="C21" i="20" s="1"/>
  <c r="C27" i="20" s="1"/>
  <c r="C29" i="20" s="1"/>
  <c r="B20" i="20"/>
  <c r="B21" i="20" s="1"/>
  <c r="B27" i="20" s="1"/>
  <c r="B30" i="20" s="1"/>
  <c r="D20" i="20"/>
  <c r="D21" i="20" s="1"/>
  <c r="D27" i="20" s="1"/>
  <c r="D30" i="20" s="1"/>
  <c r="J24" i="12"/>
  <c r="J16" i="12"/>
  <c r="J14" i="12"/>
  <c r="J13" i="12"/>
  <c r="G24" i="12"/>
  <c r="G19" i="12"/>
  <c r="G16" i="12"/>
  <c r="G14" i="12"/>
  <c r="G13" i="12"/>
  <c r="M21" i="12"/>
  <c r="L21" i="12"/>
  <c r="K21" i="12"/>
  <c r="D14" i="12"/>
  <c r="D24" i="12"/>
  <c r="D19" i="12"/>
  <c r="D16" i="12"/>
  <c r="D13" i="12"/>
  <c r="C30" i="20" l="1"/>
  <c r="B29" i="20"/>
  <c r="D29" i="20"/>
  <c r="M24" i="12"/>
  <c r="M23" i="12"/>
  <c r="M22" i="12"/>
  <c r="M20" i="12"/>
  <c r="M19" i="12"/>
  <c r="M18" i="12"/>
  <c r="M17" i="12"/>
  <c r="M16" i="12"/>
  <c r="M15" i="12"/>
  <c r="M14" i="12"/>
  <c r="M13" i="12"/>
  <c r="M12" i="12"/>
  <c r="M10" i="12"/>
  <c r="L24" i="12"/>
  <c r="L23" i="12"/>
  <c r="L22" i="12"/>
  <c r="L20" i="12"/>
  <c r="L19" i="12"/>
  <c r="L18" i="12"/>
  <c r="L17" i="12"/>
  <c r="L16" i="12"/>
  <c r="L15" i="12"/>
  <c r="L14" i="12"/>
  <c r="L13" i="12"/>
  <c r="L12" i="12"/>
  <c r="L10" i="12"/>
  <c r="K24" i="12"/>
  <c r="K23" i="12"/>
  <c r="K22" i="12"/>
  <c r="K20" i="12"/>
  <c r="K19" i="12"/>
  <c r="K18" i="12"/>
  <c r="K17" i="12"/>
  <c r="K16" i="12"/>
  <c r="K15" i="12"/>
  <c r="K14" i="12"/>
  <c r="K13" i="12"/>
  <c r="K12" i="12"/>
  <c r="K10" i="12"/>
  <c r="A31" i="4" l="1"/>
  <c r="A29" i="4"/>
  <c r="A28" i="4"/>
  <c r="A27" i="4"/>
  <c r="K9" i="12" l="1"/>
  <c r="K9" i="4"/>
  <c r="H27" i="4" s="1"/>
  <c r="B14" i="4"/>
  <c r="B14" i="1"/>
  <c r="D14" i="1"/>
  <c r="D19" i="1" l="1"/>
  <c r="D32" i="1" s="1"/>
  <c r="C19" i="1"/>
  <c r="B19" i="1"/>
  <c r="M15" i="4"/>
  <c r="J33" i="4" s="1"/>
  <c r="M14" i="5" l="1"/>
  <c r="M15" i="5"/>
  <c r="L15" i="5"/>
  <c r="K15" i="5"/>
  <c r="L14" i="5"/>
  <c r="K14" i="5"/>
  <c r="H16" i="5"/>
  <c r="D16" i="5"/>
  <c r="H10" i="5"/>
  <c r="D10" i="5"/>
  <c r="K16" i="5" l="1"/>
  <c r="N16" i="5"/>
  <c r="L16" i="5"/>
  <c r="M16" i="5"/>
  <c r="M11" i="12" l="1"/>
  <c r="L11" i="12"/>
  <c r="K11" i="12"/>
  <c r="M9" i="12"/>
  <c r="L9" i="12"/>
  <c r="J25" i="12"/>
  <c r="I25" i="12"/>
  <c r="H25" i="12"/>
  <c r="G25" i="12"/>
  <c r="F25" i="12"/>
  <c r="E25" i="12"/>
  <c r="D25" i="12"/>
  <c r="C25" i="12"/>
  <c r="B25" i="12"/>
  <c r="L25" i="12" l="1"/>
  <c r="K25" i="12"/>
  <c r="M25" i="12"/>
  <c r="J16" i="5" l="1"/>
  <c r="I16" i="5"/>
  <c r="G16" i="5"/>
  <c r="F16" i="5"/>
  <c r="E16" i="5"/>
  <c r="C16" i="5"/>
  <c r="J10" i="5"/>
  <c r="I10" i="5"/>
  <c r="G10" i="5"/>
  <c r="F10" i="5"/>
  <c r="E10" i="5"/>
  <c r="C10" i="5"/>
  <c r="L22" i="4"/>
  <c r="I40" i="4" s="1"/>
  <c r="L21" i="4"/>
  <c r="I39" i="4" s="1"/>
  <c r="L17" i="4"/>
  <c r="I35" i="4" s="1"/>
  <c r="G32" i="4"/>
  <c r="G34" i="4" s="1"/>
  <c r="F32" i="4"/>
  <c r="F36" i="4" s="1"/>
  <c r="F41" i="4" s="1"/>
  <c r="E32" i="4"/>
  <c r="D32" i="4"/>
  <c r="D34" i="4" s="1"/>
  <c r="C32" i="4"/>
  <c r="C36" i="4" s="1"/>
  <c r="C41" i="4" s="1"/>
  <c r="B32" i="4"/>
  <c r="J14" i="4"/>
  <c r="J16" i="4" s="1"/>
  <c r="I14" i="4"/>
  <c r="I18" i="4" s="1"/>
  <c r="I23" i="4" s="1"/>
  <c r="H14" i="4"/>
  <c r="G14" i="4"/>
  <c r="G16" i="4" s="1"/>
  <c r="F14" i="4"/>
  <c r="F18" i="4" s="1"/>
  <c r="E14" i="4"/>
  <c r="D14" i="4"/>
  <c r="D16" i="4" s="1"/>
  <c r="C14" i="4"/>
  <c r="C18" i="4" s="1"/>
  <c r="C23" i="4" s="1"/>
  <c r="M13" i="4"/>
  <c r="J31" i="4" s="1"/>
  <c r="L13" i="4"/>
  <c r="I31" i="4" s="1"/>
  <c r="K13" i="4"/>
  <c r="H31" i="4" s="1"/>
  <c r="M11" i="4"/>
  <c r="J29" i="4" s="1"/>
  <c r="L11" i="4"/>
  <c r="I29" i="4" s="1"/>
  <c r="K11" i="4"/>
  <c r="H29" i="4" s="1"/>
  <c r="M10" i="4"/>
  <c r="J28" i="4" s="1"/>
  <c r="L10" i="4"/>
  <c r="K10" i="4"/>
  <c r="M9" i="4"/>
  <c r="J27" i="4" s="1"/>
  <c r="L9" i="4"/>
  <c r="I27" i="4" s="1"/>
  <c r="D38" i="1"/>
  <c r="D39" i="1" s="1"/>
  <c r="C38" i="1"/>
  <c r="C39" i="1" s="1"/>
  <c r="B38" i="1"/>
  <c r="B39" i="1" s="1"/>
  <c r="C31" i="1"/>
  <c r="C32" i="1" s="1"/>
  <c r="B31" i="1"/>
  <c r="B32" i="1" s="1"/>
  <c r="C10" i="1"/>
  <c r="B10" i="1"/>
  <c r="D10" i="1"/>
  <c r="M16" i="4" l="1"/>
  <c r="J34" i="4" s="1"/>
  <c r="K14" i="4"/>
  <c r="L14" i="4"/>
  <c r="M14" i="4"/>
  <c r="J32" i="4"/>
  <c r="F23" i="4"/>
  <c r="L23" i="4" s="1"/>
  <c r="I41" i="4" s="1"/>
  <c r="L18" i="4"/>
  <c r="I36" i="4" s="1"/>
  <c r="I28" i="4"/>
  <c r="I32" i="4" s="1"/>
  <c r="H28" i="4"/>
  <c r="H32" i="4" s="1"/>
  <c r="C33" i="1"/>
  <c r="B33" i="1"/>
  <c r="B40" i="1" s="1"/>
  <c r="D33" i="1"/>
  <c r="D40" i="1" l="1"/>
  <c r="D43" i="1" s="1"/>
  <c r="B43" i="1"/>
  <c r="B42" i="1"/>
  <c r="C40" i="1"/>
  <c r="C43" i="1" s="1"/>
  <c r="D42" i="1" l="1"/>
  <c r="C42" i="1"/>
</calcChain>
</file>

<file path=xl/sharedStrings.xml><?xml version="1.0" encoding="utf-8"?>
<sst xmlns="http://schemas.openxmlformats.org/spreadsheetml/2006/main" count="1492" uniqueCount="305">
  <si>
    <t>Summary of Requirements</t>
  </si>
  <si>
    <t>Salaries and Expenses</t>
  </si>
  <si>
    <t>(Dollars in Thousands)</t>
  </si>
  <si>
    <t>FY 2014 Request</t>
  </si>
  <si>
    <t>Direct Pos.</t>
  </si>
  <si>
    <t>Amount</t>
  </si>
  <si>
    <t>2012 Balance Rescission (if applicable)</t>
  </si>
  <si>
    <t>2012 Enacted</t>
  </si>
  <si>
    <t>2013 Continuing Resolution</t>
  </si>
  <si>
    <t>Technical Adjustments</t>
  </si>
  <si>
    <t>Transfers:</t>
  </si>
  <si>
    <t>Pay and Benefits</t>
  </si>
  <si>
    <t>Domestic Rent and Facilities</t>
  </si>
  <si>
    <t>Other Adjustments</t>
  </si>
  <si>
    <t>Foreign Expenses</t>
  </si>
  <si>
    <t>2014 Current Services</t>
  </si>
  <si>
    <t>Program Changes</t>
  </si>
  <si>
    <t>Subtotal, Offsets</t>
  </si>
  <si>
    <t>Total Program Changes</t>
  </si>
  <si>
    <t>2014 Total Request</t>
  </si>
  <si>
    <t>2013 - 2014 Total Change</t>
  </si>
  <si>
    <t>end of line</t>
  </si>
  <si>
    <t>end of sheet</t>
  </si>
  <si>
    <t>2014 Increases</t>
  </si>
  <si>
    <t>2014 Offsets</t>
  </si>
  <si>
    <t>2014 Request</t>
  </si>
  <si>
    <t>Total</t>
  </si>
  <si>
    <t>Reimbursable FTE</t>
  </si>
  <si>
    <t>Other FTE:</t>
  </si>
  <si>
    <t>LEAP</t>
  </si>
  <si>
    <t>Overtime</t>
  </si>
  <si>
    <t>Direct FTE</t>
  </si>
  <si>
    <t>FY 2014 Program Increases/Offsets by Decision Unit</t>
  </si>
  <si>
    <t>Total Offsets</t>
  </si>
  <si>
    <t>Program Offsets</t>
  </si>
  <si>
    <t>Total Program Offsets</t>
  </si>
  <si>
    <t>Agt./
Atty.</t>
  </si>
  <si>
    <t>Resources by Department of Justice Strategic Goal/Objective</t>
  </si>
  <si>
    <t>Strategic Goal and Strategic Objective</t>
  </si>
  <si>
    <t>Direct Amount</t>
  </si>
  <si>
    <t>Direct/
Reimb FTE</t>
  </si>
  <si>
    <t>Goal 1</t>
  </si>
  <si>
    <t>Prevent, disrupt, and defeat terrorist operations before they occur.</t>
  </si>
  <si>
    <t xml:space="preserve">Prevent Terrorism and Promote the Nation's Security Consistent with the Rule of Law
</t>
  </si>
  <si>
    <t>Goal 2</t>
  </si>
  <si>
    <t>Prevent Crime, Protect the Rights of the American People, and enforce Federal Law</t>
  </si>
  <si>
    <t>Subtotal, Goal 2</t>
  </si>
  <si>
    <t>Subtotal, Goal 1</t>
  </si>
  <si>
    <t>Combat the threat, incidence, and prevalence of violent crime.</t>
  </si>
  <si>
    <t>Prevent and intervene in crimes against vulnerable of violent crime.</t>
  </si>
  <si>
    <t>Combat the threat, trafficking, and use of illegal drugs and the diversion of licit drugs.</t>
  </si>
  <si>
    <t>Goal 3</t>
  </si>
  <si>
    <t>Ensure and Support the Fair, Impartial, Efficient, and Transparent Administration of Justice at the Federal, State, Local, Tribal and International Levels.</t>
  </si>
  <si>
    <t>Subtotal, Goal 3</t>
  </si>
  <si>
    <t>TOTAL</t>
  </si>
  <si>
    <t>Provide for the safe, secure, humane, and cost-effective confinement of detainees awaiting trial and/or sentencing, and those of the custody of the Federal Prison System.</t>
  </si>
  <si>
    <t>Adjudicate all immigration cases promptly and impartially in accordance with due process.</t>
  </si>
  <si>
    <t>Subtotal, Technical Adjustments</t>
  </si>
  <si>
    <t>Transfers</t>
  </si>
  <si>
    <t>Subtotal, Transfers</t>
  </si>
  <si>
    <t>25.6 Medical Care</t>
  </si>
  <si>
    <t>Subtotal, Pay and Benefits</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</si>
  <si>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2014. </t>
    </r>
  </si>
  <si>
    <t>Subtotal, Domestic Rent and Facilities</t>
  </si>
  <si>
    <t>Subtotal, Other Adjustments</t>
  </si>
  <si>
    <r>
      <t>International Cooperative Administrative Support Services (ICASS)</t>
    </r>
    <r>
      <rPr>
        <sz val="9"/>
        <color theme="1"/>
        <rFont val="Arial"/>
        <family val="2"/>
      </rPr>
      <t>:</t>
    </r>
    <r>
      <rPr>
        <u/>
        <sz val="9"/>
        <color theme="1"/>
        <rFont val="Arial"/>
        <family val="2"/>
      </rPr>
      <t xml:space="preserve">
</t>
    </r>
    <r>
      <rPr>
        <sz val="9"/>
        <color theme="1"/>
        <rFont val="Arial"/>
        <family val="2"/>
      </rPr>
      <t>Under the ICASS, an annual charge is made by the Department of State for administrative support based on the overseas staff of each federal agency.  This request is based on the projected FY 2013 bill for post invoices and other ICASS costs.</t>
    </r>
  </si>
  <si>
    <t>Subtotal, Foreign Expenses</t>
  </si>
  <si>
    <t>Crosswalk of 2012 Availability</t>
  </si>
  <si>
    <t>Reprogramming/Transfers</t>
  </si>
  <si>
    <t xml:space="preserve">Carryover </t>
  </si>
  <si>
    <t>Crosswalk of 2013 Availability</t>
  </si>
  <si>
    <t>2013 Availability</t>
  </si>
  <si>
    <t>Summary of Reimbursable Resources</t>
  </si>
  <si>
    <t>2012 Actual</t>
  </si>
  <si>
    <t>Increase/Decrease</t>
  </si>
  <si>
    <t>Reimb. Pos.</t>
  </si>
  <si>
    <t>Reimb. FTE</t>
  </si>
  <si>
    <t>Detail of Permanent Positions by Category</t>
  </si>
  <si>
    <t>Category</t>
  </si>
  <si>
    <t>Accounting and Budget (500-599)</t>
  </si>
  <si>
    <t>Information &amp; Arts (1000-1099)</t>
  </si>
  <si>
    <t>Business &amp; Industry (1100-1199)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</si>
  <si>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</si>
  <si>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</si>
  <si>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</si>
  <si>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</si>
  <si>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</si>
  <si>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</si>
  <si>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</si>
  <si>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</si>
  <si>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</si>
  <si>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</si>
  <si>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</si>
  <si>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</si>
  <si>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</si>
  <si>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</si>
  <si>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</si>
  <si>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</si>
  <si>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</si>
  <si>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</si>
  <si>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</si>
  <si>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</si>
  <si>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</si>
  <si>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</si>
  <si>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</si>
  <si>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</si>
  <si>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</si>
  <si>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26.0 Supplies and Materials</t>
  </si>
  <si>
    <t>31.0 Equipment</t>
  </si>
  <si>
    <t>32.0 Land and Structures</t>
  </si>
  <si>
    <t>42.0 Insurance Claims and Indemnities</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</si>
  <si>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</si>
  <si>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</si>
  <si>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</si>
  <si>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</si>
  <si>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</si>
  <si>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</si>
  <si>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</si>
  <si>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</si>
  <si>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Program Increase 1</t>
  </si>
  <si>
    <t>Program Increase 2</t>
  </si>
  <si>
    <t>SES</t>
  </si>
  <si>
    <t>GS-15</t>
  </si>
  <si>
    <t>GS-14</t>
  </si>
  <si>
    <t>GS-13</t>
  </si>
  <si>
    <t>GS-12</t>
  </si>
  <si>
    <t>GS-11</t>
  </si>
  <si>
    <t>GS-10</t>
  </si>
  <si>
    <t>GS-9</t>
  </si>
  <si>
    <t>GS-8</t>
  </si>
  <si>
    <t>GS-7</t>
  </si>
  <si>
    <t>GS-6</t>
  </si>
  <si>
    <t>GS-5</t>
  </si>
  <si>
    <t>Total Positions and Annual Amount</t>
  </si>
  <si>
    <t>Lapse (-)</t>
  </si>
  <si>
    <t>Total FTEs and Personnel Compensation</t>
  </si>
  <si>
    <t>Grades and Salary Ranges</t>
  </si>
  <si>
    <t xml:space="preserve">EX </t>
  </si>
  <si>
    <t>GS-4</t>
  </si>
  <si>
    <t>GS-3</t>
  </si>
  <si>
    <t>GS-2</t>
  </si>
  <si>
    <t>GS-1</t>
  </si>
  <si>
    <t>-</t>
  </si>
  <si>
    <t>Total, Appropriated Positions</t>
  </si>
  <si>
    <t>Average SES Salary</t>
  </si>
  <si>
    <t>Average GS Salary</t>
  </si>
  <si>
    <t>Average GS Grade</t>
  </si>
  <si>
    <t>Base Adjustments</t>
  </si>
  <si>
    <t>Total 2013 Continuing Resolution (with Balance Rescission and Supplemental)</t>
  </si>
  <si>
    <t>Total Base Adjustments</t>
  </si>
  <si>
    <t>Total Technical and Base Adjustments</t>
  </si>
  <si>
    <t>2014 Total Request (with Balance Rescission)</t>
  </si>
  <si>
    <t xml:space="preserve">2012 Appropriation Enacted </t>
  </si>
  <si>
    <t>Estimate FTE</t>
  </si>
  <si>
    <t>Actual FTE</t>
  </si>
  <si>
    <t>Estim. FTE</t>
  </si>
  <si>
    <t>Balance Rescission</t>
  </si>
  <si>
    <t>Total Direct</t>
  </si>
  <si>
    <t>Total Direct and Reimb. FTE</t>
  </si>
  <si>
    <t>Grand Total, FTE</t>
  </si>
  <si>
    <t>Program Activity</t>
  </si>
  <si>
    <t>Location of Description by Program Activity</t>
  </si>
  <si>
    <t>2012 Appropriation Enacted</t>
  </si>
  <si>
    <t>Justifications for Technical and Base Adjustments</t>
  </si>
  <si>
    <t>TOTAL DIRECT TECHNICAL and BASE ADJUSTMENTS</t>
  </si>
  <si>
    <t>Recoveries/Refunds</t>
  </si>
  <si>
    <t>Summary of Requirements by Grade</t>
  </si>
  <si>
    <t>SES/SL</t>
  </si>
  <si>
    <t>FY 2013 Continuing Resolution</t>
  </si>
  <si>
    <t>Total Program Change Requests</t>
  </si>
  <si>
    <t>11.5 Other Personnel Compensation</t>
  </si>
  <si>
    <t>22.0 Transportation of Things</t>
  </si>
  <si>
    <t>Subtract - Unobligated Balance, Start-of-Year</t>
  </si>
  <si>
    <t>Budgetary Resources</t>
  </si>
  <si>
    <t>Promote and Strengthen relationship and strategies for the administration of justice with state, local, tribal and international law enforcement.</t>
  </si>
  <si>
    <t>Protect judges, witnesses, and other participants in federal proceedings; apprehend fugitives; and ensure the appearance of criminal defendants for judicial proceedings or confinement.</t>
  </si>
  <si>
    <t>Est. FTE</t>
  </si>
  <si>
    <t>Total Direct with Rescission</t>
  </si>
  <si>
    <t>Add - Unobligated End-of-Year, Expiring</t>
  </si>
  <si>
    <t>Carryover:</t>
  </si>
  <si>
    <t>Recoveries/Refunds:</t>
  </si>
  <si>
    <t>Total Technical Adjustments</t>
  </si>
  <si>
    <t>2014 Technical and Base Adjustments</t>
  </si>
  <si>
    <t>2013 CR 0.612% Increase</t>
  </si>
  <si>
    <t>Adjustment - 2013 CR 0.612%</t>
  </si>
  <si>
    <t>Collections by Source</t>
  </si>
  <si>
    <t>Subtract - Transfers/Reprogramming</t>
  </si>
  <si>
    <t>Subtract - Recoveries/Refunds</t>
  </si>
  <si>
    <t>2012 Appropriation Enacted w/o Balance Rescission</t>
  </si>
  <si>
    <t>United States Marshals Service</t>
  </si>
  <si>
    <t>Judicial and Courthouse Security</t>
  </si>
  <si>
    <t>Fugitive Apprehension</t>
  </si>
  <si>
    <t>Prisoner Security and Transportation</t>
  </si>
  <si>
    <t>Protection of Witnesses</t>
  </si>
  <si>
    <t>Tactical Operations</t>
  </si>
  <si>
    <t>Administrative Office of the U.S. Courts (AOUSC)</t>
  </si>
  <si>
    <t>Assets Forfeiture Fund (AFF)</t>
  </si>
  <si>
    <t>Centers for Disease Control (CDC)</t>
  </si>
  <si>
    <t>Civilian Response Corps (CRC)</t>
  </si>
  <si>
    <t>Department of Defense (DOD)</t>
  </si>
  <si>
    <t>Department of Homeland Security (DHS)</t>
  </si>
  <si>
    <t>Department of Justice (DOJ)</t>
  </si>
  <si>
    <t>Department of State (DOS)</t>
  </si>
  <si>
    <t>Executive Office of the U.S. Attorneys (EOUSA)</t>
  </si>
  <si>
    <t>Federal Law Enforcement Training Center (FLETC)</t>
  </si>
  <si>
    <t>Office of National Drug Control Policy (ONDCP)</t>
  </si>
  <si>
    <t>Service of Process (SOP)</t>
  </si>
  <si>
    <t>U.S. Tax Court</t>
  </si>
  <si>
    <t>Various Federal Sources</t>
  </si>
  <si>
    <t>Organized Crime Drug Enforcement Task Force (OCDETF)</t>
  </si>
  <si>
    <t>2012 Actual*</t>
  </si>
  <si>
    <t xml:space="preserve">       ** FY 2012 and 2013 excludes reimbursable positions and FTE for Centers for Disease Control (2) and DOJ supporting Plan Colombia (1).</t>
  </si>
  <si>
    <t>2013 Planned**</t>
  </si>
  <si>
    <t>Restoration of Recission - USMS S&amp;E</t>
  </si>
  <si>
    <t>JABS - To Components</t>
  </si>
  <si>
    <t>JCON and JCON S/TS - To Components</t>
  </si>
  <si>
    <t xml:space="preserve">New Technology - To Components </t>
  </si>
  <si>
    <t xml:space="preserve">Office of Information Policy (OIP) - From Components </t>
  </si>
  <si>
    <t xml:space="preserve">Professional Responsibility Advisory Office (PRAO) - From Components </t>
  </si>
  <si>
    <t xml:space="preserve">Administrative Efficiencies </t>
  </si>
  <si>
    <t xml:space="preserve">IT Savings </t>
  </si>
  <si>
    <t>Offsets:</t>
  </si>
  <si>
    <t>2014 Balance Rescission</t>
  </si>
  <si>
    <t xml:space="preserve">2013 Balance Rescission </t>
  </si>
  <si>
    <t xml:space="preserve">Judicial and Courthouse Security </t>
  </si>
  <si>
    <t>Construction</t>
  </si>
  <si>
    <t xml:space="preserve">Protection of Witnesses </t>
  </si>
  <si>
    <t>Administrative Efficiencies</t>
  </si>
  <si>
    <t>IT Savings</t>
  </si>
  <si>
    <t>All Decision Units</t>
  </si>
  <si>
    <t>Security Administration (080)</t>
  </si>
  <si>
    <t>Social science, Psychology, and Welfare (100-199)</t>
  </si>
  <si>
    <t>Intelligence (132)</t>
  </si>
  <si>
    <t>General Administrative, Clerical, and Office Services (300-399)</t>
  </si>
  <si>
    <t>Medical/Public Health (600-699)</t>
  </si>
  <si>
    <t>Architecture (808)</t>
  </si>
  <si>
    <t>Electronics Technical (856)</t>
  </si>
  <si>
    <t xml:space="preserve">General Attorney (905) </t>
  </si>
  <si>
    <t>Paralegal Specialist (950)</t>
  </si>
  <si>
    <t>Mathematics and Statistics (1500-1599)</t>
  </si>
  <si>
    <t>Equipment, Facilities, and Services (1600-1699)</t>
  </si>
  <si>
    <t>Detention Enforcement Officers (1802)</t>
  </si>
  <si>
    <t xml:space="preserve">Criminal Investigative (1811 and 082) </t>
  </si>
  <si>
    <t>Transportation (2100-2199)</t>
  </si>
  <si>
    <t>Information Technology Management  (2210)</t>
  </si>
  <si>
    <t>Miscellaneous Occupations (010-099)</t>
  </si>
  <si>
    <t>Human Resources Management (200-299)</t>
  </si>
  <si>
    <t>* FY 2012 and 2013 excludes reimbursable positions for Centers for Disease Control (2) and DOJ supporting Plan Columbia (1).</t>
  </si>
  <si>
    <t>Note: The FTE for FY 2012 is actual and for FY 2013 and FY 2014 are estimates.</t>
  </si>
  <si>
    <r>
      <t>2012 Enacted</t>
    </r>
    <r>
      <rPr>
        <b/>
        <vertAlign val="superscript"/>
        <sz val="11"/>
        <color theme="1"/>
        <rFont val="Arial"/>
        <family val="2"/>
      </rPr>
      <t xml:space="preserve"> </t>
    </r>
  </si>
  <si>
    <r>
      <t>Total 2012 Enacted (with Balance Rescission)</t>
    </r>
    <r>
      <rPr>
        <b/>
        <vertAlign val="superscript"/>
        <sz val="11"/>
        <color theme="1"/>
        <rFont val="Arial"/>
        <family val="2"/>
      </rPr>
      <t xml:space="preserve"> </t>
    </r>
  </si>
  <si>
    <t>*The 2013 Continuing Resolution includes the 0.612% funding provided by the Continuing Appropriations Resolution, 2013 (P.L. 112-175, Section 101(c)).</t>
  </si>
  <si>
    <t>2013 Continuing Resolution*</t>
  </si>
  <si>
    <t>2012 Appropriation Enacted with Balance Rescissions*</t>
  </si>
  <si>
    <t>2014 Request**</t>
  </si>
  <si>
    <t xml:space="preserve">       * Effective FY 2012, AFF is no longer a reimbursable item.</t>
  </si>
  <si>
    <t>Office of Federal Detention Trustee (OFDT/FPD)</t>
  </si>
  <si>
    <t>2014 Request***</t>
  </si>
  <si>
    <t>** FY 2014 includes 10 additional DUSMs for AFF; 3 DUSM positions for CDC and DOJ; -4 administrative positions from AOUSC to match current allocation;                    - 1 DUSM from OCDETF to match current reimbursable agreement.</t>
  </si>
  <si>
    <t>Restoration of Rescission</t>
  </si>
  <si>
    <r>
      <rPr>
        <u/>
        <sz val="9"/>
        <color theme="1"/>
        <rFont val="Arial"/>
        <family val="2"/>
      </rPr>
      <t>Adjustment - 2013 CR 0.612%</t>
    </r>
    <r>
      <rPr>
        <sz val="9"/>
        <color theme="1"/>
        <rFont val="Arial"/>
        <family val="2"/>
      </rPr>
      <t xml:space="preserve">:
PL 112-175 section 101 (c) provided 0.612% across the board increase above the current rate for the 2013 CR funding level.  This adjustment reverses this increase.   </t>
    </r>
  </si>
  <si>
    <r>
      <rPr>
        <u/>
        <sz val="9"/>
        <color theme="1"/>
        <rFont val="Arial"/>
        <family val="2"/>
      </rPr>
      <t>Joint Automated Booking System (JABS)</t>
    </r>
    <r>
      <rPr>
        <sz val="9"/>
        <color theme="1"/>
        <rFont val="Arial"/>
        <family val="2"/>
      </rPr>
      <t>:
  A transfer of $2,755 is included in support of the Department's Justice Automated Booking System program which will be moved to the Working Capital Fund and provided as a billable service in FY 2014.</t>
    </r>
  </si>
  <si>
    <r>
      <rPr>
        <u/>
        <sz val="9"/>
        <color theme="1"/>
        <rFont val="Arial"/>
        <family val="2"/>
      </rPr>
      <t xml:space="preserve">JCON and JCON S/TS:
</t>
    </r>
    <r>
      <rPr>
        <sz val="9"/>
        <color theme="1"/>
        <rFont val="Arial"/>
        <family val="2"/>
      </rPr>
      <t>A transfer of $2,774 is included in support of the Department's Justice Consolidated Office Network (JCON) and JCON S/TS programs which will be moved to the Working Capital Fund and provided as a billable service in FY 2014.</t>
    </r>
  </si>
  <si>
    <r>
      <rPr>
        <u/>
        <sz val="9"/>
        <color theme="1"/>
        <rFont val="Arial"/>
        <family val="2"/>
      </rPr>
      <t>Law Enforcement Radios:</t>
    </r>
    <r>
      <rPr>
        <sz val="9"/>
        <color theme="1"/>
        <rFont val="Arial"/>
        <family val="2"/>
      </rPr>
      <t xml:space="preserve">
In FY 2013,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For USMS, the O&amp;M transfer amount is $3,700.</t>
    </r>
  </si>
  <si>
    <r>
      <rPr>
        <u/>
        <sz val="9"/>
        <color theme="1"/>
        <rFont val="Arial"/>
        <family val="2"/>
      </rPr>
      <t>Office of Information Policy (OIP)</t>
    </r>
    <r>
      <rPr>
        <sz val="9"/>
        <color theme="1"/>
        <rFont val="Arial"/>
        <family val="2"/>
      </rPr>
      <t>:
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</si>
  <si>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r>
      <rPr>
        <u/>
        <sz val="9"/>
        <color theme="1"/>
        <rFont val="Arial"/>
        <family val="2"/>
      </rPr>
      <t>Professional Responsibility Advisory Office</t>
    </r>
    <r>
      <rPr>
        <sz val="9"/>
        <color theme="1"/>
        <rFont val="Arial"/>
        <family val="2"/>
      </rPr>
      <t>:
The component transfers for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</si>
  <si>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r>
      <t xml:space="preserve">2014 Pay Raise:
</t>
    </r>
    <r>
      <rPr>
        <sz val="9"/>
        <color theme="1"/>
        <rFont val="Arial"/>
        <family val="2"/>
      </rPr>
      <t>This request provides for a proposed 1 percent pay raise to be effective in January of 2014.  The increase only inlcudes the general pay raise.  The amount request, $4,897, represents the pay amounts for 3/4 of the fiscal year plus appropriate benefits ($3,412 for pay and $1,485 for beneftis.)</t>
    </r>
  </si>
  <si>
    <r>
      <t xml:space="preserve">Annualization of 2013 Pay Raise:
</t>
    </r>
    <r>
      <rPr>
        <sz val="9"/>
        <color theme="1"/>
        <rFont val="Arial"/>
        <family val="2"/>
      </rPr>
      <t>This pay annualization represents first quarter amounts (October through December) of the 2013 pay increase of 0.5% included in the 2013 President's Budget.  The amount requested $867, represents the pay amounts for 1/4 of the fiscal year plus appropriate benefits ($604 for pay and $263 for benefits).</t>
    </r>
  </si>
  <si>
    <r>
      <rPr>
        <u/>
        <sz val="9"/>
        <color theme="1"/>
        <rFont val="Arial"/>
        <family val="2"/>
      </rPr>
      <t>Employee Compensation Fund:</t>
    </r>
    <r>
      <rPr>
        <sz val="9"/>
        <color theme="1"/>
        <rFont val="Arial"/>
        <family val="2"/>
      </rPr>
      <t xml:space="preserve">
The $846 request reflects anticipated changes in payments to the Department of Labor for injury benefits under the Federal Employee Compensation Act.</t>
    </r>
  </si>
  <si>
    <r>
      <t>Health Insurance:</t>
    </r>
    <r>
      <rPr>
        <sz val="9"/>
        <color theme="1"/>
        <rFont val="Arial"/>
        <family val="2"/>
      </rPr>
      <t xml:space="preserve">
Effective January 2014, the component's contribution to Federal employees' health insurance increases by 3.2 percent.  Applied against the 2013 estimate of $37,115, the additional amount required is $1,196.</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</si>
  <si>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$864 is necessary to meet our increased retirement obligations as a result of this conversion.</t>
    </r>
  </si>
  <si>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$10,992 is required to meet our commitment to GSA.  The costs associated with GSA rent were derived through the use of an automated system, which uses the latest inventory data, including rate increases to be effective FY 2014 for each building currently occupied by Department of Justice components, as well as the costs of new space to be occupied.  GSA provides data on the rate increases.</t>
    </r>
  </si>
  <si>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$73 is required for this account.</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</si>
  <si>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$124 reflects the increase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</si>
  <si>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$21 reflects the change in cost to support existing staffing levels.</t>
    </r>
  </si>
  <si>
    <r>
      <t>Living Quarter Allowance</t>
    </r>
    <r>
      <rPr>
        <sz val="9"/>
        <color theme="1"/>
        <rFont val="Arial"/>
        <family val="2"/>
      </rPr>
      <t>:
The living quarter allowance (LQA) is an allowance granted an employee for the annual cost of adequate living quarters for the employee and the employee's family at a foreign post.  The rates are designed to cover the average cost of rent, heat, light, fuel, gas, electricity, water, local taxes, and insurance paid by the employee.  Employees who receive the GLQ do not receive LQA and vice versa.  $6 reflects the change in cost to support existing staffing levels.</t>
    </r>
  </si>
  <si>
    <r>
      <t>Overseas Capital Security Cost Sharing (CSCS)</t>
    </r>
    <r>
      <rPr>
        <sz val="9"/>
        <color theme="1"/>
        <rFont val="Arial"/>
        <family val="2"/>
      </rPr>
      <t>:
The Department of State (DOS) is in the midst of a multi-year capital security construction program, with a plan to build and maintain new diplomatic and consular compounds that meet security requirements set by the Secure Embassies Construction Act.   As authorized by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FY2000-2004, the program  has been extended annually by OMB and Congress and has also been expanded beyond new embassy construction to include maintenance and renovation costs of the new facilities also.  For the purpose of this program, DOS’s personnel totals for DOJ include current and projected staffing.  The estimated cost to the Department, as provided by DOS, for FY 2014 is $840.  The USMS currently has 17 positions overseas, and funding of $840 is requested for this account.</t>
    </r>
  </si>
  <si>
    <r>
      <t xml:space="preserve">Post Allowance - Cost of Living Allowance (COLA):
</t>
    </r>
    <r>
      <rPr>
        <sz val="9"/>
        <color theme="1"/>
        <rFont val="Arial"/>
        <family val="2"/>
      </rPr>
      <t>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the Washington, D.C. area.  $33 reflects the increase in cost to support existing staffing levels.</t>
    </r>
  </si>
  <si>
    <t>25.3 DHS Security (GSA)</t>
  </si>
  <si>
    <t>25.9 Lease Expirations</t>
  </si>
  <si>
    <t>*The 2013 Availability includes the 0.612% funding provided by the Continuing Appropriations Resolution, 2013 (P.L. 112-175, Section 101 (c)).</t>
  </si>
  <si>
    <t>Reprogramming/Transfers:</t>
  </si>
  <si>
    <t>Unobligated balance transfers for USMS 15-0324-11/12 include a transfer out of $90,000 and a transfer in of $114,900 from High Intensity Drug Trafficking Area (HIDTA 11-1070-11/12); and for USMS S&amp;E No-Year (15-0324-X) a transfer out of $2,517,103 to Tactical Law Enforcement Wireless Communications (TLEWC 15-0132-X) and transfers in from S&amp;E Prior Year (FY07, FY08, FY11) balances of $9,637,092.  Also includes appropriations transfer to USMS (15-0324-12/13) from HIDTA (11-1070-12/13) of $1,201,102.</t>
  </si>
  <si>
    <t>Unobligated Balances that were carried over from FY 2011 S&amp;E Multi-Year (15-0324-11/12) include $1,122,504 for the HIDTA program and $3,300,000 to support the mission in Afghanistan.  Also includes $9,525,192 carryover from S&amp;E No-Year (15-0324-X) to support information technology enhancements.</t>
  </si>
  <si>
    <t>Rescissions:</t>
  </si>
  <si>
    <t>Unobligated balance rescission of $2,200,000.</t>
  </si>
  <si>
    <t>Carryover :</t>
  </si>
  <si>
    <t>Unobligated Balances that were carried over from FY 2011 include $2,050,770 from Construction No-Year (15-0133-X) for renovation and related costs.</t>
  </si>
  <si>
    <t>Recoveries:</t>
  </si>
  <si>
    <t>Recoveries from Prior Year obligations amounted to $862,429 to support courthouse renovations and related costs.</t>
  </si>
  <si>
    <t>*The 2013 Continuing Resolution includes the 0.612% funding provided by the Continuing Appropriations Resolution, 2013 (P.L. 112-175, Section 101 (c)).</t>
  </si>
  <si>
    <t>Unobligated balance transfers for USMS 15-0324-12/13 include a transfer in of $127,885 from High Intensity Drug Trafficking Area (HIDTA 11-1070-12/13);</t>
  </si>
  <si>
    <t>and for USMS S&amp;E No-Year (15-0324-X) a planned transfer out of $2,517,103 to Tactical Law Enforcement Wireless Communications (TLEWC 15-0132-X)</t>
  </si>
  <si>
    <t>and transfers in from S&amp;E Prior Year (FY11, FY12) balances of $6,500,000.  Also includes appropriations transfer to USMS  (15-0324-13/14) from HIDTA</t>
  </si>
  <si>
    <t>(11-1070-13/14) of $608,801.</t>
  </si>
  <si>
    <t>Unobligated Balances that were carried over from FY 2012 S&amp;E Multi-Year (15-0324-12/13) are $1,114,099 for the HIDTA program.  Also includes $7,290,513 carryover from S&amp;E No-Year (15-0324-X) to support information technology enhancements.</t>
  </si>
  <si>
    <t>Recoveries of prior year obligations are estimated at $1,500,000 S&amp;E No-Year (15-0324-X) as reported in the FY 2013 Spend Plan under Section 211 Notification, to be used for courthouse security equipment and related costs and information technology enhancements.</t>
  </si>
  <si>
    <t>Unobligated Balances that were carried over from FY 2012 include $930,402 from Construction No-Year (15-0133-X) for renovation and related costs.</t>
  </si>
  <si>
    <t>Recoveries from Prior Year obligations are estimated at $1,000,000 as reported in the FY 2013 Spend Plan under Section 211 Notification, to support courthouse renovation</t>
  </si>
  <si>
    <t>and related costs.</t>
  </si>
  <si>
    <t>Add - Unobligated End-of-Year, Unavailable</t>
  </si>
  <si>
    <r>
      <rPr>
        <u/>
        <sz val="9"/>
        <color theme="1"/>
        <rFont val="Arial"/>
        <family val="2"/>
      </rPr>
      <t>Legacy Radio, Operations and Maintenance (O&amp;M)</t>
    </r>
    <r>
      <rPr>
        <sz val="9"/>
        <color theme="1"/>
        <rFont val="Arial"/>
        <family val="2"/>
      </rPr>
      <t xml:space="preserve">
In FY 2013, the funding for the Department’s Radio/Interoperability program is being realigned.  This change will generate savings and allow the Department to increase our investments in improved technology and interoperability.  As part of the realignment, base operations and maintenance (O&amp;M) funding for radios is being transferred back to components.  In order to fully fund the O&amp;M requirements, an ATB increase of $2,719 is requested for USMS.   </t>
    </r>
  </si>
  <si>
    <t>Recoveries of prior year obligations amounted to $841,308, however, $2.4 million had to be pulled from direct funding to cover prior year refunds to the Detention Trustee.  This adjustment resulted in a negative balance of $1,566,986.</t>
  </si>
  <si>
    <t>*** As of FY 2014, OFDT will no longer be a reimbursable item due to the USMS/OFDT merger. The increase of 8 FTE includes: additional 5 FTE for AFF; 2 for AOUSC; 2 FTE for CDC; 1 FTE for DOJ; and minus 2 FTE from OCDETF to match current reimbursable agreement.</t>
  </si>
  <si>
    <t xml:space="preserve">2012 - 2014 Total Change Without Recission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</si>
</sst>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
    <numFmt numFmtId="167" formatCode="0_);[Red]\(0\)"/>
  </numFmts>
  <fonts count="4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i/>
      <sz val="11"/>
      <color theme="1"/>
      <name val="Arial"/>
      <family val="2"/>
    </font>
    <font>
      <b/>
      <vertAlign val="superscript"/>
      <sz val="11"/>
      <color theme="1"/>
      <name val="Arial"/>
      <family val="2"/>
    </font>
    <font>
      <sz val="12"/>
      <name val="Arial"/>
      <family val="2"/>
    </font>
    <font>
      <sz val="12"/>
      <name val="Arial"/>
      <family val="2"/>
    </font>
    <font>
      <sz val="10"/>
      <name val="Arial"/>
      <family val="2"/>
    </font>
    <font>
      <sz val="11"/>
      <color indexed="8"/>
      <name val="Calibri"/>
      <family val="2"/>
    </font>
    <font>
      <sz val="10"/>
      <color indexed="8"/>
      <name val="Times New Roman"/>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7.5"/>
      <color indexed="12"/>
      <name val="Arial"/>
      <family val="2"/>
    </font>
    <font>
      <sz val="14"/>
      <name val="Arial Narrow"/>
      <family val="2"/>
    </font>
    <font>
      <sz val="10"/>
      <name val="Tahoma"/>
      <family val="2"/>
    </font>
    <font>
      <sz val="10"/>
      <color theme="1"/>
      <name val="Times New Roman"/>
      <family val="2"/>
    </font>
    <font>
      <vertAlign val="superscript"/>
      <sz val="11"/>
      <color theme="1"/>
      <name val="Arial"/>
      <family val="2"/>
    </font>
    <font>
      <sz val="8"/>
      <color theme="0"/>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medium">
        <color auto="1"/>
      </top>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bottom style="thin">
        <color indexed="64"/>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style="medium">
        <color auto="1"/>
      </left>
      <right/>
      <top/>
      <bottom style="thin">
        <color auto="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style="medium">
        <color auto="1"/>
      </left>
      <right/>
      <top style="medium">
        <color auto="1"/>
      </top>
      <bottom/>
      <diagonal/>
    </border>
    <border>
      <left/>
      <right/>
      <top/>
      <bottom style="thin">
        <color indexed="64"/>
      </bottom>
      <diagonal/>
    </border>
    <border>
      <left style="medium">
        <color auto="1"/>
      </left>
      <right/>
      <top style="dotted">
        <color theme="0" tint="-0.14996795556505021"/>
      </top>
      <bottom style="dotted">
        <color theme="0" tint="-0.14996795556505021"/>
      </bottom>
      <diagonal/>
    </border>
    <border>
      <left/>
      <right/>
      <top style="dotted">
        <color theme="0" tint="-0.14996795556505021"/>
      </top>
      <bottom style="dotted">
        <color theme="0" tint="-0.14996795556505021"/>
      </bottom>
      <diagonal/>
    </border>
    <border>
      <left/>
      <right style="thin">
        <color auto="1"/>
      </right>
      <top style="dotted">
        <color theme="0" tint="-0.14996795556505021"/>
      </top>
      <bottom style="dotted">
        <color theme="0" tint="-0.14996795556505021"/>
      </bottom>
      <diagonal/>
    </border>
    <border>
      <left style="thin">
        <color auto="1"/>
      </left>
      <right style="thin">
        <color auto="1"/>
      </right>
      <top style="dotted">
        <color theme="0" tint="-0.14996795556505021"/>
      </top>
      <bottom style="dotted">
        <color theme="0" tint="-0.14996795556505021"/>
      </bottom>
      <diagonal/>
    </border>
    <border>
      <left/>
      <right style="medium">
        <color auto="1"/>
      </right>
      <top style="dotted">
        <color theme="0" tint="-0.14996795556505021"/>
      </top>
      <bottom style="dotted">
        <color theme="0" tint="-0.14996795556505021"/>
      </bottom>
      <diagonal/>
    </border>
    <border>
      <left style="thin">
        <color auto="1"/>
      </left>
      <right style="medium">
        <color auto="1"/>
      </right>
      <top/>
      <bottom style="medium">
        <color auto="1"/>
      </bottom>
      <diagonal/>
    </border>
    <border>
      <left style="thin">
        <color auto="1"/>
      </left>
      <right style="medium">
        <color auto="1"/>
      </right>
      <top style="dotted">
        <color theme="0" tint="-0.14996795556505021"/>
      </top>
      <bottom style="dotted">
        <color theme="0" tint="-0.14996795556505021"/>
      </bottom>
      <diagonal/>
    </border>
    <border>
      <left/>
      <right style="medium">
        <color auto="1"/>
      </right>
      <top/>
      <bottom/>
      <diagonal/>
    </border>
    <border>
      <left/>
      <right/>
      <top style="dashed">
        <color theme="0" tint="-0.14996795556505021"/>
      </top>
      <bottom style="medium">
        <color auto="1"/>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right style="thin">
        <color auto="1"/>
      </right>
      <top style="thin">
        <color auto="1"/>
      </top>
      <bottom style="dashed">
        <color theme="0" tint="-0.14996795556505021"/>
      </bottom>
      <diagonal/>
    </border>
    <border>
      <left/>
      <right style="thin">
        <color auto="1"/>
      </right>
      <top style="thin">
        <color auto="1"/>
      </top>
      <bottom style="medium">
        <color auto="1"/>
      </bottom>
      <diagonal/>
    </border>
    <border>
      <left style="medium">
        <color auto="1"/>
      </left>
      <right/>
      <top style="thin">
        <color auto="1"/>
      </top>
      <bottom style="dashed">
        <color theme="0" tint="-0.14996795556505021"/>
      </bottom>
      <diagonal/>
    </border>
    <border>
      <left/>
      <right/>
      <top style="thin">
        <color auto="1"/>
      </top>
      <bottom style="dashed">
        <color theme="0" tint="-0.14996795556505021"/>
      </bottom>
      <diagonal/>
    </border>
    <border>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dashed">
        <color theme="0" tint="-0.1499679555650502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style="medium">
        <color auto="1"/>
      </right>
      <top style="thin">
        <color auto="1"/>
      </top>
      <bottom style="dotted">
        <color theme="0" tint="-0.14996795556505021"/>
      </bottom>
      <diagonal/>
    </border>
    <border>
      <left style="thin">
        <color auto="1"/>
      </left>
      <right style="thin">
        <color auto="1"/>
      </right>
      <top style="thin">
        <color auto="1"/>
      </top>
      <bottom style="dotted">
        <color theme="0" tint="-0.14996795556505021"/>
      </bottom>
      <diagonal/>
    </border>
    <border>
      <left/>
      <right/>
      <top style="thin">
        <color auto="1"/>
      </top>
      <bottom style="dotted">
        <color theme="0" tint="-0.14996795556505021"/>
      </bottom>
      <diagonal/>
    </border>
    <border>
      <left style="medium">
        <color auto="1"/>
      </left>
      <right/>
      <top style="thin">
        <color auto="1"/>
      </top>
      <bottom style="dotted">
        <color theme="0" tint="-0.14996795556505021"/>
      </bottom>
      <diagonal/>
    </border>
    <border>
      <left style="medium">
        <color auto="1"/>
      </left>
      <right/>
      <top style="thin">
        <color auto="1"/>
      </top>
      <bottom style="thin">
        <color auto="1"/>
      </bottom>
      <diagonal/>
    </border>
    <border>
      <left/>
      <right style="medium">
        <color auto="1"/>
      </right>
      <top style="thin">
        <color auto="1"/>
      </top>
      <bottom style="dotted">
        <color theme="0" tint="-0.14996795556505021"/>
      </bottom>
      <diagonal/>
    </border>
    <border>
      <left/>
      <right style="thin">
        <color auto="1"/>
      </right>
      <top style="thin">
        <color auto="1"/>
      </top>
      <bottom style="dotted">
        <color theme="0" tint="-0.14996795556505021"/>
      </bottom>
      <diagonal/>
    </border>
    <border>
      <left style="medium">
        <color auto="1"/>
      </left>
      <right/>
      <top style="thin">
        <color auto="1"/>
      </top>
      <bottom style="medium">
        <color auto="1"/>
      </bottom>
      <diagonal/>
    </border>
  </borders>
  <cellStyleXfs count="87">
    <xf numFmtId="0" fontId="0" fillId="0" borderId="0"/>
    <xf numFmtId="43" fontId="7" fillId="0" borderId="0" applyFont="0" applyFill="0" applyBorder="0" applyAlignment="0" applyProtection="0"/>
    <xf numFmtId="44" fontId="7" fillId="0" borderId="0" applyFont="0" applyFill="0" applyBorder="0" applyAlignment="0" applyProtection="0"/>
    <xf numFmtId="0" fontId="22" fillId="0" borderId="0"/>
    <xf numFmtId="44" fontId="24" fillId="0" borderId="0" applyFont="0" applyFill="0" applyBorder="0" applyAlignment="0" applyProtection="0"/>
    <xf numFmtId="43" fontId="24" fillId="0" borderId="0" applyFont="0" applyFill="0" applyBorder="0" applyAlignment="0" applyProtection="0"/>
    <xf numFmtId="0" fontId="23" fillId="0" borderId="0"/>
    <xf numFmtId="43"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3" fillId="0" borderId="0"/>
    <xf numFmtId="0" fontId="24" fillId="0" borderId="0"/>
    <xf numFmtId="9"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9" fontId="24" fillId="0" borderId="0" applyFont="0" applyFill="0" applyBorder="0" applyAlignment="0" applyProtection="0"/>
    <xf numFmtId="0" fontId="23" fillId="0" borderId="0"/>
    <xf numFmtId="0" fontId="7" fillId="0" borderId="0"/>
    <xf numFmtId="0" fontId="24" fillId="0" borderId="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7" borderId="0" applyNumberFormat="0" applyBorder="0" applyAlignment="0" applyProtection="0"/>
    <xf numFmtId="0" fontId="25" fillId="6" borderId="0" applyNumberFormat="0" applyBorder="0" applyAlignment="0" applyProtection="0"/>
    <xf numFmtId="0" fontId="25" fillId="2" borderId="0" applyNumberFormat="0" applyBorder="0" applyAlignment="0" applyProtection="0"/>
    <xf numFmtId="0" fontId="7" fillId="0" borderId="0"/>
    <xf numFmtId="0" fontId="25" fillId="5" borderId="0" applyNumberFormat="0" applyBorder="0" applyAlignment="0" applyProtection="0"/>
    <xf numFmtId="0" fontId="25" fillId="4" borderId="0" applyNumberFormat="0" applyBorder="0" applyAlignment="0" applyProtection="0"/>
    <xf numFmtId="0" fontId="25" fillId="8"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5" fillId="11"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00" applyNumberFormat="0" applyAlignment="0" applyProtection="0"/>
    <xf numFmtId="0" fontId="30" fillId="21" borderId="101" applyNumberFormat="0" applyAlignment="0" applyProtection="0"/>
    <xf numFmtId="43" fontId="26" fillId="0" borderId="0" applyFont="0" applyFill="0" applyBorder="0" applyAlignment="0" applyProtection="0"/>
    <xf numFmtId="166" fontId="24" fillId="0" borderId="0" applyFont="0" applyFill="0" applyBorder="0" applyAlignment="0" applyProtection="0"/>
    <xf numFmtId="0" fontId="31" fillId="0" borderId="0" applyNumberFormat="0" applyFill="0" applyBorder="0" applyAlignment="0" applyProtection="0"/>
    <xf numFmtId="167" fontId="24" fillId="0" borderId="0" applyFont="0" applyFill="0" applyBorder="0" applyAlignment="0" applyProtection="0"/>
    <xf numFmtId="0" fontId="32" fillId="4" borderId="0" applyNumberFormat="0" applyBorder="0" applyAlignment="0" applyProtection="0"/>
    <xf numFmtId="0" fontId="33" fillId="0" borderId="102" applyNumberFormat="0" applyFill="0" applyAlignment="0" applyProtection="0"/>
    <xf numFmtId="0" fontId="34" fillId="0" borderId="103" applyNumberFormat="0" applyFill="0" applyAlignment="0" applyProtection="0"/>
    <xf numFmtId="0" fontId="35" fillId="0" borderId="104" applyNumberFormat="0" applyFill="0" applyAlignment="0" applyProtection="0"/>
    <xf numFmtId="0" fontId="35" fillId="0" borderId="0" applyNumberFormat="0" applyFill="0" applyBorder="0" applyAlignment="0" applyProtection="0"/>
    <xf numFmtId="0" fontId="43" fillId="0" borderId="0" applyNumberFormat="0" applyFill="0" applyBorder="0" applyAlignment="0" applyProtection="0">
      <alignment vertical="top"/>
      <protection locked="0"/>
    </xf>
    <xf numFmtId="0" fontId="36" fillId="7" borderId="100" applyNumberFormat="0" applyAlignment="0" applyProtection="0"/>
    <xf numFmtId="0" fontId="37" fillId="0" borderId="105" applyNumberFormat="0" applyFill="0" applyAlignment="0" applyProtection="0"/>
    <xf numFmtId="0" fontId="38" fillId="22" borderId="0" applyNumberFormat="0" applyBorder="0" applyAlignment="0" applyProtection="0"/>
    <xf numFmtId="0" fontId="24" fillId="0" borderId="0"/>
    <xf numFmtId="166" fontId="44" fillId="0" borderId="0" applyFill="0" applyBorder="0" applyAlignment="0" applyProtection="0"/>
    <xf numFmtId="0" fontId="45" fillId="0" borderId="0"/>
    <xf numFmtId="0" fontId="24" fillId="0" borderId="0"/>
    <xf numFmtId="0" fontId="46" fillId="0" borderId="0"/>
    <xf numFmtId="0" fontId="24" fillId="0" borderId="0"/>
    <xf numFmtId="0" fontId="24" fillId="23" borderId="106" applyNumberFormat="0" applyFont="0" applyAlignment="0" applyProtection="0"/>
    <xf numFmtId="0" fontId="39" fillId="20" borderId="107" applyNumberFormat="0" applyAlignment="0" applyProtection="0"/>
    <xf numFmtId="9" fontId="7" fillId="0" borderId="0" applyFont="0" applyFill="0" applyBorder="0" applyAlignment="0" applyProtection="0"/>
    <xf numFmtId="49" fontId="24" fillId="0" borderId="0" applyFont="0" applyFill="0" applyBorder="0" applyAlignment="0" applyProtection="0"/>
    <xf numFmtId="0" fontId="40" fillId="0" borderId="0" applyNumberFormat="0" applyFill="0" applyBorder="0" applyAlignment="0" applyProtection="0"/>
    <xf numFmtId="0" fontId="41" fillId="0" borderId="108" applyNumberFormat="0" applyFill="0" applyAlignment="0" applyProtection="0"/>
    <xf numFmtId="0" fontId="42" fillId="0" borderId="0" applyNumberFormat="0" applyFill="0" applyBorder="0" applyAlignment="0" applyProtection="0"/>
    <xf numFmtId="43" fontId="23"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43" fontId="23" fillId="0" borderId="0" applyFont="0" applyFill="0" applyBorder="0" applyAlignment="0" applyProtection="0"/>
    <xf numFmtId="0" fontId="7" fillId="0" borderId="0"/>
    <xf numFmtId="44" fontId="23" fillId="0" borderId="0" applyFont="0" applyFill="0" applyBorder="0" applyAlignment="0" applyProtection="0"/>
    <xf numFmtId="0" fontId="7" fillId="0" borderId="0"/>
    <xf numFmtId="44" fontId="23" fillId="0" borderId="0" applyFont="0" applyFill="0" applyBorder="0" applyAlignment="0" applyProtection="0"/>
  </cellStyleXfs>
  <cellXfs count="401">
    <xf numFmtId="0" fontId="0" fillId="0" borderId="0" xfId="0"/>
    <xf numFmtId="0" fontId="8" fillId="0" borderId="0" xfId="0" applyFont="1"/>
    <xf numFmtId="3" fontId="8" fillId="0" borderId="0" xfId="0" applyNumberFormat="1" applyFont="1"/>
    <xf numFmtId="164" fontId="8" fillId="0" borderId="0" xfId="1" applyNumberFormat="1" applyFont="1"/>
    <xf numFmtId="3" fontId="12" fillId="0" borderId="6" xfId="0" applyNumberFormat="1" applyFont="1" applyBorder="1" applyAlignment="1">
      <alignment horizontal="center" vertical="top" wrapText="1"/>
    </xf>
    <xf numFmtId="3" fontId="12" fillId="0" borderId="7" xfId="0" applyNumberFormat="1" applyFont="1" applyBorder="1" applyAlignment="1">
      <alignment horizontal="center" vertical="top" wrapText="1"/>
    </xf>
    <xf numFmtId="164" fontId="12" fillId="0" borderId="8" xfId="1" applyNumberFormat="1" applyFont="1" applyBorder="1" applyAlignment="1">
      <alignment horizontal="center" vertical="top" wrapText="1"/>
    </xf>
    <xf numFmtId="0" fontId="13" fillId="0" borderId="0" xfId="0" applyFont="1"/>
    <xf numFmtId="0" fontId="12" fillId="0" borderId="0" xfId="0" applyFont="1"/>
    <xf numFmtId="0" fontId="10" fillId="0" borderId="0" xfId="0" applyFont="1" applyAlignment="1"/>
    <xf numFmtId="0" fontId="11" fillId="0" borderId="0" xfId="0" applyFont="1" applyAlignment="1"/>
    <xf numFmtId="0" fontId="9" fillId="0" borderId="0" xfId="0" applyFont="1" applyAlignment="1"/>
    <xf numFmtId="0" fontId="6" fillId="0" borderId="0" xfId="0" applyFont="1"/>
    <xf numFmtId="0" fontId="6" fillId="0" borderId="0" xfId="0" applyFont="1" applyAlignment="1"/>
    <xf numFmtId="0" fontId="6" fillId="0" borderId="1" xfId="0" applyFont="1" applyBorder="1" applyAlignment="1">
      <alignment horizontal="center" vertical="top" wrapText="1"/>
    </xf>
    <xf numFmtId="0" fontId="6" fillId="0" borderId="14" xfId="0" applyFont="1" applyBorder="1" applyAlignment="1">
      <alignment horizontal="center" vertical="top" wrapText="1"/>
    </xf>
    <xf numFmtId="0" fontId="12" fillId="0" borderId="16" xfId="0" applyFont="1" applyBorder="1" applyAlignment="1">
      <alignment horizontal="right"/>
    </xf>
    <xf numFmtId="0" fontId="6" fillId="0" borderId="17" xfId="0" applyFont="1" applyBorder="1" applyAlignment="1">
      <alignment horizontal="left" indent="3"/>
    </xf>
    <xf numFmtId="0" fontId="6" fillId="0" borderId="20" xfId="0" applyFont="1" applyBorder="1" applyAlignment="1">
      <alignment horizontal="left" indent="3"/>
    </xf>
    <xf numFmtId="0" fontId="6" fillId="0" borderId="20" xfId="0" applyFont="1" applyBorder="1" applyAlignment="1">
      <alignment horizontal="left" indent="5"/>
    </xf>
    <xf numFmtId="0" fontId="6" fillId="0" borderId="23" xfId="0" applyFont="1" applyBorder="1" applyAlignment="1">
      <alignment horizontal="left" indent="5"/>
    </xf>
    <xf numFmtId="0" fontId="6" fillId="0" borderId="6" xfId="0" applyFont="1" applyBorder="1" applyAlignment="1">
      <alignment horizontal="left" indent="3"/>
    </xf>
    <xf numFmtId="0" fontId="5" fillId="0" borderId="1" xfId="0" applyFont="1" applyBorder="1" applyAlignment="1">
      <alignment horizontal="center" vertical="top" wrapText="1"/>
    </xf>
    <xf numFmtId="0" fontId="5" fillId="0" borderId="0" xfId="0" applyFont="1"/>
    <xf numFmtId="0" fontId="12" fillId="0" borderId="6" xfId="0" applyFont="1" applyBorder="1" applyAlignment="1">
      <alignment horizontal="right"/>
    </xf>
    <xf numFmtId="0" fontId="12" fillId="0" borderId="32" xfId="0" applyFont="1" applyBorder="1" applyAlignment="1">
      <alignment horizontal="right"/>
    </xf>
    <xf numFmtId="0" fontId="5" fillId="0" borderId="0" xfId="0" applyFont="1" applyAlignment="1">
      <alignment vertical="top" wrapText="1"/>
    </xf>
    <xf numFmtId="0" fontId="5" fillId="0" borderId="14" xfId="0" applyFont="1" applyBorder="1" applyAlignment="1">
      <alignment horizontal="center" vertical="top" wrapText="1"/>
    </xf>
    <xf numFmtId="3" fontId="6" fillId="0" borderId="21" xfId="0" applyNumberFormat="1" applyFont="1" applyBorder="1"/>
    <xf numFmtId="3" fontId="5" fillId="0" borderId="21" xfId="0" applyNumberFormat="1" applyFont="1" applyBorder="1"/>
    <xf numFmtId="3" fontId="5" fillId="0" borderId="22" xfId="0" applyNumberFormat="1" applyFont="1" applyBorder="1"/>
    <xf numFmtId="3" fontId="12" fillId="0" borderId="39" xfId="0" applyNumberFormat="1" applyFont="1" applyBorder="1"/>
    <xf numFmtId="3" fontId="12" fillId="0" borderId="40" xfId="0" applyNumberFormat="1" applyFont="1" applyBorder="1"/>
    <xf numFmtId="0" fontId="12" fillId="0" borderId="38" xfId="0" applyFont="1" applyBorder="1" applyAlignment="1">
      <alignment horizontal="right"/>
    </xf>
    <xf numFmtId="3" fontId="12" fillId="0" borderId="7" xfId="0" applyNumberFormat="1" applyFont="1" applyBorder="1"/>
    <xf numFmtId="0" fontId="12" fillId="0" borderId="38" xfId="0" applyFont="1" applyBorder="1" applyAlignment="1">
      <alignment horizontal="right" vertical="top"/>
    </xf>
    <xf numFmtId="0" fontId="15" fillId="0" borderId="35" xfId="0" applyFont="1" applyBorder="1" applyAlignment="1">
      <alignment vertical="center" wrapText="1"/>
    </xf>
    <xf numFmtId="0" fontId="18" fillId="0" borderId="0" xfId="0" applyFont="1" applyAlignment="1"/>
    <xf numFmtId="0" fontId="16" fillId="0" borderId="0" xfId="0" applyFont="1"/>
    <xf numFmtId="0" fontId="15" fillId="0" borderId="49" xfId="0" applyFont="1" applyBorder="1" applyAlignment="1">
      <alignment vertical="top"/>
    </xf>
    <xf numFmtId="0" fontId="16" fillId="0" borderId="46" xfId="0" applyFont="1" applyBorder="1" applyAlignment="1">
      <alignment vertical="top"/>
    </xf>
    <xf numFmtId="0" fontId="16" fillId="0" borderId="47" xfId="0" applyFont="1" applyBorder="1"/>
    <xf numFmtId="0" fontId="18" fillId="0" borderId="0" xfId="0" applyFont="1"/>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3" fontId="16" fillId="0" borderId="21" xfId="0" applyNumberFormat="1" applyFont="1" applyBorder="1"/>
    <xf numFmtId="3" fontId="15" fillId="0" borderId="39" xfId="0" applyNumberFormat="1" applyFont="1" applyBorder="1"/>
    <xf numFmtId="3" fontId="15" fillId="0" borderId="21" xfId="0" applyNumberFormat="1" applyFont="1" applyBorder="1"/>
    <xf numFmtId="0" fontId="16" fillId="0" borderId="53" xfId="0" applyFont="1" applyBorder="1" applyAlignment="1">
      <alignment vertical="top"/>
    </xf>
    <xf numFmtId="3" fontId="15" fillId="0" borderId="52" xfId="0" applyNumberFormat="1" applyFont="1" applyBorder="1"/>
    <xf numFmtId="0" fontId="16" fillId="0" borderId="49" xfId="0" applyFont="1" applyBorder="1" applyAlignment="1">
      <alignment vertical="top"/>
    </xf>
    <xf numFmtId="0" fontId="16" fillId="0" borderId="48" xfId="0" applyFont="1" applyBorder="1" applyAlignment="1">
      <alignment vertical="top"/>
    </xf>
    <xf numFmtId="3" fontId="15" fillId="0" borderId="55" xfId="0" applyNumberFormat="1" applyFont="1" applyBorder="1"/>
    <xf numFmtId="0" fontId="15" fillId="0" borderId="3" xfId="0" applyFont="1" applyBorder="1" applyAlignment="1">
      <alignment horizontal="center" vertical="center" wrapText="1"/>
    </xf>
    <xf numFmtId="3" fontId="16" fillId="0" borderId="22" xfId="0" applyNumberFormat="1" applyFont="1" applyBorder="1"/>
    <xf numFmtId="3" fontId="15" fillId="0" borderId="40" xfId="0" applyNumberFormat="1" applyFont="1" applyBorder="1"/>
    <xf numFmtId="3" fontId="15" fillId="0" borderId="56" xfId="0" applyNumberFormat="1" applyFont="1" applyBorder="1"/>
    <xf numFmtId="3" fontId="15" fillId="0" borderId="57" xfId="0" applyNumberFormat="1" applyFont="1" applyBorder="1"/>
    <xf numFmtId="0" fontId="9" fillId="0" borderId="0" xfId="0" applyFont="1"/>
    <xf numFmtId="0" fontId="9" fillId="0" borderId="35" xfId="0" applyFont="1" applyBorder="1" applyAlignment="1"/>
    <xf numFmtId="0" fontId="13" fillId="0" borderId="0" xfId="0" applyFont="1" applyAlignment="1"/>
    <xf numFmtId="0" fontId="20" fillId="0" borderId="20" xfId="0" applyFont="1" applyBorder="1" applyAlignment="1">
      <alignment horizontal="left" indent="8"/>
    </xf>
    <xf numFmtId="0" fontId="12" fillId="0" borderId="20" xfId="0" applyFont="1" applyBorder="1"/>
    <xf numFmtId="0" fontId="12" fillId="0" borderId="20" xfId="0" applyFont="1" applyBorder="1" applyAlignment="1">
      <alignment horizontal="center"/>
    </xf>
    <xf numFmtId="0" fontId="12" fillId="0" borderId="64" xfId="0" applyFont="1" applyBorder="1" applyAlignment="1">
      <alignment horizontal="center"/>
    </xf>
    <xf numFmtId="0" fontId="12" fillId="0" borderId="0" xfId="0" applyFont="1" applyBorder="1"/>
    <xf numFmtId="0" fontId="12" fillId="0" borderId="0" xfId="0" applyFont="1" applyBorder="1" applyAlignment="1">
      <alignment horizontal="right" indent="1"/>
    </xf>
    <xf numFmtId="0" fontId="12" fillId="0" borderId="1" xfId="0" applyFont="1" applyBorder="1" applyAlignment="1">
      <alignment horizontal="right" indent="1"/>
    </xf>
    <xf numFmtId="0" fontId="12" fillId="0" borderId="74" xfId="0" applyFont="1" applyBorder="1"/>
    <xf numFmtId="3" fontId="12" fillId="0" borderId="20" xfId="0" applyNumberFormat="1" applyFont="1" applyBorder="1"/>
    <xf numFmtId="3" fontId="12" fillId="0" borderId="21" xfId="0" applyNumberFormat="1" applyFont="1" applyBorder="1"/>
    <xf numFmtId="3" fontId="8" fillId="0" borderId="22" xfId="0" applyNumberFormat="1" applyFont="1" applyBorder="1"/>
    <xf numFmtId="0" fontId="12" fillId="0" borderId="75" xfId="0" applyFont="1" applyBorder="1" applyAlignment="1">
      <alignment horizontal="left" indent="1"/>
    </xf>
    <xf numFmtId="3" fontId="12" fillId="0" borderId="22" xfId="0" applyNumberFormat="1" applyFont="1" applyBorder="1"/>
    <xf numFmtId="0" fontId="12" fillId="0" borderId="75" xfId="0" applyFont="1" applyBorder="1"/>
    <xf numFmtId="3" fontId="8" fillId="0" borderId="20" xfId="0" applyNumberFormat="1" applyFont="1" applyBorder="1"/>
    <xf numFmtId="3" fontId="8" fillId="0" borderId="21" xfId="0" applyNumberFormat="1" applyFont="1" applyBorder="1"/>
    <xf numFmtId="0" fontId="8" fillId="0" borderId="75" xfId="0" applyFont="1" applyBorder="1" applyAlignment="1">
      <alignment horizontal="left" indent="3"/>
    </xf>
    <xf numFmtId="0" fontId="12" fillId="0" borderId="75" xfId="0" applyFont="1" applyBorder="1" applyAlignment="1">
      <alignment horizontal="left" indent="3"/>
    </xf>
    <xf numFmtId="0" fontId="12" fillId="0" borderId="73" xfId="0" applyFont="1" applyBorder="1" applyAlignment="1">
      <alignment horizontal="left"/>
    </xf>
    <xf numFmtId="3" fontId="12" fillId="0" borderId="46" xfId="0" applyNumberFormat="1" applyFont="1" applyBorder="1"/>
    <xf numFmtId="3" fontId="12" fillId="0" borderId="77" xfId="0" applyNumberFormat="1" applyFont="1" applyBorder="1"/>
    <xf numFmtId="0" fontId="8" fillId="0" borderId="75" xfId="0" applyFont="1" applyBorder="1" applyAlignment="1">
      <alignment horizontal="left" indent="4"/>
    </xf>
    <xf numFmtId="3" fontId="8" fillId="0" borderId="46" xfId="0" applyNumberFormat="1" applyFont="1" applyBorder="1"/>
    <xf numFmtId="3" fontId="8" fillId="0" borderId="77" xfId="0" applyNumberFormat="1" applyFont="1" applyBorder="1"/>
    <xf numFmtId="0" fontId="8" fillId="0" borderId="27" xfId="0" applyFont="1" applyBorder="1" applyAlignment="1">
      <alignment horizontal="left"/>
    </xf>
    <xf numFmtId="0" fontId="12" fillId="0" borderId="75" xfId="0" applyFont="1" applyBorder="1" applyAlignment="1">
      <alignment horizontal="left"/>
    </xf>
    <xf numFmtId="3" fontId="8" fillId="0" borderId="78" xfId="0" applyNumberFormat="1" applyFont="1" applyBorder="1"/>
    <xf numFmtId="3" fontId="8" fillId="0" borderId="63" xfId="0" applyNumberFormat="1" applyFont="1" applyBorder="1"/>
    <xf numFmtId="3" fontId="8" fillId="0" borderId="79" xfId="0" applyNumberFormat="1" applyFont="1" applyBorder="1"/>
    <xf numFmtId="0" fontId="12" fillId="0" borderId="74" xfId="0" applyFont="1" applyBorder="1" applyAlignment="1">
      <alignment horizontal="left" indent="1"/>
    </xf>
    <xf numFmtId="0" fontId="12" fillId="0" borderId="80" xfId="0" applyFont="1" applyBorder="1"/>
    <xf numFmtId="3" fontId="12" fillId="0" borderId="81" xfId="0" applyNumberFormat="1" applyFont="1" applyBorder="1"/>
    <xf numFmtId="3" fontId="12" fillId="0" borderId="66" xfId="0" applyNumberFormat="1" applyFont="1" applyBorder="1"/>
    <xf numFmtId="3" fontId="12" fillId="0" borderId="82" xfId="0" applyNumberFormat="1" applyFont="1" applyBorder="1"/>
    <xf numFmtId="0" fontId="6" fillId="0" borderId="37" xfId="0" applyFont="1" applyBorder="1" applyAlignment="1">
      <alignment horizontal="left" indent="3"/>
    </xf>
    <xf numFmtId="0" fontId="6" fillId="0" borderId="68" xfId="0" applyFont="1" applyBorder="1" applyAlignment="1">
      <alignment horizontal="left" indent="3"/>
    </xf>
    <xf numFmtId="0" fontId="4" fillId="0" borderId="17" xfId="0" applyFont="1" applyBorder="1" applyAlignment="1">
      <alignment horizontal="left" indent="2"/>
    </xf>
    <xf numFmtId="3" fontId="12" fillId="0" borderId="33" xfId="0" applyNumberFormat="1" applyFont="1" applyBorder="1"/>
    <xf numFmtId="3" fontId="12" fillId="0" borderId="15" xfId="0" applyNumberFormat="1" applyFont="1" applyBorder="1"/>
    <xf numFmtId="3" fontId="12" fillId="0" borderId="92" xfId="0" applyNumberFormat="1" applyFont="1" applyBorder="1"/>
    <xf numFmtId="0" fontId="12" fillId="0" borderId="26" xfId="0" applyFont="1" applyBorder="1" applyAlignment="1">
      <alignment horizontal="left"/>
    </xf>
    <xf numFmtId="0" fontId="4" fillId="0" borderId="1" xfId="0" applyFont="1" applyBorder="1" applyAlignment="1">
      <alignment horizontal="center" vertical="top" wrapText="1"/>
    </xf>
    <xf numFmtId="0" fontId="4" fillId="0" borderId="68" xfId="0" applyFont="1" applyBorder="1" applyAlignment="1">
      <alignment horizontal="left" indent="3"/>
    </xf>
    <xf numFmtId="0" fontId="4" fillId="0" borderId="20" xfId="0" applyFont="1" applyBorder="1" applyAlignment="1">
      <alignment horizontal="left" indent="3"/>
    </xf>
    <xf numFmtId="0" fontId="4" fillId="0" borderId="6" xfId="0" applyFont="1" applyBorder="1" applyAlignment="1">
      <alignment horizontal="left" indent="3"/>
    </xf>
    <xf numFmtId="0" fontId="16" fillId="0" borderId="48" xfId="0" applyFont="1" applyBorder="1"/>
    <xf numFmtId="0" fontId="3" fillId="0" borderId="37" xfId="0" applyFont="1" applyBorder="1" applyAlignment="1">
      <alignment horizontal="left" indent="2"/>
    </xf>
    <xf numFmtId="3" fontId="12" fillId="0" borderId="49" xfId="0" applyNumberFormat="1" applyFont="1" applyBorder="1"/>
    <xf numFmtId="3" fontId="12" fillId="0" borderId="52" xfId="0" applyNumberFormat="1" applyFont="1" applyBorder="1"/>
    <xf numFmtId="3" fontId="12" fillId="0" borderId="94" xfId="0" applyNumberFormat="1" applyFont="1" applyBorder="1"/>
    <xf numFmtId="3" fontId="12" fillId="0" borderId="47" xfId="0" applyNumberFormat="1" applyFont="1" applyBorder="1"/>
    <xf numFmtId="3" fontId="8" fillId="0" borderId="95" xfId="0" applyNumberFormat="1" applyFont="1" applyBorder="1"/>
    <xf numFmtId="3" fontId="12" fillId="0" borderId="68" xfId="0" applyNumberFormat="1" applyFont="1" applyBorder="1"/>
    <xf numFmtId="3" fontId="12" fillId="0" borderId="56" xfId="0" applyNumberFormat="1" applyFont="1" applyBorder="1"/>
    <xf numFmtId="3" fontId="12" fillId="0" borderId="37" xfId="0" applyNumberFormat="1" applyFont="1" applyBorder="1"/>
    <xf numFmtId="3" fontId="12" fillId="0" borderId="95" xfId="0" applyNumberFormat="1" applyFont="1" applyBorder="1"/>
    <xf numFmtId="3" fontId="6" fillId="0" borderId="18" xfId="0" applyNumberFormat="1" applyFont="1" applyBorder="1"/>
    <xf numFmtId="3" fontId="6" fillId="0" borderId="19" xfId="0" applyNumberFormat="1" applyFont="1" applyBorder="1"/>
    <xf numFmtId="3" fontId="6" fillId="0" borderId="22" xfId="0" applyNumberFormat="1" applyFont="1" applyBorder="1"/>
    <xf numFmtId="3" fontId="6" fillId="0" borderId="2" xfId="0" applyNumberFormat="1" applyFont="1" applyBorder="1"/>
    <xf numFmtId="3" fontId="6" fillId="0" borderId="11" xfId="0" applyNumberFormat="1" applyFont="1" applyBorder="1"/>
    <xf numFmtId="3" fontId="12" fillId="0" borderId="1" xfId="0" applyNumberFormat="1" applyFont="1" applyBorder="1"/>
    <xf numFmtId="3" fontId="12" fillId="0" borderId="14" xfId="0" applyNumberFormat="1" applyFont="1" applyBorder="1"/>
    <xf numFmtId="3" fontId="12" fillId="0" borderId="18" xfId="0" applyNumberFormat="1" applyFont="1" applyBorder="1"/>
    <xf numFmtId="3" fontId="4" fillId="0" borderId="18" xfId="0" applyNumberFormat="1" applyFont="1" applyBorder="1"/>
    <xf numFmtId="3" fontId="4" fillId="0" borderId="19" xfId="0" applyNumberFormat="1" applyFont="1" applyBorder="1"/>
    <xf numFmtId="3" fontId="4" fillId="0" borderId="39" xfId="0" applyNumberFormat="1" applyFont="1" applyBorder="1"/>
    <xf numFmtId="3" fontId="4" fillId="0" borderId="40" xfId="0" applyNumberFormat="1" applyFont="1" applyBorder="1"/>
    <xf numFmtId="3" fontId="6" fillId="0" borderId="52" xfId="0" applyNumberFormat="1" applyFont="1" applyBorder="1"/>
    <xf numFmtId="3" fontId="6" fillId="0" borderId="56" xfId="0" applyNumberFormat="1" applyFont="1" applyBorder="1"/>
    <xf numFmtId="3" fontId="6" fillId="0" borderId="24" xfId="0" applyNumberFormat="1" applyFont="1" applyBorder="1"/>
    <xf numFmtId="3" fontId="6" fillId="0" borderId="25" xfId="0" applyNumberFormat="1" applyFont="1" applyBorder="1"/>
    <xf numFmtId="3" fontId="6" fillId="0" borderId="7" xfId="0" applyNumberFormat="1" applyFont="1" applyBorder="1"/>
    <xf numFmtId="3" fontId="6" fillId="0" borderId="8" xfId="0" applyNumberFormat="1" applyFont="1" applyBorder="1"/>
    <xf numFmtId="3" fontId="6" fillId="0" borderId="39" xfId="0" applyNumberFormat="1" applyFont="1" applyBorder="1"/>
    <xf numFmtId="3" fontId="6" fillId="0" borderId="40" xfId="0" applyNumberFormat="1" applyFont="1" applyBorder="1"/>
    <xf numFmtId="3" fontId="5" fillId="0" borderId="18" xfId="0" applyNumberFormat="1" applyFont="1" applyBorder="1"/>
    <xf numFmtId="3" fontId="5" fillId="0" borderId="19" xfId="0" applyNumberFormat="1" applyFont="1" applyBorder="1"/>
    <xf numFmtId="3" fontId="12" fillId="0" borderId="8" xfId="0" applyNumberFormat="1" applyFont="1" applyBorder="1"/>
    <xf numFmtId="3" fontId="12" fillId="0" borderId="88" xfId="2" applyNumberFormat="1" applyFont="1" applyBorder="1"/>
    <xf numFmtId="3" fontId="12" fillId="0" borderId="63" xfId="0" applyNumberFormat="1" applyFont="1" applyBorder="1"/>
    <xf numFmtId="3" fontId="20" fillId="0" borderId="21" xfId="0" applyNumberFormat="1" applyFont="1" applyBorder="1"/>
    <xf numFmtId="3" fontId="20" fillId="0" borderId="22" xfId="0" applyNumberFormat="1" applyFont="1" applyBorder="1"/>
    <xf numFmtId="3" fontId="12" fillId="0" borderId="55" xfId="0" applyNumberFormat="1" applyFont="1" applyBorder="1"/>
    <xf numFmtId="3" fontId="12" fillId="0" borderId="57" xfId="0" applyNumberFormat="1" applyFont="1" applyBorder="1"/>
    <xf numFmtId="0" fontId="2" fillId="0" borderId="75" xfId="0" applyFont="1" applyBorder="1" applyAlignment="1">
      <alignment horizontal="left" indent="1"/>
    </xf>
    <xf numFmtId="0" fontId="2" fillId="0" borderId="75" xfId="0" applyFont="1" applyBorder="1" applyAlignment="1">
      <alignment horizontal="left" indent="6"/>
    </xf>
    <xf numFmtId="0" fontId="1" fillId="0" borderId="20" xfId="0" applyFont="1" applyBorder="1" applyAlignment="1">
      <alignment horizontal="left" indent="2"/>
    </xf>
    <xf numFmtId="0" fontId="1" fillId="0" borderId="0" xfId="0" applyFont="1"/>
    <xf numFmtId="0" fontId="16" fillId="0" borderId="33" xfId="0" applyFont="1" applyBorder="1" applyAlignment="1">
      <alignment vertical="top"/>
    </xf>
    <xf numFmtId="3" fontId="16" fillId="0" borderId="52" xfId="0" applyNumberFormat="1" applyFont="1" applyBorder="1"/>
    <xf numFmtId="3" fontId="16" fillId="0" borderId="56" xfId="0" applyNumberFormat="1" applyFont="1" applyBorder="1"/>
    <xf numFmtId="0" fontId="1" fillId="0" borderId="17" xfId="0" applyFont="1" applyBorder="1" applyAlignment="1">
      <alignment horizontal="left" indent="3"/>
    </xf>
    <xf numFmtId="0" fontId="1" fillId="0" borderId="68" xfId="0" applyFont="1" applyBorder="1" applyAlignment="1">
      <alignment horizontal="left" indent="3"/>
    </xf>
    <xf numFmtId="0" fontId="1" fillId="0" borderId="20" xfId="0" applyFont="1" applyBorder="1" applyAlignment="1">
      <alignment horizontal="left" indent="3"/>
    </xf>
    <xf numFmtId="3" fontId="6" fillId="0" borderId="12" xfId="0" applyNumberFormat="1" applyFont="1" applyBorder="1"/>
    <xf numFmtId="3" fontId="6" fillId="0" borderId="109" xfId="0" applyNumberFormat="1" applyFont="1" applyBorder="1"/>
    <xf numFmtId="3" fontId="6" fillId="0" borderId="15" xfId="0" applyNumberFormat="1" applyFont="1" applyBorder="1"/>
    <xf numFmtId="3" fontId="6" fillId="0" borderId="110" xfId="0" applyNumberFormat="1" applyFont="1" applyBorder="1"/>
    <xf numFmtId="3" fontId="1" fillId="0" borderId="21" xfId="0" applyNumberFormat="1" applyFont="1" applyBorder="1"/>
    <xf numFmtId="1" fontId="6" fillId="0" borderId="18" xfId="0" applyNumberFormat="1" applyFont="1" applyBorder="1"/>
    <xf numFmtId="3" fontId="1" fillId="0" borderId="95" xfId="0" applyNumberFormat="1" applyFont="1" applyBorder="1"/>
    <xf numFmtId="0" fontId="1" fillId="0" borderId="75" xfId="0" applyFont="1" applyBorder="1" applyAlignment="1">
      <alignment horizontal="left" indent="6"/>
    </xf>
    <xf numFmtId="3" fontId="1" fillId="0" borderId="20" xfId="0" applyNumberFormat="1" applyFont="1" applyBorder="1"/>
    <xf numFmtId="3" fontId="1" fillId="0" borderId="22" xfId="0" applyNumberFormat="1" applyFont="1" applyBorder="1"/>
    <xf numFmtId="0" fontId="1" fillId="0" borderId="75" xfId="0" applyFont="1" applyBorder="1" applyAlignment="1">
      <alignment horizontal="left" indent="1"/>
    </xf>
    <xf numFmtId="0" fontId="1" fillId="0" borderId="75" xfId="0" applyFont="1" applyBorder="1" applyAlignment="1">
      <alignment horizontal="left" indent="4"/>
    </xf>
    <xf numFmtId="0" fontId="1" fillId="0" borderId="75" xfId="0" applyFont="1" applyBorder="1" applyAlignment="1">
      <alignment horizontal="left" indent="3"/>
    </xf>
    <xf numFmtId="0" fontId="1" fillId="0" borderId="111" xfId="0" applyFont="1" applyBorder="1" applyAlignment="1">
      <alignment horizontal="left" indent="3"/>
    </xf>
    <xf numFmtId="0" fontId="1" fillId="0" borderId="10" xfId="0" applyFont="1" applyBorder="1" applyAlignment="1">
      <alignment horizontal="left" indent="3"/>
    </xf>
    <xf numFmtId="0" fontId="6" fillId="0" borderId="23" xfId="0" applyFont="1" applyBorder="1" applyAlignment="1">
      <alignment horizontal="left" indent="3"/>
    </xf>
    <xf numFmtId="0" fontId="1" fillId="0" borderId="0" xfId="0" applyFont="1" applyAlignment="1"/>
    <xf numFmtId="0" fontId="12" fillId="0" borderId="9" xfId="0" applyFont="1" applyBorder="1" applyAlignment="1">
      <alignment horizontal="center"/>
    </xf>
    <xf numFmtId="0" fontId="1" fillId="0" borderId="30" xfId="0" applyFont="1" applyBorder="1" applyAlignment="1">
      <alignment horizontal="center"/>
    </xf>
    <xf numFmtId="0" fontId="1" fillId="0" borderId="0" xfId="0" applyFont="1" applyAlignment="1">
      <alignment vertical="top" wrapText="1"/>
    </xf>
    <xf numFmtId="3" fontId="1" fillId="0" borderId="18" xfId="0" applyNumberFormat="1" applyFont="1" applyBorder="1"/>
    <xf numFmtId="0" fontId="1" fillId="0" borderId="1" xfId="0" applyFont="1" applyBorder="1" applyAlignment="1">
      <alignment horizontal="center" vertical="top" wrapText="1"/>
    </xf>
    <xf numFmtId="0" fontId="1" fillId="0" borderId="14" xfId="0" applyFont="1" applyBorder="1" applyAlignment="1">
      <alignment horizontal="center" vertical="top" wrapText="1"/>
    </xf>
    <xf numFmtId="3" fontId="1" fillId="0" borderId="19" xfId="0" applyNumberFormat="1" applyFont="1" applyBorder="1"/>
    <xf numFmtId="0" fontId="1" fillId="0" borderId="53" xfId="0" applyFont="1" applyBorder="1"/>
    <xf numFmtId="0" fontId="1" fillId="0" borderId="49" xfId="0" applyFont="1" applyBorder="1"/>
    <xf numFmtId="0" fontId="1" fillId="0" borderId="46" xfId="0" applyFont="1" applyBorder="1"/>
    <xf numFmtId="0" fontId="1" fillId="0" borderId="46" xfId="0" applyFont="1" applyBorder="1" applyAlignment="1">
      <alignment horizontal="left" indent="1"/>
    </xf>
    <xf numFmtId="3" fontId="1" fillId="0" borderId="25" xfId="0" applyNumberFormat="1" applyFont="1" applyBorder="1"/>
    <xf numFmtId="0" fontId="1" fillId="0" borderId="49" xfId="0" applyFont="1" applyBorder="1" applyAlignment="1">
      <alignment horizontal="left" indent="1"/>
    </xf>
    <xf numFmtId="0" fontId="1" fillId="0" borderId="112" xfId="0" applyFont="1" applyBorder="1" applyAlignment="1">
      <alignment horizontal="center"/>
    </xf>
    <xf numFmtId="3" fontId="1" fillId="0" borderId="52" xfId="0" applyNumberFormat="1" applyFont="1" applyBorder="1"/>
    <xf numFmtId="3" fontId="1" fillId="0" borderId="56" xfId="0" applyNumberFormat="1" applyFont="1" applyBorder="1"/>
    <xf numFmtId="3" fontId="5" fillId="0" borderId="119" xfId="0" applyNumberFormat="1" applyFont="1" applyBorder="1"/>
    <xf numFmtId="3" fontId="12" fillId="0" borderId="117" xfId="0" applyNumberFormat="1" applyFont="1" applyBorder="1"/>
    <xf numFmtId="0" fontId="1" fillId="0" borderId="45" xfId="0" applyFont="1" applyBorder="1"/>
    <xf numFmtId="3" fontId="1" fillId="0" borderId="24" xfId="0" applyNumberFormat="1" applyFont="1" applyBorder="1"/>
    <xf numFmtId="3" fontId="12" fillId="0" borderId="122" xfId="0" applyNumberFormat="1" applyFont="1" applyBorder="1"/>
    <xf numFmtId="0" fontId="1" fillId="0" borderId="27" xfId="0" applyFont="1" applyBorder="1" applyAlignment="1">
      <alignment horizontal="left"/>
    </xf>
    <xf numFmtId="3" fontId="5" fillId="0" borderId="31" xfId="0" applyNumberFormat="1" applyFont="1" applyBorder="1"/>
    <xf numFmtId="3" fontId="12" fillId="0" borderId="115" xfId="0" applyNumberFormat="1" applyFont="1" applyBorder="1"/>
    <xf numFmtId="0" fontId="5" fillId="0" borderId="114" xfId="0" applyFont="1" applyBorder="1" applyAlignment="1">
      <alignment horizontal="center" vertical="top" wrapText="1"/>
    </xf>
    <xf numFmtId="3" fontId="5" fillId="0" borderId="120" xfId="0" applyNumberFormat="1" applyFont="1" applyBorder="1"/>
    <xf numFmtId="3" fontId="6" fillId="0" borderId="117" xfId="0" applyNumberFormat="1" applyFont="1" applyBorder="1"/>
    <xf numFmtId="3" fontId="5" fillId="0" borderId="121" xfId="0" applyNumberFormat="1" applyFont="1" applyBorder="1"/>
    <xf numFmtId="0" fontId="5" fillId="0" borderId="118" xfId="0" applyFont="1" applyBorder="1" applyAlignment="1">
      <alignment horizontal="center" vertical="top" wrapText="1"/>
    </xf>
    <xf numFmtId="3" fontId="12" fillId="0" borderId="114" xfId="0" applyNumberFormat="1" applyFont="1" applyBorder="1"/>
    <xf numFmtId="3" fontId="12" fillId="0" borderId="118" xfId="0" applyNumberFormat="1" applyFont="1" applyBorder="1"/>
    <xf numFmtId="0" fontId="1" fillId="0" borderId="114" xfId="0" applyFont="1" applyBorder="1" applyAlignment="1">
      <alignment horizontal="center" vertical="top" wrapText="1"/>
    </xf>
    <xf numFmtId="0" fontId="1" fillId="0" borderId="116" xfId="0" applyFont="1" applyBorder="1" applyAlignment="1">
      <alignment horizontal="center"/>
    </xf>
    <xf numFmtId="3" fontId="6" fillId="0" borderId="0" xfId="0" applyNumberFormat="1" applyFont="1" applyBorder="1"/>
    <xf numFmtId="3" fontId="1" fillId="0" borderId="39" xfId="0" applyNumberFormat="1" applyFont="1" applyBorder="1"/>
    <xf numFmtId="3" fontId="1" fillId="0" borderId="47" xfId="0" applyNumberFormat="1" applyFont="1" applyBorder="1"/>
    <xf numFmtId="0" fontId="5" fillId="0" borderId="113" xfId="0" applyFont="1" applyBorder="1" applyAlignment="1">
      <alignment horizontal="center" vertical="top" wrapText="1"/>
    </xf>
    <xf numFmtId="0" fontId="6" fillId="0" borderId="0" xfId="0" applyFont="1" applyBorder="1" applyAlignment="1">
      <alignment horizontal="left" indent="3"/>
    </xf>
    <xf numFmtId="3" fontId="1" fillId="0" borderId="120" xfId="0" applyNumberFormat="1" applyFont="1" applyBorder="1"/>
    <xf numFmtId="3" fontId="1" fillId="0" borderId="119" xfId="0" applyNumberFormat="1" applyFont="1" applyBorder="1"/>
    <xf numFmtId="0" fontId="1" fillId="0" borderId="118" xfId="0" applyFont="1" applyBorder="1" applyAlignment="1">
      <alignment horizontal="center" vertical="top" wrapText="1"/>
    </xf>
    <xf numFmtId="0" fontId="9" fillId="0" borderId="0" xfId="0" applyFont="1" applyAlignment="1">
      <alignment horizontal="center"/>
    </xf>
    <xf numFmtId="0" fontId="12" fillId="0" borderId="4" xfId="0" applyFont="1" applyBorder="1" applyAlignment="1">
      <alignment horizontal="center" vertical="center" wrapText="1"/>
    </xf>
    <xf numFmtId="3" fontId="48" fillId="0" borderId="0" xfId="0" applyNumberFormat="1" applyFont="1" applyAlignment="1"/>
    <xf numFmtId="0" fontId="16" fillId="0" borderId="119" xfId="0" applyFont="1" applyBorder="1"/>
    <xf numFmtId="0" fontId="16" fillId="0" borderId="120" xfId="0" applyFont="1" applyBorder="1"/>
    <xf numFmtId="0" fontId="15" fillId="0" borderId="123" xfId="0" applyFont="1" applyBorder="1" applyAlignment="1">
      <alignment vertical="top"/>
    </xf>
    <xf numFmtId="3" fontId="16" fillId="0" borderId="25" xfId="0" applyNumberFormat="1" applyFont="1" applyBorder="1"/>
    <xf numFmtId="0" fontId="16" fillId="0" borderId="123" xfId="0" applyFont="1" applyBorder="1" applyAlignment="1">
      <alignment vertical="top"/>
    </xf>
    <xf numFmtId="3" fontId="16" fillId="0" borderId="119" xfId="0" applyNumberFormat="1" applyFont="1" applyBorder="1"/>
    <xf numFmtId="3" fontId="16" fillId="0" borderId="120" xfId="0" applyNumberFormat="1" applyFont="1" applyBorder="1"/>
    <xf numFmtId="0" fontId="16" fillId="0" borderId="78" xfId="0" applyFont="1" applyBorder="1" applyAlignment="1">
      <alignment vertical="top"/>
    </xf>
    <xf numFmtId="3" fontId="16" fillId="0" borderId="63" xfId="0" applyNumberFormat="1" applyFont="1" applyBorder="1"/>
    <xf numFmtId="3" fontId="16" fillId="0" borderId="90" xfId="0" applyNumberFormat="1" applyFont="1" applyBorder="1"/>
    <xf numFmtId="0" fontId="1" fillId="0" borderId="127" xfId="0" applyFont="1" applyBorder="1" applyAlignment="1">
      <alignment horizontal="left" indent="2"/>
    </xf>
    <xf numFmtId="3" fontId="1" fillId="0" borderId="40" xfId="0" applyNumberFormat="1" applyFont="1" applyBorder="1"/>
    <xf numFmtId="0" fontId="1" fillId="0" borderId="67" xfId="0" applyFont="1" applyBorder="1"/>
    <xf numFmtId="3" fontId="1" fillId="0" borderId="66" xfId="0" applyNumberFormat="1" applyFont="1" applyBorder="1"/>
    <xf numFmtId="3" fontId="1" fillId="0" borderId="65" xfId="0" applyNumberFormat="1" applyFont="1" applyBorder="1"/>
    <xf numFmtId="0" fontId="1" fillId="0" borderId="64" xfId="0" applyFont="1" applyBorder="1" applyAlignment="1">
      <alignment horizontal="left" wrapText="1" indent="2"/>
    </xf>
    <xf numFmtId="3" fontId="1" fillId="0" borderId="55" xfId="0" applyNumberFormat="1" applyFont="1" applyBorder="1"/>
    <xf numFmtId="3" fontId="1" fillId="0" borderId="57" xfId="0" applyNumberFormat="1" applyFont="1" applyBorder="1"/>
    <xf numFmtId="0" fontId="9" fillId="0" borderId="0" xfId="0" applyFont="1" applyAlignment="1">
      <alignment horizontal="left"/>
    </xf>
    <xf numFmtId="3" fontId="1" fillId="0" borderId="0" xfId="0" applyNumberFormat="1" applyFont="1"/>
    <xf numFmtId="0" fontId="1" fillId="0" borderId="127" xfId="0" applyFont="1" applyBorder="1" applyAlignment="1">
      <alignment horizontal="left" indent="3"/>
    </xf>
    <xf numFmtId="3" fontId="1" fillId="0" borderId="116" xfId="0" applyNumberFormat="1" applyFont="1" applyBorder="1"/>
    <xf numFmtId="3" fontId="1" fillId="0" borderId="11" xfId="0" applyNumberFormat="1" applyFont="1" applyBorder="1"/>
    <xf numFmtId="0" fontId="12" fillId="0" borderId="128" xfId="0" applyFont="1" applyBorder="1" applyAlignment="1">
      <alignment horizontal="right"/>
    </xf>
    <xf numFmtId="0" fontId="1" fillId="0" borderId="20" xfId="0" applyFont="1" applyBorder="1" applyAlignment="1">
      <alignment horizontal="left" indent="5"/>
    </xf>
    <xf numFmtId="0" fontId="1" fillId="0" borderId="23" xfId="0" applyFont="1" applyBorder="1" applyAlignment="1">
      <alignment horizontal="left" indent="5"/>
    </xf>
    <xf numFmtId="0" fontId="1" fillId="0" borderId="129" xfId="0" applyFont="1" applyBorder="1" applyAlignment="1">
      <alignment horizontal="left" indent="3"/>
    </xf>
    <xf numFmtId="3" fontId="1" fillId="0" borderId="115" xfId="0" applyNumberFormat="1" applyFont="1" applyBorder="1"/>
    <xf numFmtId="3" fontId="1" fillId="0" borderId="117" xfId="0" applyNumberFormat="1" applyFont="1" applyBorder="1"/>
    <xf numFmtId="0" fontId="12" fillId="0" borderId="129" xfId="0" applyFont="1" applyBorder="1" applyAlignment="1">
      <alignment horizontal="right"/>
    </xf>
    <xf numFmtId="0" fontId="12" fillId="0" borderId="0" xfId="0" applyFont="1" applyAlignment="1">
      <alignment horizontal="left" wrapText="1"/>
    </xf>
    <xf numFmtId="3" fontId="1" fillId="0" borderId="109" xfId="0" applyNumberFormat="1" applyFont="1" applyBorder="1"/>
    <xf numFmtId="0" fontId="1" fillId="0" borderId="0" xfId="0" applyFont="1" applyBorder="1" applyAlignment="1">
      <alignment horizontal="left" indent="3"/>
    </xf>
    <xf numFmtId="3" fontId="1" fillId="0" borderId="0" xfId="0" applyNumberFormat="1" applyFont="1" applyBorder="1"/>
    <xf numFmtId="0" fontId="9" fillId="0" borderId="0" xfId="0" applyFont="1" applyFill="1" applyAlignment="1">
      <alignment horizontal="left"/>
    </xf>
    <xf numFmtId="0" fontId="1" fillId="0" borderId="0" xfId="0" applyFont="1" applyAlignment="1">
      <alignment horizontal="center" wrapText="1"/>
    </xf>
    <xf numFmtId="0" fontId="12" fillId="0" borderId="114" xfId="0" applyFont="1" applyBorder="1" applyAlignment="1">
      <alignment horizontal="right" indent="1"/>
    </xf>
    <xf numFmtId="0" fontId="1" fillId="0" borderId="52" xfId="0" applyFont="1" applyBorder="1" applyAlignment="1">
      <alignment horizontal="left" indent="1"/>
    </xf>
    <xf numFmtId="3" fontId="12" fillId="0" borderId="0" xfId="0" applyNumberFormat="1" applyFont="1" applyBorder="1"/>
    <xf numFmtId="3" fontId="1" fillId="0" borderId="15" xfId="0" applyNumberFormat="1" applyFont="1" applyBorder="1"/>
    <xf numFmtId="0" fontId="1" fillId="0" borderId="15" xfId="0" applyFont="1" applyBorder="1" applyAlignment="1">
      <alignment horizontal="left" indent="1"/>
    </xf>
    <xf numFmtId="0" fontId="1" fillId="0" borderId="39" xfId="0" applyFont="1" applyBorder="1" applyAlignment="1">
      <alignment horizontal="left" indent="1"/>
    </xf>
    <xf numFmtId="0" fontId="1" fillId="0" borderId="52" xfId="0" applyFont="1" applyBorder="1" applyAlignment="1">
      <alignment horizontal="left" indent="3"/>
    </xf>
    <xf numFmtId="0" fontId="1" fillId="0" borderId="119" xfId="0" applyFont="1" applyBorder="1" applyAlignment="1">
      <alignment horizontal="left" indent="1"/>
    </xf>
    <xf numFmtId="0" fontId="12" fillId="0" borderId="130" xfId="0" applyFont="1" applyBorder="1" applyAlignment="1">
      <alignment horizontal="center" vertical="center" wrapText="1"/>
    </xf>
    <xf numFmtId="0" fontId="12" fillId="0" borderId="0" xfId="0" applyFont="1" applyBorder="1" applyAlignment="1">
      <alignment horizontal="center" vertical="center" wrapText="1"/>
    </xf>
    <xf numFmtId="0" fontId="1" fillId="0" borderId="0" xfId="0" applyFont="1" applyBorder="1"/>
    <xf numFmtId="3" fontId="1" fillId="0" borderId="90" xfId="0" applyNumberFormat="1" applyFont="1" applyBorder="1"/>
    <xf numFmtId="3" fontId="1" fillId="0" borderId="63" xfId="0" applyNumberFormat="1" applyFont="1" applyBorder="1"/>
    <xf numFmtId="3" fontId="1" fillId="0" borderId="91" xfId="0" applyNumberFormat="1" applyFont="1" applyBorder="1"/>
    <xf numFmtId="3" fontId="1" fillId="0" borderId="88" xfId="0" applyNumberFormat="1" applyFont="1" applyBorder="1"/>
    <xf numFmtId="3" fontId="1" fillId="0" borderId="131" xfId="0" applyNumberFormat="1" applyFont="1" applyBorder="1"/>
    <xf numFmtId="3" fontId="1" fillId="0" borderId="132" xfId="0" applyNumberFormat="1" applyFont="1" applyBorder="1"/>
    <xf numFmtId="3" fontId="12" fillId="0" borderId="132" xfId="2" applyNumberFormat="1" applyFont="1" applyBorder="1"/>
    <xf numFmtId="3" fontId="1" fillId="0" borderId="72" xfId="0" applyNumberFormat="1" applyFont="1" applyBorder="1"/>
    <xf numFmtId="164" fontId="1" fillId="0" borderId="29" xfId="1" applyNumberFormat="1" applyFont="1" applyBorder="1" applyAlignment="1">
      <alignment horizontal="left"/>
    </xf>
    <xf numFmtId="165" fontId="1" fillId="0" borderId="84" xfId="2" applyNumberFormat="1" applyFont="1" applyBorder="1" applyAlignment="1">
      <alignment horizontal="center"/>
    </xf>
    <xf numFmtId="165" fontId="1" fillId="0" borderId="84" xfId="2" applyNumberFormat="1" applyFont="1" applyBorder="1" applyAlignment="1">
      <alignment horizontal="left"/>
    </xf>
    <xf numFmtId="0" fontId="1" fillId="0" borderId="76" xfId="0" applyFont="1" applyBorder="1" applyAlignment="1">
      <alignment horizontal="left"/>
    </xf>
    <xf numFmtId="3" fontId="1" fillId="0" borderId="89" xfId="0" applyNumberFormat="1" applyFont="1" applyBorder="1"/>
    <xf numFmtId="164" fontId="1" fillId="0" borderId="87" xfId="1" applyNumberFormat="1" applyFont="1" applyBorder="1" applyAlignment="1">
      <alignment horizontal="left"/>
    </xf>
    <xf numFmtId="165" fontId="1" fillId="0" borderId="86" xfId="2" applyNumberFormat="1" applyFont="1" applyBorder="1" applyAlignment="1">
      <alignment horizontal="center"/>
    </xf>
    <xf numFmtId="165" fontId="1" fillId="0" borderId="86" xfId="2" applyNumberFormat="1" applyFont="1" applyBorder="1" applyAlignment="1">
      <alignment horizontal="left"/>
    </xf>
    <xf numFmtId="0" fontId="1" fillId="0" borderId="85" xfId="0" applyFont="1" applyBorder="1" applyAlignment="1">
      <alignment horizontal="left"/>
    </xf>
    <xf numFmtId="3" fontId="1" fillId="0" borderId="136" xfId="0" applyNumberFormat="1" applyFont="1" applyBorder="1"/>
    <xf numFmtId="164" fontId="1" fillId="0" borderId="137" xfId="1" applyNumberFormat="1" applyFont="1" applyBorder="1" applyAlignment="1">
      <alignment horizontal="left"/>
    </xf>
    <xf numFmtId="165" fontId="1" fillId="0" borderId="133" xfId="2" applyNumberFormat="1" applyFont="1" applyBorder="1" applyAlignment="1">
      <alignment horizontal="center"/>
    </xf>
    <xf numFmtId="165" fontId="1" fillId="0" borderId="133" xfId="2" applyNumberFormat="1" applyFont="1" applyBorder="1" applyAlignment="1">
      <alignment horizontal="left"/>
    </xf>
    <xf numFmtId="0" fontId="1" fillId="0" borderId="134" xfId="0" applyFont="1" applyBorder="1" applyAlignment="1">
      <alignment horizontal="left"/>
    </xf>
    <xf numFmtId="0" fontId="12" fillId="0" borderId="123" xfId="0" applyFont="1" applyBorder="1" applyAlignment="1">
      <alignment vertical="top"/>
    </xf>
    <xf numFmtId="0" fontId="12" fillId="0" borderId="121" xfId="0" applyFont="1" applyBorder="1" applyAlignment="1">
      <alignment vertical="top" wrapText="1"/>
    </xf>
    <xf numFmtId="0" fontId="1" fillId="0" borderId="119" xfId="0" applyFont="1" applyBorder="1"/>
    <xf numFmtId="0" fontId="1" fillId="0" borderId="120" xfId="0" applyFont="1" applyBorder="1"/>
    <xf numFmtId="0" fontId="1" fillId="0" borderId="46" xfId="0" applyFont="1" applyBorder="1" applyAlignment="1">
      <alignment vertical="top"/>
    </xf>
    <xf numFmtId="0" fontId="1" fillId="0" borderId="31" xfId="0" applyFont="1" applyBorder="1" applyAlignment="1">
      <alignment vertical="top" wrapText="1"/>
    </xf>
    <xf numFmtId="3" fontId="1" fillId="0" borderId="21" xfId="1" applyNumberFormat="1" applyFont="1" applyBorder="1"/>
    <xf numFmtId="0" fontId="1" fillId="0" borderId="47" xfId="0" applyFont="1" applyBorder="1"/>
    <xf numFmtId="0" fontId="1" fillId="0" borderId="31" xfId="0" applyFont="1" applyBorder="1" applyAlignment="1">
      <alignment vertical="top"/>
    </xf>
    <xf numFmtId="0" fontId="1" fillId="0" borderId="138" xfId="0" applyFont="1" applyBorder="1"/>
    <xf numFmtId="0" fontId="12" fillId="0" borderId="122" xfId="0" applyFont="1" applyBorder="1" applyAlignment="1">
      <alignment horizontal="center"/>
    </xf>
    <xf numFmtId="0" fontId="47" fillId="0" borderId="0" xfId="0" applyFont="1" applyAlignment="1">
      <alignment horizontal="left"/>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0" fillId="0" borderId="0" xfId="0" applyFont="1" applyAlignment="1">
      <alignment horizontal="center"/>
    </xf>
    <xf numFmtId="0" fontId="11"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6" fillId="0" borderId="0" xfId="0" applyFont="1" applyAlignment="1">
      <alignment horizont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47" fillId="0" borderId="0" xfId="0" applyFont="1" applyAlignment="1">
      <alignment horizontal="left" vertical="top"/>
    </xf>
    <xf numFmtId="0" fontId="1" fillId="0" borderId="0" xfId="0" applyFont="1" applyAlignment="1">
      <alignment horizontal="center"/>
    </xf>
    <xf numFmtId="0" fontId="5" fillId="0" borderId="0" xfId="0" applyFont="1" applyAlignment="1">
      <alignment horizont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9" fillId="0" borderId="35" xfId="0" applyFont="1" applyBorder="1" applyAlignment="1">
      <alignment horizontal="center"/>
    </xf>
    <xf numFmtId="0" fontId="9" fillId="0" borderId="0" xfId="0" applyFont="1" applyBorder="1" applyAlignment="1">
      <alignment horizontal="center"/>
    </xf>
    <xf numFmtId="0" fontId="12" fillId="0" borderId="96" xfId="0" applyFont="1" applyBorder="1" applyAlignment="1">
      <alignment horizontal="center" vertical="center" wrapText="1"/>
    </xf>
    <xf numFmtId="0" fontId="1" fillId="0" borderId="35" xfId="0" applyFont="1" applyBorder="1" applyAlignment="1">
      <alignment horizontal="center"/>
    </xf>
    <xf numFmtId="0" fontId="12" fillId="0" borderId="1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6" xfId="0" applyFont="1" applyBorder="1" applyAlignment="1">
      <alignment horizontal="center" vertical="center" wrapText="1"/>
    </xf>
    <xf numFmtId="0" fontId="15" fillId="0" borderId="50" xfId="0" applyFont="1" applyBorder="1" applyAlignment="1">
      <alignment horizontal="left" vertical="top" wrapText="1"/>
    </xf>
    <xf numFmtId="0" fontId="14"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 fillId="0" borderId="0" xfId="0" applyFont="1" applyBorder="1" applyAlignment="1">
      <alignment horizontal="center"/>
    </xf>
    <xf numFmtId="0" fontId="19" fillId="0" borderId="97" xfId="0" applyFont="1"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51" xfId="0" applyBorder="1" applyAlignment="1">
      <alignment horizontal="left" vertical="top" wrapText="1"/>
    </xf>
    <xf numFmtId="0" fontId="0" fillId="0" borderId="54" xfId="0" applyBorder="1" applyAlignment="1">
      <alignment horizontal="left" vertical="top" wrapText="1"/>
    </xf>
    <xf numFmtId="0" fontId="16" fillId="0" borderId="42" xfId="0" applyFont="1" applyBorder="1" applyAlignment="1">
      <alignment horizontal="left" vertical="top" wrapText="1"/>
    </xf>
    <xf numFmtId="0" fontId="15" fillId="0" borderId="43" xfId="0" applyFont="1" applyBorder="1" applyAlignment="1">
      <alignment horizontal="right" vertical="top"/>
    </xf>
    <xf numFmtId="0" fontId="15" fillId="0" borderId="124" xfId="0" applyFont="1" applyBorder="1" applyAlignment="1">
      <alignment horizontal="left" vertical="top" wrapText="1"/>
    </xf>
    <xf numFmtId="0" fontId="16" fillId="0" borderId="31" xfId="0" applyFont="1" applyBorder="1" applyAlignment="1">
      <alignment horizontal="left" vertical="top" wrapText="1"/>
    </xf>
    <xf numFmtId="0" fontId="16" fillId="0" borderId="42" xfId="0" applyFont="1" applyBorder="1" applyAlignment="1">
      <alignment vertical="top" wrapText="1"/>
    </xf>
    <xf numFmtId="0" fontId="16" fillId="0" borderId="31" xfId="0" applyFont="1" applyBorder="1" applyAlignment="1">
      <alignment vertical="top" wrapText="1"/>
    </xf>
    <xf numFmtId="0" fontId="15" fillId="0" borderId="38" xfId="0" applyFont="1" applyBorder="1" applyAlignment="1">
      <alignment horizontal="right" vertical="top"/>
    </xf>
    <xf numFmtId="0" fontId="15" fillId="0" borderId="51" xfId="0" applyFont="1" applyBorder="1" applyAlignment="1">
      <alignment horizontal="left" vertical="top" wrapText="1"/>
    </xf>
    <xf numFmtId="0" fontId="16" fillId="0" borderId="42" xfId="0" applyFont="1" applyBorder="1" applyAlignment="1">
      <alignment horizontal="left" vertical="top"/>
    </xf>
    <xf numFmtId="0" fontId="16" fillId="0" borderId="31" xfId="0" applyFont="1" applyBorder="1" applyAlignment="1">
      <alignment horizontal="left" vertical="top"/>
    </xf>
    <xf numFmtId="0" fontId="16" fillId="0" borderId="97" xfId="0" applyFont="1" applyBorder="1" applyAlignment="1">
      <alignment horizontal="left" vertical="top" wrapText="1"/>
    </xf>
    <xf numFmtId="0" fontId="16" fillId="0" borderId="98" xfId="0" applyFont="1" applyBorder="1" applyAlignment="1">
      <alignment horizontal="left" vertical="top" wrapText="1"/>
    </xf>
    <xf numFmtId="0" fontId="16" fillId="0" borderId="35" xfId="0" applyFont="1" applyBorder="1" applyAlignment="1">
      <alignment horizontal="left" vertical="top" wrapText="1"/>
    </xf>
    <xf numFmtId="0" fontId="16" fillId="0" borderId="125" xfId="0" applyFont="1" applyBorder="1" applyAlignment="1">
      <alignment horizontal="left" vertical="top" wrapText="1"/>
    </xf>
    <xf numFmtId="0" fontId="19" fillId="0" borderId="42" xfId="0" applyFont="1" applyBorder="1" applyAlignment="1">
      <alignment horizontal="left" vertical="top" wrapText="1"/>
    </xf>
    <xf numFmtId="0" fontId="19" fillId="0" borderId="42" xfId="0" applyFont="1" applyBorder="1" applyAlignment="1">
      <alignment horizontal="left" vertical="top"/>
    </xf>
    <xf numFmtId="0" fontId="19" fillId="0" borderId="31" xfId="0" applyFont="1" applyBorder="1" applyAlignment="1">
      <alignment horizontal="left" vertical="top"/>
    </xf>
    <xf numFmtId="0" fontId="15" fillId="0" borderId="51" xfId="0" applyFont="1" applyBorder="1" applyAlignment="1">
      <alignment horizontal="left" vertical="top"/>
    </xf>
    <xf numFmtId="0" fontId="15" fillId="0" borderId="54" xfId="0" applyFont="1" applyBorder="1" applyAlignment="1">
      <alignment horizontal="left" vertical="top"/>
    </xf>
    <xf numFmtId="0" fontId="15" fillId="0" borderId="42" xfId="0" applyFont="1" applyBorder="1" applyAlignment="1">
      <alignment horizontal="left" vertical="top"/>
    </xf>
    <xf numFmtId="0" fontId="15" fillId="0" borderId="31" xfId="0" applyFont="1" applyBorder="1" applyAlignment="1">
      <alignment horizontal="left" vertical="top"/>
    </xf>
    <xf numFmtId="0" fontId="19" fillId="0" borderId="31" xfId="0" applyFont="1" applyBorder="1" applyAlignment="1">
      <alignment horizontal="left" vertical="top" wrapText="1"/>
    </xf>
    <xf numFmtId="0" fontId="15" fillId="0" borderId="126" xfId="0" applyFont="1" applyBorder="1" applyAlignment="1">
      <alignment horizontal="center" vertical="top"/>
    </xf>
    <xf numFmtId="0" fontId="15" fillId="0" borderId="122" xfId="0" applyFont="1" applyBorder="1" applyAlignment="1">
      <alignment horizontal="center" vertical="top"/>
    </xf>
    <xf numFmtId="0" fontId="15" fillId="0" borderId="93" xfId="0" applyFont="1" applyBorder="1" applyAlignment="1">
      <alignment horizontal="right" vertical="top"/>
    </xf>
    <xf numFmtId="0" fontId="12" fillId="0" borderId="61" xfId="0" applyFont="1" applyBorder="1" applyAlignment="1">
      <alignment horizontal="center" vertical="center" wrapText="1"/>
    </xf>
    <xf numFmtId="0" fontId="1" fillId="0" borderId="0" xfId="0" applyFont="1" applyAlignment="1">
      <alignment horizontal="left" wrapText="1"/>
    </xf>
    <xf numFmtId="0" fontId="1" fillId="0" borderId="0" xfId="0" applyFont="1" applyAlignment="1">
      <alignment wrapText="1"/>
    </xf>
    <xf numFmtId="0" fontId="0" fillId="0" borderId="0" xfId="0" applyFont="1" applyAlignment="1">
      <alignment wrapText="1"/>
    </xf>
    <xf numFmtId="0" fontId="1" fillId="0" borderId="0" xfId="0" applyFont="1" applyAlignment="1">
      <alignment horizontal="center" wrapText="1"/>
    </xf>
    <xf numFmtId="0" fontId="0" fillId="0" borderId="0" xfId="0" applyAlignment="1"/>
    <xf numFmtId="0" fontId="0" fillId="0" borderId="0" xfId="0" applyAlignment="1">
      <alignment wrapText="1"/>
    </xf>
    <xf numFmtId="0" fontId="1" fillId="0" borderId="0" xfId="0" applyFont="1" applyBorder="1" applyAlignment="1">
      <alignment horizontal="left" wrapText="1" indent="2"/>
    </xf>
    <xf numFmtId="0" fontId="1" fillId="0" borderId="99" xfId="0" applyFont="1" applyBorder="1" applyAlignment="1">
      <alignment horizontal="left"/>
    </xf>
    <xf numFmtId="0" fontId="1" fillId="0" borderId="0" xfId="0" applyFont="1" applyBorder="1" applyAlignment="1">
      <alignment horizontal="left"/>
    </xf>
    <xf numFmtId="0" fontId="12" fillId="0" borderId="3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112" xfId="0" applyFont="1" applyBorder="1" applyAlignment="1">
      <alignment horizontal="center" vertical="center"/>
    </xf>
    <xf numFmtId="0" fontId="12" fillId="0" borderId="15" xfId="0" applyFont="1" applyBorder="1" applyAlignment="1">
      <alignment horizontal="center" vertical="center"/>
    </xf>
    <xf numFmtId="0" fontId="12" fillId="0" borderId="116" xfId="0" applyFont="1" applyBorder="1" applyAlignment="1">
      <alignment horizontal="center" vertical="center"/>
    </xf>
    <xf numFmtId="0" fontId="12" fillId="0" borderId="1"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35" xfId="0" applyFont="1" applyBorder="1" applyAlignment="1">
      <alignment horizontal="center"/>
    </xf>
    <xf numFmtId="0" fontId="12" fillId="0" borderId="69" xfId="0" applyFont="1" applyBorder="1" applyAlignment="1">
      <alignment horizontal="center"/>
    </xf>
    <xf numFmtId="0" fontId="12" fillId="0" borderId="62" xfId="0" applyFont="1" applyBorder="1" applyAlignment="1">
      <alignment horizontal="center"/>
    </xf>
    <xf numFmtId="0" fontId="12" fillId="0" borderId="134" xfId="0" applyFont="1" applyBorder="1" applyAlignment="1">
      <alignment horizontal="left" indent="2"/>
    </xf>
    <xf numFmtId="0" fontId="12" fillId="0" borderId="133" xfId="0" applyFont="1" applyBorder="1" applyAlignment="1">
      <alignment horizontal="left" indent="2"/>
    </xf>
    <xf numFmtId="0" fontId="12" fillId="0" borderId="85" xfId="0" applyFont="1" applyBorder="1" applyAlignment="1">
      <alignment horizontal="left" indent="2"/>
    </xf>
    <xf numFmtId="0" fontId="12" fillId="0" borderId="86" xfId="0" applyFont="1" applyBorder="1" applyAlignment="1">
      <alignment horizontal="left" indent="2"/>
    </xf>
    <xf numFmtId="0" fontId="12" fillId="0" borderId="78" xfId="0" applyFont="1" applyBorder="1" applyAlignment="1">
      <alignment horizontal="left" indent="2"/>
    </xf>
    <xf numFmtId="0" fontId="12" fillId="0" borderId="35" xfId="0" applyFont="1" applyBorder="1" applyAlignment="1">
      <alignment horizontal="left" indent="2"/>
    </xf>
    <xf numFmtId="0" fontId="12" fillId="0" borderId="83" xfId="0" applyFont="1" applyBorder="1" applyAlignment="1">
      <alignment horizontal="center" vertical="center"/>
    </xf>
    <xf numFmtId="0" fontId="12" fillId="0" borderId="41" xfId="0" applyFont="1" applyBorder="1" applyAlignment="1">
      <alignment horizontal="center" vertical="center"/>
    </xf>
    <xf numFmtId="0" fontId="12" fillId="0" borderId="28" xfId="0" applyFont="1" applyBorder="1" applyAlignment="1">
      <alignment horizontal="center" vertical="center"/>
    </xf>
    <xf numFmtId="0" fontId="12" fillId="0" borderId="76" xfId="0" applyFont="1" applyBorder="1" applyAlignment="1">
      <alignment horizontal="center" vertical="center"/>
    </xf>
    <xf numFmtId="0" fontId="12" fillId="0" borderId="84" xfId="0" applyFont="1" applyBorder="1" applyAlignment="1">
      <alignment horizontal="center" vertical="center"/>
    </xf>
    <xf numFmtId="0" fontId="12" fillId="0" borderId="29" xfId="0" applyFont="1" applyBorder="1" applyAlignment="1">
      <alignment horizontal="center" vertical="center"/>
    </xf>
    <xf numFmtId="3" fontId="1" fillId="0" borderId="21" xfId="0" applyNumberFormat="1" applyFont="1" applyBorder="1" applyAlignment="1">
      <alignment vertical="center"/>
    </xf>
    <xf numFmtId="3" fontId="1" fillId="0" borderId="22" xfId="0" applyNumberFormat="1" applyFont="1" applyBorder="1" applyAlignment="1">
      <alignment vertical="center"/>
    </xf>
    <xf numFmtId="0" fontId="1" fillId="0" borderId="46" xfId="0" applyFont="1" applyBorder="1" applyAlignment="1">
      <alignment vertical="center"/>
    </xf>
    <xf numFmtId="0" fontId="1" fillId="0" borderId="31" xfId="0" applyFont="1" applyBorder="1" applyAlignment="1">
      <alignment vertical="center" wrapText="1"/>
    </xf>
    <xf numFmtId="0" fontId="12" fillId="0" borderId="121" xfId="0" applyFont="1" applyBorder="1" applyAlignment="1">
      <alignment vertical="center" wrapText="1"/>
    </xf>
  </cellXfs>
  <cellStyles count="87">
    <cellStyle name="20% - Accent1 2" xfId="29"/>
    <cellStyle name="20% - Accent2 2" xfId="24"/>
    <cellStyle name="20% - Accent3 2" xfId="32"/>
    <cellStyle name="20% - Accent4 2" xfId="31"/>
    <cellStyle name="20% - Accent5 2" xfId="28"/>
    <cellStyle name="20% - Accent6 2" xfId="27"/>
    <cellStyle name="40% - Accent1 2" xfId="26"/>
    <cellStyle name="40% - Accent2 2" xfId="25"/>
    <cellStyle name="40% - Accent3 2" xfId="37"/>
    <cellStyle name="40% - Accent4 2" xfId="38"/>
    <cellStyle name="40% - Accent5 2" xfId="33"/>
    <cellStyle name="40% - Accent6 2" xfId="36"/>
    <cellStyle name="60% - Accent1 2" xfId="34"/>
    <cellStyle name="60% - Accent2 2" xfId="35"/>
    <cellStyle name="60% - Accent3 2" xfId="39"/>
    <cellStyle name="60% - Accent4 2" xfId="40"/>
    <cellStyle name="60% - Accent5 2" xfId="41"/>
    <cellStyle name="60% - Accent6 2" xfId="42"/>
    <cellStyle name="Accent1 2" xfId="43"/>
    <cellStyle name="Accent2 2" xfId="44"/>
    <cellStyle name="Accent3 2" xfId="45"/>
    <cellStyle name="Accent4 2" xfId="46"/>
    <cellStyle name="Accent5 2" xfId="47"/>
    <cellStyle name="Accent6 2" xfId="48"/>
    <cellStyle name="Bad 2" xfId="49"/>
    <cellStyle name="Calculation 2" xfId="50"/>
    <cellStyle name="Check Cell 2" xfId="51"/>
    <cellStyle name="Comma" xfId="1" builtinId="3"/>
    <cellStyle name="Comma 2" xfId="5"/>
    <cellStyle name="Comma 2 2" xfId="8"/>
    <cellStyle name="Comma 3" xfId="7"/>
    <cellStyle name="Comma 4" xfId="14"/>
    <cellStyle name="Comma 4 2" xfId="18"/>
    <cellStyle name="Comma 4 2 2" xfId="52"/>
    <cellStyle name="Comma 5" xfId="78"/>
    <cellStyle name="Comma 6" xfId="82"/>
    <cellStyle name="Currency" xfId="2" builtinId="4"/>
    <cellStyle name="Currency 2" xfId="4"/>
    <cellStyle name="Currency 2 2" xfId="10"/>
    <cellStyle name="Currency 3" xfId="9"/>
    <cellStyle name="Currency 4" xfId="15"/>
    <cellStyle name="Currency 4 2" xfId="19"/>
    <cellStyle name="Currency 5" xfId="86"/>
    <cellStyle name="Currency 6" xfId="84"/>
    <cellStyle name="Date" xfId="53"/>
    <cellStyle name="Explanatory Text 2" xfId="54"/>
    <cellStyle name="Fixed" xfId="55"/>
    <cellStyle name="Good 2" xfId="56"/>
    <cellStyle name="Heading 1 2" xfId="57"/>
    <cellStyle name="Heading 2 2" xfId="58"/>
    <cellStyle name="Heading 3 2" xfId="59"/>
    <cellStyle name="Heading 4 2" xfId="60"/>
    <cellStyle name="Hyperlink 2" xfId="61"/>
    <cellStyle name="Input 2" xfId="62"/>
    <cellStyle name="Linked Cell 2" xfId="63"/>
    <cellStyle name="Neutral 2" xfId="64"/>
    <cellStyle name="Normal" xfId="0" builtinId="0"/>
    <cellStyle name="Normal 2" xfId="11"/>
    <cellStyle name="Normal 2 2" xfId="66"/>
    <cellStyle name="Normal 2 3" xfId="65"/>
    <cellStyle name="Normal 3" xfId="12"/>
    <cellStyle name="Normal 3 2" xfId="21"/>
    <cellStyle name="Normal 3 2 2" xfId="23"/>
    <cellStyle name="Normal 4" xfId="6"/>
    <cellStyle name="Normal 4 2" xfId="67"/>
    <cellStyle name="Normal 5" xfId="22"/>
    <cellStyle name="Normal 5 2" xfId="69"/>
    <cellStyle name="Normal 5 3" xfId="68"/>
    <cellStyle name="Normal 5 4" xfId="81"/>
    <cellStyle name="Normal 5 5" xfId="83"/>
    <cellStyle name="Normal 5 6" xfId="85"/>
    <cellStyle name="Normal 6" xfId="70"/>
    <cellStyle name="Normal 7" xfId="30"/>
    <cellStyle name="Normal 7 2" xfId="79"/>
    <cellStyle name="Normal 8" xfId="3"/>
    <cellStyle name="Note 2" xfId="71"/>
    <cellStyle name="Output 2" xfId="72"/>
    <cellStyle name="Percent 2" xfId="13"/>
    <cellStyle name="Percent 2 2" xfId="17"/>
    <cellStyle name="Percent 3" xfId="16"/>
    <cellStyle name="Percent 3 2" xfId="20"/>
    <cellStyle name="Percent 3 2 2" xfId="73"/>
    <cellStyle name="Percent 3 3" xfId="80"/>
    <cellStyle name="Text" xfId="74"/>
    <cellStyle name="Title 2" xfId="75"/>
    <cellStyle name="Total 2" xfId="76"/>
    <cellStyle name="Warning Text 2" xfId="7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0</xdr:rowOff>
    </xdr:from>
    <xdr:ext cx="6534150" cy="4972050"/>
    <xdr:pic>
      <xdr:nvPicPr>
        <xdr:cNvPr id="2" name="Picture 3" descr="USMS is managed by a Director and Deputy Director.  The Office of Equal Employment Opportunity reports to the Director.  The Office of General Counsel, Office of Communications, Office of Inspections, Associate Director for Operations, Associate Director for Administration and the ninety four U.S. Marshals report to the Deputy Director.  The following Divisions report to the Associate Director for Operations: Judicial Security, Investigative Operations, Witness Security, Justice Prisoner and Alien Transportation System, Tactical Operations and Prisoner Operations.  The following Divisions report to the Associate Director for Administration: Training, Human Resources, Information Technology, Management Support, Financial Services and Asset Forfeiture." title="Organization Char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381000"/>
          <a:ext cx="653415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1:M30"/>
  <sheetViews>
    <sheetView view="pageBreakPreview" zoomScaleNormal="100" zoomScaleSheetLayoutView="100" workbookViewId="0">
      <selection activeCell="A29" sqref="A29"/>
    </sheetView>
  </sheetViews>
  <sheetFormatPr defaultRowHeight="15" x14ac:dyDescent="0.25"/>
  <sheetData>
    <row r="1" spans="13:13" x14ac:dyDescent="0.25">
      <c r="M1" s="216" t="s">
        <v>21</v>
      </c>
    </row>
    <row r="2" spans="13:13" x14ac:dyDescent="0.25">
      <c r="M2" s="216" t="s">
        <v>21</v>
      </c>
    </row>
    <row r="3" spans="13:13" x14ac:dyDescent="0.25">
      <c r="M3" s="216" t="s">
        <v>21</v>
      </c>
    </row>
    <row r="4" spans="13:13" x14ac:dyDescent="0.25">
      <c r="M4" s="216" t="s">
        <v>21</v>
      </c>
    </row>
    <row r="5" spans="13:13" x14ac:dyDescent="0.25">
      <c r="M5" s="216" t="s">
        <v>21</v>
      </c>
    </row>
    <row r="6" spans="13:13" x14ac:dyDescent="0.25">
      <c r="M6" s="216" t="s">
        <v>21</v>
      </c>
    </row>
    <row r="7" spans="13:13" x14ac:dyDescent="0.25">
      <c r="M7" s="216" t="s">
        <v>21</v>
      </c>
    </row>
    <row r="8" spans="13:13" x14ac:dyDescent="0.25">
      <c r="M8" s="216" t="s">
        <v>21</v>
      </c>
    </row>
    <row r="9" spans="13:13" x14ac:dyDescent="0.25">
      <c r="M9" s="216" t="s">
        <v>21</v>
      </c>
    </row>
    <row r="10" spans="13:13" x14ac:dyDescent="0.25">
      <c r="M10" s="216" t="s">
        <v>21</v>
      </c>
    </row>
    <row r="11" spans="13:13" x14ac:dyDescent="0.25">
      <c r="M11" s="216" t="s">
        <v>21</v>
      </c>
    </row>
    <row r="12" spans="13:13" x14ac:dyDescent="0.25">
      <c r="M12" s="216" t="s">
        <v>21</v>
      </c>
    </row>
    <row r="13" spans="13:13" x14ac:dyDescent="0.25">
      <c r="M13" s="216" t="s">
        <v>21</v>
      </c>
    </row>
    <row r="14" spans="13:13" x14ac:dyDescent="0.25">
      <c r="M14" s="216" t="s">
        <v>21</v>
      </c>
    </row>
    <row r="15" spans="13:13" x14ac:dyDescent="0.25">
      <c r="M15" s="216" t="s">
        <v>21</v>
      </c>
    </row>
    <row r="16" spans="13:13" x14ac:dyDescent="0.25">
      <c r="M16" s="216" t="s">
        <v>21</v>
      </c>
    </row>
    <row r="17" spans="13:13" x14ac:dyDescent="0.25">
      <c r="M17" s="216" t="s">
        <v>21</v>
      </c>
    </row>
    <row r="18" spans="13:13" x14ac:dyDescent="0.25">
      <c r="M18" s="216" t="s">
        <v>21</v>
      </c>
    </row>
    <row r="19" spans="13:13" x14ac:dyDescent="0.25">
      <c r="M19" s="216" t="s">
        <v>21</v>
      </c>
    </row>
    <row r="20" spans="13:13" x14ac:dyDescent="0.25">
      <c r="M20" s="216" t="s">
        <v>21</v>
      </c>
    </row>
    <row r="21" spans="13:13" x14ac:dyDescent="0.25">
      <c r="M21" s="216" t="s">
        <v>21</v>
      </c>
    </row>
    <row r="22" spans="13:13" x14ac:dyDescent="0.25">
      <c r="M22" s="216" t="s">
        <v>21</v>
      </c>
    </row>
    <row r="23" spans="13:13" x14ac:dyDescent="0.25">
      <c r="M23" s="216" t="s">
        <v>21</v>
      </c>
    </row>
    <row r="24" spans="13:13" x14ac:dyDescent="0.25">
      <c r="M24" s="216" t="s">
        <v>21</v>
      </c>
    </row>
    <row r="25" spans="13:13" x14ac:dyDescent="0.25">
      <c r="M25" s="216" t="s">
        <v>21</v>
      </c>
    </row>
    <row r="26" spans="13:13" x14ac:dyDescent="0.25">
      <c r="M26" s="216" t="s">
        <v>21</v>
      </c>
    </row>
    <row r="27" spans="13:13" x14ac:dyDescent="0.25">
      <c r="M27" s="216" t="s">
        <v>21</v>
      </c>
    </row>
    <row r="28" spans="13:13" x14ac:dyDescent="0.25">
      <c r="M28" s="216" t="s">
        <v>21</v>
      </c>
    </row>
    <row r="29" spans="13:13" x14ac:dyDescent="0.25">
      <c r="M29" s="216" t="s">
        <v>22</v>
      </c>
    </row>
    <row r="30" spans="13:13" x14ac:dyDescent="0.25">
      <c r="M30" s="216"/>
    </row>
  </sheetData>
  <pageMargins left="0.7" right="0.7" top="0.75" bottom="0.75" header="0.3" footer="0.3"/>
  <pageSetup orientation="landscape" r:id="rId1"/>
  <headerFooter>
    <oddHeader>&amp;L&amp;"Arial,Bold"&amp;12A: Organization Chart</oddHeader>
    <oddFooter>&amp;C&amp;"Arial,Regular"&amp;12Exhibit A - Organization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Normal="100" zoomScaleSheetLayoutView="100" workbookViewId="0">
      <pane xSplit="4" ySplit="6" topLeftCell="E34" activePane="bottomRight" state="frozen"/>
      <selection activeCell="M29" sqref="M29"/>
      <selection pane="topRight" activeCell="M29" sqref="M29"/>
      <selection pane="bottomLeft" activeCell="M29" sqref="M29"/>
      <selection pane="bottomRight" activeCell="A44" sqref="A44"/>
    </sheetView>
  </sheetViews>
  <sheetFormatPr defaultColWidth="9.140625" defaultRowHeight="14.25" x14ac:dyDescent="0.2"/>
  <cols>
    <col min="1" max="1" width="3.7109375" style="149" customWidth="1"/>
    <col min="2" max="2" width="71.140625" style="149" customWidth="1"/>
    <col min="3" max="4" width="14.7109375" style="149" customWidth="1"/>
    <col min="5" max="6" width="8.7109375" style="149" customWidth="1"/>
    <col min="7" max="7" width="12.7109375" style="149" customWidth="1"/>
    <col min="8" max="8" width="14" style="42" bestFit="1" customWidth="1"/>
    <col min="9" max="9" width="4.5703125" style="149" customWidth="1"/>
    <col min="10" max="11" width="8.28515625" style="149" customWidth="1"/>
    <col min="12" max="12" width="12.7109375" style="149" customWidth="1"/>
    <col min="13" max="14" width="8.28515625" style="149" customWidth="1"/>
    <col min="15" max="15" width="12.7109375" style="149" customWidth="1"/>
    <col min="16" max="16384" width="9.140625" style="149"/>
  </cols>
  <sheetData>
    <row r="1" spans="1:15" ht="18" x14ac:dyDescent="0.25">
      <c r="A1" s="324" t="s">
        <v>163</v>
      </c>
      <c r="B1" s="324"/>
      <c r="C1" s="324"/>
      <c r="D1" s="324"/>
      <c r="E1" s="324"/>
      <c r="F1" s="324"/>
      <c r="G1" s="324"/>
      <c r="H1" s="37" t="s">
        <v>21</v>
      </c>
      <c r="I1" s="9"/>
      <c r="J1" s="9"/>
      <c r="K1" s="9"/>
      <c r="L1" s="9"/>
      <c r="M1" s="9"/>
      <c r="N1" s="9"/>
      <c r="O1" s="9"/>
    </row>
    <row r="2" spans="1:15" ht="15" x14ac:dyDescent="0.2">
      <c r="A2" s="304" t="s">
        <v>189</v>
      </c>
      <c r="B2" s="304"/>
      <c r="C2" s="304"/>
      <c r="D2" s="304"/>
      <c r="E2" s="304"/>
      <c r="F2" s="304"/>
      <c r="G2" s="304"/>
      <c r="H2" s="37" t="s">
        <v>21</v>
      </c>
      <c r="I2" s="10"/>
      <c r="J2" s="10"/>
      <c r="K2" s="10"/>
      <c r="L2" s="10"/>
      <c r="M2" s="10"/>
      <c r="N2" s="10"/>
      <c r="O2" s="10"/>
    </row>
    <row r="3" spans="1:15" x14ac:dyDescent="0.2">
      <c r="A3" s="325" t="s">
        <v>1</v>
      </c>
      <c r="B3" s="325"/>
      <c r="C3" s="325"/>
      <c r="D3" s="325"/>
      <c r="E3" s="325"/>
      <c r="F3" s="325"/>
      <c r="G3" s="325"/>
      <c r="H3" s="37" t="s">
        <v>21</v>
      </c>
      <c r="I3" s="172"/>
      <c r="J3" s="172"/>
      <c r="K3" s="172"/>
      <c r="L3" s="172"/>
      <c r="M3" s="172"/>
      <c r="N3" s="172"/>
      <c r="O3" s="172"/>
    </row>
    <row r="4" spans="1:15" x14ac:dyDescent="0.2">
      <c r="A4" s="326" t="s">
        <v>2</v>
      </c>
      <c r="B4" s="326"/>
      <c r="C4" s="326"/>
      <c r="D4" s="326"/>
      <c r="E4" s="326"/>
      <c r="F4" s="326"/>
      <c r="G4" s="326"/>
      <c r="H4" s="37" t="s">
        <v>21</v>
      </c>
      <c r="I4" s="11"/>
      <c r="J4" s="11"/>
      <c r="K4" s="11"/>
      <c r="L4" s="11"/>
      <c r="M4" s="11"/>
      <c r="N4" s="11"/>
      <c r="O4" s="11"/>
    </row>
    <row r="5" spans="1:15" ht="15" thickBot="1" x14ac:dyDescent="0.25">
      <c r="A5" s="327"/>
      <c r="B5" s="327"/>
      <c r="C5" s="327"/>
      <c r="D5" s="327"/>
      <c r="E5" s="318"/>
      <c r="F5" s="318"/>
      <c r="G5" s="318"/>
      <c r="H5" s="37" t="s">
        <v>21</v>
      </c>
      <c r="I5" s="11"/>
      <c r="J5" s="11"/>
      <c r="K5" s="11"/>
      <c r="L5" s="11"/>
      <c r="M5" s="11"/>
      <c r="N5" s="11"/>
      <c r="O5" s="11"/>
    </row>
    <row r="6" spans="1:15" s="38" customFormat="1" ht="29.25" customHeight="1" thickBot="1" x14ac:dyDescent="0.25">
      <c r="A6" s="36"/>
      <c r="B6" s="36"/>
      <c r="C6" s="36"/>
      <c r="D6" s="36"/>
      <c r="E6" s="53" t="s">
        <v>4</v>
      </c>
      <c r="F6" s="44" t="s">
        <v>153</v>
      </c>
      <c r="G6" s="43" t="s">
        <v>5</v>
      </c>
      <c r="H6" s="37" t="s">
        <v>21</v>
      </c>
    </row>
    <row r="7" spans="1:15" s="38" customFormat="1" ht="12" x14ac:dyDescent="0.2">
      <c r="A7" s="39"/>
      <c r="B7" s="323" t="s">
        <v>9</v>
      </c>
      <c r="C7" s="323"/>
      <c r="D7" s="323"/>
      <c r="E7" s="217"/>
      <c r="F7" s="217"/>
      <c r="G7" s="218"/>
      <c r="H7" s="37" t="s">
        <v>21</v>
      </c>
    </row>
    <row r="8" spans="1:15" s="38" customFormat="1" ht="12" x14ac:dyDescent="0.2">
      <c r="A8" s="40">
        <v>1</v>
      </c>
      <c r="B8" s="333" t="s">
        <v>259</v>
      </c>
      <c r="C8" s="333"/>
      <c r="D8" s="333"/>
      <c r="E8" s="45">
        <v>0</v>
      </c>
      <c r="F8" s="45">
        <v>0</v>
      </c>
      <c r="G8" s="54">
        <v>2200</v>
      </c>
      <c r="H8" s="37" t="s">
        <v>21</v>
      </c>
    </row>
    <row r="9" spans="1:15" s="38" customFormat="1" ht="38.25" customHeight="1" x14ac:dyDescent="0.2">
      <c r="A9" s="40">
        <v>2</v>
      </c>
      <c r="B9" s="333" t="s">
        <v>260</v>
      </c>
      <c r="C9" s="333"/>
      <c r="D9" s="333"/>
      <c r="E9" s="45">
        <v>0</v>
      </c>
      <c r="F9" s="45">
        <v>0</v>
      </c>
      <c r="G9" s="54">
        <v>-7185</v>
      </c>
      <c r="H9" s="37" t="s">
        <v>21</v>
      </c>
    </row>
    <row r="10" spans="1:15" s="38" customFormat="1" ht="12" x14ac:dyDescent="0.2">
      <c r="A10" s="41"/>
      <c r="B10" s="334" t="s">
        <v>57</v>
      </c>
      <c r="C10" s="334"/>
      <c r="D10" s="334"/>
      <c r="E10" s="46">
        <f>SUM(E8:E9)</f>
        <v>0</v>
      </c>
      <c r="F10" s="46">
        <f>SUM(F8:F9)</f>
        <v>0</v>
      </c>
      <c r="G10" s="55">
        <f>SUM(G8:G9)</f>
        <v>-4985</v>
      </c>
      <c r="H10" s="37" t="s">
        <v>21</v>
      </c>
    </row>
    <row r="11" spans="1:15" s="38" customFormat="1" ht="12" x14ac:dyDescent="0.2">
      <c r="A11" s="219"/>
      <c r="B11" s="335" t="s">
        <v>58</v>
      </c>
      <c r="C11" s="335"/>
      <c r="D11" s="335"/>
      <c r="E11" s="45"/>
      <c r="F11" s="45"/>
      <c r="G11" s="54"/>
      <c r="H11" s="37" t="s">
        <v>21</v>
      </c>
    </row>
    <row r="12" spans="1:15" s="38" customFormat="1" ht="37.5" customHeight="1" x14ac:dyDescent="0.2">
      <c r="A12" s="40">
        <v>1</v>
      </c>
      <c r="B12" s="333" t="s">
        <v>261</v>
      </c>
      <c r="C12" s="333"/>
      <c r="D12" s="336"/>
      <c r="E12" s="45">
        <v>0</v>
      </c>
      <c r="F12" s="45">
        <v>0</v>
      </c>
      <c r="G12" s="54">
        <v>2755</v>
      </c>
      <c r="H12" s="37" t="s">
        <v>21</v>
      </c>
    </row>
    <row r="13" spans="1:15" s="38" customFormat="1" ht="38.25" customHeight="1" x14ac:dyDescent="0.2">
      <c r="A13" s="40">
        <v>2</v>
      </c>
      <c r="B13" s="337" t="s">
        <v>262</v>
      </c>
      <c r="C13" s="337"/>
      <c r="D13" s="338"/>
      <c r="E13" s="45">
        <v>0</v>
      </c>
      <c r="F13" s="45">
        <v>0</v>
      </c>
      <c r="G13" s="54">
        <v>2774</v>
      </c>
      <c r="H13" s="37" t="s">
        <v>21</v>
      </c>
    </row>
    <row r="14" spans="1:15" s="38" customFormat="1" ht="54" customHeight="1" x14ac:dyDescent="0.2">
      <c r="A14" s="40">
        <v>3</v>
      </c>
      <c r="B14" s="337" t="s">
        <v>263</v>
      </c>
      <c r="C14" s="337"/>
      <c r="D14" s="338"/>
      <c r="E14" s="45">
        <v>0</v>
      </c>
      <c r="F14" s="45">
        <v>0</v>
      </c>
      <c r="G14" s="220">
        <v>3700</v>
      </c>
      <c r="H14" s="37" t="s">
        <v>21</v>
      </c>
    </row>
    <row r="15" spans="1:15" s="38" customFormat="1" ht="51" customHeight="1" x14ac:dyDescent="0.2">
      <c r="A15" s="40">
        <v>4</v>
      </c>
      <c r="B15" s="337" t="s">
        <v>264</v>
      </c>
      <c r="C15" s="337"/>
      <c r="D15" s="338"/>
      <c r="E15" s="45">
        <v>0</v>
      </c>
      <c r="F15" s="45">
        <v>0</v>
      </c>
      <c r="G15" s="220">
        <v>-147</v>
      </c>
      <c r="H15" s="37" t="s">
        <v>21</v>
      </c>
    </row>
    <row r="16" spans="1:15" s="38" customFormat="1" ht="50.25" customHeight="1" x14ac:dyDescent="0.2">
      <c r="A16" s="40">
        <v>5</v>
      </c>
      <c r="B16" s="337" t="s">
        <v>265</v>
      </c>
      <c r="C16" s="337"/>
      <c r="D16" s="338"/>
      <c r="E16" s="45">
        <v>0</v>
      </c>
      <c r="F16" s="45">
        <v>0</v>
      </c>
      <c r="G16" s="220">
        <v>-7</v>
      </c>
      <c r="H16" s="37" t="s">
        <v>21</v>
      </c>
    </row>
    <row r="17" spans="1:8" s="38" customFormat="1" ht="12" x14ac:dyDescent="0.2">
      <c r="A17" s="41"/>
      <c r="B17" s="334" t="s">
        <v>59</v>
      </c>
      <c r="C17" s="334"/>
      <c r="D17" s="339"/>
      <c r="E17" s="46">
        <f>SUM(E12:E16)</f>
        <v>0</v>
      </c>
      <c r="F17" s="46">
        <f t="shared" ref="F17:G17" si="0">SUM(F12:F16)</f>
        <v>0</v>
      </c>
      <c r="G17" s="55">
        <f t="shared" si="0"/>
        <v>9075</v>
      </c>
      <c r="H17" s="37" t="s">
        <v>21</v>
      </c>
    </row>
    <row r="18" spans="1:8" s="38" customFormat="1" ht="12" x14ac:dyDescent="0.2">
      <c r="A18" s="221"/>
      <c r="B18" s="340" t="s">
        <v>11</v>
      </c>
      <c r="C18" s="340"/>
      <c r="D18" s="340"/>
      <c r="E18" s="222"/>
      <c r="F18" s="222"/>
      <c r="G18" s="223"/>
      <c r="H18" s="37" t="s">
        <v>21</v>
      </c>
    </row>
    <row r="19" spans="1:8" s="38" customFormat="1" ht="12" x14ac:dyDescent="0.2">
      <c r="A19" s="150">
        <v>1</v>
      </c>
      <c r="B19" s="328" t="s">
        <v>266</v>
      </c>
      <c r="C19" s="329"/>
      <c r="D19" s="330"/>
      <c r="E19" s="151"/>
      <c r="F19" s="151"/>
      <c r="G19" s="152"/>
      <c r="H19" s="37" t="s">
        <v>21</v>
      </c>
    </row>
    <row r="20" spans="1:8" s="38" customFormat="1" ht="39.75" customHeight="1" x14ac:dyDescent="0.2">
      <c r="A20" s="150"/>
      <c r="B20" s="331"/>
      <c r="C20" s="331"/>
      <c r="D20" s="332"/>
      <c r="E20" s="151">
        <v>0</v>
      </c>
      <c r="F20" s="151">
        <v>0</v>
      </c>
      <c r="G20" s="152">
        <v>4897</v>
      </c>
      <c r="H20" s="37" t="s">
        <v>21</v>
      </c>
    </row>
    <row r="21" spans="1:8" s="38" customFormat="1" ht="15" customHeight="1" x14ac:dyDescent="0.2">
      <c r="A21" s="150">
        <v>2</v>
      </c>
      <c r="B21" s="328" t="s">
        <v>267</v>
      </c>
      <c r="C21" s="343"/>
      <c r="D21" s="344"/>
      <c r="E21" s="151"/>
      <c r="F21" s="151"/>
      <c r="G21" s="152"/>
      <c r="H21" s="37" t="s">
        <v>21</v>
      </c>
    </row>
    <row r="22" spans="1:8" s="38" customFormat="1" ht="39.75" customHeight="1" thickBot="1" x14ac:dyDescent="0.25">
      <c r="A22" s="224"/>
      <c r="B22" s="345"/>
      <c r="C22" s="345"/>
      <c r="D22" s="346"/>
      <c r="E22" s="225">
        <v>0</v>
      </c>
      <c r="F22" s="225">
        <v>0</v>
      </c>
      <c r="G22" s="226">
        <v>867</v>
      </c>
      <c r="H22" s="37" t="s">
        <v>21</v>
      </c>
    </row>
    <row r="23" spans="1:8" s="38" customFormat="1" ht="36.75" customHeight="1" x14ac:dyDescent="0.2">
      <c r="A23" s="40">
        <v>3</v>
      </c>
      <c r="B23" s="333" t="s">
        <v>268</v>
      </c>
      <c r="C23" s="341"/>
      <c r="D23" s="342"/>
      <c r="E23" s="45">
        <v>0</v>
      </c>
      <c r="F23" s="45">
        <v>0</v>
      </c>
      <c r="G23" s="54">
        <v>846</v>
      </c>
      <c r="H23" s="37" t="s">
        <v>21</v>
      </c>
    </row>
    <row r="24" spans="1:8" s="38" customFormat="1" ht="38.25" customHeight="1" x14ac:dyDescent="0.2">
      <c r="A24" s="40">
        <v>4</v>
      </c>
      <c r="B24" s="347" t="s">
        <v>269</v>
      </c>
      <c r="C24" s="348"/>
      <c r="D24" s="349"/>
      <c r="E24" s="45">
        <v>0</v>
      </c>
      <c r="F24" s="45">
        <v>0</v>
      </c>
      <c r="G24" s="54">
        <v>1196</v>
      </c>
      <c r="H24" s="37" t="s">
        <v>21</v>
      </c>
    </row>
    <row r="25" spans="1:8" s="38" customFormat="1" ht="53.25" customHeight="1" x14ac:dyDescent="0.2">
      <c r="A25" s="40">
        <v>5</v>
      </c>
      <c r="B25" s="347" t="s">
        <v>270</v>
      </c>
      <c r="C25" s="348"/>
      <c r="D25" s="349"/>
      <c r="E25" s="45">
        <v>0</v>
      </c>
      <c r="F25" s="45">
        <v>0</v>
      </c>
      <c r="G25" s="54">
        <v>864</v>
      </c>
      <c r="H25" s="37" t="s">
        <v>21</v>
      </c>
    </row>
    <row r="26" spans="1:8" s="38" customFormat="1" ht="12" x14ac:dyDescent="0.2">
      <c r="A26" s="41"/>
      <c r="B26" s="334" t="s">
        <v>61</v>
      </c>
      <c r="C26" s="334"/>
      <c r="D26" s="334"/>
      <c r="E26" s="46">
        <f>SUM(E20:E25)</f>
        <v>0</v>
      </c>
      <c r="F26" s="46">
        <f>SUM(F20:F25)</f>
        <v>0</v>
      </c>
      <c r="G26" s="55">
        <f>SUM(G20:G25)</f>
        <v>8670</v>
      </c>
      <c r="H26" s="37" t="s">
        <v>21</v>
      </c>
    </row>
    <row r="27" spans="1:8" s="38" customFormat="1" ht="12" x14ac:dyDescent="0.2">
      <c r="A27" s="50"/>
      <c r="B27" s="350" t="s">
        <v>12</v>
      </c>
      <c r="C27" s="350"/>
      <c r="D27" s="351"/>
      <c r="E27" s="49"/>
      <c r="F27" s="49"/>
      <c r="G27" s="56"/>
      <c r="H27" s="37" t="s">
        <v>21</v>
      </c>
    </row>
    <row r="28" spans="1:8" s="38" customFormat="1" ht="76.5" customHeight="1" x14ac:dyDescent="0.2">
      <c r="A28" s="40">
        <v>1</v>
      </c>
      <c r="B28" s="347" t="s">
        <v>271</v>
      </c>
      <c r="C28" s="348"/>
      <c r="D28" s="349"/>
      <c r="E28" s="45">
        <v>0</v>
      </c>
      <c r="F28" s="45">
        <v>0</v>
      </c>
      <c r="G28" s="54">
        <v>10992</v>
      </c>
      <c r="H28" s="37" t="s">
        <v>21</v>
      </c>
    </row>
    <row r="29" spans="1:8" s="38" customFormat="1" ht="37.5" customHeight="1" x14ac:dyDescent="0.2">
      <c r="A29" s="40">
        <v>2</v>
      </c>
      <c r="B29" s="347" t="s">
        <v>62</v>
      </c>
      <c r="C29" s="348"/>
      <c r="D29" s="349"/>
      <c r="E29" s="45">
        <v>0</v>
      </c>
      <c r="F29" s="45">
        <v>0</v>
      </c>
      <c r="G29" s="54">
        <v>3182</v>
      </c>
      <c r="H29" s="37" t="s">
        <v>21</v>
      </c>
    </row>
    <row r="30" spans="1:8" s="38" customFormat="1" ht="12" x14ac:dyDescent="0.2">
      <c r="A30" s="41"/>
      <c r="B30" s="334" t="s">
        <v>63</v>
      </c>
      <c r="C30" s="334"/>
      <c r="D30" s="334"/>
      <c r="E30" s="46">
        <f>SUM(E28:E29)</f>
        <v>0</v>
      </c>
      <c r="F30" s="46">
        <f>SUM(F28:F29)</f>
        <v>0</v>
      </c>
      <c r="G30" s="55">
        <f>SUM(G28:G29)</f>
        <v>14174</v>
      </c>
      <c r="H30" s="37" t="s">
        <v>21</v>
      </c>
    </row>
    <row r="31" spans="1:8" s="38" customFormat="1" ht="12" x14ac:dyDescent="0.2">
      <c r="A31" s="40"/>
      <c r="B31" s="352" t="s">
        <v>13</v>
      </c>
      <c r="C31" s="352"/>
      <c r="D31" s="353"/>
      <c r="E31" s="47"/>
      <c r="F31" s="47"/>
      <c r="G31" s="54"/>
      <c r="H31" s="37" t="s">
        <v>21</v>
      </c>
    </row>
    <row r="32" spans="1:8" s="38" customFormat="1" ht="63.75" customHeight="1" x14ac:dyDescent="0.2">
      <c r="A32" s="40">
        <v>1</v>
      </c>
      <c r="B32" s="347" t="s">
        <v>272</v>
      </c>
      <c r="C32" s="348"/>
      <c r="D32" s="349"/>
      <c r="E32" s="45">
        <v>0</v>
      </c>
      <c r="F32" s="45">
        <v>0</v>
      </c>
      <c r="G32" s="54">
        <v>73</v>
      </c>
      <c r="H32" s="37" t="s">
        <v>21</v>
      </c>
    </row>
    <row r="33" spans="1:8" s="38" customFormat="1" ht="60.75" customHeight="1" x14ac:dyDescent="0.2">
      <c r="A33" s="40">
        <v>2</v>
      </c>
      <c r="B33" s="333" t="s">
        <v>301</v>
      </c>
      <c r="C33" s="341"/>
      <c r="D33" s="342"/>
      <c r="E33" s="47"/>
      <c r="F33" s="47"/>
      <c r="G33" s="54">
        <v>2719</v>
      </c>
      <c r="H33" s="37" t="s">
        <v>21</v>
      </c>
    </row>
    <row r="34" spans="1:8" s="38" customFormat="1" ht="12.75" thickBot="1" x14ac:dyDescent="0.25">
      <c r="A34" s="106"/>
      <c r="B34" s="357" t="s">
        <v>64</v>
      </c>
      <c r="C34" s="357"/>
      <c r="D34" s="357"/>
      <c r="E34" s="52">
        <f>SUM(E31:E33)</f>
        <v>0</v>
      </c>
      <c r="F34" s="52">
        <f t="shared" ref="F34:G34" si="1">SUM(F31:F33)</f>
        <v>0</v>
      </c>
      <c r="G34" s="57">
        <f t="shared" si="1"/>
        <v>2792</v>
      </c>
      <c r="H34" s="37" t="s">
        <v>21</v>
      </c>
    </row>
    <row r="35" spans="1:8" s="38" customFormat="1" ht="12" x14ac:dyDescent="0.2">
      <c r="A35" s="50"/>
      <c r="B35" s="350" t="s">
        <v>14</v>
      </c>
      <c r="C35" s="350"/>
      <c r="D35" s="351"/>
      <c r="E35" s="49"/>
      <c r="F35" s="49"/>
      <c r="G35" s="152"/>
      <c r="H35" s="37" t="s">
        <v>21</v>
      </c>
    </row>
    <row r="36" spans="1:8" s="38" customFormat="1" ht="51" customHeight="1" x14ac:dyDescent="0.2">
      <c r="A36" s="40">
        <v>1</v>
      </c>
      <c r="B36" s="347" t="s">
        <v>273</v>
      </c>
      <c r="C36" s="348"/>
      <c r="D36" s="349"/>
      <c r="E36" s="45">
        <v>0</v>
      </c>
      <c r="F36" s="45">
        <v>0</v>
      </c>
      <c r="G36" s="54">
        <v>124</v>
      </c>
      <c r="H36" s="37" t="s">
        <v>21</v>
      </c>
    </row>
    <row r="37" spans="1:8" s="38" customFormat="1" ht="48.75" customHeight="1" x14ac:dyDescent="0.2">
      <c r="A37" s="40">
        <v>2</v>
      </c>
      <c r="B37" s="347" t="s">
        <v>274</v>
      </c>
      <c r="C37" s="348"/>
      <c r="D37" s="349"/>
      <c r="E37" s="45">
        <v>0</v>
      </c>
      <c r="F37" s="45">
        <v>0</v>
      </c>
      <c r="G37" s="54">
        <v>21</v>
      </c>
      <c r="H37" s="37" t="s">
        <v>21</v>
      </c>
    </row>
    <row r="38" spans="1:8" s="38" customFormat="1" ht="43.5" customHeight="1" x14ac:dyDescent="0.2">
      <c r="A38" s="40">
        <v>3</v>
      </c>
      <c r="B38" s="347" t="s">
        <v>65</v>
      </c>
      <c r="C38" s="348"/>
      <c r="D38" s="349"/>
      <c r="E38" s="45">
        <v>0</v>
      </c>
      <c r="F38" s="45">
        <v>0</v>
      </c>
      <c r="G38" s="54">
        <v>-692</v>
      </c>
      <c r="H38" s="37" t="s">
        <v>21</v>
      </c>
    </row>
    <row r="39" spans="1:8" s="38" customFormat="1" ht="63" customHeight="1" x14ac:dyDescent="0.2">
      <c r="A39" s="40">
        <v>4</v>
      </c>
      <c r="B39" s="347" t="s">
        <v>275</v>
      </c>
      <c r="C39" s="348"/>
      <c r="D39" s="349"/>
      <c r="E39" s="45">
        <v>0</v>
      </c>
      <c r="F39" s="45">
        <v>0</v>
      </c>
      <c r="G39" s="54">
        <v>6</v>
      </c>
      <c r="H39" s="37" t="s">
        <v>21</v>
      </c>
    </row>
    <row r="40" spans="1:8" s="38" customFormat="1" ht="123.75" customHeight="1" x14ac:dyDescent="0.2">
      <c r="A40" s="40">
        <v>5</v>
      </c>
      <c r="B40" s="347" t="s">
        <v>276</v>
      </c>
      <c r="C40" s="348"/>
      <c r="D40" s="349"/>
      <c r="E40" s="45">
        <v>0</v>
      </c>
      <c r="F40" s="45">
        <v>0</v>
      </c>
      <c r="G40" s="54">
        <v>840</v>
      </c>
      <c r="H40" s="37" t="s">
        <v>21</v>
      </c>
    </row>
    <row r="41" spans="1:8" s="38" customFormat="1" ht="62.25" customHeight="1" x14ac:dyDescent="0.2">
      <c r="A41" s="48">
        <v>6</v>
      </c>
      <c r="B41" s="347" t="s">
        <v>277</v>
      </c>
      <c r="C41" s="347"/>
      <c r="D41" s="354"/>
      <c r="E41" s="45">
        <v>0</v>
      </c>
      <c r="F41" s="45">
        <v>0</v>
      </c>
      <c r="G41" s="220">
        <v>33</v>
      </c>
      <c r="H41" s="37" t="s">
        <v>21</v>
      </c>
    </row>
    <row r="42" spans="1:8" s="38" customFormat="1" ht="12" x14ac:dyDescent="0.2">
      <c r="A42" s="41"/>
      <c r="B42" s="334" t="s">
        <v>66</v>
      </c>
      <c r="C42" s="334"/>
      <c r="D42" s="334"/>
      <c r="E42" s="46">
        <f t="shared" ref="E42:F42" si="2">SUM(E36:E40)</f>
        <v>0</v>
      </c>
      <c r="F42" s="46">
        <f t="shared" si="2"/>
        <v>0</v>
      </c>
      <c r="G42" s="55">
        <f>SUM(G36:G41)</f>
        <v>332</v>
      </c>
      <c r="H42" s="37" t="s">
        <v>21</v>
      </c>
    </row>
    <row r="43" spans="1:8" ht="15" thickBot="1" x14ac:dyDescent="0.25">
      <c r="A43" s="51"/>
      <c r="B43" s="355" t="s">
        <v>164</v>
      </c>
      <c r="C43" s="355"/>
      <c r="D43" s="356"/>
      <c r="E43" s="52">
        <f>+E42+E34+E30+E26+E17+E10</f>
        <v>0</v>
      </c>
      <c r="F43" s="52">
        <f>+F42+F34+F30+F26+F17+F10</f>
        <v>0</v>
      </c>
      <c r="G43" s="57">
        <f>+G42+G34+G30+G26+G17+G10</f>
        <v>30058</v>
      </c>
      <c r="H43" s="37" t="s">
        <v>21</v>
      </c>
    </row>
    <row r="44" spans="1:8" x14ac:dyDescent="0.2">
      <c r="H44" s="37" t="s">
        <v>22</v>
      </c>
    </row>
  </sheetData>
  <mergeCells count="40">
    <mergeCell ref="B40:D40"/>
    <mergeCell ref="B41:D41"/>
    <mergeCell ref="B42:D42"/>
    <mergeCell ref="B43:D43"/>
    <mergeCell ref="B34:D34"/>
    <mergeCell ref="B35:D35"/>
    <mergeCell ref="B36:D36"/>
    <mergeCell ref="B37:D37"/>
    <mergeCell ref="B38:D38"/>
    <mergeCell ref="B39:D39"/>
    <mergeCell ref="B33:D33"/>
    <mergeCell ref="B21:D22"/>
    <mergeCell ref="B23:D23"/>
    <mergeCell ref="B24:D24"/>
    <mergeCell ref="B25:D25"/>
    <mergeCell ref="B26:D26"/>
    <mergeCell ref="B27:D27"/>
    <mergeCell ref="B28:D28"/>
    <mergeCell ref="B29:D29"/>
    <mergeCell ref="B30:D30"/>
    <mergeCell ref="B31:D31"/>
    <mergeCell ref="B32:D32"/>
    <mergeCell ref="B19:D20"/>
    <mergeCell ref="B8:D8"/>
    <mergeCell ref="B9:D9"/>
    <mergeCell ref="B10:D10"/>
    <mergeCell ref="B11:D11"/>
    <mergeCell ref="B12:D12"/>
    <mergeCell ref="B13:D13"/>
    <mergeCell ref="B14:D14"/>
    <mergeCell ref="B15:D15"/>
    <mergeCell ref="B16:D16"/>
    <mergeCell ref="B17:D17"/>
    <mergeCell ref="B18:D18"/>
    <mergeCell ref="B7:D7"/>
    <mergeCell ref="A1:G1"/>
    <mergeCell ref="A2:G2"/>
    <mergeCell ref="A3:G3"/>
    <mergeCell ref="A4:G4"/>
    <mergeCell ref="A5:G5"/>
  </mergeCells>
  <printOptions horizontalCentered="1"/>
  <pageMargins left="0.7" right="0.7" top="0.65" bottom="0.46" header="0.3" footer="0.21"/>
  <pageSetup scale="80" fitToHeight="0" orientation="landscape" r:id="rId1"/>
  <headerFooter>
    <oddHeader>&amp;L&amp;"Arial,Bold"&amp;12E. Justification for Technical and Base Adjustments</oddHeader>
    <oddFooter>&amp;C&amp;"Arial,Regular"Exhibit E - Justification for Technical and Base Adjustments</oddFooter>
  </headerFooter>
  <rowBreaks count="2" manualBreakCount="2">
    <brk id="22" max="6" man="1"/>
    <brk id="34"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10" zoomScale="80" zoomScaleNormal="100" zoomScaleSheetLayoutView="80" workbookViewId="0">
      <selection activeCell="A54" sqref="A54"/>
    </sheetView>
  </sheetViews>
  <sheetFormatPr defaultColWidth="9.140625" defaultRowHeight="14.25" x14ac:dyDescent="0.2"/>
  <cols>
    <col min="1" max="1" width="42.28515625" style="149" customWidth="1"/>
    <col min="2" max="3" width="8.28515625" style="149" customWidth="1"/>
    <col min="4" max="4" width="12.7109375" style="149" customWidth="1"/>
    <col min="5" max="5" width="7.140625" style="149" customWidth="1"/>
    <col min="6" max="6" width="8.7109375" style="149" customWidth="1"/>
    <col min="7" max="7" width="12.7109375" style="149" customWidth="1"/>
    <col min="8" max="9" width="8.28515625" style="149" customWidth="1"/>
    <col min="10" max="12" width="12.7109375" style="149" customWidth="1"/>
    <col min="13" max="14" width="8.28515625" style="149" customWidth="1"/>
    <col min="15" max="15" width="12.7109375" style="149" customWidth="1"/>
    <col min="16" max="16" width="14" style="7" bestFit="1" customWidth="1"/>
    <col min="17" max="17" width="4.5703125" style="149" customWidth="1"/>
    <col min="18" max="19" width="8.28515625" style="149" customWidth="1"/>
    <col min="20" max="20" width="12.7109375" style="149" customWidth="1"/>
    <col min="21" max="22" width="8.28515625" style="149" customWidth="1"/>
    <col min="23" max="23" width="12.7109375" style="149" customWidth="1"/>
    <col min="24" max="16384" width="9.140625" style="149"/>
  </cols>
  <sheetData>
    <row r="1" spans="1:23" ht="18" x14ac:dyDescent="0.25">
      <c r="A1" s="301" t="s">
        <v>67</v>
      </c>
      <c r="B1" s="301"/>
      <c r="C1" s="301"/>
      <c r="D1" s="301"/>
      <c r="E1" s="301"/>
      <c r="F1" s="301"/>
      <c r="G1" s="301"/>
      <c r="H1" s="301"/>
      <c r="I1" s="301"/>
      <c r="J1" s="301"/>
      <c r="K1" s="301"/>
      <c r="L1" s="301"/>
      <c r="M1" s="301"/>
      <c r="N1" s="301"/>
      <c r="O1" s="301"/>
      <c r="P1" s="60" t="s">
        <v>21</v>
      </c>
      <c r="Q1" s="9"/>
      <c r="R1" s="9"/>
      <c r="S1" s="9"/>
      <c r="T1" s="9"/>
      <c r="U1" s="9"/>
      <c r="V1" s="9"/>
      <c r="W1" s="9"/>
    </row>
    <row r="2" spans="1:23" ht="15" x14ac:dyDescent="0.2">
      <c r="A2" s="302" t="s">
        <v>189</v>
      </c>
      <c r="B2" s="302"/>
      <c r="C2" s="302"/>
      <c r="D2" s="302"/>
      <c r="E2" s="302"/>
      <c r="F2" s="302"/>
      <c r="G2" s="302"/>
      <c r="H2" s="302"/>
      <c r="I2" s="302"/>
      <c r="J2" s="302"/>
      <c r="K2" s="302"/>
      <c r="L2" s="302"/>
      <c r="M2" s="302"/>
      <c r="N2" s="302"/>
      <c r="O2" s="302"/>
      <c r="P2" s="60" t="s">
        <v>21</v>
      </c>
      <c r="Q2" s="10"/>
      <c r="R2" s="10"/>
      <c r="S2" s="10"/>
      <c r="T2" s="10"/>
      <c r="U2" s="10"/>
      <c r="V2" s="10"/>
      <c r="W2" s="10"/>
    </row>
    <row r="3" spans="1:23" x14ac:dyDescent="0.2">
      <c r="A3" s="311" t="s">
        <v>1</v>
      </c>
      <c r="B3" s="311"/>
      <c r="C3" s="311"/>
      <c r="D3" s="311"/>
      <c r="E3" s="311"/>
      <c r="F3" s="311"/>
      <c r="G3" s="311"/>
      <c r="H3" s="311"/>
      <c r="I3" s="311"/>
      <c r="J3" s="311"/>
      <c r="K3" s="311"/>
      <c r="L3" s="311"/>
      <c r="M3" s="311"/>
      <c r="N3" s="311"/>
      <c r="O3" s="311"/>
      <c r="P3" s="60" t="s">
        <v>21</v>
      </c>
      <c r="Q3" s="172"/>
      <c r="R3" s="172"/>
      <c r="S3" s="172"/>
      <c r="T3" s="172"/>
      <c r="U3" s="172"/>
      <c r="V3" s="172"/>
      <c r="W3" s="172"/>
    </row>
    <row r="4" spans="1:23" x14ac:dyDescent="0.2">
      <c r="A4" s="304" t="s">
        <v>2</v>
      </c>
      <c r="B4" s="304"/>
      <c r="C4" s="304"/>
      <c r="D4" s="304"/>
      <c r="E4" s="304"/>
      <c r="F4" s="304"/>
      <c r="G4" s="304"/>
      <c r="H4" s="304"/>
      <c r="I4" s="304"/>
      <c r="J4" s="304"/>
      <c r="K4" s="304"/>
      <c r="L4" s="304"/>
      <c r="M4" s="304"/>
      <c r="N4" s="304"/>
      <c r="O4" s="304"/>
      <c r="P4" s="60" t="s">
        <v>21</v>
      </c>
      <c r="Q4" s="11"/>
      <c r="R4" s="11"/>
      <c r="S4" s="11"/>
      <c r="T4" s="11"/>
      <c r="U4" s="11"/>
      <c r="V4" s="11"/>
      <c r="W4" s="11"/>
    </row>
    <row r="5" spans="1:23" x14ac:dyDescent="0.2">
      <c r="A5" s="11"/>
      <c r="B5" s="11"/>
      <c r="C5" s="11"/>
      <c r="D5" s="11"/>
      <c r="E5" s="11"/>
      <c r="F5" s="11"/>
      <c r="G5" s="11"/>
      <c r="H5" s="11"/>
      <c r="I5" s="11"/>
      <c r="J5" s="11"/>
      <c r="K5" s="11"/>
      <c r="L5" s="11"/>
      <c r="M5" s="11"/>
      <c r="N5" s="11"/>
      <c r="O5" s="11"/>
      <c r="P5" s="60" t="s">
        <v>21</v>
      </c>
      <c r="Q5" s="11"/>
      <c r="R5" s="11"/>
      <c r="S5" s="11"/>
      <c r="T5" s="11"/>
      <c r="U5" s="11"/>
      <c r="V5" s="11"/>
      <c r="W5" s="11"/>
    </row>
    <row r="6" spans="1:23" ht="15" thickBot="1" x14ac:dyDescent="0.25">
      <c r="A6" s="59"/>
      <c r="B6" s="59"/>
      <c r="C6" s="59"/>
      <c r="D6" s="59"/>
      <c r="E6" s="59"/>
      <c r="F6" s="59"/>
      <c r="G6" s="59"/>
      <c r="H6" s="59"/>
      <c r="I6" s="59"/>
      <c r="J6" s="59"/>
      <c r="K6" s="59"/>
      <c r="L6" s="59"/>
      <c r="M6" s="59"/>
      <c r="N6" s="59"/>
      <c r="O6" s="59"/>
      <c r="P6" s="60" t="s">
        <v>21</v>
      </c>
      <c r="Q6" s="11"/>
      <c r="R6" s="11"/>
      <c r="S6" s="11"/>
      <c r="T6" s="11"/>
      <c r="U6" s="11"/>
      <c r="V6" s="11"/>
      <c r="W6" s="11"/>
    </row>
    <row r="7" spans="1:23" ht="33.75" customHeight="1" x14ac:dyDescent="0.2">
      <c r="A7" s="305" t="s">
        <v>160</v>
      </c>
      <c r="B7" s="308" t="s">
        <v>188</v>
      </c>
      <c r="C7" s="308"/>
      <c r="D7" s="308"/>
      <c r="E7" s="308" t="s">
        <v>156</v>
      </c>
      <c r="F7" s="358"/>
      <c r="G7" s="317"/>
      <c r="H7" s="308" t="s">
        <v>68</v>
      </c>
      <c r="I7" s="308"/>
      <c r="J7" s="308"/>
      <c r="K7" s="215" t="s">
        <v>69</v>
      </c>
      <c r="L7" s="215" t="s">
        <v>165</v>
      </c>
      <c r="M7" s="308" t="s">
        <v>73</v>
      </c>
      <c r="N7" s="308"/>
      <c r="O7" s="309"/>
      <c r="P7" s="60" t="s">
        <v>21</v>
      </c>
    </row>
    <row r="8" spans="1:23" ht="28.5" x14ac:dyDescent="0.2">
      <c r="A8" s="306"/>
      <c r="B8" s="204" t="s">
        <v>4</v>
      </c>
      <c r="C8" s="204" t="s">
        <v>154</v>
      </c>
      <c r="D8" s="204" t="s">
        <v>5</v>
      </c>
      <c r="E8" s="204" t="s">
        <v>4</v>
      </c>
      <c r="F8" s="204" t="s">
        <v>154</v>
      </c>
      <c r="G8" s="204" t="s">
        <v>5</v>
      </c>
      <c r="H8" s="204" t="s">
        <v>4</v>
      </c>
      <c r="I8" s="204" t="s">
        <v>154</v>
      </c>
      <c r="J8" s="204" t="s">
        <v>5</v>
      </c>
      <c r="K8" s="204" t="s">
        <v>5</v>
      </c>
      <c r="L8" s="204" t="s">
        <v>5</v>
      </c>
      <c r="M8" s="204" t="s">
        <v>4</v>
      </c>
      <c r="N8" s="204" t="s">
        <v>154</v>
      </c>
      <c r="O8" s="213" t="s">
        <v>5</v>
      </c>
      <c r="P8" s="60" t="s">
        <v>21</v>
      </c>
    </row>
    <row r="9" spans="1:23" x14ac:dyDescent="0.2">
      <c r="A9" s="237" t="s">
        <v>190</v>
      </c>
      <c r="B9" s="212">
        <v>2222</v>
      </c>
      <c r="C9" s="117">
        <v>2077</v>
      </c>
      <c r="D9" s="212">
        <v>454888</v>
      </c>
      <c r="E9" s="212">
        <v>0</v>
      </c>
      <c r="F9" s="212">
        <v>0</v>
      </c>
      <c r="G9" s="212">
        <v>0</v>
      </c>
      <c r="H9" s="212">
        <v>0</v>
      </c>
      <c r="I9" s="212">
        <v>0</v>
      </c>
      <c r="J9" s="212">
        <v>9637</v>
      </c>
      <c r="K9" s="212">
        <v>9525</v>
      </c>
      <c r="L9" s="212">
        <f>-1590</f>
        <v>-1590</v>
      </c>
      <c r="M9" s="212">
        <f t="shared" ref="M9:N13" si="0">B9+H9</f>
        <v>2222</v>
      </c>
      <c r="N9" s="212">
        <f t="shared" si="0"/>
        <v>2077</v>
      </c>
      <c r="O9" s="211">
        <f>D9+J9+K9+L9+G9</f>
        <v>472460</v>
      </c>
      <c r="P9" s="60" t="s">
        <v>21</v>
      </c>
    </row>
    <row r="10" spans="1:23" x14ac:dyDescent="0.2">
      <c r="A10" s="155" t="s">
        <v>191</v>
      </c>
      <c r="B10" s="160">
        <v>1744</v>
      </c>
      <c r="C10" s="28">
        <v>1630</v>
      </c>
      <c r="D10" s="160">
        <v>397254</v>
      </c>
      <c r="E10" s="160">
        <v>0</v>
      </c>
      <c r="F10" s="160">
        <v>0</v>
      </c>
      <c r="G10" s="160">
        <v>0</v>
      </c>
      <c r="H10" s="160">
        <v>0</v>
      </c>
      <c r="I10" s="160">
        <v>0</v>
      </c>
      <c r="J10" s="160">
        <f>1201+115-90</f>
        <v>1226</v>
      </c>
      <c r="K10" s="160">
        <v>1123</v>
      </c>
      <c r="L10" s="160">
        <f>23</f>
        <v>23</v>
      </c>
      <c r="M10" s="160">
        <f t="shared" si="0"/>
        <v>1744</v>
      </c>
      <c r="N10" s="160">
        <f t="shared" si="0"/>
        <v>1630</v>
      </c>
      <c r="O10" s="165">
        <f>D10+J10+K10+L10+G10</f>
        <v>399626</v>
      </c>
      <c r="P10" s="60" t="s">
        <v>21</v>
      </c>
    </row>
    <row r="11" spans="1:23" x14ac:dyDescent="0.2">
      <c r="A11" s="155" t="s">
        <v>192</v>
      </c>
      <c r="B11" s="160">
        <v>1194</v>
      </c>
      <c r="C11" s="28">
        <v>1118</v>
      </c>
      <c r="D11" s="160">
        <v>249802</v>
      </c>
      <c r="E11" s="160">
        <v>0</v>
      </c>
      <c r="F11" s="160">
        <v>0</v>
      </c>
      <c r="G11" s="160">
        <v>-2200</v>
      </c>
      <c r="H11" s="160">
        <v>0</v>
      </c>
      <c r="I11" s="160">
        <v>0</v>
      </c>
      <c r="J11" s="160">
        <v>0</v>
      </c>
      <c r="K11" s="160">
        <v>0</v>
      </c>
      <c r="L11" s="160">
        <v>0</v>
      </c>
      <c r="M11" s="160">
        <f t="shared" si="0"/>
        <v>1194</v>
      </c>
      <c r="N11" s="160">
        <f t="shared" si="0"/>
        <v>1118</v>
      </c>
      <c r="O11" s="165">
        <f>D11+J11+K11+L11+G11</f>
        <v>247602</v>
      </c>
      <c r="P11" s="60" t="s">
        <v>21</v>
      </c>
    </row>
    <row r="12" spans="1:23" x14ac:dyDescent="0.2">
      <c r="A12" s="155" t="s">
        <v>193</v>
      </c>
      <c r="B12" s="160">
        <v>207</v>
      </c>
      <c r="C12" s="158">
        <v>193</v>
      </c>
      <c r="D12" s="160">
        <v>34509</v>
      </c>
      <c r="E12" s="160">
        <v>0</v>
      </c>
      <c r="F12" s="160">
        <v>0</v>
      </c>
      <c r="G12" s="160">
        <v>0</v>
      </c>
      <c r="H12" s="160">
        <v>0</v>
      </c>
      <c r="I12" s="160">
        <v>0</v>
      </c>
      <c r="J12" s="160">
        <v>0</v>
      </c>
      <c r="K12" s="160">
        <v>0</v>
      </c>
      <c r="L12" s="160">
        <v>0</v>
      </c>
      <c r="M12" s="160">
        <f t="shared" si="0"/>
        <v>207</v>
      </c>
      <c r="N12" s="160">
        <f t="shared" si="0"/>
        <v>193</v>
      </c>
      <c r="O12" s="165">
        <f>D12+J12+K12+L12+G12</f>
        <v>34509</v>
      </c>
      <c r="P12" s="60" t="s">
        <v>21</v>
      </c>
    </row>
    <row r="13" spans="1:23" x14ac:dyDescent="0.2">
      <c r="A13" s="170" t="s">
        <v>194</v>
      </c>
      <c r="B13" s="238">
        <v>177</v>
      </c>
      <c r="C13" s="120">
        <v>163</v>
      </c>
      <c r="D13" s="238">
        <v>37547</v>
      </c>
      <c r="E13" s="238">
        <v>0</v>
      </c>
      <c r="F13" s="238">
        <v>0</v>
      </c>
      <c r="G13" s="238">
        <v>0</v>
      </c>
      <c r="H13" s="238">
        <v>0</v>
      </c>
      <c r="I13" s="238">
        <v>0</v>
      </c>
      <c r="J13" s="238">
        <v>-2517</v>
      </c>
      <c r="K13" s="238">
        <f>3300</f>
        <v>3300</v>
      </c>
      <c r="L13" s="238">
        <v>0</v>
      </c>
      <c r="M13" s="238">
        <f t="shared" si="0"/>
        <v>177</v>
      </c>
      <c r="N13" s="160">
        <f t="shared" si="0"/>
        <v>163</v>
      </c>
      <c r="O13" s="239">
        <f>D13+J13+K13+L13+G13</f>
        <v>38330</v>
      </c>
      <c r="P13" s="60" t="s">
        <v>21</v>
      </c>
    </row>
    <row r="14" spans="1:23" ht="15" x14ac:dyDescent="0.25">
      <c r="A14" s="240" t="s">
        <v>157</v>
      </c>
      <c r="B14" s="202">
        <f>SUM(B9:B13)</f>
        <v>5544</v>
      </c>
      <c r="C14" s="202">
        <f t="shared" ref="C14:O14" si="1">SUM(C9:C13)</f>
        <v>5181</v>
      </c>
      <c r="D14" s="202">
        <f t="shared" si="1"/>
        <v>1174000</v>
      </c>
      <c r="E14" s="202">
        <f>SUM(E9:E13)</f>
        <v>0</v>
      </c>
      <c r="F14" s="202">
        <f t="shared" ref="F14:G14" si="2">SUM(F9:F13)</f>
        <v>0</v>
      </c>
      <c r="G14" s="202">
        <f t="shared" si="2"/>
        <v>-2200</v>
      </c>
      <c r="H14" s="202">
        <f t="shared" si="1"/>
        <v>0</v>
      </c>
      <c r="I14" s="202">
        <f t="shared" si="1"/>
        <v>0</v>
      </c>
      <c r="J14" s="202">
        <f t="shared" si="1"/>
        <v>8346</v>
      </c>
      <c r="K14" s="202">
        <f>SUM(K9:K13)</f>
        <v>13948</v>
      </c>
      <c r="L14" s="202">
        <f>SUM(L9:L13)</f>
        <v>-1567</v>
      </c>
      <c r="M14" s="202">
        <f t="shared" si="1"/>
        <v>5544</v>
      </c>
      <c r="N14" s="202">
        <f t="shared" si="1"/>
        <v>5181</v>
      </c>
      <c r="O14" s="203">
        <f t="shared" si="1"/>
        <v>1192527</v>
      </c>
      <c r="P14" s="60" t="s">
        <v>21</v>
      </c>
    </row>
    <row r="15" spans="1:23" x14ac:dyDescent="0.2">
      <c r="A15" s="154" t="s">
        <v>27</v>
      </c>
      <c r="B15" s="187"/>
      <c r="C15" s="187">
        <v>390</v>
      </c>
      <c r="D15" s="187"/>
      <c r="E15" s="187"/>
      <c r="F15" s="187">
        <v>0</v>
      </c>
      <c r="G15" s="187"/>
      <c r="H15" s="187"/>
      <c r="I15" s="187">
        <v>0</v>
      </c>
      <c r="J15" s="187"/>
      <c r="K15" s="187"/>
      <c r="L15" s="187"/>
      <c r="M15" s="187"/>
      <c r="N15" s="187">
        <f>C15+I15+F15</f>
        <v>390</v>
      </c>
      <c r="O15" s="188"/>
      <c r="P15" s="60" t="s">
        <v>21</v>
      </c>
    </row>
    <row r="16" spans="1:23" x14ac:dyDescent="0.2">
      <c r="A16" s="155" t="s">
        <v>158</v>
      </c>
      <c r="B16" s="160"/>
      <c r="C16" s="160">
        <f>C14+C15</f>
        <v>5571</v>
      </c>
      <c r="D16" s="160"/>
      <c r="E16" s="160"/>
      <c r="F16" s="160">
        <f>F14+F15</f>
        <v>0</v>
      </c>
      <c r="G16" s="160"/>
      <c r="H16" s="160"/>
      <c r="I16" s="160">
        <f>I14+I15</f>
        <v>0</v>
      </c>
      <c r="J16" s="160"/>
      <c r="K16" s="160"/>
      <c r="L16" s="160"/>
      <c r="M16" s="160"/>
      <c r="N16" s="187">
        <f>N14+N15</f>
        <v>5571</v>
      </c>
      <c r="O16" s="165"/>
      <c r="P16" s="60" t="s">
        <v>21</v>
      </c>
    </row>
    <row r="17" spans="1:16" x14ac:dyDescent="0.2">
      <c r="A17" s="155"/>
      <c r="B17" s="160"/>
      <c r="C17" s="160"/>
      <c r="D17" s="160"/>
      <c r="E17" s="160"/>
      <c r="F17" s="160"/>
      <c r="G17" s="160"/>
      <c r="H17" s="160"/>
      <c r="I17" s="160"/>
      <c r="J17" s="160"/>
      <c r="K17" s="160"/>
      <c r="L17" s="160"/>
      <c r="M17" s="160"/>
      <c r="N17" s="160"/>
      <c r="O17" s="165"/>
      <c r="P17" s="60" t="s">
        <v>21</v>
      </c>
    </row>
    <row r="18" spans="1:16" x14ac:dyDescent="0.2">
      <c r="A18" s="155" t="s">
        <v>28</v>
      </c>
      <c r="B18" s="160"/>
      <c r="C18" s="160"/>
      <c r="D18" s="160"/>
      <c r="E18" s="160"/>
      <c r="F18" s="160"/>
      <c r="G18" s="160"/>
      <c r="H18" s="160"/>
      <c r="I18" s="160"/>
      <c r="J18" s="160"/>
      <c r="K18" s="160"/>
      <c r="L18" s="160"/>
      <c r="M18" s="160"/>
      <c r="N18" s="160"/>
      <c r="O18" s="165"/>
      <c r="P18" s="60" t="s">
        <v>21</v>
      </c>
    </row>
    <row r="19" spans="1:16" x14ac:dyDescent="0.2">
      <c r="A19" s="241" t="s">
        <v>29</v>
      </c>
      <c r="B19" s="160"/>
      <c r="C19" s="160">
        <v>639</v>
      </c>
      <c r="D19" s="160"/>
      <c r="E19" s="160"/>
      <c r="F19" s="160">
        <v>0</v>
      </c>
      <c r="G19" s="160"/>
      <c r="H19" s="160"/>
      <c r="I19" s="160">
        <v>0</v>
      </c>
      <c r="J19" s="160"/>
      <c r="K19" s="160"/>
      <c r="L19" s="160"/>
      <c r="M19" s="160"/>
      <c r="N19" s="160">
        <f>C19+I19+F19</f>
        <v>639</v>
      </c>
      <c r="O19" s="165"/>
      <c r="P19" s="60" t="s">
        <v>21</v>
      </c>
    </row>
    <row r="20" spans="1:16" x14ac:dyDescent="0.2">
      <c r="A20" s="242" t="s">
        <v>30</v>
      </c>
      <c r="B20" s="192"/>
      <c r="C20" s="192">
        <v>207</v>
      </c>
      <c r="D20" s="192"/>
      <c r="E20" s="192"/>
      <c r="F20" s="192">
        <v>0</v>
      </c>
      <c r="G20" s="192"/>
      <c r="H20" s="192"/>
      <c r="I20" s="192">
        <v>0</v>
      </c>
      <c r="J20" s="192"/>
      <c r="K20" s="192"/>
      <c r="L20" s="192"/>
      <c r="M20" s="192"/>
      <c r="N20" s="160">
        <f>C20+I20+F19</f>
        <v>207</v>
      </c>
      <c r="O20" s="184"/>
      <c r="P20" s="60" t="s">
        <v>21</v>
      </c>
    </row>
    <row r="21" spans="1:16" ht="15" thickBot="1" x14ac:dyDescent="0.25">
      <c r="A21" s="243" t="s">
        <v>159</v>
      </c>
      <c r="B21" s="244"/>
      <c r="C21" s="244">
        <f>C16+C19+C20</f>
        <v>6417</v>
      </c>
      <c r="D21" s="244"/>
      <c r="E21" s="244"/>
      <c r="F21" s="244">
        <f>F16+F19+F20</f>
        <v>0</v>
      </c>
      <c r="G21" s="244"/>
      <c r="H21" s="244"/>
      <c r="I21" s="244">
        <f>I16+I19+I20</f>
        <v>0</v>
      </c>
      <c r="J21" s="244"/>
      <c r="K21" s="244"/>
      <c r="L21" s="244"/>
      <c r="M21" s="244"/>
      <c r="N21" s="244">
        <f>SUM(N16,N19:N20)</f>
        <v>6417</v>
      </c>
      <c r="O21" s="245"/>
      <c r="P21" s="60" t="s">
        <v>21</v>
      </c>
    </row>
    <row r="22" spans="1:16" x14ac:dyDescent="0.2">
      <c r="P22" s="60" t="s">
        <v>21</v>
      </c>
    </row>
    <row r="23" spans="1:16" ht="15" x14ac:dyDescent="0.25">
      <c r="A23" s="8" t="s">
        <v>281</v>
      </c>
      <c r="P23" s="60" t="s">
        <v>21</v>
      </c>
    </row>
    <row r="24" spans="1:16" x14ac:dyDescent="0.2">
      <c r="A24" s="360" t="s">
        <v>282</v>
      </c>
      <c r="B24" s="361"/>
      <c r="C24" s="361"/>
      <c r="D24" s="361"/>
      <c r="E24" s="361"/>
      <c r="F24" s="361"/>
      <c r="G24" s="361"/>
      <c r="H24" s="361"/>
      <c r="I24" s="361"/>
      <c r="J24" s="361"/>
      <c r="K24" s="361"/>
      <c r="L24" s="361"/>
      <c r="M24" s="361"/>
      <c r="N24" s="361"/>
      <c r="O24" s="361"/>
      <c r="P24" s="60" t="s">
        <v>21</v>
      </c>
    </row>
    <row r="25" spans="1:16" ht="27.75" customHeight="1" x14ac:dyDescent="0.2">
      <c r="A25" s="361"/>
      <c r="B25" s="361"/>
      <c r="C25" s="361"/>
      <c r="D25" s="361"/>
      <c r="E25" s="361"/>
      <c r="F25" s="361"/>
      <c r="G25" s="361"/>
      <c r="H25" s="361"/>
      <c r="I25" s="361"/>
      <c r="J25" s="361"/>
      <c r="K25" s="361"/>
      <c r="L25" s="361"/>
      <c r="M25" s="361"/>
      <c r="N25" s="361"/>
      <c r="O25" s="361"/>
      <c r="P25" s="60" t="s">
        <v>21</v>
      </c>
    </row>
    <row r="26" spans="1:16" x14ac:dyDescent="0.2">
      <c r="A26" s="362"/>
      <c r="B26" s="362"/>
      <c r="C26" s="362"/>
      <c r="D26" s="362"/>
      <c r="E26" s="362"/>
      <c r="F26" s="362"/>
      <c r="G26" s="362"/>
      <c r="H26" s="362"/>
      <c r="I26" s="362"/>
      <c r="J26" s="362"/>
      <c r="K26" s="362"/>
      <c r="L26" s="362"/>
      <c r="M26" s="362"/>
      <c r="N26" s="362"/>
      <c r="O26" s="362"/>
      <c r="P26" s="60" t="s">
        <v>21</v>
      </c>
    </row>
    <row r="27" spans="1:16" ht="15" x14ac:dyDescent="0.25">
      <c r="A27" s="8" t="s">
        <v>179</v>
      </c>
      <c r="P27" s="60" t="s">
        <v>21</v>
      </c>
    </row>
    <row r="28" spans="1:16" ht="28.5" customHeight="1" x14ac:dyDescent="0.2">
      <c r="A28" s="359" t="s">
        <v>283</v>
      </c>
      <c r="B28" s="359"/>
      <c r="C28" s="359"/>
      <c r="D28" s="359"/>
      <c r="E28" s="359"/>
      <c r="F28" s="359"/>
      <c r="G28" s="359"/>
      <c r="H28" s="359"/>
      <c r="I28" s="359"/>
      <c r="J28" s="359"/>
      <c r="K28" s="359"/>
      <c r="L28" s="359"/>
      <c r="M28" s="359"/>
      <c r="N28" s="359"/>
      <c r="O28" s="359"/>
      <c r="P28" s="60" t="s">
        <v>21</v>
      </c>
    </row>
    <row r="29" spans="1:16" x14ac:dyDescent="0.2">
      <c r="A29" s="362"/>
      <c r="B29" s="362"/>
      <c r="C29" s="362"/>
      <c r="D29" s="362"/>
      <c r="E29" s="362"/>
      <c r="F29" s="362"/>
      <c r="G29" s="362"/>
      <c r="H29" s="362"/>
      <c r="I29" s="362"/>
      <c r="J29" s="362"/>
      <c r="K29" s="362"/>
      <c r="L29" s="362"/>
      <c r="M29" s="362"/>
      <c r="N29" s="362"/>
      <c r="O29" s="362"/>
      <c r="P29" s="60" t="s">
        <v>21</v>
      </c>
    </row>
    <row r="30" spans="1:16" ht="15" x14ac:dyDescent="0.25">
      <c r="A30" s="8" t="s">
        <v>180</v>
      </c>
      <c r="P30" s="60" t="s">
        <v>21</v>
      </c>
    </row>
    <row r="31" spans="1:16" ht="28.5" customHeight="1" x14ac:dyDescent="0.25">
      <c r="A31" s="360" t="s">
        <v>302</v>
      </c>
      <c r="B31" s="363"/>
      <c r="C31" s="363"/>
      <c r="D31" s="363"/>
      <c r="E31" s="363"/>
      <c r="F31" s="363"/>
      <c r="G31" s="363"/>
      <c r="H31" s="363"/>
      <c r="I31" s="363"/>
      <c r="J31" s="363"/>
      <c r="K31" s="363"/>
      <c r="L31" s="363"/>
      <c r="M31" s="363"/>
      <c r="N31" s="363"/>
      <c r="O31" s="363"/>
      <c r="P31" s="60" t="s">
        <v>21</v>
      </c>
    </row>
    <row r="32" spans="1:16" x14ac:dyDescent="0.2">
      <c r="A32" s="359"/>
      <c r="B32" s="359"/>
      <c r="C32" s="359"/>
      <c r="D32" s="359"/>
      <c r="E32" s="359"/>
      <c r="F32" s="359"/>
      <c r="G32" s="359"/>
      <c r="H32" s="359"/>
      <c r="I32" s="359"/>
      <c r="J32" s="359"/>
      <c r="K32" s="359"/>
      <c r="L32" s="359"/>
      <c r="M32" s="359"/>
      <c r="N32" s="359"/>
      <c r="O32" s="359"/>
      <c r="P32" s="60" t="s">
        <v>21</v>
      </c>
    </row>
    <row r="33" spans="1:16" ht="15" x14ac:dyDescent="0.25">
      <c r="A33" s="8" t="s">
        <v>284</v>
      </c>
      <c r="B33" s="8"/>
      <c r="C33" s="8"/>
      <c r="D33" s="8"/>
      <c r="E33" s="8"/>
      <c r="F33" s="8"/>
      <c r="G33" s="8"/>
      <c r="H33" s="8"/>
      <c r="I33" s="8"/>
      <c r="J33" s="8"/>
      <c r="K33" s="8"/>
      <c r="L33" s="8"/>
      <c r="M33" s="8"/>
      <c r="N33" s="8"/>
      <c r="O33" s="8"/>
      <c r="P33" s="60" t="s">
        <v>21</v>
      </c>
    </row>
    <row r="34" spans="1:16" x14ac:dyDescent="0.2">
      <c r="A34" s="149" t="s">
        <v>285</v>
      </c>
      <c r="P34" s="60" t="s">
        <v>21</v>
      </c>
    </row>
    <row r="35" spans="1:16" x14ac:dyDescent="0.2">
      <c r="P35" s="60" t="s">
        <v>21</v>
      </c>
    </row>
    <row r="36" spans="1:16" x14ac:dyDescent="0.2">
      <c r="P36" s="60" t="s">
        <v>21</v>
      </c>
    </row>
    <row r="37" spans="1:16" x14ac:dyDescent="0.2">
      <c r="P37" s="60" t="s">
        <v>21</v>
      </c>
    </row>
    <row r="38" spans="1:16" ht="18" x14ac:dyDescent="0.25">
      <c r="A38" s="301" t="s">
        <v>67</v>
      </c>
      <c r="B38" s="301"/>
      <c r="C38" s="301"/>
      <c r="D38" s="301"/>
      <c r="E38" s="301"/>
      <c r="F38" s="301"/>
      <c r="G38" s="301"/>
      <c r="H38" s="301"/>
      <c r="I38" s="301"/>
      <c r="J38" s="301"/>
      <c r="K38" s="301"/>
      <c r="L38" s="301"/>
      <c r="M38" s="301"/>
      <c r="N38" s="301"/>
      <c r="O38" s="301"/>
      <c r="P38" s="60" t="s">
        <v>21</v>
      </c>
    </row>
    <row r="39" spans="1:16" ht="15" x14ac:dyDescent="0.2">
      <c r="A39" s="302" t="s">
        <v>189</v>
      </c>
      <c r="B39" s="302"/>
      <c r="C39" s="302"/>
      <c r="D39" s="302"/>
      <c r="E39" s="302"/>
      <c r="F39" s="302"/>
      <c r="G39" s="302"/>
      <c r="H39" s="302"/>
      <c r="I39" s="302"/>
      <c r="J39" s="302"/>
      <c r="K39" s="302"/>
      <c r="L39" s="302"/>
      <c r="M39" s="302"/>
      <c r="N39" s="302"/>
      <c r="O39" s="302"/>
      <c r="P39" s="60" t="s">
        <v>21</v>
      </c>
    </row>
    <row r="40" spans="1:16" x14ac:dyDescent="0.2">
      <c r="A40" s="311" t="s">
        <v>225</v>
      </c>
      <c r="B40" s="311"/>
      <c r="C40" s="311"/>
      <c r="D40" s="311"/>
      <c r="E40" s="311"/>
      <c r="F40" s="311"/>
      <c r="G40" s="311"/>
      <c r="H40" s="311"/>
      <c r="I40" s="311"/>
      <c r="J40" s="311"/>
      <c r="K40" s="311"/>
      <c r="L40" s="311"/>
      <c r="M40" s="311"/>
      <c r="N40" s="311"/>
      <c r="O40" s="311"/>
      <c r="P40" s="60" t="s">
        <v>21</v>
      </c>
    </row>
    <row r="41" spans="1:16" x14ac:dyDescent="0.2">
      <c r="A41" s="304" t="s">
        <v>2</v>
      </c>
      <c r="B41" s="304"/>
      <c r="C41" s="304"/>
      <c r="D41" s="304"/>
      <c r="E41" s="304"/>
      <c r="F41" s="304"/>
      <c r="G41" s="304"/>
      <c r="H41" s="304"/>
      <c r="I41" s="304"/>
      <c r="J41" s="304"/>
      <c r="K41" s="304"/>
      <c r="L41" s="304"/>
      <c r="M41" s="304"/>
      <c r="N41" s="304"/>
      <c r="O41" s="304"/>
      <c r="P41" s="60" t="s">
        <v>21</v>
      </c>
    </row>
    <row r="42" spans="1:16" x14ac:dyDescent="0.2">
      <c r="A42" s="214"/>
      <c r="B42" s="214"/>
      <c r="C42" s="214"/>
      <c r="D42" s="214"/>
      <c r="E42" s="214"/>
      <c r="F42" s="214"/>
      <c r="G42" s="214"/>
      <c r="H42" s="214"/>
      <c r="I42" s="214"/>
      <c r="J42" s="214"/>
      <c r="K42" s="214"/>
      <c r="L42" s="214"/>
      <c r="M42" s="214"/>
      <c r="N42" s="214"/>
      <c r="O42" s="214"/>
      <c r="P42" s="60" t="s">
        <v>21</v>
      </c>
    </row>
    <row r="43" spans="1:16" ht="15" thickBot="1" x14ac:dyDescent="0.25">
      <c r="P43" s="60" t="s">
        <v>21</v>
      </c>
    </row>
    <row r="44" spans="1:16" ht="30" x14ac:dyDescent="0.2">
      <c r="A44" s="305" t="s">
        <v>160</v>
      </c>
      <c r="B44" s="308" t="s">
        <v>188</v>
      </c>
      <c r="C44" s="308"/>
      <c r="D44" s="308"/>
      <c r="E44" s="308" t="s">
        <v>156</v>
      </c>
      <c r="F44" s="358"/>
      <c r="G44" s="317"/>
      <c r="H44" s="308" t="s">
        <v>68</v>
      </c>
      <c r="I44" s="308"/>
      <c r="J44" s="308"/>
      <c r="K44" s="215" t="s">
        <v>69</v>
      </c>
      <c r="L44" s="215" t="s">
        <v>165</v>
      </c>
      <c r="M44" s="308" t="s">
        <v>73</v>
      </c>
      <c r="N44" s="308"/>
      <c r="O44" s="309"/>
      <c r="P44" s="60" t="s">
        <v>21</v>
      </c>
    </row>
    <row r="45" spans="1:16" ht="28.5" x14ac:dyDescent="0.2">
      <c r="A45" s="306"/>
      <c r="B45" s="204" t="s">
        <v>4</v>
      </c>
      <c r="C45" s="204" t="s">
        <v>154</v>
      </c>
      <c r="D45" s="204" t="s">
        <v>5</v>
      </c>
      <c r="E45" s="204" t="s">
        <v>4</v>
      </c>
      <c r="F45" s="204" t="s">
        <v>154</v>
      </c>
      <c r="G45" s="204" t="s">
        <v>5</v>
      </c>
      <c r="H45" s="204" t="s">
        <v>4</v>
      </c>
      <c r="I45" s="204" t="s">
        <v>154</v>
      </c>
      <c r="J45" s="204" t="s">
        <v>5</v>
      </c>
      <c r="K45" s="204" t="s">
        <v>5</v>
      </c>
      <c r="L45" s="204" t="s">
        <v>5</v>
      </c>
      <c r="M45" s="204" t="s">
        <v>4</v>
      </c>
      <c r="N45" s="204" t="s">
        <v>154</v>
      </c>
      <c r="O45" s="213" t="s">
        <v>5</v>
      </c>
      <c r="P45" s="60" t="s">
        <v>21</v>
      </c>
    </row>
    <row r="46" spans="1:16" x14ac:dyDescent="0.2">
      <c r="A46" s="170" t="s">
        <v>225</v>
      </c>
      <c r="B46" s="238">
        <v>0</v>
      </c>
      <c r="C46" s="238">
        <v>0</v>
      </c>
      <c r="D46" s="238">
        <v>15000</v>
      </c>
      <c r="E46" s="238">
        <v>0</v>
      </c>
      <c r="F46" s="238">
        <v>0</v>
      </c>
      <c r="G46" s="238">
        <v>0</v>
      </c>
      <c r="H46" s="238">
        <v>0</v>
      </c>
      <c r="I46" s="238">
        <v>0</v>
      </c>
      <c r="J46" s="238">
        <v>0</v>
      </c>
      <c r="K46" s="238">
        <v>2051</v>
      </c>
      <c r="L46" s="238">
        <v>862</v>
      </c>
      <c r="M46" s="238">
        <f t="shared" ref="M46:N46" si="3">B46+H46</f>
        <v>0</v>
      </c>
      <c r="N46" s="160">
        <f t="shared" si="3"/>
        <v>0</v>
      </c>
      <c r="O46" s="239">
        <f>D46+J46+K46+L46+G46</f>
        <v>17913</v>
      </c>
      <c r="P46" s="60" t="s">
        <v>21</v>
      </c>
    </row>
    <row r="47" spans="1:16" ht="15.75" thickBot="1" x14ac:dyDescent="0.3">
      <c r="A47" s="246" t="s">
        <v>26</v>
      </c>
      <c r="B47" s="196">
        <f>SUM(B42:B46)</f>
        <v>0</v>
      </c>
      <c r="C47" s="196">
        <f t="shared" ref="C47:D47" si="4">SUM(C42:C46)</f>
        <v>0</v>
      </c>
      <c r="D47" s="196">
        <f t="shared" si="4"/>
        <v>15000</v>
      </c>
      <c r="E47" s="196">
        <f>SUM(E42:E46)</f>
        <v>0</v>
      </c>
      <c r="F47" s="196">
        <f t="shared" ref="F47:J47" si="5">SUM(F42:F46)</f>
        <v>0</v>
      </c>
      <c r="G47" s="196">
        <f t="shared" si="5"/>
        <v>0</v>
      </c>
      <c r="H47" s="196">
        <f t="shared" si="5"/>
        <v>0</v>
      </c>
      <c r="I47" s="196">
        <f t="shared" si="5"/>
        <v>0</v>
      </c>
      <c r="J47" s="196">
        <f t="shared" si="5"/>
        <v>0</v>
      </c>
      <c r="K47" s="196">
        <f>SUM(K42:K46)</f>
        <v>2051</v>
      </c>
      <c r="L47" s="196">
        <f>SUM(L42:L46)</f>
        <v>862</v>
      </c>
      <c r="M47" s="196">
        <f t="shared" ref="M47:O47" si="6">SUM(M42:M46)</f>
        <v>0</v>
      </c>
      <c r="N47" s="196">
        <f t="shared" si="6"/>
        <v>0</v>
      </c>
      <c r="O47" s="190">
        <f t="shared" si="6"/>
        <v>17913</v>
      </c>
      <c r="P47" s="60" t="s">
        <v>21</v>
      </c>
    </row>
    <row r="48" spans="1:16" x14ac:dyDescent="0.2">
      <c r="P48" s="60" t="s">
        <v>21</v>
      </c>
    </row>
    <row r="49" spans="1:16" ht="15" x14ac:dyDescent="0.25">
      <c r="A49" s="8" t="s">
        <v>286</v>
      </c>
      <c r="P49" s="60" t="s">
        <v>21</v>
      </c>
    </row>
    <row r="50" spans="1:16" x14ac:dyDescent="0.2">
      <c r="A50" s="149" t="s">
        <v>287</v>
      </c>
      <c r="P50" s="60" t="s">
        <v>21</v>
      </c>
    </row>
    <row r="51" spans="1:16" x14ac:dyDescent="0.2">
      <c r="P51" s="60" t="s">
        <v>21</v>
      </c>
    </row>
    <row r="52" spans="1:16" ht="15" x14ac:dyDescent="0.25">
      <c r="A52" s="247" t="s">
        <v>288</v>
      </c>
      <c r="P52" s="60" t="s">
        <v>21</v>
      </c>
    </row>
    <row r="53" spans="1:16" x14ac:dyDescent="0.2">
      <c r="A53" s="149" t="s">
        <v>289</v>
      </c>
      <c r="P53" s="60" t="s">
        <v>21</v>
      </c>
    </row>
    <row r="54" spans="1:16" x14ac:dyDescent="0.2">
      <c r="P54" s="7" t="s">
        <v>22</v>
      </c>
    </row>
  </sheetData>
  <mergeCells count="24">
    <mergeCell ref="A32:O32"/>
    <mergeCell ref="A1:O1"/>
    <mergeCell ref="A2:O2"/>
    <mergeCell ref="A3:O3"/>
    <mergeCell ref="A4:O4"/>
    <mergeCell ref="A7:A8"/>
    <mergeCell ref="B7:D7"/>
    <mergeCell ref="E7:G7"/>
    <mergeCell ref="H7:J7"/>
    <mergeCell ref="M7:O7"/>
    <mergeCell ref="A24:O25"/>
    <mergeCell ref="A26:O26"/>
    <mergeCell ref="A28:O28"/>
    <mergeCell ref="A29:O29"/>
    <mergeCell ref="A31:O31"/>
    <mergeCell ref="A38:O38"/>
    <mergeCell ref="A39:O39"/>
    <mergeCell ref="A40:O40"/>
    <mergeCell ref="A41:O41"/>
    <mergeCell ref="A44:A45"/>
    <mergeCell ref="B44:D44"/>
    <mergeCell ref="E44:G44"/>
    <mergeCell ref="H44:J44"/>
    <mergeCell ref="M44:O44"/>
  </mergeCells>
  <printOptions horizontalCentered="1"/>
  <pageMargins left="0.7" right="0.7" top="0.64" bottom="0.61" header="0.3" footer="0.3"/>
  <pageSetup scale="58" orientation="landscape" r:id="rId1"/>
  <headerFooter>
    <oddHeader>&amp;L&amp;"Arial,Bold"&amp;12F. Crosswalk of 2012 Availability</oddHeader>
    <oddFooter>&amp;C&amp;"Arial,Regular"Exhibit F - Crosswalk of 2012 Availability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view="pageBreakPreview" topLeftCell="A13" zoomScale="80" zoomScaleNormal="100" zoomScaleSheetLayoutView="80" workbookViewId="0">
      <selection activeCell="A57" sqref="A57"/>
    </sheetView>
  </sheetViews>
  <sheetFormatPr defaultColWidth="9.140625" defaultRowHeight="14.25" x14ac:dyDescent="0.2"/>
  <cols>
    <col min="1" max="1" width="42.28515625" style="149" customWidth="1"/>
    <col min="2" max="3" width="8.28515625" style="149" customWidth="1"/>
    <col min="4" max="4" width="12.7109375" style="149" customWidth="1"/>
    <col min="5" max="6" width="8.28515625" style="149" customWidth="1"/>
    <col min="7" max="9" width="12.7109375" style="149" customWidth="1"/>
    <col min="10" max="11" width="8.28515625" style="149" customWidth="1"/>
    <col min="12" max="12" width="12.7109375" style="149" customWidth="1"/>
    <col min="13" max="13" width="14" style="7" bestFit="1" customWidth="1"/>
    <col min="14" max="14" width="4.5703125" style="149" customWidth="1"/>
    <col min="15" max="16" width="8.28515625" style="149" customWidth="1"/>
    <col min="17" max="17" width="12.7109375" style="149" customWidth="1"/>
    <col min="18" max="19" width="8.28515625" style="149" customWidth="1"/>
    <col min="20" max="20" width="12.7109375" style="149" customWidth="1"/>
    <col min="21" max="16384" width="9.140625" style="149"/>
  </cols>
  <sheetData>
    <row r="1" spans="1:20" ht="18" x14ac:dyDescent="0.25">
      <c r="A1" s="301" t="s">
        <v>70</v>
      </c>
      <c r="B1" s="301"/>
      <c r="C1" s="301"/>
      <c r="D1" s="301"/>
      <c r="E1" s="301"/>
      <c r="F1" s="301"/>
      <c r="G1" s="301"/>
      <c r="H1" s="301"/>
      <c r="I1" s="301"/>
      <c r="J1" s="301"/>
      <c r="K1" s="301"/>
      <c r="L1" s="301"/>
      <c r="M1" s="60" t="s">
        <v>21</v>
      </c>
      <c r="N1" s="9"/>
      <c r="O1" s="9"/>
      <c r="P1" s="9"/>
      <c r="Q1" s="9"/>
      <c r="R1" s="9"/>
      <c r="S1" s="9"/>
      <c r="T1" s="9"/>
    </row>
    <row r="2" spans="1:20" ht="15" x14ac:dyDescent="0.2">
      <c r="A2" s="302" t="s">
        <v>189</v>
      </c>
      <c r="B2" s="302"/>
      <c r="C2" s="302"/>
      <c r="D2" s="302"/>
      <c r="E2" s="302"/>
      <c r="F2" s="302"/>
      <c r="G2" s="302"/>
      <c r="H2" s="302"/>
      <c r="I2" s="302"/>
      <c r="J2" s="302"/>
      <c r="K2" s="302"/>
      <c r="L2" s="302"/>
      <c r="M2" s="60" t="s">
        <v>21</v>
      </c>
      <c r="N2" s="10"/>
      <c r="O2" s="10"/>
      <c r="P2" s="10"/>
      <c r="Q2" s="10"/>
      <c r="R2" s="10"/>
      <c r="S2" s="10"/>
      <c r="T2" s="10"/>
    </row>
    <row r="3" spans="1:20" x14ac:dyDescent="0.2">
      <c r="A3" s="311" t="s">
        <v>1</v>
      </c>
      <c r="B3" s="311"/>
      <c r="C3" s="311"/>
      <c r="D3" s="311"/>
      <c r="E3" s="311"/>
      <c r="F3" s="311"/>
      <c r="G3" s="311"/>
      <c r="H3" s="311"/>
      <c r="I3" s="311"/>
      <c r="J3" s="311"/>
      <c r="K3" s="311"/>
      <c r="L3" s="311"/>
      <c r="M3" s="60" t="s">
        <v>21</v>
      </c>
      <c r="N3" s="172"/>
      <c r="O3" s="172"/>
      <c r="P3" s="172"/>
      <c r="Q3" s="172"/>
      <c r="R3" s="172"/>
      <c r="S3" s="172"/>
      <c r="T3" s="172"/>
    </row>
    <row r="4" spans="1:20" x14ac:dyDescent="0.2">
      <c r="A4" s="304" t="s">
        <v>2</v>
      </c>
      <c r="B4" s="304"/>
      <c r="C4" s="304"/>
      <c r="D4" s="304"/>
      <c r="E4" s="304"/>
      <c r="F4" s="304"/>
      <c r="G4" s="304"/>
      <c r="H4" s="304"/>
      <c r="I4" s="304"/>
      <c r="J4" s="304"/>
      <c r="K4" s="304"/>
      <c r="L4" s="304"/>
      <c r="M4" s="60" t="s">
        <v>21</v>
      </c>
      <c r="N4" s="11"/>
      <c r="O4" s="11"/>
      <c r="P4" s="11"/>
      <c r="Q4" s="11"/>
      <c r="R4" s="11"/>
      <c r="S4" s="11"/>
      <c r="T4" s="11"/>
    </row>
    <row r="5" spans="1:20" x14ac:dyDescent="0.2">
      <c r="A5" s="11"/>
      <c r="B5" s="11"/>
      <c r="C5" s="11"/>
      <c r="D5" s="11"/>
      <c r="E5" s="11"/>
      <c r="F5" s="11"/>
      <c r="G5" s="11"/>
      <c r="H5" s="11"/>
      <c r="I5" s="11"/>
      <c r="J5" s="11"/>
      <c r="K5" s="11"/>
      <c r="L5" s="11"/>
      <c r="M5" s="60" t="s">
        <v>21</v>
      </c>
      <c r="N5" s="11"/>
      <c r="O5" s="11"/>
      <c r="P5" s="11"/>
      <c r="Q5" s="11"/>
      <c r="R5" s="11"/>
      <c r="S5" s="11"/>
      <c r="T5" s="11"/>
    </row>
    <row r="6" spans="1:20" ht="15" thickBot="1" x14ac:dyDescent="0.25">
      <c r="A6" s="59"/>
      <c r="B6" s="59"/>
      <c r="C6" s="59"/>
      <c r="D6" s="59"/>
      <c r="E6" s="59"/>
      <c r="F6" s="59"/>
      <c r="G6" s="59"/>
      <c r="H6" s="59"/>
      <c r="I6" s="59"/>
      <c r="J6" s="59"/>
      <c r="K6" s="59"/>
      <c r="L6" s="59"/>
      <c r="M6" s="60" t="s">
        <v>21</v>
      </c>
      <c r="N6" s="11"/>
      <c r="O6" s="11"/>
      <c r="P6" s="11"/>
      <c r="Q6" s="11"/>
      <c r="R6" s="11"/>
      <c r="S6" s="11"/>
      <c r="T6" s="11"/>
    </row>
    <row r="7" spans="1:20" ht="33.75" customHeight="1" x14ac:dyDescent="0.2">
      <c r="A7" s="305" t="s">
        <v>160</v>
      </c>
      <c r="B7" s="308" t="s">
        <v>168</v>
      </c>
      <c r="C7" s="308"/>
      <c r="D7" s="308"/>
      <c r="E7" s="308" t="s">
        <v>68</v>
      </c>
      <c r="F7" s="308"/>
      <c r="G7" s="308"/>
      <c r="H7" s="215" t="s">
        <v>69</v>
      </c>
      <c r="I7" s="215" t="s">
        <v>165</v>
      </c>
      <c r="J7" s="308" t="s">
        <v>71</v>
      </c>
      <c r="K7" s="308"/>
      <c r="L7" s="309"/>
      <c r="M7" s="60" t="s">
        <v>21</v>
      </c>
    </row>
    <row r="8" spans="1:20" ht="28.5" x14ac:dyDescent="0.2">
      <c r="A8" s="306"/>
      <c r="B8" s="204" t="s">
        <v>4</v>
      </c>
      <c r="C8" s="204" t="s">
        <v>155</v>
      </c>
      <c r="D8" s="204" t="s">
        <v>5</v>
      </c>
      <c r="E8" s="204" t="s">
        <v>4</v>
      </c>
      <c r="F8" s="204" t="s">
        <v>155</v>
      </c>
      <c r="G8" s="204" t="s">
        <v>5</v>
      </c>
      <c r="H8" s="204" t="s">
        <v>5</v>
      </c>
      <c r="I8" s="204" t="s">
        <v>5</v>
      </c>
      <c r="J8" s="204" t="s">
        <v>4</v>
      </c>
      <c r="K8" s="204" t="s">
        <v>155</v>
      </c>
      <c r="L8" s="213" t="s">
        <v>5</v>
      </c>
      <c r="M8" s="60" t="s">
        <v>21</v>
      </c>
    </row>
    <row r="9" spans="1:20" x14ac:dyDescent="0.2">
      <c r="A9" s="237" t="s">
        <v>190</v>
      </c>
      <c r="B9" s="212">
        <v>2222</v>
      </c>
      <c r="C9" s="117">
        <v>2041</v>
      </c>
      <c r="D9" s="212">
        <v>457672</v>
      </c>
      <c r="E9" s="212">
        <v>0</v>
      </c>
      <c r="F9" s="212">
        <v>0</v>
      </c>
      <c r="G9" s="212">
        <f>6500</f>
        <v>6500</v>
      </c>
      <c r="H9" s="212">
        <f>7290</f>
        <v>7290</v>
      </c>
      <c r="I9" s="212">
        <v>1500</v>
      </c>
      <c r="J9" s="212">
        <f t="shared" ref="J9:K13" si="0">B9+E9</f>
        <v>2222</v>
      </c>
      <c r="K9" s="212">
        <f t="shared" si="0"/>
        <v>2041</v>
      </c>
      <c r="L9" s="248">
        <f>D9+G9+H9+I9</f>
        <v>472962</v>
      </c>
      <c r="M9" s="60" t="s">
        <v>21</v>
      </c>
    </row>
    <row r="10" spans="1:20" x14ac:dyDescent="0.2">
      <c r="A10" s="155" t="s">
        <v>191</v>
      </c>
      <c r="B10" s="160">
        <v>1744</v>
      </c>
      <c r="C10" s="28">
        <v>1601</v>
      </c>
      <c r="D10" s="160">
        <v>399685</v>
      </c>
      <c r="E10" s="160">
        <v>0</v>
      </c>
      <c r="F10" s="160">
        <v>0</v>
      </c>
      <c r="G10" s="160">
        <f>609+128</f>
        <v>737</v>
      </c>
      <c r="H10" s="160">
        <v>1114</v>
      </c>
      <c r="I10" s="160">
        <v>0</v>
      </c>
      <c r="J10" s="160">
        <f t="shared" si="0"/>
        <v>1744</v>
      </c>
      <c r="K10" s="160">
        <f t="shared" si="0"/>
        <v>1601</v>
      </c>
      <c r="L10" s="188">
        <f>D10+G10+H10+I10</f>
        <v>401536</v>
      </c>
      <c r="M10" s="60" t="s">
        <v>21</v>
      </c>
    </row>
    <row r="11" spans="1:20" x14ac:dyDescent="0.2">
      <c r="A11" s="155" t="s">
        <v>192</v>
      </c>
      <c r="B11" s="160">
        <v>1194</v>
      </c>
      <c r="C11" s="28">
        <v>1099</v>
      </c>
      <c r="D11" s="160">
        <v>249131</v>
      </c>
      <c r="E11" s="160">
        <v>0</v>
      </c>
      <c r="F11" s="160">
        <v>0</v>
      </c>
      <c r="G11" s="160">
        <v>0</v>
      </c>
      <c r="H11" s="160">
        <v>0</v>
      </c>
      <c r="I11" s="160">
        <v>0</v>
      </c>
      <c r="J11" s="160">
        <f t="shared" si="0"/>
        <v>1194</v>
      </c>
      <c r="K11" s="160">
        <f t="shared" si="0"/>
        <v>1099</v>
      </c>
      <c r="L11" s="165">
        <f t="shared" ref="L11:L13" si="1">D11+G11+H11+I11</f>
        <v>249131</v>
      </c>
      <c r="M11" s="60" t="s">
        <v>21</v>
      </c>
    </row>
    <row r="12" spans="1:20" x14ac:dyDescent="0.2">
      <c r="A12" s="155" t="s">
        <v>193</v>
      </c>
      <c r="B12" s="160">
        <v>207</v>
      </c>
      <c r="C12" s="158">
        <v>189</v>
      </c>
      <c r="D12" s="160">
        <v>34720</v>
      </c>
      <c r="E12" s="160">
        <v>0</v>
      </c>
      <c r="F12" s="160">
        <v>0</v>
      </c>
      <c r="G12" s="160">
        <v>0</v>
      </c>
      <c r="H12" s="160">
        <v>0</v>
      </c>
      <c r="I12" s="160">
        <v>0</v>
      </c>
      <c r="J12" s="160">
        <f t="shared" si="0"/>
        <v>207</v>
      </c>
      <c r="K12" s="160">
        <f t="shared" si="0"/>
        <v>189</v>
      </c>
      <c r="L12" s="165">
        <f t="shared" si="1"/>
        <v>34720</v>
      </c>
      <c r="M12" s="60" t="s">
        <v>21</v>
      </c>
    </row>
    <row r="13" spans="1:20" x14ac:dyDescent="0.2">
      <c r="A13" s="170" t="s">
        <v>194</v>
      </c>
      <c r="B13" s="238">
        <v>177</v>
      </c>
      <c r="C13" s="120">
        <v>160</v>
      </c>
      <c r="D13" s="238">
        <v>37777</v>
      </c>
      <c r="E13" s="238">
        <v>0</v>
      </c>
      <c r="F13" s="238">
        <v>0</v>
      </c>
      <c r="G13" s="238">
        <v>-2517</v>
      </c>
      <c r="H13" s="238">
        <v>0</v>
      </c>
      <c r="I13" s="238">
        <v>0</v>
      </c>
      <c r="J13" s="238">
        <f t="shared" si="0"/>
        <v>177</v>
      </c>
      <c r="K13" s="160">
        <f t="shared" si="0"/>
        <v>160</v>
      </c>
      <c r="L13" s="239">
        <f t="shared" si="1"/>
        <v>35260</v>
      </c>
      <c r="M13" s="60" t="s">
        <v>21</v>
      </c>
    </row>
    <row r="14" spans="1:20" ht="15" x14ac:dyDescent="0.25">
      <c r="A14" s="240" t="s">
        <v>157</v>
      </c>
      <c r="B14" s="202">
        <f>SUM(B9:B13)</f>
        <v>5544</v>
      </c>
      <c r="C14" s="202">
        <f t="shared" ref="C14:L14" si="2">SUM(C9:C13)</f>
        <v>5090</v>
      </c>
      <c r="D14" s="202">
        <f t="shared" si="2"/>
        <v>1178985</v>
      </c>
      <c r="E14" s="202">
        <f t="shared" si="2"/>
        <v>0</v>
      </c>
      <c r="F14" s="202">
        <f t="shared" si="2"/>
        <v>0</v>
      </c>
      <c r="G14" s="202">
        <f t="shared" si="2"/>
        <v>4720</v>
      </c>
      <c r="H14" s="202">
        <f>SUM(H9:H13)</f>
        <v>8404</v>
      </c>
      <c r="I14" s="202">
        <f>SUM(I9:I13)</f>
        <v>1500</v>
      </c>
      <c r="J14" s="202">
        <f t="shared" si="2"/>
        <v>5544</v>
      </c>
      <c r="K14" s="202">
        <f t="shared" si="2"/>
        <v>5090</v>
      </c>
      <c r="L14" s="203">
        <f t="shared" si="2"/>
        <v>1193609</v>
      </c>
      <c r="M14" s="60" t="s">
        <v>21</v>
      </c>
    </row>
    <row r="15" spans="1:20" x14ac:dyDescent="0.2">
      <c r="A15" s="154" t="s">
        <v>27</v>
      </c>
      <c r="B15" s="187"/>
      <c r="C15" s="187">
        <v>418</v>
      </c>
      <c r="D15" s="187"/>
      <c r="E15" s="187"/>
      <c r="F15" s="187">
        <v>0</v>
      </c>
      <c r="G15" s="187"/>
      <c r="H15" s="187"/>
      <c r="I15" s="187"/>
      <c r="J15" s="187"/>
      <c r="K15" s="187">
        <f>C15+F15</f>
        <v>418</v>
      </c>
      <c r="L15" s="188"/>
      <c r="M15" s="60" t="s">
        <v>21</v>
      </c>
    </row>
    <row r="16" spans="1:20" x14ac:dyDescent="0.2">
      <c r="A16" s="155" t="s">
        <v>158</v>
      </c>
      <c r="B16" s="160"/>
      <c r="C16" s="160">
        <f>C14+C15</f>
        <v>5508</v>
      </c>
      <c r="D16" s="160"/>
      <c r="E16" s="160"/>
      <c r="F16" s="160">
        <f>F14+F15</f>
        <v>0</v>
      </c>
      <c r="G16" s="160"/>
      <c r="H16" s="160"/>
      <c r="I16" s="160"/>
      <c r="J16" s="160"/>
      <c r="K16" s="187">
        <f>K14+K15</f>
        <v>5508</v>
      </c>
      <c r="L16" s="165"/>
      <c r="M16" s="60" t="s">
        <v>21</v>
      </c>
    </row>
    <row r="17" spans="1:13" x14ac:dyDescent="0.2">
      <c r="A17" s="155"/>
      <c r="B17" s="160"/>
      <c r="C17" s="160"/>
      <c r="D17" s="160"/>
      <c r="E17" s="160"/>
      <c r="F17" s="160"/>
      <c r="G17" s="160"/>
      <c r="H17" s="160"/>
      <c r="I17" s="160"/>
      <c r="J17" s="160"/>
      <c r="K17" s="160"/>
      <c r="L17" s="165"/>
      <c r="M17" s="60" t="s">
        <v>21</v>
      </c>
    </row>
    <row r="18" spans="1:13" x14ac:dyDescent="0.2">
      <c r="A18" s="155" t="s">
        <v>28</v>
      </c>
      <c r="B18" s="160"/>
      <c r="C18" s="160"/>
      <c r="D18" s="160"/>
      <c r="E18" s="160"/>
      <c r="F18" s="160"/>
      <c r="G18" s="160"/>
      <c r="H18" s="160"/>
      <c r="I18" s="160"/>
      <c r="J18" s="160"/>
      <c r="K18" s="160"/>
      <c r="L18" s="165"/>
      <c r="M18" s="60" t="s">
        <v>21</v>
      </c>
    </row>
    <row r="19" spans="1:13" x14ac:dyDescent="0.2">
      <c r="A19" s="241" t="s">
        <v>29</v>
      </c>
      <c r="B19" s="160"/>
      <c r="C19" s="160">
        <v>639</v>
      </c>
      <c r="D19" s="160"/>
      <c r="E19" s="160"/>
      <c r="F19" s="160">
        <v>0</v>
      </c>
      <c r="G19" s="160"/>
      <c r="H19" s="160"/>
      <c r="I19" s="160"/>
      <c r="J19" s="160"/>
      <c r="K19" s="160">
        <f>C19+F19</f>
        <v>639</v>
      </c>
      <c r="L19" s="165"/>
      <c r="M19" s="60" t="s">
        <v>21</v>
      </c>
    </row>
    <row r="20" spans="1:13" x14ac:dyDescent="0.2">
      <c r="A20" s="242" t="s">
        <v>30</v>
      </c>
      <c r="B20" s="192"/>
      <c r="C20" s="192">
        <v>207</v>
      </c>
      <c r="D20" s="192"/>
      <c r="E20" s="192"/>
      <c r="F20" s="192">
        <v>0</v>
      </c>
      <c r="G20" s="192"/>
      <c r="H20" s="192"/>
      <c r="I20" s="192"/>
      <c r="J20" s="192"/>
      <c r="K20" s="160">
        <f>C20+F20</f>
        <v>207</v>
      </c>
      <c r="L20" s="184"/>
      <c r="M20" s="60" t="s">
        <v>21</v>
      </c>
    </row>
    <row r="21" spans="1:13" ht="15" thickBot="1" x14ac:dyDescent="0.25">
      <c r="A21" s="243" t="s">
        <v>159</v>
      </c>
      <c r="B21" s="244"/>
      <c r="C21" s="244">
        <f>C16+C19+C20</f>
        <v>6354</v>
      </c>
      <c r="D21" s="244"/>
      <c r="E21" s="244"/>
      <c r="F21" s="244">
        <f>F16+F19+F20</f>
        <v>0</v>
      </c>
      <c r="G21" s="244"/>
      <c r="H21" s="244"/>
      <c r="I21" s="244"/>
      <c r="J21" s="244"/>
      <c r="K21" s="244">
        <f>SUM(K16,K19:K20)</f>
        <v>6354</v>
      </c>
      <c r="L21" s="245"/>
      <c r="M21" s="60" t="s">
        <v>21</v>
      </c>
    </row>
    <row r="22" spans="1:13" x14ac:dyDescent="0.2">
      <c r="A22" s="249"/>
      <c r="B22" s="250"/>
      <c r="C22" s="250"/>
      <c r="D22" s="250"/>
      <c r="E22" s="250"/>
      <c r="F22" s="250"/>
      <c r="G22" s="250"/>
      <c r="H22" s="250"/>
      <c r="I22" s="250"/>
      <c r="J22" s="250"/>
      <c r="K22" s="250"/>
      <c r="L22" s="250"/>
      <c r="M22" s="60" t="s">
        <v>21</v>
      </c>
    </row>
    <row r="23" spans="1:13" x14ac:dyDescent="0.2">
      <c r="A23" s="251" t="s">
        <v>290</v>
      </c>
      <c r="B23" s="250"/>
      <c r="C23" s="250"/>
      <c r="D23" s="250"/>
      <c r="E23" s="250"/>
      <c r="F23" s="250"/>
      <c r="G23" s="250"/>
      <c r="H23" s="250"/>
      <c r="I23" s="250"/>
      <c r="J23" s="250"/>
      <c r="K23" s="250"/>
      <c r="L23" s="250"/>
      <c r="M23" s="60" t="s">
        <v>21</v>
      </c>
    </row>
    <row r="24" spans="1:13" x14ac:dyDescent="0.2">
      <c r="A24" s="251"/>
      <c r="B24" s="250"/>
      <c r="C24" s="250"/>
      <c r="D24" s="250"/>
      <c r="E24" s="250"/>
      <c r="F24" s="250"/>
      <c r="G24" s="250"/>
      <c r="H24" s="250"/>
      <c r="I24" s="250"/>
      <c r="J24" s="250"/>
      <c r="K24" s="250"/>
      <c r="L24" s="250"/>
      <c r="M24" s="60" t="s">
        <v>21</v>
      </c>
    </row>
    <row r="25" spans="1:13" ht="15" x14ac:dyDescent="0.25">
      <c r="A25" s="8" t="s">
        <v>281</v>
      </c>
      <c r="B25" s="250"/>
      <c r="C25" s="250"/>
      <c r="D25" s="250"/>
      <c r="E25" s="250"/>
      <c r="F25" s="250"/>
      <c r="G25" s="250"/>
      <c r="H25" s="250"/>
      <c r="I25" s="250"/>
      <c r="J25" s="250"/>
      <c r="K25" s="250"/>
      <c r="L25" s="250"/>
      <c r="M25" s="60" t="s">
        <v>21</v>
      </c>
    </row>
    <row r="26" spans="1:13" ht="15" x14ac:dyDescent="0.25">
      <c r="A26" s="360" t="s">
        <v>291</v>
      </c>
      <c r="B26" s="364"/>
      <c r="C26" s="364"/>
      <c r="D26" s="364"/>
      <c r="E26" s="364"/>
      <c r="F26" s="364"/>
      <c r="G26" s="364"/>
      <c r="H26" s="364"/>
      <c r="I26" s="364"/>
      <c r="J26" s="364"/>
      <c r="K26" s="364"/>
      <c r="L26" s="364"/>
      <c r="M26" s="60" t="s">
        <v>21</v>
      </c>
    </row>
    <row r="27" spans="1:13" ht="15" x14ac:dyDescent="0.25">
      <c r="A27" s="360" t="s">
        <v>292</v>
      </c>
      <c r="B27" s="364"/>
      <c r="C27" s="364"/>
      <c r="D27" s="364"/>
      <c r="E27" s="364"/>
      <c r="F27" s="364"/>
      <c r="G27" s="364"/>
      <c r="H27" s="364"/>
      <c r="I27" s="364"/>
      <c r="J27" s="364"/>
      <c r="K27" s="364"/>
      <c r="L27" s="364"/>
      <c r="M27" s="60" t="s">
        <v>21</v>
      </c>
    </row>
    <row r="28" spans="1:13" ht="15" x14ac:dyDescent="0.25">
      <c r="A28" s="360" t="s">
        <v>293</v>
      </c>
      <c r="B28" s="364"/>
      <c r="C28" s="364"/>
      <c r="D28" s="364"/>
      <c r="E28" s="364"/>
      <c r="F28" s="364"/>
      <c r="G28" s="364"/>
      <c r="H28" s="364"/>
      <c r="I28" s="364"/>
      <c r="J28" s="364"/>
      <c r="K28" s="364"/>
      <c r="L28" s="364"/>
      <c r="M28" s="60" t="s">
        <v>21</v>
      </c>
    </row>
    <row r="29" spans="1:13" x14ac:dyDescent="0.2">
      <c r="A29" s="359" t="s">
        <v>294</v>
      </c>
      <c r="B29" s="359"/>
      <c r="C29" s="359"/>
      <c r="D29" s="359"/>
      <c r="E29" s="359"/>
      <c r="F29" s="359"/>
      <c r="G29" s="359"/>
      <c r="H29" s="359"/>
      <c r="I29" s="359"/>
      <c r="J29" s="359"/>
      <c r="K29" s="359"/>
      <c r="L29" s="359"/>
      <c r="M29" s="60" t="s">
        <v>21</v>
      </c>
    </row>
    <row r="30" spans="1:13" x14ac:dyDescent="0.2">
      <c r="A30" s="362"/>
      <c r="B30" s="362"/>
      <c r="C30" s="362"/>
      <c r="D30" s="362"/>
      <c r="E30" s="362"/>
      <c r="F30" s="362"/>
      <c r="G30" s="362"/>
      <c r="H30" s="362"/>
      <c r="I30" s="362"/>
      <c r="J30" s="362"/>
      <c r="K30" s="362"/>
      <c r="L30" s="362"/>
      <c r="M30" s="60" t="s">
        <v>21</v>
      </c>
    </row>
    <row r="31" spans="1:13" ht="15" x14ac:dyDescent="0.25">
      <c r="A31" s="8" t="s">
        <v>179</v>
      </c>
      <c r="M31" s="60" t="s">
        <v>21</v>
      </c>
    </row>
    <row r="32" spans="1:13" ht="28.5" customHeight="1" x14ac:dyDescent="0.25">
      <c r="A32" s="360" t="s">
        <v>295</v>
      </c>
      <c r="B32" s="364"/>
      <c r="C32" s="364"/>
      <c r="D32" s="364"/>
      <c r="E32" s="364"/>
      <c r="F32" s="364"/>
      <c r="G32" s="364"/>
      <c r="H32" s="364"/>
      <c r="I32" s="364"/>
      <c r="J32" s="364"/>
      <c r="K32" s="364"/>
      <c r="L32" s="364"/>
      <c r="M32" s="60" t="s">
        <v>21</v>
      </c>
    </row>
    <row r="33" spans="1:13" x14ac:dyDescent="0.2">
      <c r="A33" s="362"/>
      <c r="B33" s="362"/>
      <c r="C33" s="362"/>
      <c r="D33" s="362"/>
      <c r="E33" s="362"/>
      <c r="F33" s="362"/>
      <c r="G33" s="362"/>
      <c r="H33" s="362"/>
      <c r="I33" s="362"/>
      <c r="J33" s="362"/>
      <c r="K33" s="362"/>
      <c r="L33" s="362"/>
      <c r="M33" s="60" t="s">
        <v>21</v>
      </c>
    </row>
    <row r="34" spans="1:13" ht="15" x14ac:dyDescent="0.25">
      <c r="A34" s="8" t="s">
        <v>180</v>
      </c>
      <c r="B34" s="252"/>
      <c r="C34" s="252"/>
      <c r="D34" s="252"/>
      <c r="E34" s="252"/>
      <c r="F34" s="252"/>
      <c r="G34" s="252"/>
      <c r="H34" s="252"/>
      <c r="I34" s="252"/>
      <c r="J34" s="252"/>
      <c r="K34" s="252"/>
      <c r="L34" s="252"/>
      <c r="M34" s="60" t="s">
        <v>21</v>
      </c>
    </row>
    <row r="35" spans="1:13" ht="28.5" customHeight="1" x14ac:dyDescent="0.25">
      <c r="A35" s="360" t="s">
        <v>296</v>
      </c>
      <c r="B35" s="364"/>
      <c r="C35" s="364"/>
      <c r="D35" s="364"/>
      <c r="E35" s="364"/>
      <c r="F35" s="364"/>
      <c r="G35" s="364"/>
      <c r="H35" s="364"/>
      <c r="I35" s="364"/>
      <c r="J35" s="364"/>
      <c r="K35" s="364"/>
      <c r="L35" s="364"/>
      <c r="M35" s="60" t="s">
        <v>21</v>
      </c>
    </row>
    <row r="36" spans="1:13" x14ac:dyDescent="0.2">
      <c r="M36" s="60" t="s">
        <v>21</v>
      </c>
    </row>
    <row r="37" spans="1:13" x14ac:dyDescent="0.2">
      <c r="A37" s="362"/>
      <c r="B37" s="362"/>
      <c r="C37" s="362"/>
      <c r="D37" s="362"/>
      <c r="E37" s="362"/>
      <c r="F37" s="362"/>
      <c r="G37" s="362"/>
      <c r="H37" s="362"/>
      <c r="I37" s="362"/>
      <c r="J37" s="362"/>
      <c r="K37" s="362"/>
      <c r="L37" s="362"/>
      <c r="M37" s="60" t="s">
        <v>21</v>
      </c>
    </row>
    <row r="38" spans="1:13" ht="18" x14ac:dyDescent="0.25">
      <c r="A38" s="301" t="s">
        <v>70</v>
      </c>
      <c r="B38" s="301"/>
      <c r="C38" s="301"/>
      <c r="D38" s="301"/>
      <c r="E38" s="301"/>
      <c r="F38" s="301"/>
      <c r="G38" s="301"/>
      <c r="H38" s="301"/>
      <c r="I38" s="301"/>
      <c r="J38" s="301"/>
      <c r="K38" s="301"/>
      <c r="L38" s="301"/>
      <c r="M38" s="60" t="s">
        <v>21</v>
      </c>
    </row>
    <row r="39" spans="1:13" ht="15" x14ac:dyDescent="0.2">
      <c r="A39" s="302" t="s">
        <v>189</v>
      </c>
      <c r="B39" s="302"/>
      <c r="C39" s="302"/>
      <c r="D39" s="302"/>
      <c r="E39" s="302"/>
      <c r="F39" s="302"/>
      <c r="G39" s="302"/>
      <c r="H39" s="302"/>
      <c r="I39" s="302"/>
      <c r="J39" s="302"/>
      <c r="K39" s="302"/>
      <c r="L39" s="302"/>
      <c r="M39" s="60" t="s">
        <v>21</v>
      </c>
    </row>
    <row r="40" spans="1:13" x14ac:dyDescent="0.2">
      <c r="A40" s="311" t="s">
        <v>225</v>
      </c>
      <c r="B40" s="311"/>
      <c r="C40" s="311"/>
      <c r="D40" s="311"/>
      <c r="E40" s="311"/>
      <c r="F40" s="311"/>
      <c r="G40" s="311"/>
      <c r="H40" s="311"/>
      <c r="I40" s="311"/>
      <c r="J40" s="311"/>
      <c r="K40" s="311"/>
      <c r="L40" s="311"/>
      <c r="M40" s="60" t="s">
        <v>21</v>
      </c>
    </row>
    <row r="41" spans="1:13" x14ac:dyDescent="0.2">
      <c r="A41" s="304" t="s">
        <v>2</v>
      </c>
      <c r="B41" s="304"/>
      <c r="C41" s="304"/>
      <c r="D41" s="304"/>
      <c r="E41" s="304"/>
      <c r="F41" s="304"/>
      <c r="G41" s="304"/>
      <c r="H41" s="304"/>
      <c r="I41" s="304"/>
      <c r="J41" s="304"/>
      <c r="K41" s="304"/>
      <c r="L41" s="304"/>
      <c r="M41" s="60" t="s">
        <v>21</v>
      </c>
    </row>
    <row r="42" spans="1:13" x14ac:dyDescent="0.2">
      <c r="A42" s="214"/>
      <c r="B42" s="214"/>
      <c r="C42" s="214"/>
      <c r="D42" s="214"/>
      <c r="E42" s="214"/>
      <c r="F42" s="214"/>
      <c r="G42" s="214"/>
      <c r="H42" s="214"/>
      <c r="I42" s="214"/>
      <c r="J42" s="214"/>
      <c r="K42" s="214"/>
      <c r="L42" s="214"/>
      <c r="M42" s="60" t="s">
        <v>21</v>
      </c>
    </row>
    <row r="43" spans="1:13" ht="15" thickBot="1" x14ac:dyDescent="0.25">
      <c r="A43" s="214"/>
      <c r="B43" s="214"/>
      <c r="C43" s="214"/>
      <c r="D43" s="214"/>
      <c r="E43" s="214"/>
      <c r="F43" s="214"/>
      <c r="G43" s="214"/>
      <c r="H43" s="214"/>
      <c r="I43" s="214"/>
      <c r="J43" s="214"/>
      <c r="K43" s="214"/>
      <c r="L43" s="214"/>
      <c r="M43" s="60" t="s">
        <v>21</v>
      </c>
    </row>
    <row r="44" spans="1:13" ht="30" x14ac:dyDescent="0.2">
      <c r="A44" s="305" t="s">
        <v>160</v>
      </c>
      <c r="B44" s="308" t="s">
        <v>168</v>
      </c>
      <c r="C44" s="308"/>
      <c r="D44" s="308"/>
      <c r="E44" s="308" t="s">
        <v>68</v>
      </c>
      <c r="F44" s="308"/>
      <c r="G44" s="308"/>
      <c r="H44" s="215" t="s">
        <v>69</v>
      </c>
      <c r="I44" s="215" t="s">
        <v>165</v>
      </c>
      <c r="J44" s="308" t="s">
        <v>71</v>
      </c>
      <c r="K44" s="308"/>
      <c r="L44" s="309"/>
      <c r="M44" s="60" t="s">
        <v>21</v>
      </c>
    </row>
    <row r="45" spans="1:13" ht="28.5" x14ac:dyDescent="0.2">
      <c r="A45" s="306"/>
      <c r="B45" s="204" t="s">
        <v>4</v>
      </c>
      <c r="C45" s="204" t="s">
        <v>155</v>
      </c>
      <c r="D45" s="204" t="s">
        <v>5</v>
      </c>
      <c r="E45" s="204" t="s">
        <v>4</v>
      </c>
      <c r="F45" s="204" t="s">
        <v>155</v>
      </c>
      <c r="G45" s="204" t="s">
        <v>5</v>
      </c>
      <c r="H45" s="204" t="s">
        <v>5</v>
      </c>
      <c r="I45" s="204" t="s">
        <v>5</v>
      </c>
      <c r="J45" s="204" t="s">
        <v>4</v>
      </c>
      <c r="K45" s="204" t="s">
        <v>155</v>
      </c>
      <c r="L45" s="213" t="s">
        <v>5</v>
      </c>
      <c r="M45" s="60" t="s">
        <v>21</v>
      </c>
    </row>
    <row r="46" spans="1:13" x14ac:dyDescent="0.2">
      <c r="A46" s="237" t="s">
        <v>225</v>
      </c>
      <c r="B46" s="212">
        <v>0</v>
      </c>
      <c r="C46" s="212">
        <v>0</v>
      </c>
      <c r="D46" s="212">
        <v>15092</v>
      </c>
      <c r="E46" s="212">
        <v>0</v>
      </c>
      <c r="F46" s="212">
        <v>0</v>
      </c>
      <c r="G46" s="212">
        <v>0</v>
      </c>
      <c r="H46" s="212">
        <v>930</v>
      </c>
      <c r="I46" s="212">
        <v>1000</v>
      </c>
      <c r="J46" s="212"/>
      <c r="K46" s="212"/>
      <c r="L46" s="211">
        <f t="shared" ref="L46" si="3">D46+G46+H46+I46</f>
        <v>17022</v>
      </c>
      <c r="M46" s="60" t="s">
        <v>21</v>
      </c>
    </row>
    <row r="47" spans="1:13" ht="15.75" thickBot="1" x14ac:dyDescent="0.3">
      <c r="A47" s="246" t="s">
        <v>26</v>
      </c>
      <c r="B47" s="196">
        <f>SUM(B46)</f>
        <v>0</v>
      </c>
      <c r="C47" s="196">
        <f t="shared" ref="C47:L47" si="4">SUM(C46)</f>
        <v>0</v>
      </c>
      <c r="D47" s="196">
        <f t="shared" si="4"/>
        <v>15092</v>
      </c>
      <c r="E47" s="196">
        <f t="shared" si="4"/>
        <v>0</v>
      </c>
      <c r="F47" s="196">
        <f t="shared" si="4"/>
        <v>0</v>
      </c>
      <c r="G47" s="196">
        <f t="shared" si="4"/>
        <v>0</v>
      </c>
      <c r="H47" s="196">
        <f t="shared" si="4"/>
        <v>930</v>
      </c>
      <c r="I47" s="196">
        <f t="shared" si="4"/>
        <v>1000</v>
      </c>
      <c r="J47" s="196">
        <f t="shared" si="4"/>
        <v>0</v>
      </c>
      <c r="K47" s="196">
        <f t="shared" si="4"/>
        <v>0</v>
      </c>
      <c r="L47" s="190">
        <f t="shared" si="4"/>
        <v>17022</v>
      </c>
      <c r="M47" s="60" t="s">
        <v>21</v>
      </c>
    </row>
    <row r="48" spans="1:13" x14ac:dyDescent="0.2">
      <c r="M48" s="60" t="s">
        <v>21</v>
      </c>
    </row>
    <row r="49" spans="1:13" x14ac:dyDescent="0.2">
      <c r="A49" s="251" t="s">
        <v>290</v>
      </c>
      <c r="M49" s="60" t="s">
        <v>21</v>
      </c>
    </row>
    <row r="50" spans="1:13" x14ac:dyDescent="0.2">
      <c r="A50" s="251"/>
      <c r="M50" s="60" t="s">
        <v>21</v>
      </c>
    </row>
    <row r="51" spans="1:13" ht="15" x14ac:dyDescent="0.25">
      <c r="A51" s="8" t="s">
        <v>286</v>
      </c>
      <c r="M51" s="60" t="s">
        <v>21</v>
      </c>
    </row>
    <row r="52" spans="1:13" x14ac:dyDescent="0.2">
      <c r="A52" s="359" t="s">
        <v>297</v>
      </c>
      <c r="B52" s="359"/>
      <c r="C52" s="359"/>
      <c r="D52" s="359"/>
      <c r="E52" s="359"/>
      <c r="F52" s="359"/>
      <c r="G52" s="359"/>
      <c r="H52" s="359"/>
      <c r="I52" s="359"/>
      <c r="J52" s="359"/>
      <c r="K52" s="359"/>
      <c r="L52" s="359"/>
      <c r="M52" s="60" t="s">
        <v>21</v>
      </c>
    </row>
    <row r="53" spans="1:13" x14ac:dyDescent="0.2">
      <c r="A53" s="362"/>
      <c r="B53" s="362"/>
      <c r="C53" s="362"/>
      <c r="D53" s="362"/>
      <c r="E53" s="362"/>
      <c r="F53" s="362"/>
      <c r="G53" s="362"/>
      <c r="H53" s="362"/>
      <c r="I53" s="362"/>
      <c r="J53" s="362"/>
      <c r="K53" s="362"/>
      <c r="L53" s="362"/>
      <c r="M53" s="60" t="s">
        <v>21</v>
      </c>
    </row>
    <row r="54" spans="1:13" ht="15" x14ac:dyDescent="0.25">
      <c r="A54" s="247" t="s">
        <v>288</v>
      </c>
      <c r="B54" s="252"/>
      <c r="C54" s="252"/>
      <c r="D54" s="252"/>
      <c r="E54" s="252"/>
      <c r="F54" s="252"/>
      <c r="G54" s="252"/>
      <c r="H54" s="252"/>
      <c r="I54" s="252"/>
      <c r="J54" s="252"/>
      <c r="K54" s="252"/>
      <c r="L54" s="252"/>
      <c r="M54" s="60" t="s">
        <v>21</v>
      </c>
    </row>
    <row r="55" spans="1:13" x14ac:dyDescent="0.2">
      <c r="A55" s="149" t="s">
        <v>298</v>
      </c>
      <c r="M55" s="60" t="s">
        <v>21</v>
      </c>
    </row>
    <row r="56" spans="1:13" x14ac:dyDescent="0.2">
      <c r="A56" s="149" t="s">
        <v>299</v>
      </c>
      <c r="M56" s="60" t="s">
        <v>21</v>
      </c>
    </row>
    <row r="57" spans="1:13" x14ac:dyDescent="0.2">
      <c r="M57" s="7" t="s">
        <v>22</v>
      </c>
    </row>
  </sheetData>
  <mergeCells count="27">
    <mergeCell ref="A1:L1"/>
    <mergeCell ref="A2:L2"/>
    <mergeCell ref="A3:L3"/>
    <mergeCell ref="A4:L4"/>
    <mergeCell ref="A7:A8"/>
    <mergeCell ref="B7:D7"/>
    <mergeCell ref="E7:G7"/>
    <mergeCell ref="J7:L7"/>
    <mergeCell ref="A40:L40"/>
    <mergeCell ref="A26:L26"/>
    <mergeCell ref="A27:L27"/>
    <mergeCell ref="A28:L28"/>
    <mergeCell ref="A29:L29"/>
    <mergeCell ref="A30:L30"/>
    <mergeCell ref="A32:L32"/>
    <mergeCell ref="A33:L33"/>
    <mergeCell ref="A35:L35"/>
    <mergeCell ref="A37:L37"/>
    <mergeCell ref="A38:L38"/>
    <mergeCell ref="A39:L39"/>
    <mergeCell ref="A53:L53"/>
    <mergeCell ref="A41:L41"/>
    <mergeCell ref="A44:A45"/>
    <mergeCell ref="B44:D44"/>
    <mergeCell ref="E44:G44"/>
    <mergeCell ref="J44:L44"/>
    <mergeCell ref="A52:L52"/>
  </mergeCells>
  <printOptions horizontalCentered="1"/>
  <pageMargins left="0.7" right="0.7" top="0.64" bottom="0.61" header="0.3" footer="0.3"/>
  <pageSetup scale="57" orientation="landscape" r:id="rId1"/>
  <headerFooter>
    <oddHeader>&amp;L&amp;"Arial,Bold"&amp;12G. Crosswalk of 2013 Availability</oddHeader>
    <oddFooter>&amp;C&amp;"Arial,Regular"Exhibit G - Crosswalk of 2013 Availability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80" zoomScaleNormal="100" zoomScaleSheetLayoutView="80" workbookViewId="0">
      <selection activeCell="A28" sqref="A28:M28"/>
    </sheetView>
  </sheetViews>
  <sheetFormatPr defaultColWidth="9.140625" defaultRowHeight="14.25" x14ac:dyDescent="0.2"/>
  <cols>
    <col min="1" max="1" width="64.28515625" style="12" bestFit="1" customWidth="1"/>
    <col min="2" max="3" width="8.28515625" style="12" customWidth="1"/>
    <col min="4" max="4" width="12.7109375" style="12" customWidth="1"/>
    <col min="5" max="6" width="8.28515625" style="12" customWidth="1"/>
    <col min="7" max="7" width="12.7109375" style="12" customWidth="1"/>
    <col min="8" max="9" width="8.28515625" style="12" customWidth="1"/>
    <col min="10" max="10" width="12.7109375" style="12" customWidth="1"/>
    <col min="11" max="12" width="8.28515625" style="12" customWidth="1"/>
    <col min="13" max="13" width="12.7109375" style="12" customWidth="1"/>
    <col min="14" max="14" width="14" style="7" bestFit="1" customWidth="1"/>
    <col min="15" max="15" width="4.5703125" style="12" customWidth="1"/>
    <col min="16" max="17" width="8.28515625" style="12" customWidth="1"/>
    <col min="18" max="18" width="12.7109375" style="12" customWidth="1"/>
    <col min="19" max="20" width="8.28515625" style="12" customWidth="1"/>
    <col min="21" max="21" width="12.7109375" style="12" customWidth="1"/>
    <col min="22" max="16384" width="9.140625" style="12"/>
  </cols>
  <sheetData>
    <row r="1" spans="1:21" ht="18" x14ac:dyDescent="0.25">
      <c r="A1" s="301" t="s">
        <v>72</v>
      </c>
      <c r="B1" s="301"/>
      <c r="C1" s="301"/>
      <c r="D1" s="301"/>
      <c r="E1" s="301"/>
      <c r="F1" s="301"/>
      <c r="G1" s="301"/>
      <c r="H1" s="301"/>
      <c r="I1" s="301"/>
      <c r="J1" s="301"/>
      <c r="K1" s="301"/>
      <c r="L1" s="301"/>
      <c r="M1" s="301"/>
      <c r="N1" s="60" t="s">
        <v>21</v>
      </c>
      <c r="O1" s="9"/>
      <c r="P1" s="9"/>
      <c r="Q1" s="9"/>
      <c r="R1" s="9"/>
      <c r="S1" s="9"/>
      <c r="T1" s="9"/>
      <c r="U1" s="9"/>
    </row>
    <row r="2" spans="1:21" ht="15" x14ac:dyDescent="0.2">
      <c r="A2" s="302" t="s">
        <v>189</v>
      </c>
      <c r="B2" s="302"/>
      <c r="C2" s="302"/>
      <c r="D2" s="302"/>
      <c r="E2" s="302"/>
      <c r="F2" s="302"/>
      <c r="G2" s="302"/>
      <c r="H2" s="302"/>
      <c r="I2" s="302"/>
      <c r="J2" s="302"/>
      <c r="K2" s="302"/>
      <c r="L2" s="302"/>
      <c r="M2" s="302"/>
      <c r="N2" s="60" t="s">
        <v>21</v>
      </c>
      <c r="O2" s="10"/>
      <c r="P2" s="10"/>
      <c r="Q2" s="10"/>
      <c r="R2" s="10"/>
      <c r="S2" s="10"/>
      <c r="T2" s="10"/>
      <c r="U2" s="10"/>
    </row>
    <row r="3" spans="1:21" x14ac:dyDescent="0.2">
      <c r="A3" s="307" t="s">
        <v>1</v>
      </c>
      <c r="B3" s="307"/>
      <c r="C3" s="307"/>
      <c r="D3" s="307"/>
      <c r="E3" s="307"/>
      <c r="F3" s="307"/>
      <c r="G3" s="307"/>
      <c r="H3" s="307"/>
      <c r="I3" s="307"/>
      <c r="J3" s="307"/>
      <c r="K3" s="307"/>
      <c r="L3" s="307"/>
      <c r="M3" s="307"/>
      <c r="N3" s="60" t="s">
        <v>21</v>
      </c>
      <c r="O3" s="13"/>
      <c r="P3" s="13"/>
      <c r="Q3" s="13"/>
      <c r="R3" s="13"/>
      <c r="S3" s="13"/>
      <c r="T3" s="13"/>
      <c r="U3" s="13"/>
    </row>
    <row r="4" spans="1:21" x14ac:dyDescent="0.2">
      <c r="A4" s="304" t="s">
        <v>2</v>
      </c>
      <c r="B4" s="304"/>
      <c r="C4" s="304"/>
      <c r="D4" s="304"/>
      <c r="E4" s="304"/>
      <c r="F4" s="304"/>
      <c r="G4" s="304"/>
      <c r="H4" s="304"/>
      <c r="I4" s="304"/>
      <c r="J4" s="304"/>
      <c r="K4" s="304"/>
      <c r="L4" s="304"/>
      <c r="M4" s="304"/>
      <c r="N4" s="60" t="s">
        <v>21</v>
      </c>
      <c r="O4" s="11"/>
      <c r="P4" s="11"/>
      <c r="Q4" s="11"/>
      <c r="R4" s="11"/>
      <c r="S4" s="11"/>
      <c r="T4" s="11"/>
      <c r="U4" s="11"/>
    </row>
    <row r="5" spans="1:21" x14ac:dyDescent="0.2">
      <c r="A5" s="304"/>
      <c r="B5" s="304"/>
      <c r="C5" s="304"/>
      <c r="D5" s="304"/>
      <c r="E5" s="304"/>
      <c r="F5" s="304"/>
      <c r="G5" s="304"/>
      <c r="H5" s="304"/>
      <c r="I5" s="304"/>
      <c r="J5" s="304"/>
      <c r="K5" s="304"/>
      <c r="L5" s="304"/>
      <c r="M5" s="304"/>
      <c r="N5" s="60" t="s">
        <v>21</v>
      </c>
      <c r="O5" s="11"/>
      <c r="P5" s="11"/>
      <c r="Q5" s="11"/>
      <c r="R5" s="11"/>
      <c r="S5" s="11"/>
      <c r="T5" s="11"/>
      <c r="U5" s="11"/>
    </row>
    <row r="6" spans="1:21" ht="15" thickBot="1" x14ac:dyDescent="0.25">
      <c r="A6" s="304"/>
      <c r="B6" s="304"/>
      <c r="C6" s="304"/>
      <c r="D6" s="304"/>
      <c r="E6" s="304"/>
      <c r="F6" s="304"/>
      <c r="G6" s="304"/>
      <c r="H6" s="304"/>
      <c r="I6" s="304"/>
      <c r="J6" s="304"/>
      <c r="K6" s="304"/>
      <c r="L6" s="304"/>
      <c r="M6" s="304"/>
      <c r="N6" s="60" t="s">
        <v>21</v>
      </c>
      <c r="O6" s="11"/>
      <c r="P6" s="11"/>
      <c r="Q6" s="11"/>
      <c r="R6" s="11"/>
      <c r="S6" s="11"/>
      <c r="T6" s="11"/>
      <c r="U6" s="11"/>
    </row>
    <row r="7" spans="1:21" ht="15" x14ac:dyDescent="0.2">
      <c r="A7" s="305" t="s">
        <v>185</v>
      </c>
      <c r="B7" s="308" t="s">
        <v>210</v>
      </c>
      <c r="C7" s="308"/>
      <c r="D7" s="308"/>
      <c r="E7" s="308" t="s">
        <v>212</v>
      </c>
      <c r="F7" s="308"/>
      <c r="G7" s="308"/>
      <c r="H7" s="308" t="s">
        <v>257</v>
      </c>
      <c r="I7" s="308"/>
      <c r="J7" s="308"/>
      <c r="K7" s="308" t="s">
        <v>74</v>
      </c>
      <c r="L7" s="308"/>
      <c r="M7" s="309"/>
      <c r="N7" s="60" t="s">
        <v>21</v>
      </c>
    </row>
    <row r="8" spans="1:21" ht="28.5" x14ac:dyDescent="0.2">
      <c r="A8" s="306"/>
      <c r="B8" s="14" t="s">
        <v>75</v>
      </c>
      <c r="C8" s="22" t="s">
        <v>76</v>
      </c>
      <c r="D8" s="14" t="s">
        <v>5</v>
      </c>
      <c r="E8" s="14" t="s">
        <v>75</v>
      </c>
      <c r="F8" s="14" t="s">
        <v>76</v>
      </c>
      <c r="G8" s="14" t="s">
        <v>5</v>
      </c>
      <c r="H8" s="14" t="s">
        <v>75</v>
      </c>
      <c r="I8" s="14" t="s">
        <v>76</v>
      </c>
      <c r="J8" s="14" t="s">
        <v>5</v>
      </c>
      <c r="K8" s="14" t="s">
        <v>75</v>
      </c>
      <c r="L8" s="14" t="s">
        <v>76</v>
      </c>
      <c r="M8" s="15" t="s">
        <v>5</v>
      </c>
      <c r="N8" s="60" t="s">
        <v>21</v>
      </c>
    </row>
    <row r="9" spans="1:21" x14ac:dyDescent="0.2">
      <c r="A9" s="153" t="s">
        <v>195</v>
      </c>
      <c r="B9" s="117">
        <v>76</v>
      </c>
      <c r="C9" s="117">
        <v>55</v>
      </c>
      <c r="D9" s="161">
        <v>486</v>
      </c>
      <c r="E9" s="117">
        <v>76</v>
      </c>
      <c r="F9" s="117">
        <v>70</v>
      </c>
      <c r="G9" s="117">
        <v>486</v>
      </c>
      <c r="H9" s="117">
        <v>72</v>
      </c>
      <c r="I9" s="117">
        <v>72</v>
      </c>
      <c r="J9" s="117">
        <v>486</v>
      </c>
      <c r="K9" s="156">
        <f>H9-E9</f>
        <v>-4</v>
      </c>
      <c r="L9" s="156">
        <f t="shared" ref="L9:M24" si="0">I9-F9</f>
        <v>2</v>
      </c>
      <c r="M9" s="157">
        <f t="shared" si="0"/>
        <v>0</v>
      </c>
      <c r="N9" s="60" t="s">
        <v>21</v>
      </c>
    </row>
    <row r="10" spans="1:21" x14ac:dyDescent="0.2">
      <c r="A10" s="154" t="s">
        <v>196</v>
      </c>
      <c r="B10" s="129">
        <v>244</v>
      </c>
      <c r="C10" s="129">
        <v>244</v>
      </c>
      <c r="D10" s="129">
        <v>0</v>
      </c>
      <c r="E10" s="129">
        <v>244</v>
      </c>
      <c r="F10" s="129">
        <v>244</v>
      </c>
      <c r="G10" s="129">
        <v>0</v>
      </c>
      <c r="H10" s="129">
        <v>254</v>
      </c>
      <c r="I10" s="129">
        <v>249</v>
      </c>
      <c r="J10" s="129">
        <v>0</v>
      </c>
      <c r="K10" s="158">
        <f>H10-E10</f>
        <v>10</v>
      </c>
      <c r="L10" s="158">
        <f t="shared" si="0"/>
        <v>5</v>
      </c>
      <c r="M10" s="159">
        <f t="shared" si="0"/>
        <v>0</v>
      </c>
      <c r="N10" s="60" t="s">
        <v>21</v>
      </c>
    </row>
    <row r="11" spans="1:21" x14ac:dyDescent="0.2">
      <c r="A11" s="155" t="s">
        <v>197</v>
      </c>
      <c r="B11" s="28">
        <v>34</v>
      </c>
      <c r="C11" s="28">
        <v>34</v>
      </c>
      <c r="D11" s="28">
        <v>9029</v>
      </c>
      <c r="E11" s="28">
        <v>34</v>
      </c>
      <c r="F11" s="28">
        <v>34</v>
      </c>
      <c r="G11" s="28">
        <v>9029</v>
      </c>
      <c r="H11" s="28">
        <v>36</v>
      </c>
      <c r="I11" s="28">
        <v>36</v>
      </c>
      <c r="J11" s="28">
        <v>9029</v>
      </c>
      <c r="K11" s="158">
        <f t="shared" ref="K11" si="1">H11-E11</f>
        <v>2</v>
      </c>
      <c r="L11" s="158">
        <f t="shared" ref="L11" si="2">I11-F11</f>
        <v>2</v>
      </c>
      <c r="M11" s="159">
        <f t="shared" ref="M11" si="3">J11-G11</f>
        <v>0</v>
      </c>
      <c r="N11" s="60" t="s">
        <v>21</v>
      </c>
    </row>
    <row r="12" spans="1:21" x14ac:dyDescent="0.2">
      <c r="A12" s="155" t="s">
        <v>198</v>
      </c>
      <c r="B12" s="28">
        <v>9</v>
      </c>
      <c r="C12" s="28">
        <v>2</v>
      </c>
      <c r="D12" s="28">
        <v>3187</v>
      </c>
      <c r="E12" s="28">
        <v>9</v>
      </c>
      <c r="F12" s="28">
        <v>9</v>
      </c>
      <c r="G12" s="28">
        <v>3187</v>
      </c>
      <c r="H12" s="28">
        <v>9</v>
      </c>
      <c r="I12" s="28">
        <v>9</v>
      </c>
      <c r="J12" s="28">
        <v>3187</v>
      </c>
      <c r="K12" s="158">
        <f>H12-E12</f>
        <v>0</v>
      </c>
      <c r="L12" s="158">
        <f t="shared" si="0"/>
        <v>0</v>
      </c>
      <c r="M12" s="159">
        <f t="shared" si="0"/>
        <v>0</v>
      </c>
      <c r="N12" s="60" t="s">
        <v>21</v>
      </c>
    </row>
    <row r="13" spans="1:21" x14ac:dyDescent="0.2">
      <c r="A13" s="155" t="s">
        <v>199</v>
      </c>
      <c r="B13" s="28">
        <v>0</v>
      </c>
      <c r="C13" s="28">
        <v>0</v>
      </c>
      <c r="D13" s="160">
        <f>8000+500</f>
        <v>8500</v>
      </c>
      <c r="E13" s="28">
        <v>0</v>
      </c>
      <c r="F13" s="28">
        <v>0</v>
      </c>
      <c r="G13" s="28">
        <f>8000+500</f>
        <v>8500</v>
      </c>
      <c r="H13" s="28">
        <v>0</v>
      </c>
      <c r="I13" s="28">
        <v>0</v>
      </c>
      <c r="J13" s="28">
        <f>8000+500</f>
        <v>8500</v>
      </c>
      <c r="K13" s="158">
        <f t="shared" ref="K13:K24" si="4">H13-E13</f>
        <v>0</v>
      </c>
      <c r="L13" s="158">
        <f t="shared" si="0"/>
        <v>0</v>
      </c>
      <c r="M13" s="159">
        <f t="shared" si="0"/>
        <v>0</v>
      </c>
      <c r="N13" s="60" t="s">
        <v>21</v>
      </c>
    </row>
    <row r="14" spans="1:21" x14ac:dyDescent="0.2">
      <c r="A14" s="155" t="s">
        <v>200</v>
      </c>
      <c r="B14" s="28">
        <v>0</v>
      </c>
      <c r="C14" s="28">
        <v>0</v>
      </c>
      <c r="D14" s="160">
        <f>6650+2</f>
        <v>6652</v>
      </c>
      <c r="E14" s="28">
        <v>0</v>
      </c>
      <c r="F14" s="28">
        <v>0</v>
      </c>
      <c r="G14" s="28">
        <f>6400+2</f>
        <v>6402</v>
      </c>
      <c r="H14" s="28">
        <v>0</v>
      </c>
      <c r="I14" s="28">
        <v>0</v>
      </c>
      <c r="J14" s="28">
        <f>6400+2</f>
        <v>6402</v>
      </c>
      <c r="K14" s="158">
        <f t="shared" si="4"/>
        <v>0</v>
      </c>
      <c r="L14" s="158">
        <f t="shared" si="0"/>
        <v>0</v>
      </c>
      <c r="M14" s="159">
        <f t="shared" si="0"/>
        <v>0</v>
      </c>
      <c r="N14" s="60" t="s">
        <v>21</v>
      </c>
    </row>
    <row r="15" spans="1:21" x14ac:dyDescent="0.2">
      <c r="A15" s="155" t="s">
        <v>201</v>
      </c>
      <c r="B15" s="28">
        <v>0</v>
      </c>
      <c r="C15" s="28">
        <v>1</v>
      </c>
      <c r="D15" s="28">
        <v>19520</v>
      </c>
      <c r="E15" s="28">
        <v>0</v>
      </c>
      <c r="F15" s="28">
        <v>0</v>
      </c>
      <c r="G15" s="28">
        <v>19486</v>
      </c>
      <c r="H15" s="28">
        <v>1</v>
      </c>
      <c r="I15" s="28">
        <v>1</v>
      </c>
      <c r="J15" s="28">
        <v>19486</v>
      </c>
      <c r="K15" s="158">
        <f t="shared" si="4"/>
        <v>1</v>
      </c>
      <c r="L15" s="158">
        <f t="shared" si="0"/>
        <v>1</v>
      </c>
      <c r="M15" s="159">
        <f t="shared" si="0"/>
        <v>0</v>
      </c>
      <c r="N15" s="60" t="s">
        <v>21</v>
      </c>
    </row>
    <row r="16" spans="1:21" x14ac:dyDescent="0.2">
      <c r="A16" s="155" t="s">
        <v>202</v>
      </c>
      <c r="B16" s="28">
        <v>0</v>
      </c>
      <c r="C16" s="28">
        <v>0</v>
      </c>
      <c r="D16" s="28">
        <f>575+3314</f>
        <v>3889</v>
      </c>
      <c r="E16" s="28">
        <v>0</v>
      </c>
      <c r="F16" s="28">
        <v>0</v>
      </c>
      <c r="G16" s="28">
        <f>425+3314</f>
        <v>3739</v>
      </c>
      <c r="H16" s="28">
        <v>0</v>
      </c>
      <c r="I16" s="28">
        <v>0</v>
      </c>
      <c r="J16" s="28">
        <f>425+3314</f>
        <v>3739</v>
      </c>
      <c r="K16" s="158">
        <f t="shared" si="4"/>
        <v>0</v>
      </c>
      <c r="L16" s="158">
        <f t="shared" si="0"/>
        <v>0</v>
      </c>
      <c r="M16" s="159">
        <f t="shared" si="0"/>
        <v>0</v>
      </c>
      <c r="N16" s="60" t="s">
        <v>21</v>
      </c>
    </row>
    <row r="17" spans="1:14" x14ac:dyDescent="0.2">
      <c r="A17" s="155" t="s">
        <v>203</v>
      </c>
      <c r="B17" s="28">
        <v>0</v>
      </c>
      <c r="C17" s="28">
        <v>0</v>
      </c>
      <c r="D17" s="28">
        <v>2354</v>
      </c>
      <c r="E17" s="28">
        <v>0</v>
      </c>
      <c r="F17" s="28">
        <v>0</v>
      </c>
      <c r="G17" s="28">
        <v>2354</v>
      </c>
      <c r="H17" s="28">
        <v>0</v>
      </c>
      <c r="I17" s="28">
        <v>0</v>
      </c>
      <c r="J17" s="28">
        <v>2354</v>
      </c>
      <c r="K17" s="158">
        <f t="shared" si="4"/>
        <v>0</v>
      </c>
      <c r="L17" s="158">
        <f t="shared" si="0"/>
        <v>0</v>
      </c>
      <c r="M17" s="159">
        <f t="shared" si="0"/>
        <v>0</v>
      </c>
      <c r="N17" s="60" t="s">
        <v>21</v>
      </c>
    </row>
    <row r="18" spans="1:14" x14ac:dyDescent="0.2">
      <c r="A18" s="155" t="s">
        <v>204</v>
      </c>
      <c r="B18" s="28">
        <v>0</v>
      </c>
      <c r="C18" s="28">
        <v>0</v>
      </c>
      <c r="D18" s="28">
        <v>15</v>
      </c>
      <c r="E18" s="28">
        <v>0</v>
      </c>
      <c r="F18" s="28">
        <v>0</v>
      </c>
      <c r="G18" s="28">
        <v>20</v>
      </c>
      <c r="H18" s="28">
        <v>0</v>
      </c>
      <c r="I18" s="28">
        <v>0</v>
      </c>
      <c r="J18" s="28">
        <v>20</v>
      </c>
      <c r="K18" s="158">
        <f t="shared" si="4"/>
        <v>0</v>
      </c>
      <c r="L18" s="158">
        <f t="shared" si="0"/>
        <v>0</v>
      </c>
      <c r="M18" s="159">
        <f t="shared" si="0"/>
        <v>0</v>
      </c>
      <c r="N18" s="60" t="s">
        <v>21</v>
      </c>
    </row>
    <row r="19" spans="1:14" x14ac:dyDescent="0.2">
      <c r="A19" s="155" t="s">
        <v>256</v>
      </c>
      <c r="B19" s="28">
        <v>0</v>
      </c>
      <c r="C19" s="28">
        <v>0</v>
      </c>
      <c r="D19" s="28">
        <f>1503890+100+5122</f>
        <v>1509112</v>
      </c>
      <c r="E19" s="28">
        <v>0</v>
      </c>
      <c r="F19" s="28">
        <v>0</v>
      </c>
      <c r="G19" s="28">
        <f>1503890+100+5150</f>
        <v>1509140</v>
      </c>
      <c r="H19" s="28">
        <v>0</v>
      </c>
      <c r="I19" s="28">
        <v>0</v>
      </c>
      <c r="J19" s="28">
        <v>0</v>
      </c>
      <c r="K19" s="158">
        <f t="shared" si="4"/>
        <v>0</v>
      </c>
      <c r="L19" s="158">
        <f t="shared" si="0"/>
        <v>0</v>
      </c>
      <c r="M19" s="159">
        <f t="shared" si="0"/>
        <v>-1509140</v>
      </c>
      <c r="N19" s="60" t="s">
        <v>21</v>
      </c>
    </row>
    <row r="20" spans="1:14" x14ac:dyDescent="0.2">
      <c r="A20" s="155" t="s">
        <v>205</v>
      </c>
      <c r="B20" s="28">
        <v>8</v>
      </c>
      <c r="C20" s="28">
        <v>6</v>
      </c>
      <c r="D20" s="28">
        <v>1973</v>
      </c>
      <c r="E20" s="28">
        <v>8</v>
      </c>
      <c r="F20" s="28">
        <v>8</v>
      </c>
      <c r="G20" s="28">
        <v>2000</v>
      </c>
      <c r="H20" s="28">
        <v>8</v>
      </c>
      <c r="I20" s="28">
        <v>8</v>
      </c>
      <c r="J20" s="28">
        <v>2000</v>
      </c>
      <c r="K20" s="158">
        <f t="shared" si="4"/>
        <v>0</v>
      </c>
      <c r="L20" s="158">
        <f t="shared" si="0"/>
        <v>0</v>
      </c>
      <c r="M20" s="159">
        <f t="shared" si="0"/>
        <v>0</v>
      </c>
      <c r="N20" s="60" t="s">
        <v>21</v>
      </c>
    </row>
    <row r="21" spans="1:14" x14ac:dyDescent="0.2">
      <c r="A21" s="155" t="s">
        <v>209</v>
      </c>
      <c r="B21" s="28">
        <v>43</v>
      </c>
      <c r="C21" s="28">
        <v>38</v>
      </c>
      <c r="D21" s="28">
        <v>9067</v>
      </c>
      <c r="E21" s="28">
        <v>43</v>
      </c>
      <c r="F21" s="28">
        <v>43</v>
      </c>
      <c r="G21" s="28">
        <v>9100</v>
      </c>
      <c r="H21" s="28">
        <v>42</v>
      </c>
      <c r="I21" s="28">
        <v>41</v>
      </c>
      <c r="J21" s="28">
        <v>9100</v>
      </c>
      <c r="K21" s="158">
        <f t="shared" ref="K21" si="5">H21-E21</f>
        <v>-1</v>
      </c>
      <c r="L21" s="158">
        <f t="shared" ref="L21" si="6">I21-F21</f>
        <v>-2</v>
      </c>
      <c r="M21" s="159">
        <f t="shared" ref="M21" si="7">J21-G21</f>
        <v>0</v>
      </c>
      <c r="N21" s="60" t="s">
        <v>21</v>
      </c>
    </row>
    <row r="22" spans="1:14" x14ac:dyDescent="0.2">
      <c r="A22" s="155" t="s">
        <v>206</v>
      </c>
      <c r="B22" s="28">
        <v>7</v>
      </c>
      <c r="C22" s="28">
        <v>7</v>
      </c>
      <c r="D22" s="28">
        <v>1100</v>
      </c>
      <c r="E22" s="28">
        <v>7</v>
      </c>
      <c r="F22" s="28">
        <v>7</v>
      </c>
      <c r="G22" s="28">
        <v>1200</v>
      </c>
      <c r="H22" s="28">
        <v>7</v>
      </c>
      <c r="I22" s="28">
        <v>7</v>
      </c>
      <c r="J22" s="28">
        <v>1200</v>
      </c>
      <c r="K22" s="158">
        <f t="shared" si="4"/>
        <v>0</v>
      </c>
      <c r="L22" s="158">
        <f t="shared" si="0"/>
        <v>0</v>
      </c>
      <c r="M22" s="159">
        <f t="shared" si="0"/>
        <v>0</v>
      </c>
      <c r="N22" s="60" t="s">
        <v>21</v>
      </c>
    </row>
    <row r="23" spans="1:14" x14ac:dyDescent="0.2">
      <c r="A23" s="155" t="s">
        <v>207</v>
      </c>
      <c r="B23" s="28">
        <v>3</v>
      </c>
      <c r="C23" s="28">
        <v>3</v>
      </c>
      <c r="D23" s="28">
        <v>2800</v>
      </c>
      <c r="E23" s="28">
        <v>3</v>
      </c>
      <c r="F23" s="28">
        <v>3</v>
      </c>
      <c r="G23" s="28">
        <v>2800</v>
      </c>
      <c r="H23" s="28">
        <v>3</v>
      </c>
      <c r="I23" s="28">
        <v>3</v>
      </c>
      <c r="J23" s="28">
        <v>2800</v>
      </c>
      <c r="K23" s="158">
        <f t="shared" si="4"/>
        <v>0</v>
      </c>
      <c r="L23" s="158">
        <f t="shared" si="0"/>
        <v>0</v>
      </c>
      <c r="M23" s="159">
        <f t="shared" si="0"/>
        <v>0</v>
      </c>
      <c r="N23" s="60" t="s">
        <v>21</v>
      </c>
    </row>
    <row r="24" spans="1:14" x14ac:dyDescent="0.2">
      <c r="A24" s="155" t="s">
        <v>208</v>
      </c>
      <c r="B24" s="28">
        <v>0</v>
      </c>
      <c r="C24" s="28">
        <v>0</v>
      </c>
      <c r="D24" s="28">
        <f>1000+120</f>
        <v>1120</v>
      </c>
      <c r="E24" s="28">
        <v>0</v>
      </c>
      <c r="F24" s="28">
        <v>0</v>
      </c>
      <c r="G24" s="28">
        <f>1100+135</f>
        <v>1235</v>
      </c>
      <c r="H24" s="28">
        <v>0</v>
      </c>
      <c r="I24" s="28">
        <v>0</v>
      </c>
      <c r="J24" s="28">
        <f>1100+135</f>
        <v>1235</v>
      </c>
      <c r="K24" s="158">
        <f t="shared" si="4"/>
        <v>0</v>
      </c>
      <c r="L24" s="158">
        <f t="shared" si="0"/>
        <v>0</v>
      </c>
      <c r="M24" s="159">
        <f t="shared" si="0"/>
        <v>0</v>
      </c>
      <c r="N24" s="60" t="s">
        <v>21</v>
      </c>
    </row>
    <row r="25" spans="1:14" ht="15" x14ac:dyDescent="0.25">
      <c r="A25" s="16" t="s">
        <v>173</v>
      </c>
      <c r="B25" s="122">
        <f t="shared" ref="B25:M25" si="8">SUM(B9:B24)</f>
        <v>424</v>
      </c>
      <c r="C25" s="122">
        <f t="shared" si="8"/>
        <v>390</v>
      </c>
      <c r="D25" s="122">
        <f t="shared" si="8"/>
        <v>1578804</v>
      </c>
      <c r="E25" s="122">
        <f t="shared" si="8"/>
        <v>424</v>
      </c>
      <c r="F25" s="122">
        <f t="shared" si="8"/>
        <v>418</v>
      </c>
      <c r="G25" s="122">
        <f t="shared" si="8"/>
        <v>1578678</v>
      </c>
      <c r="H25" s="122">
        <f t="shared" si="8"/>
        <v>432</v>
      </c>
      <c r="I25" s="122">
        <f t="shared" si="8"/>
        <v>426</v>
      </c>
      <c r="J25" s="122">
        <f t="shared" si="8"/>
        <v>69538</v>
      </c>
      <c r="K25" s="122">
        <f t="shared" si="8"/>
        <v>8</v>
      </c>
      <c r="L25" s="122">
        <f t="shared" si="8"/>
        <v>8</v>
      </c>
      <c r="M25" s="123">
        <f t="shared" si="8"/>
        <v>-1509140</v>
      </c>
      <c r="N25" s="60" t="s">
        <v>21</v>
      </c>
    </row>
    <row r="26" spans="1:14" x14ac:dyDescent="0.2">
      <c r="A26" s="366" t="s">
        <v>255</v>
      </c>
      <c r="B26" s="366"/>
      <c r="C26" s="366"/>
      <c r="D26" s="366"/>
      <c r="E26" s="366"/>
      <c r="F26" s="366"/>
      <c r="G26" s="366"/>
      <c r="H26" s="366"/>
      <c r="I26" s="366"/>
      <c r="J26" s="366"/>
      <c r="K26" s="366"/>
      <c r="L26" s="366"/>
      <c r="M26" s="366"/>
      <c r="N26" s="60" t="s">
        <v>21</v>
      </c>
    </row>
    <row r="27" spans="1:14" x14ac:dyDescent="0.2">
      <c r="A27" s="367" t="s">
        <v>211</v>
      </c>
      <c r="B27" s="367"/>
      <c r="C27" s="367"/>
      <c r="D27" s="367"/>
      <c r="E27" s="367"/>
      <c r="F27" s="367"/>
      <c r="G27" s="367"/>
      <c r="H27" s="367"/>
      <c r="I27" s="367"/>
      <c r="J27" s="367"/>
      <c r="K27" s="367"/>
      <c r="L27" s="367"/>
      <c r="M27" s="367"/>
      <c r="N27" s="60" t="s">
        <v>21</v>
      </c>
    </row>
    <row r="28" spans="1:14" ht="34.5" customHeight="1" x14ac:dyDescent="0.2">
      <c r="A28" s="365" t="s">
        <v>303</v>
      </c>
      <c r="B28" s="365"/>
      <c r="C28" s="365"/>
      <c r="D28" s="365"/>
      <c r="E28" s="365"/>
      <c r="F28" s="365"/>
      <c r="G28" s="365"/>
      <c r="H28" s="365"/>
      <c r="I28" s="365"/>
      <c r="J28" s="365"/>
      <c r="K28" s="365"/>
      <c r="L28" s="365"/>
      <c r="M28" s="365"/>
      <c r="N28" s="60" t="s">
        <v>22</v>
      </c>
    </row>
  </sheetData>
  <mergeCells count="14">
    <mergeCell ref="A28:M28"/>
    <mergeCell ref="A26:M26"/>
    <mergeCell ref="A27:M27"/>
    <mergeCell ref="A6:M6"/>
    <mergeCell ref="A1:M1"/>
    <mergeCell ref="A2:M2"/>
    <mergeCell ref="A3:M3"/>
    <mergeCell ref="A4:M4"/>
    <mergeCell ref="A5:M5"/>
    <mergeCell ref="A7:A8"/>
    <mergeCell ref="B7:D7"/>
    <mergeCell ref="E7:G7"/>
    <mergeCell ref="H7:J7"/>
    <mergeCell ref="K7:M7"/>
  </mergeCells>
  <printOptions horizontalCentered="1"/>
  <pageMargins left="0.7" right="0.7" top="0.75" bottom="0.75" header="0.3" footer="0.3"/>
  <pageSetup scale="67" orientation="landscape" r:id="rId1"/>
  <headerFooter>
    <oddHeader>&amp;L&amp;"Arial,Bold"&amp;12H. Summary of Reimbursable Resources</oddHeader>
    <oddFooter>&amp;C&amp;"Arial,Regular"Exhibit H - Summary of Reimbursable Resources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80" zoomScaleNormal="100" zoomScaleSheetLayoutView="80" workbookViewId="0">
      <selection activeCell="A36" sqref="A36"/>
    </sheetView>
  </sheetViews>
  <sheetFormatPr defaultColWidth="9.140625" defaultRowHeight="14.25" x14ac:dyDescent="0.2"/>
  <cols>
    <col min="1" max="1" width="64.140625" style="149" bestFit="1" customWidth="1"/>
    <col min="2" max="3" width="13.7109375" style="149" customWidth="1"/>
    <col min="4" max="4" width="12" style="149" bestFit="1" customWidth="1"/>
    <col min="5" max="5" width="13.42578125" style="149" customWidth="1"/>
    <col min="6" max="6" width="13.7109375" style="149" customWidth="1"/>
    <col min="7" max="7" width="15" style="149" customWidth="1"/>
    <col min="8" max="8" width="14" style="7" bestFit="1" customWidth="1"/>
    <col min="9" max="9" width="4.5703125" style="149" customWidth="1"/>
    <col min="10" max="11" width="8.28515625" style="149" customWidth="1"/>
    <col min="12" max="12" width="12.7109375" style="149" customWidth="1"/>
    <col min="13" max="14" width="8.28515625" style="149" customWidth="1"/>
    <col min="15" max="15" width="12.7109375" style="149" customWidth="1"/>
    <col min="16" max="16384" width="9.140625" style="149"/>
  </cols>
  <sheetData>
    <row r="1" spans="1:15" ht="18" x14ac:dyDescent="0.25">
      <c r="A1" s="301" t="s">
        <v>77</v>
      </c>
      <c r="B1" s="301"/>
      <c r="C1" s="301"/>
      <c r="D1" s="301"/>
      <c r="E1" s="301"/>
      <c r="F1" s="301"/>
      <c r="G1" s="301"/>
      <c r="H1" s="60" t="s">
        <v>21</v>
      </c>
      <c r="I1" s="9"/>
      <c r="J1" s="9"/>
      <c r="K1" s="9"/>
      <c r="L1" s="9"/>
      <c r="M1" s="9"/>
      <c r="N1" s="9"/>
      <c r="O1" s="9"/>
    </row>
    <row r="2" spans="1:15" ht="15" x14ac:dyDescent="0.2">
      <c r="A2" s="302" t="s">
        <v>189</v>
      </c>
      <c r="B2" s="302"/>
      <c r="C2" s="302"/>
      <c r="D2" s="302"/>
      <c r="E2" s="302"/>
      <c r="F2" s="302"/>
      <c r="G2" s="302"/>
      <c r="H2" s="60" t="s">
        <v>21</v>
      </c>
      <c r="I2" s="10"/>
      <c r="J2" s="10"/>
      <c r="K2" s="10"/>
      <c r="L2" s="10"/>
      <c r="M2" s="10"/>
      <c r="N2" s="10"/>
      <c r="O2" s="10"/>
    </row>
    <row r="3" spans="1:15" x14ac:dyDescent="0.2">
      <c r="A3" s="311" t="s">
        <v>1</v>
      </c>
      <c r="B3" s="311"/>
      <c r="C3" s="311"/>
      <c r="D3" s="311"/>
      <c r="E3" s="311"/>
      <c r="F3" s="311"/>
      <c r="G3" s="311"/>
      <c r="H3" s="60" t="s">
        <v>21</v>
      </c>
      <c r="I3" s="172"/>
      <c r="J3" s="172"/>
      <c r="K3" s="172"/>
      <c r="L3" s="172"/>
      <c r="M3" s="172"/>
      <c r="N3" s="172"/>
      <c r="O3" s="172"/>
    </row>
    <row r="4" spans="1:15" x14ac:dyDescent="0.2">
      <c r="A4" s="304" t="s">
        <v>2</v>
      </c>
      <c r="B4" s="304"/>
      <c r="C4" s="304"/>
      <c r="D4" s="304"/>
      <c r="E4" s="304"/>
      <c r="F4" s="304"/>
      <c r="G4" s="304"/>
      <c r="H4" s="60" t="s">
        <v>21</v>
      </c>
      <c r="I4" s="11"/>
      <c r="J4" s="11"/>
      <c r="K4" s="11"/>
      <c r="L4" s="11"/>
      <c r="M4" s="11"/>
      <c r="N4" s="11"/>
      <c r="O4" s="11"/>
    </row>
    <row r="5" spans="1:15" x14ac:dyDescent="0.2">
      <c r="A5" s="304"/>
      <c r="B5" s="304"/>
      <c r="C5" s="304"/>
      <c r="D5" s="304"/>
      <c r="E5" s="304"/>
      <c r="F5" s="304"/>
      <c r="G5" s="304"/>
      <c r="H5" s="60" t="s">
        <v>21</v>
      </c>
      <c r="I5" s="11"/>
      <c r="J5" s="11"/>
      <c r="K5" s="11"/>
      <c r="L5" s="11"/>
      <c r="M5" s="11"/>
      <c r="N5" s="11"/>
      <c r="O5" s="11"/>
    </row>
    <row r="6" spans="1:15" ht="15" thickBot="1" x14ac:dyDescent="0.25">
      <c r="A6" s="304"/>
      <c r="B6" s="304"/>
      <c r="C6" s="304"/>
      <c r="D6" s="304"/>
      <c r="E6" s="304"/>
      <c r="F6" s="304"/>
      <c r="G6" s="304"/>
      <c r="H6" s="60" t="s">
        <v>21</v>
      </c>
      <c r="I6" s="11"/>
      <c r="J6" s="11"/>
      <c r="K6" s="11"/>
      <c r="L6" s="11"/>
      <c r="M6" s="11"/>
      <c r="N6" s="11"/>
      <c r="O6" s="11"/>
    </row>
    <row r="7" spans="1:15" ht="42" customHeight="1" x14ac:dyDescent="0.2">
      <c r="A7" s="319" t="s">
        <v>78</v>
      </c>
      <c r="B7" s="368" t="s">
        <v>253</v>
      </c>
      <c r="C7" s="317"/>
      <c r="D7" s="369" t="s">
        <v>252</v>
      </c>
      <c r="E7" s="313"/>
      <c r="F7" s="368" t="s">
        <v>254</v>
      </c>
      <c r="G7" s="370"/>
      <c r="H7" s="60" t="s">
        <v>21</v>
      </c>
    </row>
    <row r="8" spans="1:15" ht="28.5" x14ac:dyDescent="0.2">
      <c r="A8" s="321"/>
      <c r="B8" s="177" t="s">
        <v>4</v>
      </c>
      <c r="C8" s="177" t="s">
        <v>75</v>
      </c>
      <c r="D8" s="177" t="s">
        <v>4</v>
      </c>
      <c r="E8" s="177" t="s">
        <v>75</v>
      </c>
      <c r="F8" s="204" t="s">
        <v>82</v>
      </c>
      <c r="G8" s="213" t="s">
        <v>83</v>
      </c>
      <c r="H8" s="60" t="s">
        <v>21</v>
      </c>
    </row>
    <row r="9" spans="1:15" x14ac:dyDescent="0.2">
      <c r="A9" s="191" t="s">
        <v>245</v>
      </c>
      <c r="B9" s="176">
        <v>3</v>
      </c>
      <c r="C9" s="176">
        <v>0</v>
      </c>
      <c r="D9" s="176">
        <v>3</v>
      </c>
      <c r="E9" s="176">
        <v>0</v>
      </c>
      <c r="F9" s="212">
        <f t="shared" ref="F9:F28" si="0">D9</f>
        <v>3</v>
      </c>
      <c r="G9" s="211">
        <v>0</v>
      </c>
      <c r="H9" s="60" t="s">
        <v>21</v>
      </c>
    </row>
    <row r="10" spans="1:15" x14ac:dyDescent="0.2">
      <c r="A10" s="180" t="s">
        <v>230</v>
      </c>
      <c r="B10" s="192">
        <v>24</v>
      </c>
      <c r="C10" s="192">
        <v>24</v>
      </c>
      <c r="D10" s="192">
        <v>24</v>
      </c>
      <c r="E10" s="192">
        <v>24</v>
      </c>
      <c r="F10" s="192">
        <f t="shared" si="0"/>
        <v>24</v>
      </c>
      <c r="G10" s="184">
        <v>24</v>
      </c>
      <c r="H10" s="60" t="s">
        <v>21</v>
      </c>
    </row>
    <row r="11" spans="1:15" x14ac:dyDescent="0.2">
      <c r="A11" s="181" t="s">
        <v>231</v>
      </c>
      <c r="B11" s="187">
        <v>4</v>
      </c>
      <c r="C11" s="187">
        <v>0</v>
      </c>
      <c r="D11" s="187">
        <v>4</v>
      </c>
      <c r="E11" s="187">
        <v>0</v>
      </c>
      <c r="F11" s="187">
        <f t="shared" si="0"/>
        <v>4</v>
      </c>
      <c r="G11" s="188">
        <v>0</v>
      </c>
      <c r="H11" s="60" t="s">
        <v>21</v>
      </c>
    </row>
    <row r="12" spans="1:15" x14ac:dyDescent="0.2">
      <c r="A12" s="182" t="s">
        <v>232</v>
      </c>
      <c r="B12" s="160">
        <v>47</v>
      </c>
      <c r="C12" s="160">
        <v>3</v>
      </c>
      <c r="D12" s="160">
        <v>47</v>
      </c>
      <c r="E12" s="160">
        <v>3</v>
      </c>
      <c r="F12" s="160">
        <f t="shared" si="0"/>
        <v>47</v>
      </c>
      <c r="G12" s="165">
        <v>3</v>
      </c>
      <c r="H12" s="60" t="s">
        <v>21</v>
      </c>
    </row>
    <row r="13" spans="1:15" x14ac:dyDescent="0.2">
      <c r="A13" s="182" t="s">
        <v>246</v>
      </c>
      <c r="B13" s="160">
        <v>43</v>
      </c>
      <c r="C13" s="160">
        <v>3</v>
      </c>
      <c r="D13" s="160">
        <v>43</v>
      </c>
      <c r="E13" s="160">
        <v>3</v>
      </c>
      <c r="F13" s="160">
        <f t="shared" si="0"/>
        <v>43</v>
      </c>
      <c r="G13" s="165">
        <v>3</v>
      </c>
      <c r="H13" s="60" t="s">
        <v>21</v>
      </c>
    </row>
    <row r="14" spans="1:15" x14ac:dyDescent="0.2">
      <c r="A14" s="182" t="s">
        <v>233</v>
      </c>
      <c r="B14" s="160">
        <v>795</v>
      </c>
      <c r="C14" s="160">
        <v>178</v>
      </c>
      <c r="D14" s="160">
        <v>795</v>
      </c>
      <c r="E14" s="160">
        <v>178</v>
      </c>
      <c r="F14" s="160">
        <f t="shared" si="0"/>
        <v>795</v>
      </c>
      <c r="G14" s="165">
        <v>174</v>
      </c>
      <c r="H14" s="60" t="s">
        <v>21</v>
      </c>
    </row>
    <row r="15" spans="1:15" x14ac:dyDescent="0.2">
      <c r="A15" s="182" t="s">
        <v>79</v>
      </c>
      <c r="B15" s="160">
        <v>125</v>
      </c>
      <c r="C15" s="160">
        <v>11</v>
      </c>
      <c r="D15" s="160">
        <v>125</v>
      </c>
      <c r="E15" s="160">
        <v>11</v>
      </c>
      <c r="F15" s="160">
        <f t="shared" si="0"/>
        <v>125</v>
      </c>
      <c r="G15" s="165">
        <v>11</v>
      </c>
      <c r="H15" s="60" t="s">
        <v>21</v>
      </c>
    </row>
    <row r="16" spans="1:15" x14ac:dyDescent="0.2">
      <c r="A16" s="182" t="s">
        <v>234</v>
      </c>
      <c r="B16" s="160">
        <v>2</v>
      </c>
      <c r="C16" s="160">
        <v>1</v>
      </c>
      <c r="D16" s="160">
        <v>2</v>
      </c>
      <c r="E16" s="160">
        <v>1</v>
      </c>
      <c r="F16" s="160">
        <f t="shared" si="0"/>
        <v>2</v>
      </c>
      <c r="G16" s="165">
        <v>1</v>
      </c>
      <c r="H16" s="60" t="s">
        <v>21</v>
      </c>
    </row>
    <row r="17" spans="1:8" x14ac:dyDescent="0.2">
      <c r="A17" s="182" t="s">
        <v>235</v>
      </c>
      <c r="B17" s="160">
        <v>3</v>
      </c>
      <c r="C17" s="160">
        <v>0</v>
      </c>
      <c r="D17" s="160">
        <v>3</v>
      </c>
      <c r="E17" s="160">
        <v>0</v>
      </c>
      <c r="F17" s="160">
        <f t="shared" si="0"/>
        <v>3</v>
      </c>
      <c r="G17" s="165">
        <v>0</v>
      </c>
      <c r="H17" s="60" t="s">
        <v>21</v>
      </c>
    </row>
    <row r="18" spans="1:8" x14ac:dyDescent="0.2">
      <c r="A18" s="182" t="s">
        <v>236</v>
      </c>
      <c r="B18" s="160">
        <v>0</v>
      </c>
      <c r="C18" s="160">
        <v>2</v>
      </c>
      <c r="D18" s="160">
        <v>0</v>
      </c>
      <c r="E18" s="160">
        <v>2</v>
      </c>
      <c r="F18" s="160">
        <f t="shared" si="0"/>
        <v>0</v>
      </c>
      <c r="G18" s="165">
        <v>2</v>
      </c>
      <c r="H18" s="60" t="s">
        <v>21</v>
      </c>
    </row>
    <row r="19" spans="1:8" x14ac:dyDescent="0.2">
      <c r="A19" s="182" t="s">
        <v>237</v>
      </c>
      <c r="B19" s="160">
        <v>19</v>
      </c>
      <c r="C19" s="160">
        <v>3</v>
      </c>
      <c r="D19" s="160">
        <v>19</v>
      </c>
      <c r="E19" s="160">
        <v>3</v>
      </c>
      <c r="F19" s="160">
        <f t="shared" si="0"/>
        <v>19</v>
      </c>
      <c r="G19" s="165">
        <v>3</v>
      </c>
      <c r="H19" s="60" t="s">
        <v>21</v>
      </c>
    </row>
    <row r="20" spans="1:8" x14ac:dyDescent="0.2">
      <c r="A20" s="182" t="s">
        <v>238</v>
      </c>
      <c r="B20" s="160">
        <v>1</v>
      </c>
      <c r="C20" s="160">
        <v>0</v>
      </c>
      <c r="D20" s="160">
        <v>1</v>
      </c>
      <c r="E20" s="160">
        <v>0</v>
      </c>
      <c r="F20" s="160">
        <f t="shared" si="0"/>
        <v>1</v>
      </c>
      <c r="G20" s="165">
        <v>0</v>
      </c>
      <c r="H20" s="60" t="s">
        <v>21</v>
      </c>
    </row>
    <row r="21" spans="1:8" x14ac:dyDescent="0.2">
      <c r="A21" s="182" t="s">
        <v>80</v>
      </c>
      <c r="B21" s="160">
        <v>11</v>
      </c>
      <c r="C21" s="160">
        <v>0</v>
      </c>
      <c r="D21" s="160">
        <v>11</v>
      </c>
      <c r="E21" s="160">
        <v>0</v>
      </c>
      <c r="F21" s="160">
        <f t="shared" si="0"/>
        <v>11</v>
      </c>
      <c r="G21" s="165">
        <v>0</v>
      </c>
      <c r="H21" s="60" t="s">
        <v>21</v>
      </c>
    </row>
    <row r="22" spans="1:8" x14ac:dyDescent="0.2">
      <c r="A22" s="182" t="s">
        <v>81</v>
      </c>
      <c r="B22" s="160">
        <v>124</v>
      </c>
      <c r="C22" s="160">
        <v>34</v>
      </c>
      <c r="D22" s="160">
        <v>124</v>
      </c>
      <c r="E22" s="160">
        <v>34</v>
      </c>
      <c r="F22" s="160">
        <f t="shared" si="0"/>
        <v>124</v>
      </c>
      <c r="G22" s="165">
        <v>34</v>
      </c>
      <c r="H22" s="60" t="s">
        <v>21</v>
      </c>
    </row>
    <row r="23" spans="1:8" x14ac:dyDescent="0.2">
      <c r="A23" s="182" t="s">
        <v>239</v>
      </c>
      <c r="B23" s="160">
        <v>2</v>
      </c>
      <c r="C23" s="160">
        <v>0</v>
      </c>
      <c r="D23" s="160">
        <v>2</v>
      </c>
      <c r="E23" s="160">
        <v>0</v>
      </c>
      <c r="F23" s="160">
        <f t="shared" si="0"/>
        <v>2</v>
      </c>
      <c r="G23" s="165">
        <v>0</v>
      </c>
      <c r="H23" s="60" t="s">
        <v>21</v>
      </c>
    </row>
    <row r="24" spans="1:8" x14ac:dyDescent="0.2">
      <c r="A24" s="182" t="s">
        <v>240</v>
      </c>
      <c r="B24" s="160">
        <v>4</v>
      </c>
      <c r="C24" s="160">
        <v>0</v>
      </c>
      <c r="D24" s="160">
        <v>4</v>
      </c>
      <c r="E24" s="160">
        <v>0</v>
      </c>
      <c r="F24" s="160">
        <f t="shared" si="0"/>
        <v>4</v>
      </c>
      <c r="G24" s="165">
        <v>0</v>
      </c>
      <c r="H24" s="60" t="s">
        <v>21</v>
      </c>
    </row>
    <row r="25" spans="1:8" x14ac:dyDescent="0.2">
      <c r="A25" s="182" t="s">
        <v>241</v>
      </c>
      <c r="B25" s="160">
        <v>114</v>
      </c>
      <c r="C25" s="160">
        <v>0</v>
      </c>
      <c r="D25" s="160">
        <v>114</v>
      </c>
      <c r="E25" s="160">
        <v>0</v>
      </c>
      <c r="F25" s="160">
        <f t="shared" si="0"/>
        <v>114</v>
      </c>
      <c r="G25" s="165">
        <v>0</v>
      </c>
      <c r="H25" s="60" t="s">
        <v>21</v>
      </c>
    </row>
    <row r="26" spans="1:8" x14ac:dyDescent="0.2">
      <c r="A26" s="182" t="s">
        <v>242</v>
      </c>
      <c r="B26" s="160">
        <v>4134</v>
      </c>
      <c r="C26" s="160">
        <v>162</v>
      </c>
      <c r="D26" s="160">
        <v>4134</v>
      </c>
      <c r="E26" s="160">
        <v>162</v>
      </c>
      <c r="F26" s="160">
        <f t="shared" si="0"/>
        <v>4134</v>
      </c>
      <c r="G26" s="165">
        <v>174</v>
      </c>
      <c r="H26" s="60" t="s">
        <v>21</v>
      </c>
    </row>
    <row r="27" spans="1:8" x14ac:dyDescent="0.2">
      <c r="A27" s="182" t="s">
        <v>243</v>
      </c>
      <c r="B27" s="160">
        <v>6</v>
      </c>
      <c r="C27" s="160">
        <v>0</v>
      </c>
      <c r="D27" s="160">
        <v>6</v>
      </c>
      <c r="E27" s="160">
        <v>0</v>
      </c>
      <c r="F27" s="160">
        <f t="shared" si="0"/>
        <v>6</v>
      </c>
      <c r="G27" s="165">
        <v>0</v>
      </c>
      <c r="H27" s="60" t="s">
        <v>21</v>
      </c>
    </row>
    <row r="28" spans="1:8" x14ac:dyDescent="0.2">
      <c r="A28" s="182" t="s">
        <v>244</v>
      </c>
      <c r="B28" s="160">
        <v>83</v>
      </c>
      <c r="C28" s="160">
        <v>3</v>
      </c>
      <c r="D28" s="160">
        <v>83</v>
      </c>
      <c r="E28" s="160">
        <v>3</v>
      </c>
      <c r="F28" s="160">
        <f t="shared" si="0"/>
        <v>83</v>
      </c>
      <c r="G28" s="165">
        <v>3</v>
      </c>
      <c r="H28" s="60" t="s">
        <v>21</v>
      </c>
    </row>
    <row r="29" spans="1:8" ht="15" x14ac:dyDescent="0.25">
      <c r="A29" s="173" t="s">
        <v>26</v>
      </c>
      <c r="B29" s="122">
        <f t="shared" ref="B29:G29" si="1">SUM(B9:B28)</f>
        <v>5544</v>
      </c>
      <c r="C29" s="122">
        <f t="shared" si="1"/>
        <v>424</v>
      </c>
      <c r="D29" s="122">
        <f t="shared" si="1"/>
        <v>5544</v>
      </c>
      <c r="E29" s="122">
        <f t="shared" si="1"/>
        <v>424</v>
      </c>
      <c r="F29" s="202">
        <f t="shared" si="1"/>
        <v>5544</v>
      </c>
      <c r="G29" s="203">
        <f t="shared" si="1"/>
        <v>432</v>
      </c>
      <c r="H29" s="60" t="s">
        <v>21</v>
      </c>
    </row>
    <row r="30" spans="1:8" x14ac:dyDescent="0.2">
      <c r="A30" s="185" t="s">
        <v>84</v>
      </c>
      <c r="B30" s="187">
        <v>707</v>
      </c>
      <c r="C30" s="187">
        <v>159</v>
      </c>
      <c r="D30" s="187">
        <v>707</v>
      </c>
      <c r="E30" s="187">
        <v>159</v>
      </c>
      <c r="F30" s="187">
        <f>D30</f>
        <v>707</v>
      </c>
      <c r="G30" s="188">
        <v>157</v>
      </c>
      <c r="H30" s="60" t="s">
        <v>21</v>
      </c>
    </row>
    <row r="31" spans="1:8" x14ac:dyDescent="0.2">
      <c r="A31" s="183" t="s">
        <v>85</v>
      </c>
      <c r="B31" s="160">
        <v>4820</v>
      </c>
      <c r="C31" s="160">
        <v>265</v>
      </c>
      <c r="D31" s="160">
        <v>4820</v>
      </c>
      <c r="E31" s="160">
        <v>265</v>
      </c>
      <c r="F31" s="160">
        <f>D31</f>
        <v>4820</v>
      </c>
      <c r="G31" s="165">
        <v>275</v>
      </c>
      <c r="H31" s="60" t="s">
        <v>21</v>
      </c>
    </row>
    <row r="32" spans="1:8" x14ac:dyDescent="0.2">
      <c r="A32" s="183" t="s">
        <v>86</v>
      </c>
      <c r="B32" s="160">
        <v>17</v>
      </c>
      <c r="C32" s="160">
        <v>0</v>
      </c>
      <c r="D32" s="160">
        <v>17</v>
      </c>
      <c r="E32" s="160">
        <v>0</v>
      </c>
      <c r="F32" s="160">
        <f>D32</f>
        <v>17</v>
      </c>
      <c r="G32" s="165">
        <v>0</v>
      </c>
      <c r="H32" s="60" t="s">
        <v>21</v>
      </c>
    </row>
    <row r="33" spans="1:8" ht="15" x14ac:dyDescent="0.25">
      <c r="A33" s="173" t="s">
        <v>26</v>
      </c>
      <c r="B33" s="122">
        <f t="shared" ref="B33:G33" si="2">SUM(B30:B32)</f>
        <v>5544</v>
      </c>
      <c r="C33" s="122">
        <f t="shared" si="2"/>
        <v>424</v>
      </c>
      <c r="D33" s="122">
        <f t="shared" si="2"/>
        <v>5544</v>
      </c>
      <c r="E33" s="122">
        <f t="shared" si="2"/>
        <v>424</v>
      </c>
      <c r="F33" s="202">
        <f t="shared" si="2"/>
        <v>5544</v>
      </c>
      <c r="G33" s="203">
        <f t="shared" si="2"/>
        <v>432</v>
      </c>
      <c r="H33" s="60" t="s">
        <v>21</v>
      </c>
    </row>
    <row r="34" spans="1:8" x14ac:dyDescent="0.2">
      <c r="A34" s="149" t="s">
        <v>247</v>
      </c>
      <c r="H34" s="60" t="s">
        <v>21</v>
      </c>
    </row>
    <row r="35" spans="1:8" ht="28.5" customHeight="1" x14ac:dyDescent="0.2">
      <c r="A35" s="359" t="s">
        <v>258</v>
      </c>
      <c r="B35" s="359"/>
      <c r="C35" s="359"/>
      <c r="D35" s="359"/>
      <c r="E35" s="359"/>
      <c r="F35" s="359"/>
      <c r="G35" s="359"/>
      <c r="H35" s="60" t="s">
        <v>21</v>
      </c>
    </row>
    <row r="36" spans="1:8" x14ac:dyDescent="0.2">
      <c r="H36" s="60" t="s">
        <v>22</v>
      </c>
    </row>
  </sheetData>
  <mergeCells count="11">
    <mergeCell ref="A35:G35"/>
    <mergeCell ref="B7:C7"/>
    <mergeCell ref="D7:E7"/>
    <mergeCell ref="F7:G7"/>
    <mergeCell ref="A1:G1"/>
    <mergeCell ref="A2:G2"/>
    <mergeCell ref="A3:G3"/>
    <mergeCell ref="A4:G4"/>
    <mergeCell ref="A5:G5"/>
    <mergeCell ref="A7:A8"/>
    <mergeCell ref="A6:G6"/>
  </mergeCells>
  <printOptions horizontalCentered="1"/>
  <pageMargins left="0.7" right="0.7" top="0.75" bottom="0.75" header="0.3" footer="0.3"/>
  <pageSetup scale="64" orientation="landscape" r:id="rId1"/>
  <headerFooter>
    <oddHeader>&amp;L&amp;"Arial,Bold"&amp;12I. Detail of Permanent Positions by Category</oddHeader>
    <oddFooter>&amp;C&amp;"Arial,Regular"Exhibit I - Details of Permanent Positions by Category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7"/>
  <sheetViews>
    <sheetView view="pageBreakPreview" zoomScale="80" zoomScaleNormal="100" zoomScaleSheetLayoutView="80" workbookViewId="0">
      <selection activeCell="A87" sqref="A87"/>
    </sheetView>
  </sheetViews>
  <sheetFormatPr defaultColWidth="9.140625" defaultRowHeight="14.25" x14ac:dyDescent="0.2"/>
  <cols>
    <col min="1" max="1" width="63.5703125" style="149" customWidth="1"/>
    <col min="2" max="2" width="8.7109375" style="149" hidden="1" customWidth="1"/>
    <col min="3" max="3" width="12.7109375" style="149" hidden="1" customWidth="1"/>
    <col min="4" max="4" width="8.7109375" style="149" hidden="1" customWidth="1"/>
    <col min="5" max="5" width="12.7109375" style="149" hidden="1" customWidth="1"/>
    <col min="6" max="7" width="15.7109375" style="149" customWidth="1"/>
    <col min="8" max="8" width="8.7109375" style="149" hidden="1" customWidth="1"/>
    <col min="9" max="9" width="12.7109375" style="149" hidden="1" customWidth="1"/>
    <col min="10" max="10" width="8.7109375" style="149" hidden="1" customWidth="1"/>
    <col min="11" max="11" width="12.7109375" style="149" hidden="1" customWidth="1"/>
    <col min="12" max="12" width="13" style="149" customWidth="1"/>
    <col min="13" max="13" width="12.7109375" style="149" customWidth="1"/>
    <col min="14" max="17" width="12.7109375" style="149" hidden="1" customWidth="1"/>
    <col min="18" max="19" width="14.140625" style="149" customWidth="1"/>
    <col min="20" max="20" width="14" style="7" bestFit="1" customWidth="1"/>
    <col min="21" max="21" width="4.5703125" style="149" customWidth="1"/>
    <col min="22" max="23" width="8.28515625" style="149" customWidth="1"/>
    <col min="24" max="24" width="12.7109375" style="149" customWidth="1"/>
    <col min="25" max="26" width="8.28515625" style="149" customWidth="1"/>
    <col min="27" max="27" width="12.7109375" style="149" customWidth="1"/>
    <col min="28" max="16384" width="9.140625" style="149"/>
  </cols>
  <sheetData>
    <row r="1" spans="1:27" ht="18" x14ac:dyDescent="0.25">
      <c r="A1" s="301" t="s">
        <v>117</v>
      </c>
      <c r="B1" s="301"/>
      <c r="C1" s="301"/>
      <c r="D1" s="301"/>
      <c r="E1" s="301"/>
      <c r="F1" s="301"/>
      <c r="G1" s="301"/>
      <c r="H1" s="301"/>
      <c r="I1" s="301"/>
      <c r="J1" s="301"/>
      <c r="K1" s="301"/>
      <c r="L1" s="301"/>
      <c r="M1" s="301"/>
      <c r="N1" s="301"/>
      <c r="O1" s="301"/>
      <c r="P1" s="301"/>
      <c r="Q1" s="301"/>
      <c r="R1" s="301"/>
      <c r="S1" s="301"/>
      <c r="T1" s="60" t="s">
        <v>21</v>
      </c>
      <c r="U1" s="9"/>
      <c r="V1" s="9"/>
      <c r="W1" s="9"/>
      <c r="X1" s="9"/>
      <c r="Y1" s="9"/>
      <c r="Z1" s="9"/>
      <c r="AA1" s="9"/>
    </row>
    <row r="2" spans="1:27" ht="15" x14ac:dyDescent="0.2">
      <c r="A2" s="302" t="s">
        <v>189</v>
      </c>
      <c r="B2" s="302"/>
      <c r="C2" s="302"/>
      <c r="D2" s="302"/>
      <c r="E2" s="302"/>
      <c r="F2" s="302"/>
      <c r="G2" s="302"/>
      <c r="H2" s="302"/>
      <c r="I2" s="302"/>
      <c r="J2" s="302"/>
      <c r="K2" s="302"/>
      <c r="L2" s="302"/>
      <c r="M2" s="302"/>
      <c r="N2" s="302"/>
      <c r="O2" s="302"/>
      <c r="P2" s="302"/>
      <c r="Q2" s="302"/>
      <c r="R2" s="302"/>
      <c r="S2" s="302"/>
      <c r="T2" s="60" t="s">
        <v>21</v>
      </c>
      <c r="U2" s="10"/>
      <c r="V2" s="10"/>
      <c r="W2" s="10"/>
      <c r="X2" s="10"/>
      <c r="Y2" s="10"/>
      <c r="Z2" s="10"/>
      <c r="AA2" s="10"/>
    </row>
    <row r="3" spans="1:27" x14ac:dyDescent="0.2">
      <c r="A3" s="311" t="s">
        <v>1</v>
      </c>
      <c r="B3" s="311"/>
      <c r="C3" s="311"/>
      <c r="D3" s="311"/>
      <c r="E3" s="311"/>
      <c r="F3" s="311"/>
      <c r="G3" s="311"/>
      <c r="H3" s="311"/>
      <c r="I3" s="311"/>
      <c r="J3" s="311"/>
      <c r="K3" s="311"/>
      <c r="L3" s="311"/>
      <c r="M3" s="311"/>
      <c r="N3" s="311"/>
      <c r="O3" s="311"/>
      <c r="P3" s="311"/>
      <c r="Q3" s="311"/>
      <c r="R3" s="311"/>
      <c r="S3" s="311"/>
      <c r="T3" s="60" t="s">
        <v>21</v>
      </c>
      <c r="U3" s="172"/>
      <c r="V3" s="172"/>
      <c r="W3" s="172"/>
      <c r="X3" s="172"/>
      <c r="Y3" s="172"/>
      <c r="Z3" s="172"/>
      <c r="AA3" s="172"/>
    </row>
    <row r="4" spans="1:27" x14ac:dyDescent="0.2">
      <c r="A4" s="304" t="s">
        <v>2</v>
      </c>
      <c r="B4" s="304"/>
      <c r="C4" s="304"/>
      <c r="D4" s="304"/>
      <c r="E4" s="304"/>
      <c r="F4" s="304"/>
      <c r="G4" s="304"/>
      <c r="H4" s="304"/>
      <c r="I4" s="304"/>
      <c r="J4" s="304"/>
      <c r="K4" s="304"/>
      <c r="L4" s="304"/>
      <c r="M4" s="304"/>
      <c r="N4" s="304"/>
      <c r="O4" s="304"/>
      <c r="P4" s="304"/>
      <c r="Q4" s="304"/>
      <c r="R4" s="304"/>
      <c r="S4" s="304"/>
      <c r="T4" s="60" t="s">
        <v>21</v>
      </c>
      <c r="U4" s="11"/>
      <c r="V4" s="11"/>
      <c r="W4" s="11"/>
      <c r="X4" s="11"/>
      <c r="Y4" s="11"/>
      <c r="Z4" s="11"/>
      <c r="AA4" s="11"/>
    </row>
    <row r="5" spans="1:27" x14ac:dyDescent="0.2">
      <c r="A5" s="304"/>
      <c r="B5" s="304"/>
      <c r="C5" s="304"/>
      <c r="D5" s="304"/>
      <c r="E5" s="304"/>
      <c r="F5" s="304"/>
      <c r="G5" s="304"/>
      <c r="H5" s="304"/>
      <c r="I5" s="304"/>
      <c r="J5" s="304"/>
      <c r="K5" s="304"/>
      <c r="L5" s="304"/>
      <c r="M5" s="304"/>
      <c r="N5" s="214"/>
      <c r="O5" s="214"/>
      <c r="P5" s="214"/>
      <c r="Q5" s="214"/>
      <c r="R5" s="214"/>
      <c r="S5" s="214"/>
      <c r="T5" s="60" t="s">
        <v>21</v>
      </c>
      <c r="U5" s="11"/>
      <c r="V5" s="11"/>
      <c r="W5" s="11"/>
      <c r="X5" s="11"/>
      <c r="Y5" s="11"/>
      <c r="Z5" s="11"/>
      <c r="AA5" s="11"/>
    </row>
    <row r="6" spans="1:27" ht="35.25" customHeight="1" x14ac:dyDescent="0.2">
      <c r="A6" s="374" t="s">
        <v>118</v>
      </c>
      <c r="B6" s="377" t="s">
        <v>190</v>
      </c>
      <c r="C6" s="377"/>
      <c r="D6" s="377"/>
      <c r="E6" s="377"/>
      <c r="F6" s="377"/>
      <c r="G6" s="377"/>
      <c r="H6" s="377" t="s">
        <v>191</v>
      </c>
      <c r="I6" s="377"/>
      <c r="J6" s="377"/>
      <c r="K6" s="377"/>
      <c r="L6" s="377"/>
      <c r="M6" s="377"/>
      <c r="N6" s="371" t="s">
        <v>192</v>
      </c>
      <c r="O6" s="372"/>
      <c r="P6" s="372"/>
      <c r="Q6" s="372"/>
      <c r="R6" s="372"/>
      <c r="S6" s="373"/>
      <c r="T6" s="60" t="s">
        <v>21</v>
      </c>
    </row>
    <row r="7" spans="1:27" ht="15" customHeight="1" x14ac:dyDescent="0.2">
      <c r="A7" s="375"/>
      <c r="B7" s="371" t="s">
        <v>119</v>
      </c>
      <c r="C7" s="373"/>
      <c r="D7" s="371" t="s">
        <v>120</v>
      </c>
      <c r="E7" s="373"/>
      <c r="F7" s="371" t="s">
        <v>34</v>
      </c>
      <c r="G7" s="373"/>
      <c r="H7" s="371" t="s">
        <v>119</v>
      </c>
      <c r="I7" s="373"/>
      <c r="J7" s="371" t="s">
        <v>120</v>
      </c>
      <c r="K7" s="373"/>
      <c r="L7" s="371" t="s">
        <v>34</v>
      </c>
      <c r="M7" s="373"/>
      <c r="N7" s="371" t="s">
        <v>119</v>
      </c>
      <c r="O7" s="373"/>
      <c r="P7" s="371" t="s">
        <v>120</v>
      </c>
      <c r="Q7" s="373"/>
      <c r="R7" s="371" t="s">
        <v>34</v>
      </c>
      <c r="S7" s="373"/>
      <c r="T7" s="60" t="s">
        <v>21</v>
      </c>
    </row>
    <row r="8" spans="1:27" ht="28.5" x14ac:dyDescent="0.2">
      <c r="A8" s="376"/>
      <c r="B8" s="177" t="s">
        <v>4</v>
      </c>
      <c r="C8" s="177" t="s">
        <v>5</v>
      </c>
      <c r="D8" s="177" t="s">
        <v>4</v>
      </c>
      <c r="E8" s="177" t="s">
        <v>5</v>
      </c>
      <c r="F8" s="177" t="s">
        <v>4</v>
      </c>
      <c r="G8" s="177" t="s">
        <v>5</v>
      </c>
      <c r="H8" s="177" t="s">
        <v>4</v>
      </c>
      <c r="I8" s="177" t="s">
        <v>5</v>
      </c>
      <c r="J8" s="177" t="s">
        <v>4</v>
      </c>
      <c r="K8" s="177" t="s">
        <v>5</v>
      </c>
      <c r="L8" s="177" t="s">
        <v>4</v>
      </c>
      <c r="M8" s="177" t="s">
        <v>5</v>
      </c>
      <c r="N8" s="177" t="s">
        <v>4</v>
      </c>
      <c r="O8" s="177" t="s">
        <v>5</v>
      </c>
      <c r="P8" s="177" t="s">
        <v>4</v>
      </c>
      <c r="Q8" s="177" t="s">
        <v>5</v>
      </c>
      <c r="R8" s="177" t="s">
        <v>4</v>
      </c>
      <c r="S8" s="177" t="s">
        <v>5</v>
      </c>
      <c r="T8" s="60" t="s">
        <v>21</v>
      </c>
    </row>
    <row r="9" spans="1:27" hidden="1" x14ac:dyDescent="0.2">
      <c r="A9" s="260" t="s">
        <v>121</v>
      </c>
      <c r="B9" s="212">
        <v>0</v>
      </c>
      <c r="C9" s="212">
        <v>0</v>
      </c>
      <c r="D9" s="212">
        <v>0</v>
      </c>
      <c r="E9" s="212">
        <v>0</v>
      </c>
      <c r="F9" s="212">
        <v>0</v>
      </c>
      <c r="G9" s="212">
        <v>0</v>
      </c>
      <c r="H9" s="212">
        <v>0</v>
      </c>
      <c r="I9" s="212">
        <v>0</v>
      </c>
      <c r="J9" s="212">
        <v>0</v>
      </c>
      <c r="K9" s="212">
        <v>0</v>
      </c>
      <c r="L9" s="212">
        <v>0</v>
      </c>
      <c r="M9" s="212">
        <v>0</v>
      </c>
      <c r="N9" s="212">
        <v>0</v>
      </c>
      <c r="O9" s="212">
        <v>0</v>
      </c>
      <c r="P9" s="212">
        <v>0</v>
      </c>
      <c r="Q9" s="212">
        <v>0</v>
      </c>
      <c r="R9" s="212">
        <v>0</v>
      </c>
      <c r="S9" s="212">
        <v>0</v>
      </c>
      <c r="T9" s="60" t="s">
        <v>21</v>
      </c>
    </row>
    <row r="10" spans="1:27" hidden="1" x14ac:dyDescent="0.2">
      <c r="A10" s="254" t="s">
        <v>122</v>
      </c>
      <c r="B10" s="187">
        <v>0</v>
      </c>
      <c r="C10" s="187">
        <v>0</v>
      </c>
      <c r="D10" s="187">
        <v>0</v>
      </c>
      <c r="E10" s="187">
        <v>0</v>
      </c>
      <c r="F10" s="187">
        <v>0</v>
      </c>
      <c r="G10" s="187">
        <v>0</v>
      </c>
      <c r="H10" s="187">
        <v>0</v>
      </c>
      <c r="I10" s="187">
        <v>0</v>
      </c>
      <c r="J10" s="187">
        <v>0</v>
      </c>
      <c r="K10" s="187">
        <v>0</v>
      </c>
      <c r="L10" s="187">
        <v>0</v>
      </c>
      <c r="M10" s="187">
        <v>0</v>
      </c>
      <c r="N10" s="187">
        <v>0</v>
      </c>
      <c r="O10" s="187">
        <v>0</v>
      </c>
      <c r="P10" s="187">
        <v>0</v>
      </c>
      <c r="Q10" s="187">
        <v>0</v>
      </c>
      <c r="R10" s="187">
        <v>0</v>
      </c>
      <c r="S10" s="187">
        <v>0</v>
      </c>
      <c r="T10" s="60" t="s">
        <v>21</v>
      </c>
    </row>
    <row r="11" spans="1:27" hidden="1" x14ac:dyDescent="0.2">
      <c r="A11" s="254" t="s">
        <v>123</v>
      </c>
      <c r="B11" s="187">
        <v>0</v>
      </c>
      <c r="C11" s="187">
        <v>0</v>
      </c>
      <c r="D11" s="187">
        <v>0</v>
      </c>
      <c r="E11" s="187">
        <v>0</v>
      </c>
      <c r="F11" s="187">
        <v>0</v>
      </c>
      <c r="G11" s="187">
        <v>0</v>
      </c>
      <c r="H11" s="187">
        <v>0</v>
      </c>
      <c r="I11" s="187">
        <v>0</v>
      </c>
      <c r="J11" s="187">
        <v>0</v>
      </c>
      <c r="K11" s="187">
        <v>0</v>
      </c>
      <c r="L11" s="187">
        <v>0</v>
      </c>
      <c r="M11" s="187">
        <v>0</v>
      </c>
      <c r="N11" s="187">
        <v>0</v>
      </c>
      <c r="O11" s="187">
        <v>0</v>
      </c>
      <c r="P11" s="187">
        <v>0</v>
      </c>
      <c r="Q11" s="187">
        <v>0</v>
      </c>
      <c r="R11" s="187">
        <v>0</v>
      </c>
      <c r="S11" s="187">
        <v>0</v>
      </c>
      <c r="T11" s="60" t="s">
        <v>21</v>
      </c>
    </row>
    <row r="12" spans="1:27" hidden="1" x14ac:dyDescent="0.2">
      <c r="A12" s="254" t="s">
        <v>124</v>
      </c>
      <c r="B12" s="187">
        <v>0</v>
      </c>
      <c r="C12" s="187">
        <v>0</v>
      </c>
      <c r="D12" s="187">
        <v>0</v>
      </c>
      <c r="E12" s="187">
        <v>0</v>
      </c>
      <c r="F12" s="187">
        <v>0</v>
      </c>
      <c r="G12" s="187">
        <v>0</v>
      </c>
      <c r="H12" s="187">
        <v>0</v>
      </c>
      <c r="I12" s="187">
        <v>0</v>
      </c>
      <c r="J12" s="187">
        <v>0</v>
      </c>
      <c r="K12" s="187">
        <v>0</v>
      </c>
      <c r="L12" s="187">
        <v>0</v>
      </c>
      <c r="M12" s="187">
        <v>0</v>
      </c>
      <c r="N12" s="187">
        <v>0</v>
      </c>
      <c r="O12" s="187">
        <v>0</v>
      </c>
      <c r="P12" s="187">
        <v>0</v>
      </c>
      <c r="Q12" s="187">
        <v>0</v>
      </c>
      <c r="R12" s="187">
        <v>0</v>
      </c>
      <c r="S12" s="187">
        <v>0</v>
      </c>
      <c r="T12" s="60" t="s">
        <v>21</v>
      </c>
    </row>
    <row r="13" spans="1:27" hidden="1" x14ac:dyDescent="0.2">
      <c r="A13" s="254" t="s">
        <v>125</v>
      </c>
      <c r="B13" s="187">
        <v>0</v>
      </c>
      <c r="C13" s="187">
        <v>0</v>
      </c>
      <c r="D13" s="187">
        <v>0</v>
      </c>
      <c r="E13" s="187">
        <v>0</v>
      </c>
      <c r="F13" s="187">
        <v>0</v>
      </c>
      <c r="G13" s="187">
        <v>0</v>
      </c>
      <c r="H13" s="187">
        <v>0</v>
      </c>
      <c r="I13" s="187">
        <v>0</v>
      </c>
      <c r="J13" s="187">
        <v>0</v>
      </c>
      <c r="K13" s="187">
        <v>0</v>
      </c>
      <c r="L13" s="187">
        <v>0</v>
      </c>
      <c r="M13" s="187">
        <v>0</v>
      </c>
      <c r="N13" s="187">
        <v>0</v>
      </c>
      <c r="O13" s="187">
        <v>0</v>
      </c>
      <c r="P13" s="187">
        <v>0</v>
      </c>
      <c r="Q13" s="187">
        <v>0</v>
      </c>
      <c r="R13" s="187">
        <v>0</v>
      </c>
      <c r="S13" s="187">
        <v>0</v>
      </c>
      <c r="T13" s="60" t="s">
        <v>21</v>
      </c>
    </row>
    <row r="14" spans="1:27" hidden="1" x14ac:dyDescent="0.2">
      <c r="A14" s="254" t="s">
        <v>126</v>
      </c>
      <c r="B14" s="187">
        <v>0</v>
      </c>
      <c r="C14" s="187">
        <v>0</v>
      </c>
      <c r="D14" s="187">
        <v>0</v>
      </c>
      <c r="E14" s="187">
        <v>0</v>
      </c>
      <c r="F14" s="187">
        <v>0</v>
      </c>
      <c r="G14" s="187">
        <v>0</v>
      </c>
      <c r="H14" s="187">
        <v>0</v>
      </c>
      <c r="I14" s="187">
        <v>0</v>
      </c>
      <c r="J14" s="187">
        <v>0</v>
      </c>
      <c r="K14" s="187">
        <v>0</v>
      </c>
      <c r="L14" s="187">
        <v>0</v>
      </c>
      <c r="M14" s="187">
        <v>0</v>
      </c>
      <c r="N14" s="187">
        <v>0</v>
      </c>
      <c r="O14" s="187">
        <v>0</v>
      </c>
      <c r="P14" s="187">
        <v>0</v>
      </c>
      <c r="Q14" s="187">
        <v>0</v>
      </c>
      <c r="R14" s="187">
        <v>0</v>
      </c>
      <c r="S14" s="187">
        <v>0</v>
      </c>
      <c r="T14" s="60" t="s">
        <v>21</v>
      </c>
    </row>
    <row r="15" spans="1:27" hidden="1" x14ac:dyDescent="0.2">
      <c r="A15" s="254" t="s">
        <v>127</v>
      </c>
      <c r="B15" s="187">
        <v>0</v>
      </c>
      <c r="C15" s="187">
        <v>0</v>
      </c>
      <c r="D15" s="187">
        <v>0</v>
      </c>
      <c r="E15" s="187">
        <v>0</v>
      </c>
      <c r="F15" s="187">
        <v>0</v>
      </c>
      <c r="G15" s="187">
        <v>0</v>
      </c>
      <c r="H15" s="187">
        <v>0</v>
      </c>
      <c r="I15" s="187">
        <v>0</v>
      </c>
      <c r="J15" s="187">
        <v>0</v>
      </c>
      <c r="K15" s="187">
        <v>0</v>
      </c>
      <c r="L15" s="187">
        <v>0</v>
      </c>
      <c r="M15" s="187">
        <v>0</v>
      </c>
      <c r="N15" s="187">
        <v>0</v>
      </c>
      <c r="O15" s="187">
        <v>0</v>
      </c>
      <c r="P15" s="187">
        <v>0</v>
      </c>
      <c r="Q15" s="187">
        <v>0</v>
      </c>
      <c r="R15" s="187">
        <v>0</v>
      </c>
      <c r="S15" s="187">
        <v>0</v>
      </c>
      <c r="T15" s="60" t="s">
        <v>21</v>
      </c>
    </row>
    <row r="16" spans="1:27" hidden="1" x14ac:dyDescent="0.2">
      <c r="A16" s="254" t="s">
        <v>128</v>
      </c>
      <c r="B16" s="187">
        <v>0</v>
      </c>
      <c r="C16" s="187">
        <v>0</v>
      </c>
      <c r="D16" s="187">
        <v>0</v>
      </c>
      <c r="E16" s="187">
        <v>0</v>
      </c>
      <c r="F16" s="187">
        <v>0</v>
      </c>
      <c r="G16" s="187">
        <v>0</v>
      </c>
      <c r="H16" s="187">
        <v>0</v>
      </c>
      <c r="I16" s="187">
        <v>0</v>
      </c>
      <c r="J16" s="187">
        <v>0</v>
      </c>
      <c r="K16" s="187">
        <v>0</v>
      </c>
      <c r="L16" s="187">
        <v>0</v>
      </c>
      <c r="M16" s="187">
        <v>0</v>
      </c>
      <c r="N16" s="187">
        <v>0</v>
      </c>
      <c r="O16" s="187">
        <v>0</v>
      </c>
      <c r="P16" s="187">
        <v>0</v>
      </c>
      <c r="Q16" s="187">
        <v>0</v>
      </c>
      <c r="R16" s="187">
        <v>0</v>
      </c>
      <c r="S16" s="187">
        <v>0</v>
      </c>
      <c r="T16" s="60" t="s">
        <v>21</v>
      </c>
    </row>
    <row r="17" spans="1:20" hidden="1" x14ac:dyDescent="0.2">
      <c r="A17" s="254" t="s">
        <v>129</v>
      </c>
      <c r="B17" s="187">
        <v>0</v>
      </c>
      <c r="C17" s="187">
        <v>0</v>
      </c>
      <c r="D17" s="187">
        <v>0</v>
      </c>
      <c r="E17" s="187">
        <v>0</v>
      </c>
      <c r="F17" s="187">
        <v>0</v>
      </c>
      <c r="G17" s="187">
        <v>0</v>
      </c>
      <c r="H17" s="187">
        <v>0</v>
      </c>
      <c r="I17" s="187">
        <v>0</v>
      </c>
      <c r="J17" s="187">
        <v>0</v>
      </c>
      <c r="K17" s="187">
        <v>0</v>
      </c>
      <c r="L17" s="187">
        <v>0</v>
      </c>
      <c r="M17" s="187">
        <v>0</v>
      </c>
      <c r="N17" s="187">
        <v>0</v>
      </c>
      <c r="O17" s="187">
        <v>0</v>
      </c>
      <c r="P17" s="187">
        <v>0</v>
      </c>
      <c r="Q17" s="187">
        <v>0</v>
      </c>
      <c r="R17" s="187">
        <v>0</v>
      </c>
      <c r="S17" s="187">
        <v>0</v>
      </c>
      <c r="T17" s="60" t="s">
        <v>21</v>
      </c>
    </row>
    <row r="18" spans="1:20" hidden="1" x14ac:dyDescent="0.2">
      <c r="A18" s="254" t="s">
        <v>130</v>
      </c>
      <c r="B18" s="187">
        <v>0</v>
      </c>
      <c r="C18" s="187">
        <v>0</v>
      </c>
      <c r="D18" s="187">
        <v>0</v>
      </c>
      <c r="E18" s="187">
        <v>0</v>
      </c>
      <c r="F18" s="187">
        <v>0</v>
      </c>
      <c r="G18" s="187">
        <v>0</v>
      </c>
      <c r="H18" s="187">
        <v>0</v>
      </c>
      <c r="I18" s="187">
        <v>0</v>
      </c>
      <c r="J18" s="187">
        <v>0</v>
      </c>
      <c r="K18" s="187">
        <v>0</v>
      </c>
      <c r="L18" s="187">
        <v>0</v>
      </c>
      <c r="M18" s="187">
        <v>0</v>
      </c>
      <c r="N18" s="187">
        <v>0</v>
      </c>
      <c r="O18" s="187">
        <v>0</v>
      </c>
      <c r="P18" s="187">
        <v>0</v>
      </c>
      <c r="Q18" s="187">
        <v>0</v>
      </c>
      <c r="R18" s="187">
        <v>0</v>
      </c>
      <c r="S18" s="187">
        <v>0</v>
      </c>
      <c r="T18" s="60" t="s">
        <v>21</v>
      </c>
    </row>
    <row r="19" spans="1:20" hidden="1" x14ac:dyDescent="0.2">
      <c r="A19" s="254" t="s">
        <v>131</v>
      </c>
      <c r="B19" s="187">
        <v>0</v>
      </c>
      <c r="C19" s="187">
        <v>0</v>
      </c>
      <c r="D19" s="187">
        <v>0</v>
      </c>
      <c r="E19" s="187">
        <v>0</v>
      </c>
      <c r="F19" s="187">
        <v>0</v>
      </c>
      <c r="G19" s="187">
        <v>0</v>
      </c>
      <c r="H19" s="187">
        <v>0</v>
      </c>
      <c r="I19" s="187">
        <v>0</v>
      </c>
      <c r="J19" s="187">
        <v>0</v>
      </c>
      <c r="K19" s="187">
        <v>0</v>
      </c>
      <c r="L19" s="187">
        <v>0</v>
      </c>
      <c r="M19" s="187">
        <v>0</v>
      </c>
      <c r="N19" s="187">
        <v>0</v>
      </c>
      <c r="O19" s="187">
        <v>0</v>
      </c>
      <c r="P19" s="187">
        <v>0</v>
      </c>
      <c r="Q19" s="187">
        <v>0</v>
      </c>
      <c r="R19" s="187">
        <v>0</v>
      </c>
      <c r="S19" s="187">
        <v>0</v>
      </c>
      <c r="T19" s="60" t="s">
        <v>21</v>
      </c>
    </row>
    <row r="20" spans="1:20" hidden="1" x14ac:dyDescent="0.2">
      <c r="A20" s="258" t="s">
        <v>132</v>
      </c>
      <c r="B20" s="207">
        <v>0</v>
      </c>
      <c r="C20" s="207">
        <v>0</v>
      </c>
      <c r="D20" s="207">
        <v>0</v>
      </c>
      <c r="E20" s="207">
        <v>0</v>
      </c>
      <c r="F20" s="207">
        <v>0</v>
      </c>
      <c r="G20" s="207">
        <v>0</v>
      </c>
      <c r="H20" s="207">
        <v>0</v>
      </c>
      <c r="I20" s="207">
        <v>0</v>
      </c>
      <c r="J20" s="207">
        <v>0</v>
      </c>
      <c r="K20" s="207">
        <v>0</v>
      </c>
      <c r="L20" s="207">
        <v>0</v>
      </c>
      <c r="M20" s="207">
        <v>0</v>
      </c>
      <c r="N20" s="207">
        <v>0</v>
      </c>
      <c r="O20" s="207">
        <v>0</v>
      </c>
      <c r="P20" s="207">
        <v>0</v>
      </c>
      <c r="Q20" s="207">
        <v>0</v>
      </c>
      <c r="R20" s="207">
        <v>0</v>
      </c>
      <c r="S20" s="207">
        <v>0</v>
      </c>
      <c r="T20" s="60" t="s">
        <v>21</v>
      </c>
    </row>
    <row r="21" spans="1:20" hidden="1" x14ac:dyDescent="0.2">
      <c r="A21" s="260" t="s">
        <v>133</v>
      </c>
      <c r="B21" s="212">
        <f t="shared" ref="B21:S21" si="0">SUM(B9:B20)</f>
        <v>0</v>
      </c>
      <c r="C21" s="212">
        <f t="shared" si="0"/>
        <v>0</v>
      </c>
      <c r="D21" s="212">
        <f t="shared" si="0"/>
        <v>0</v>
      </c>
      <c r="E21" s="212">
        <f t="shared" si="0"/>
        <v>0</v>
      </c>
      <c r="F21" s="212">
        <f t="shared" si="0"/>
        <v>0</v>
      </c>
      <c r="G21" s="212">
        <f t="shared" si="0"/>
        <v>0</v>
      </c>
      <c r="H21" s="212">
        <f t="shared" si="0"/>
        <v>0</v>
      </c>
      <c r="I21" s="212">
        <f t="shared" si="0"/>
        <v>0</v>
      </c>
      <c r="J21" s="212">
        <f t="shared" si="0"/>
        <v>0</v>
      </c>
      <c r="K21" s="212">
        <f t="shared" si="0"/>
        <v>0</v>
      </c>
      <c r="L21" s="212">
        <f t="shared" si="0"/>
        <v>0</v>
      </c>
      <c r="M21" s="212">
        <f t="shared" si="0"/>
        <v>0</v>
      </c>
      <c r="N21" s="212">
        <f t="shared" si="0"/>
        <v>0</v>
      </c>
      <c r="O21" s="212">
        <f t="shared" si="0"/>
        <v>0</v>
      </c>
      <c r="P21" s="212">
        <f t="shared" si="0"/>
        <v>0</v>
      </c>
      <c r="Q21" s="212">
        <f t="shared" si="0"/>
        <v>0</v>
      </c>
      <c r="R21" s="212">
        <f t="shared" si="0"/>
        <v>0</v>
      </c>
      <c r="S21" s="212">
        <f t="shared" si="0"/>
        <v>0</v>
      </c>
      <c r="T21" s="60" t="s">
        <v>21</v>
      </c>
    </row>
    <row r="22" spans="1:20" hidden="1" x14ac:dyDescent="0.2">
      <c r="A22" s="259" t="s">
        <v>134</v>
      </c>
      <c r="B22" s="187">
        <f>-B21*0.5</f>
        <v>0</v>
      </c>
      <c r="C22" s="187">
        <f>-C21*0.5</f>
        <v>0</v>
      </c>
      <c r="D22" s="187">
        <f>-D21*0.5</f>
        <v>0</v>
      </c>
      <c r="E22" s="187">
        <f>-E21*0.5</f>
        <v>0</v>
      </c>
      <c r="F22" s="187">
        <f>-F21*0.5</f>
        <v>0</v>
      </c>
      <c r="G22" s="187"/>
      <c r="H22" s="187">
        <f>-H21*0.5</f>
        <v>0</v>
      </c>
      <c r="I22" s="187">
        <f>-I21*0.5</f>
        <v>0</v>
      </c>
      <c r="J22" s="187">
        <f>-J21*0.5</f>
        <v>0</v>
      </c>
      <c r="K22" s="187">
        <f>-K21*0.5</f>
        <v>0</v>
      </c>
      <c r="L22" s="187">
        <f>-L21*0.5</f>
        <v>0</v>
      </c>
      <c r="M22" s="187"/>
      <c r="N22" s="187">
        <f>-N21*0.5</f>
        <v>0</v>
      </c>
      <c r="O22" s="187">
        <f>-O21*0.5</f>
        <v>0</v>
      </c>
      <c r="P22" s="187">
        <f>-P21*0.5</f>
        <v>0</v>
      </c>
      <c r="Q22" s="187">
        <f>-Q21*0.5</f>
        <v>0</v>
      </c>
      <c r="R22" s="187">
        <f>-R21*0.5</f>
        <v>0</v>
      </c>
      <c r="S22" s="187"/>
      <c r="T22" s="60" t="s">
        <v>21</v>
      </c>
    </row>
    <row r="23" spans="1:20" hidden="1" x14ac:dyDescent="0.2">
      <c r="A23" s="254" t="s">
        <v>170</v>
      </c>
      <c r="B23" s="187"/>
      <c r="C23" s="187">
        <v>0</v>
      </c>
      <c r="D23" s="187"/>
      <c r="E23" s="187">
        <v>0</v>
      </c>
      <c r="F23" s="187"/>
      <c r="G23" s="187">
        <v>0</v>
      </c>
      <c r="H23" s="187"/>
      <c r="I23" s="187">
        <v>0</v>
      </c>
      <c r="J23" s="187"/>
      <c r="K23" s="187">
        <v>0</v>
      </c>
      <c r="L23" s="187"/>
      <c r="M23" s="187">
        <v>0</v>
      </c>
      <c r="N23" s="187"/>
      <c r="O23" s="187">
        <v>0</v>
      </c>
      <c r="P23" s="187"/>
      <c r="Q23" s="187">
        <v>0</v>
      </c>
      <c r="R23" s="187"/>
      <c r="S23" s="187">
        <v>0</v>
      </c>
      <c r="T23" s="60" t="s">
        <v>21</v>
      </c>
    </row>
    <row r="24" spans="1:20" hidden="1" x14ac:dyDescent="0.2">
      <c r="A24" s="258" t="s">
        <v>135</v>
      </c>
      <c r="B24" s="207">
        <f t="shared" ref="B24:S24" si="1">SUM(B21:B23)</f>
        <v>0</v>
      </c>
      <c r="C24" s="207">
        <f t="shared" si="1"/>
        <v>0</v>
      </c>
      <c r="D24" s="207">
        <f t="shared" si="1"/>
        <v>0</v>
      </c>
      <c r="E24" s="207">
        <f t="shared" si="1"/>
        <v>0</v>
      </c>
      <c r="F24" s="207">
        <f t="shared" si="1"/>
        <v>0</v>
      </c>
      <c r="G24" s="207">
        <f t="shared" si="1"/>
        <v>0</v>
      </c>
      <c r="H24" s="207">
        <f t="shared" si="1"/>
        <v>0</v>
      </c>
      <c r="I24" s="207">
        <f t="shared" si="1"/>
        <v>0</v>
      </c>
      <c r="J24" s="207">
        <f t="shared" si="1"/>
        <v>0</v>
      </c>
      <c r="K24" s="207">
        <f t="shared" si="1"/>
        <v>0</v>
      </c>
      <c r="L24" s="207">
        <f t="shared" si="1"/>
        <v>0</v>
      </c>
      <c r="M24" s="207">
        <f t="shared" si="1"/>
        <v>0</v>
      </c>
      <c r="N24" s="207">
        <f t="shared" si="1"/>
        <v>0</v>
      </c>
      <c r="O24" s="207">
        <f t="shared" si="1"/>
        <v>0</v>
      </c>
      <c r="P24" s="207">
        <f t="shared" si="1"/>
        <v>0</v>
      </c>
      <c r="Q24" s="207">
        <f t="shared" si="1"/>
        <v>0</v>
      </c>
      <c r="R24" s="207">
        <f t="shared" si="1"/>
        <v>0</v>
      </c>
      <c r="S24" s="207">
        <f t="shared" si="1"/>
        <v>0</v>
      </c>
      <c r="T24" s="60" t="s">
        <v>21</v>
      </c>
    </row>
    <row r="25" spans="1:20" hidden="1" x14ac:dyDescent="0.2">
      <c r="A25" s="254" t="s">
        <v>95</v>
      </c>
      <c r="B25" s="187"/>
      <c r="C25" s="187">
        <v>0</v>
      </c>
      <c r="D25" s="187"/>
      <c r="E25" s="187">
        <v>0</v>
      </c>
      <c r="F25" s="187"/>
      <c r="G25" s="187">
        <v>0</v>
      </c>
      <c r="H25" s="187"/>
      <c r="I25" s="187">
        <v>0</v>
      </c>
      <c r="J25" s="187"/>
      <c r="K25" s="187">
        <v>0</v>
      </c>
      <c r="L25" s="187"/>
      <c r="M25" s="187">
        <v>0</v>
      </c>
      <c r="N25" s="187"/>
      <c r="O25" s="187">
        <v>0</v>
      </c>
      <c r="P25" s="187"/>
      <c r="Q25" s="187">
        <v>0</v>
      </c>
      <c r="R25" s="187"/>
      <c r="S25" s="187">
        <v>0</v>
      </c>
      <c r="T25" s="60" t="s">
        <v>21</v>
      </c>
    </row>
    <row r="26" spans="1:20" x14ac:dyDescent="0.2">
      <c r="A26" s="254" t="s">
        <v>96</v>
      </c>
      <c r="B26" s="187"/>
      <c r="C26" s="187">
        <v>0</v>
      </c>
      <c r="D26" s="187"/>
      <c r="E26" s="187">
        <v>0</v>
      </c>
      <c r="F26" s="187">
        <v>0</v>
      </c>
      <c r="G26" s="187">
        <v>-233</v>
      </c>
      <c r="H26" s="187"/>
      <c r="I26" s="187">
        <v>0</v>
      </c>
      <c r="J26" s="187"/>
      <c r="K26" s="187">
        <v>0</v>
      </c>
      <c r="L26" s="187">
        <v>0</v>
      </c>
      <c r="M26" s="187">
        <v>-160</v>
      </c>
      <c r="N26" s="187"/>
      <c r="O26" s="187">
        <v>0</v>
      </c>
      <c r="P26" s="187"/>
      <c r="Q26" s="187">
        <v>0</v>
      </c>
      <c r="R26" s="187">
        <v>0</v>
      </c>
      <c r="S26" s="187">
        <v>-110</v>
      </c>
      <c r="T26" s="60" t="s">
        <v>21</v>
      </c>
    </row>
    <row r="27" spans="1:20" x14ac:dyDescent="0.2">
      <c r="A27" s="254" t="s">
        <v>171</v>
      </c>
      <c r="B27" s="187"/>
      <c r="C27" s="187">
        <v>0</v>
      </c>
      <c r="D27" s="187"/>
      <c r="E27" s="187">
        <v>0</v>
      </c>
      <c r="F27" s="187">
        <v>0</v>
      </c>
      <c r="G27" s="187">
        <v>-10</v>
      </c>
      <c r="H27" s="187"/>
      <c r="I27" s="187">
        <v>0</v>
      </c>
      <c r="J27" s="187"/>
      <c r="K27" s="187">
        <v>0</v>
      </c>
      <c r="L27" s="187">
        <v>0</v>
      </c>
      <c r="M27" s="187">
        <v>-7</v>
      </c>
      <c r="N27" s="187"/>
      <c r="O27" s="187">
        <v>0</v>
      </c>
      <c r="P27" s="187"/>
      <c r="Q27" s="187">
        <v>0</v>
      </c>
      <c r="R27" s="187">
        <v>0</v>
      </c>
      <c r="S27" s="187">
        <v>-5</v>
      </c>
      <c r="T27" s="60" t="s">
        <v>21</v>
      </c>
    </row>
    <row r="28" spans="1:20" hidden="1" x14ac:dyDescent="0.2">
      <c r="A28" s="254" t="s">
        <v>97</v>
      </c>
      <c r="B28" s="187"/>
      <c r="C28" s="187">
        <v>0</v>
      </c>
      <c r="D28" s="187"/>
      <c r="E28" s="187">
        <v>0</v>
      </c>
      <c r="F28" s="187"/>
      <c r="G28" s="187">
        <v>0</v>
      </c>
      <c r="H28" s="187"/>
      <c r="I28" s="187">
        <v>0</v>
      </c>
      <c r="J28" s="187"/>
      <c r="K28" s="187">
        <v>0</v>
      </c>
      <c r="L28" s="187"/>
      <c r="M28" s="187">
        <v>0</v>
      </c>
      <c r="N28" s="187"/>
      <c r="O28" s="187">
        <v>0</v>
      </c>
      <c r="P28" s="187"/>
      <c r="Q28" s="187">
        <v>0</v>
      </c>
      <c r="R28" s="187"/>
      <c r="S28" s="187">
        <v>0</v>
      </c>
      <c r="T28" s="60" t="s">
        <v>21</v>
      </c>
    </row>
    <row r="29" spans="1:20" x14ac:dyDescent="0.2">
      <c r="A29" s="254" t="s">
        <v>99</v>
      </c>
      <c r="B29" s="187"/>
      <c r="C29" s="187">
        <v>0</v>
      </c>
      <c r="D29" s="187"/>
      <c r="E29" s="187">
        <v>0</v>
      </c>
      <c r="F29" s="187">
        <v>0</v>
      </c>
      <c r="G29" s="187">
        <v>-198</v>
      </c>
      <c r="H29" s="187"/>
      <c r="I29" s="187">
        <v>0</v>
      </c>
      <c r="J29" s="187"/>
      <c r="K29" s="187">
        <v>0</v>
      </c>
      <c r="L29" s="187">
        <v>0</v>
      </c>
      <c r="M29" s="187">
        <v>-164</v>
      </c>
      <c r="N29" s="187"/>
      <c r="O29" s="187">
        <v>0</v>
      </c>
      <c r="P29" s="187"/>
      <c r="Q29" s="187">
        <v>0</v>
      </c>
      <c r="R29" s="187">
        <v>0</v>
      </c>
      <c r="S29" s="187">
        <v>-101</v>
      </c>
      <c r="T29" s="60" t="s">
        <v>21</v>
      </c>
    </row>
    <row r="30" spans="1:20" x14ac:dyDescent="0.2">
      <c r="A30" s="254" t="s">
        <v>100</v>
      </c>
      <c r="B30" s="187"/>
      <c r="C30" s="187">
        <v>0</v>
      </c>
      <c r="D30" s="187"/>
      <c r="E30" s="187">
        <v>0</v>
      </c>
      <c r="F30" s="187">
        <v>0</v>
      </c>
      <c r="G30" s="187">
        <v>-5</v>
      </c>
      <c r="H30" s="187"/>
      <c r="I30" s="187">
        <v>0</v>
      </c>
      <c r="J30" s="187"/>
      <c r="K30" s="187">
        <v>0</v>
      </c>
      <c r="L30" s="187">
        <v>0</v>
      </c>
      <c r="M30" s="187">
        <v>-5</v>
      </c>
      <c r="N30" s="187"/>
      <c r="O30" s="187">
        <v>0</v>
      </c>
      <c r="P30" s="187"/>
      <c r="Q30" s="187">
        <v>0</v>
      </c>
      <c r="R30" s="187">
        <v>0</v>
      </c>
      <c r="S30" s="187">
        <v>-3</v>
      </c>
      <c r="T30" s="60" t="s">
        <v>21</v>
      </c>
    </row>
    <row r="31" spans="1:20" hidden="1" x14ac:dyDescent="0.2">
      <c r="A31" s="254" t="s">
        <v>101</v>
      </c>
      <c r="B31" s="187"/>
      <c r="C31" s="187">
        <v>0</v>
      </c>
      <c r="D31" s="187"/>
      <c r="E31" s="187">
        <v>0</v>
      </c>
      <c r="F31" s="187"/>
      <c r="G31" s="187">
        <v>0</v>
      </c>
      <c r="H31" s="187"/>
      <c r="I31" s="187">
        <v>0</v>
      </c>
      <c r="J31" s="187"/>
      <c r="K31" s="187">
        <v>0</v>
      </c>
      <c r="L31" s="187"/>
      <c r="M31" s="187">
        <v>0</v>
      </c>
      <c r="N31" s="187"/>
      <c r="O31" s="187">
        <v>0</v>
      </c>
      <c r="P31" s="187"/>
      <c r="Q31" s="187">
        <v>0</v>
      </c>
      <c r="R31" s="187"/>
      <c r="S31" s="187">
        <v>0</v>
      </c>
      <c r="T31" s="60" t="s">
        <v>21</v>
      </c>
    </row>
    <row r="32" spans="1:20" x14ac:dyDescent="0.2">
      <c r="A32" s="254" t="s">
        <v>102</v>
      </c>
      <c r="B32" s="187"/>
      <c r="C32" s="187">
        <v>0</v>
      </c>
      <c r="D32" s="187"/>
      <c r="E32" s="187">
        <v>0</v>
      </c>
      <c r="F32" s="187">
        <v>0</v>
      </c>
      <c r="G32" s="187">
        <v>-128</v>
      </c>
      <c r="H32" s="187"/>
      <c r="I32" s="187">
        <v>0</v>
      </c>
      <c r="J32" s="187"/>
      <c r="K32" s="187">
        <v>0</v>
      </c>
      <c r="L32" s="187">
        <v>0</v>
      </c>
      <c r="M32" s="187">
        <v>-979</v>
      </c>
      <c r="N32" s="187"/>
      <c r="O32" s="187">
        <v>0</v>
      </c>
      <c r="P32" s="187"/>
      <c r="Q32" s="187">
        <v>0</v>
      </c>
      <c r="R32" s="187">
        <v>0</v>
      </c>
      <c r="S32" s="187">
        <v>-372</v>
      </c>
      <c r="T32" s="60" t="s">
        <v>21</v>
      </c>
    </row>
    <row r="33" spans="1:20" hidden="1" x14ac:dyDescent="0.2">
      <c r="A33" s="254" t="s">
        <v>103</v>
      </c>
      <c r="B33" s="187"/>
      <c r="C33" s="187">
        <v>0</v>
      </c>
      <c r="D33" s="187"/>
      <c r="E33" s="187">
        <v>0</v>
      </c>
      <c r="F33" s="187"/>
      <c r="G33" s="187">
        <v>0</v>
      </c>
      <c r="H33" s="187"/>
      <c r="I33" s="187">
        <v>0</v>
      </c>
      <c r="J33" s="187"/>
      <c r="K33" s="187">
        <v>0</v>
      </c>
      <c r="L33" s="187"/>
      <c r="M33" s="187">
        <v>0</v>
      </c>
      <c r="N33" s="187"/>
      <c r="O33" s="187">
        <v>0</v>
      </c>
      <c r="P33" s="187"/>
      <c r="Q33" s="187">
        <v>0</v>
      </c>
      <c r="R33" s="187"/>
      <c r="S33" s="187">
        <v>0</v>
      </c>
      <c r="T33" s="60" t="s">
        <v>21</v>
      </c>
    </row>
    <row r="34" spans="1:20" hidden="1" x14ac:dyDescent="0.2">
      <c r="A34" s="254" t="s">
        <v>105</v>
      </c>
      <c r="B34" s="187"/>
      <c r="C34" s="187">
        <v>0</v>
      </c>
      <c r="D34" s="187"/>
      <c r="E34" s="187">
        <v>0</v>
      </c>
      <c r="F34" s="187"/>
      <c r="G34" s="187">
        <v>0</v>
      </c>
      <c r="H34" s="187"/>
      <c r="I34" s="187">
        <v>0</v>
      </c>
      <c r="J34" s="187"/>
      <c r="K34" s="187">
        <v>0</v>
      </c>
      <c r="L34" s="187"/>
      <c r="M34" s="187">
        <v>0</v>
      </c>
      <c r="N34" s="187"/>
      <c r="O34" s="187">
        <v>0</v>
      </c>
      <c r="P34" s="187"/>
      <c r="Q34" s="187">
        <v>0</v>
      </c>
      <c r="R34" s="187"/>
      <c r="S34" s="187">
        <v>0</v>
      </c>
      <c r="T34" s="60" t="s">
        <v>21</v>
      </c>
    </row>
    <row r="35" spans="1:20" hidden="1" x14ac:dyDescent="0.2">
      <c r="A35" s="254" t="s">
        <v>106</v>
      </c>
      <c r="B35" s="187"/>
      <c r="C35" s="187">
        <v>0</v>
      </c>
      <c r="D35" s="187"/>
      <c r="E35" s="187">
        <v>0</v>
      </c>
      <c r="F35" s="187"/>
      <c r="G35" s="187">
        <v>0</v>
      </c>
      <c r="H35" s="187"/>
      <c r="I35" s="187">
        <v>0</v>
      </c>
      <c r="J35" s="187"/>
      <c r="K35" s="187">
        <v>0</v>
      </c>
      <c r="L35" s="187"/>
      <c r="M35" s="187">
        <v>0</v>
      </c>
      <c r="N35" s="187"/>
      <c r="O35" s="187">
        <v>0</v>
      </c>
      <c r="P35" s="187"/>
      <c r="Q35" s="187">
        <v>0</v>
      </c>
      <c r="R35" s="187"/>
      <c r="S35" s="187">
        <v>0</v>
      </c>
      <c r="T35" s="60" t="s">
        <v>21</v>
      </c>
    </row>
    <row r="36" spans="1:20" x14ac:dyDescent="0.2">
      <c r="A36" s="254" t="s">
        <v>107</v>
      </c>
      <c r="B36" s="187"/>
      <c r="C36" s="187">
        <v>0</v>
      </c>
      <c r="D36" s="187"/>
      <c r="E36" s="187">
        <v>0</v>
      </c>
      <c r="F36" s="187">
        <v>0</v>
      </c>
      <c r="G36" s="187">
        <v>-49</v>
      </c>
      <c r="H36" s="187"/>
      <c r="I36" s="187">
        <v>0</v>
      </c>
      <c r="J36" s="187"/>
      <c r="K36" s="187">
        <v>0</v>
      </c>
      <c r="L36" s="187">
        <v>0</v>
      </c>
      <c r="M36" s="187">
        <v>-22</v>
      </c>
      <c r="N36" s="187"/>
      <c r="O36" s="187">
        <v>0</v>
      </c>
      <c r="P36" s="187"/>
      <c r="Q36" s="187">
        <v>0</v>
      </c>
      <c r="R36" s="187">
        <v>0</v>
      </c>
      <c r="S36" s="187">
        <v>-60</v>
      </c>
      <c r="T36" s="60" t="s">
        <v>21</v>
      </c>
    </row>
    <row r="37" spans="1:20" x14ac:dyDescent="0.2">
      <c r="A37" s="257" t="s">
        <v>108</v>
      </c>
      <c r="B37" s="256"/>
      <c r="C37" s="256">
        <v>0</v>
      </c>
      <c r="D37" s="256"/>
      <c r="E37" s="256">
        <v>0</v>
      </c>
      <c r="F37" s="256">
        <v>0</v>
      </c>
      <c r="G37" s="256">
        <v>-317</v>
      </c>
      <c r="H37" s="256"/>
      <c r="I37" s="256">
        <v>0</v>
      </c>
      <c r="J37" s="256"/>
      <c r="K37" s="256">
        <v>0</v>
      </c>
      <c r="L37" s="256">
        <v>0</v>
      </c>
      <c r="M37" s="256">
        <v>-347</v>
      </c>
      <c r="N37" s="256"/>
      <c r="O37" s="256">
        <v>0</v>
      </c>
      <c r="P37" s="256"/>
      <c r="Q37" s="256">
        <v>0</v>
      </c>
      <c r="R37" s="256">
        <v>0</v>
      </c>
      <c r="S37" s="256">
        <v>-1078</v>
      </c>
      <c r="T37" s="60" t="s">
        <v>21</v>
      </c>
    </row>
    <row r="38" spans="1:20" ht="15" x14ac:dyDescent="0.25">
      <c r="A38" s="67" t="s">
        <v>169</v>
      </c>
      <c r="B38" s="122">
        <f t="shared" ref="B38:S38" si="2">SUM(B24:B37)</f>
        <v>0</v>
      </c>
      <c r="C38" s="122">
        <f t="shared" si="2"/>
        <v>0</v>
      </c>
      <c r="D38" s="122">
        <f t="shared" si="2"/>
        <v>0</v>
      </c>
      <c r="E38" s="122">
        <f t="shared" si="2"/>
        <v>0</v>
      </c>
      <c r="F38" s="122">
        <f t="shared" si="2"/>
        <v>0</v>
      </c>
      <c r="G38" s="122">
        <f t="shared" si="2"/>
        <v>-940</v>
      </c>
      <c r="H38" s="122">
        <f t="shared" si="2"/>
        <v>0</v>
      </c>
      <c r="I38" s="122">
        <f t="shared" si="2"/>
        <v>0</v>
      </c>
      <c r="J38" s="122">
        <f t="shared" si="2"/>
        <v>0</v>
      </c>
      <c r="K38" s="122">
        <f t="shared" si="2"/>
        <v>0</v>
      </c>
      <c r="L38" s="122">
        <f t="shared" si="2"/>
        <v>0</v>
      </c>
      <c r="M38" s="122">
        <f t="shared" si="2"/>
        <v>-1684</v>
      </c>
      <c r="N38" s="122">
        <f t="shared" si="2"/>
        <v>0</v>
      </c>
      <c r="O38" s="122">
        <f t="shared" si="2"/>
        <v>0</v>
      </c>
      <c r="P38" s="122">
        <f t="shared" si="2"/>
        <v>0</v>
      </c>
      <c r="Q38" s="122">
        <f t="shared" si="2"/>
        <v>0</v>
      </c>
      <c r="R38" s="122">
        <f t="shared" si="2"/>
        <v>0</v>
      </c>
      <c r="S38" s="122">
        <f t="shared" si="2"/>
        <v>-1729</v>
      </c>
      <c r="T38" s="60" t="s">
        <v>21</v>
      </c>
    </row>
    <row r="39" spans="1:20" ht="15" x14ac:dyDescent="0.25">
      <c r="A39" s="66"/>
      <c r="B39" s="65"/>
      <c r="C39" s="65"/>
      <c r="D39" s="65"/>
      <c r="E39" s="65"/>
      <c r="F39" s="65"/>
      <c r="G39" s="65"/>
      <c r="H39" s="65"/>
      <c r="I39" s="65"/>
      <c r="J39" s="65"/>
      <c r="K39" s="65"/>
      <c r="L39" s="65"/>
      <c r="M39" s="65"/>
      <c r="N39" s="65"/>
      <c r="O39" s="65"/>
      <c r="P39" s="65"/>
      <c r="Q39" s="65"/>
      <c r="R39" s="65"/>
      <c r="S39" s="65"/>
      <c r="T39" s="60" t="s">
        <v>21</v>
      </c>
    </row>
    <row r="40" spans="1:20" x14ac:dyDescent="0.2">
      <c r="A40" s="263"/>
      <c r="B40" s="263"/>
      <c r="C40" s="263"/>
      <c r="D40" s="263"/>
      <c r="E40" s="263"/>
      <c r="F40" s="263"/>
      <c r="G40" s="263"/>
      <c r="H40" s="263"/>
      <c r="I40" s="263"/>
      <c r="J40" s="263"/>
      <c r="K40" s="263"/>
      <c r="L40" s="263"/>
      <c r="M40" s="263"/>
      <c r="N40" s="263"/>
      <c r="O40" s="263"/>
      <c r="P40" s="263"/>
      <c r="Q40" s="263"/>
      <c r="T40" s="60" t="s">
        <v>21</v>
      </c>
    </row>
    <row r="41" spans="1:20" ht="15" x14ac:dyDescent="0.2">
      <c r="A41" s="374" t="s">
        <v>118</v>
      </c>
      <c r="B41" s="377" t="s">
        <v>193</v>
      </c>
      <c r="C41" s="377"/>
      <c r="D41" s="377"/>
      <c r="E41" s="377"/>
      <c r="F41" s="377"/>
      <c r="G41" s="377"/>
      <c r="H41" s="377" t="s">
        <v>194</v>
      </c>
      <c r="I41" s="377"/>
      <c r="J41" s="377"/>
      <c r="K41" s="377"/>
      <c r="L41" s="377"/>
      <c r="M41" s="377"/>
      <c r="P41" s="262"/>
      <c r="Q41" s="261"/>
      <c r="R41" s="378" t="s">
        <v>18</v>
      </c>
      <c r="S41" s="379"/>
      <c r="T41" s="60" t="s">
        <v>21</v>
      </c>
    </row>
    <row r="42" spans="1:20" ht="15" customHeight="1" x14ac:dyDescent="0.2">
      <c r="A42" s="375"/>
      <c r="B42" s="371" t="s">
        <v>119</v>
      </c>
      <c r="C42" s="373"/>
      <c r="D42" s="371" t="s">
        <v>120</v>
      </c>
      <c r="E42" s="373"/>
      <c r="F42" s="371" t="s">
        <v>34</v>
      </c>
      <c r="G42" s="373"/>
      <c r="H42" s="371" t="s">
        <v>119</v>
      </c>
      <c r="I42" s="373"/>
      <c r="J42" s="371" t="s">
        <v>120</v>
      </c>
      <c r="K42" s="373"/>
      <c r="L42" s="371" t="s">
        <v>34</v>
      </c>
      <c r="M42" s="373"/>
      <c r="R42" s="380"/>
      <c r="S42" s="314"/>
      <c r="T42" s="60" t="s">
        <v>21</v>
      </c>
    </row>
    <row r="43" spans="1:20" ht="28.5" x14ac:dyDescent="0.2">
      <c r="A43" s="376"/>
      <c r="B43" s="177" t="s">
        <v>4</v>
      </c>
      <c r="C43" s="177" t="s">
        <v>5</v>
      </c>
      <c r="D43" s="177" t="s">
        <v>4</v>
      </c>
      <c r="E43" s="177" t="s">
        <v>5</v>
      </c>
      <c r="F43" s="177" t="s">
        <v>4</v>
      </c>
      <c r="G43" s="177" t="s">
        <v>5</v>
      </c>
      <c r="H43" s="177" t="s">
        <v>4</v>
      </c>
      <c r="I43" s="177" t="s">
        <v>5</v>
      </c>
      <c r="J43" s="177" t="s">
        <v>4</v>
      </c>
      <c r="K43" s="177" t="s">
        <v>5</v>
      </c>
      <c r="L43" s="177" t="s">
        <v>4</v>
      </c>
      <c r="M43" s="177" t="s">
        <v>5</v>
      </c>
      <c r="R43" s="177" t="s">
        <v>4</v>
      </c>
      <c r="S43" s="177" t="s">
        <v>5</v>
      </c>
      <c r="T43" s="60" t="s">
        <v>21</v>
      </c>
    </row>
    <row r="44" spans="1:20" hidden="1" x14ac:dyDescent="0.2">
      <c r="A44" s="260" t="s">
        <v>121</v>
      </c>
      <c r="B44" s="212">
        <v>0</v>
      </c>
      <c r="C44" s="212">
        <v>0</v>
      </c>
      <c r="D44" s="212">
        <v>0</v>
      </c>
      <c r="E44" s="212">
        <v>0</v>
      </c>
      <c r="F44" s="212">
        <v>0</v>
      </c>
      <c r="G44" s="212">
        <v>0</v>
      </c>
      <c r="H44" s="212">
        <v>0</v>
      </c>
      <c r="I44" s="212">
        <v>0</v>
      </c>
      <c r="J44" s="212">
        <v>0</v>
      </c>
      <c r="K44" s="212">
        <v>0</v>
      </c>
      <c r="L44" s="212">
        <v>0</v>
      </c>
      <c r="M44" s="212">
        <v>0</v>
      </c>
      <c r="R44" s="212">
        <f t="shared" ref="R44:R57" si="3">B9+D9+F9+H9+J9+L9+N9+P9+R9+B44+D44+F44+H44+J44+L44</f>
        <v>0</v>
      </c>
      <c r="S44" s="212">
        <f t="shared" ref="S44:S57" si="4">C9+E9+G9+I9+K9+M9+O9+Q9+S9+C44+E44+G44+I44+K44+M44</f>
        <v>0</v>
      </c>
      <c r="T44" s="60" t="s">
        <v>21</v>
      </c>
    </row>
    <row r="45" spans="1:20" hidden="1" x14ac:dyDescent="0.2">
      <c r="A45" s="254" t="s">
        <v>122</v>
      </c>
      <c r="B45" s="187">
        <v>0</v>
      </c>
      <c r="C45" s="187">
        <v>0</v>
      </c>
      <c r="D45" s="187">
        <v>0</v>
      </c>
      <c r="E45" s="187">
        <v>0</v>
      </c>
      <c r="F45" s="187">
        <v>0</v>
      </c>
      <c r="G45" s="187">
        <v>0</v>
      </c>
      <c r="H45" s="187">
        <v>0</v>
      </c>
      <c r="I45" s="187">
        <v>0</v>
      </c>
      <c r="J45" s="187">
        <v>0</v>
      </c>
      <c r="K45" s="187">
        <v>0</v>
      </c>
      <c r="L45" s="187">
        <v>0</v>
      </c>
      <c r="M45" s="187">
        <v>0</v>
      </c>
      <c r="R45" s="187">
        <f t="shared" si="3"/>
        <v>0</v>
      </c>
      <c r="S45" s="187">
        <f t="shared" si="4"/>
        <v>0</v>
      </c>
      <c r="T45" s="60" t="s">
        <v>21</v>
      </c>
    </row>
    <row r="46" spans="1:20" hidden="1" x14ac:dyDescent="0.2">
      <c r="A46" s="254" t="s">
        <v>123</v>
      </c>
      <c r="B46" s="187">
        <v>0</v>
      </c>
      <c r="C46" s="187">
        <v>0</v>
      </c>
      <c r="D46" s="187">
        <v>0</v>
      </c>
      <c r="E46" s="187">
        <v>0</v>
      </c>
      <c r="F46" s="187">
        <v>0</v>
      </c>
      <c r="G46" s="187">
        <v>0</v>
      </c>
      <c r="H46" s="187">
        <v>0</v>
      </c>
      <c r="I46" s="187">
        <v>0</v>
      </c>
      <c r="J46" s="187">
        <v>0</v>
      </c>
      <c r="K46" s="187">
        <v>0</v>
      </c>
      <c r="L46" s="187">
        <v>0</v>
      </c>
      <c r="M46" s="187">
        <v>0</v>
      </c>
      <c r="R46" s="187">
        <f t="shared" si="3"/>
        <v>0</v>
      </c>
      <c r="S46" s="187">
        <f t="shared" si="4"/>
        <v>0</v>
      </c>
      <c r="T46" s="60" t="s">
        <v>21</v>
      </c>
    </row>
    <row r="47" spans="1:20" hidden="1" x14ac:dyDescent="0.2">
      <c r="A47" s="254" t="s">
        <v>124</v>
      </c>
      <c r="B47" s="187">
        <v>0</v>
      </c>
      <c r="C47" s="187">
        <v>0</v>
      </c>
      <c r="D47" s="187">
        <v>0</v>
      </c>
      <c r="E47" s="187">
        <v>0</v>
      </c>
      <c r="F47" s="187">
        <v>0</v>
      </c>
      <c r="G47" s="187">
        <v>0</v>
      </c>
      <c r="H47" s="187">
        <v>0</v>
      </c>
      <c r="I47" s="187">
        <v>0</v>
      </c>
      <c r="J47" s="187">
        <v>0</v>
      </c>
      <c r="K47" s="187">
        <v>0</v>
      </c>
      <c r="L47" s="187">
        <v>0</v>
      </c>
      <c r="M47" s="187">
        <v>0</v>
      </c>
      <c r="R47" s="187">
        <f t="shared" si="3"/>
        <v>0</v>
      </c>
      <c r="S47" s="187">
        <f t="shared" si="4"/>
        <v>0</v>
      </c>
      <c r="T47" s="60" t="s">
        <v>21</v>
      </c>
    </row>
    <row r="48" spans="1:20" hidden="1" x14ac:dyDescent="0.2">
      <c r="A48" s="254" t="s">
        <v>125</v>
      </c>
      <c r="B48" s="187">
        <v>0</v>
      </c>
      <c r="C48" s="187">
        <v>0</v>
      </c>
      <c r="D48" s="187">
        <v>0</v>
      </c>
      <c r="E48" s="187">
        <v>0</v>
      </c>
      <c r="F48" s="187">
        <v>0</v>
      </c>
      <c r="G48" s="187">
        <v>0</v>
      </c>
      <c r="H48" s="187">
        <v>0</v>
      </c>
      <c r="I48" s="187">
        <v>0</v>
      </c>
      <c r="J48" s="187">
        <v>0</v>
      </c>
      <c r="K48" s="187">
        <v>0</v>
      </c>
      <c r="L48" s="187">
        <v>0</v>
      </c>
      <c r="M48" s="187">
        <v>0</v>
      </c>
      <c r="R48" s="187">
        <f t="shared" si="3"/>
        <v>0</v>
      </c>
      <c r="S48" s="187">
        <f t="shared" si="4"/>
        <v>0</v>
      </c>
      <c r="T48" s="60" t="s">
        <v>21</v>
      </c>
    </row>
    <row r="49" spans="1:20" hidden="1" x14ac:dyDescent="0.2">
      <c r="A49" s="254" t="s">
        <v>126</v>
      </c>
      <c r="B49" s="187">
        <v>0</v>
      </c>
      <c r="C49" s="187">
        <v>0</v>
      </c>
      <c r="D49" s="187">
        <v>0</v>
      </c>
      <c r="E49" s="187">
        <v>0</v>
      </c>
      <c r="F49" s="187">
        <v>0</v>
      </c>
      <c r="G49" s="187">
        <v>0</v>
      </c>
      <c r="H49" s="187">
        <v>0</v>
      </c>
      <c r="I49" s="187">
        <v>0</v>
      </c>
      <c r="J49" s="187">
        <v>0</v>
      </c>
      <c r="K49" s="187">
        <v>0</v>
      </c>
      <c r="L49" s="187">
        <v>0</v>
      </c>
      <c r="M49" s="187">
        <v>0</v>
      </c>
      <c r="R49" s="187">
        <f t="shared" si="3"/>
        <v>0</v>
      </c>
      <c r="S49" s="187">
        <f t="shared" si="4"/>
        <v>0</v>
      </c>
      <c r="T49" s="60" t="s">
        <v>21</v>
      </c>
    </row>
    <row r="50" spans="1:20" hidden="1" x14ac:dyDescent="0.2">
      <c r="A50" s="254" t="s">
        <v>127</v>
      </c>
      <c r="B50" s="187">
        <v>0</v>
      </c>
      <c r="C50" s="187">
        <v>0</v>
      </c>
      <c r="D50" s="187">
        <v>0</v>
      </c>
      <c r="E50" s="187">
        <v>0</v>
      </c>
      <c r="F50" s="187">
        <v>0</v>
      </c>
      <c r="G50" s="187">
        <v>0</v>
      </c>
      <c r="H50" s="187">
        <v>0</v>
      </c>
      <c r="I50" s="187">
        <v>0</v>
      </c>
      <c r="J50" s="187">
        <v>0</v>
      </c>
      <c r="K50" s="187">
        <v>0</v>
      </c>
      <c r="L50" s="187">
        <v>0</v>
      </c>
      <c r="M50" s="187">
        <v>0</v>
      </c>
      <c r="R50" s="187">
        <f t="shared" si="3"/>
        <v>0</v>
      </c>
      <c r="S50" s="187">
        <f t="shared" si="4"/>
        <v>0</v>
      </c>
      <c r="T50" s="60" t="s">
        <v>21</v>
      </c>
    </row>
    <row r="51" spans="1:20" hidden="1" x14ac:dyDescent="0.2">
      <c r="A51" s="254" t="s">
        <v>128</v>
      </c>
      <c r="B51" s="187">
        <v>0</v>
      </c>
      <c r="C51" s="187">
        <v>0</v>
      </c>
      <c r="D51" s="187">
        <v>0</v>
      </c>
      <c r="E51" s="187">
        <v>0</v>
      </c>
      <c r="F51" s="187">
        <v>0</v>
      </c>
      <c r="G51" s="187">
        <v>0</v>
      </c>
      <c r="H51" s="187">
        <v>0</v>
      </c>
      <c r="I51" s="187">
        <v>0</v>
      </c>
      <c r="J51" s="187">
        <v>0</v>
      </c>
      <c r="K51" s="187">
        <v>0</v>
      </c>
      <c r="L51" s="187">
        <v>0</v>
      </c>
      <c r="M51" s="187">
        <v>0</v>
      </c>
      <c r="R51" s="187">
        <f t="shared" si="3"/>
        <v>0</v>
      </c>
      <c r="S51" s="187">
        <f t="shared" si="4"/>
        <v>0</v>
      </c>
      <c r="T51" s="60" t="s">
        <v>21</v>
      </c>
    </row>
    <row r="52" spans="1:20" hidden="1" x14ac:dyDescent="0.2">
      <c r="A52" s="254" t="s">
        <v>129</v>
      </c>
      <c r="B52" s="187">
        <v>0</v>
      </c>
      <c r="C52" s="187">
        <v>0</v>
      </c>
      <c r="D52" s="187">
        <v>0</v>
      </c>
      <c r="E52" s="187">
        <v>0</v>
      </c>
      <c r="F52" s="187">
        <v>0</v>
      </c>
      <c r="G52" s="187">
        <v>0</v>
      </c>
      <c r="H52" s="187">
        <v>0</v>
      </c>
      <c r="I52" s="187">
        <v>0</v>
      </c>
      <c r="J52" s="187">
        <v>0</v>
      </c>
      <c r="K52" s="187">
        <v>0</v>
      </c>
      <c r="L52" s="187">
        <v>0</v>
      </c>
      <c r="M52" s="187">
        <v>0</v>
      </c>
      <c r="R52" s="187">
        <f t="shared" si="3"/>
        <v>0</v>
      </c>
      <c r="S52" s="187">
        <f t="shared" si="4"/>
        <v>0</v>
      </c>
      <c r="T52" s="60" t="s">
        <v>21</v>
      </c>
    </row>
    <row r="53" spans="1:20" hidden="1" x14ac:dyDescent="0.2">
      <c r="A53" s="254" t="s">
        <v>130</v>
      </c>
      <c r="B53" s="187">
        <v>0</v>
      </c>
      <c r="C53" s="187">
        <v>0</v>
      </c>
      <c r="D53" s="187">
        <v>0</v>
      </c>
      <c r="E53" s="187">
        <v>0</v>
      </c>
      <c r="F53" s="187">
        <v>0</v>
      </c>
      <c r="G53" s="187">
        <v>0</v>
      </c>
      <c r="H53" s="187">
        <v>0</v>
      </c>
      <c r="I53" s="187">
        <v>0</v>
      </c>
      <c r="J53" s="187">
        <v>0</v>
      </c>
      <c r="K53" s="187">
        <v>0</v>
      </c>
      <c r="L53" s="187">
        <v>0</v>
      </c>
      <c r="M53" s="187">
        <v>0</v>
      </c>
      <c r="R53" s="187">
        <f t="shared" si="3"/>
        <v>0</v>
      </c>
      <c r="S53" s="187">
        <f t="shared" si="4"/>
        <v>0</v>
      </c>
      <c r="T53" s="60" t="s">
        <v>21</v>
      </c>
    </row>
    <row r="54" spans="1:20" hidden="1" x14ac:dyDescent="0.2">
      <c r="A54" s="254" t="s">
        <v>131</v>
      </c>
      <c r="B54" s="187">
        <v>0</v>
      </c>
      <c r="C54" s="187">
        <v>0</v>
      </c>
      <c r="D54" s="187">
        <v>0</v>
      </c>
      <c r="E54" s="187">
        <v>0</v>
      </c>
      <c r="F54" s="187">
        <v>0</v>
      </c>
      <c r="G54" s="187">
        <v>0</v>
      </c>
      <c r="H54" s="187">
        <v>0</v>
      </c>
      <c r="I54" s="187">
        <v>0</v>
      </c>
      <c r="J54" s="187">
        <v>0</v>
      </c>
      <c r="K54" s="187">
        <v>0</v>
      </c>
      <c r="L54" s="187">
        <v>0</v>
      </c>
      <c r="M54" s="187">
        <v>0</v>
      </c>
      <c r="R54" s="187">
        <f t="shared" si="3"/>
        <v>0</v>
      </c>
      <c r="S54" s="187">
        <f t="shared" si="4"/>
        <v>0</v>
      </c>
      <c r="T54" s="60" t="s">
        <v>21</v>
      </c>
    </row>
    <row r="55" spans="1:20" hidden="1" x14ac:dyDescent="0.2">
      <c r="A55" s="258" t="s">
        <v>132</v>
      </c>
      <c r="B55" s="207">
        <v>0</v>
      </c>
      <c r="C55" s="207">
        <v>0</v>
      </c>
      <c r="D55" s="207">
        <v>0</v>
      </c>
      <c r="E55" s="207">
        <v>0</v>
      </c>
      <c r="F55" s="207">
        <v>0</v>
      </c>
      <c r="G55" s="207">
        <v>0</v>
      </c>
      <c r="H55" s="207">
        <v>0</v>
      </c>
      <c r="I55" s="207">
        <v>0</v>
      </c>
      <c r="J55" s="207">
        <v>0</v>
      </c>
      <c r="K55" s="207">
        <v>0</v>
      </c>
      <c r="L55" s="207">
        <v>0</v>
      </c>
      <c r="M55" s="207">
        <v>0</v>
      </c>
      <c r="R55" s="207">
        <f t="shared" si="3"/>
        <v>0</v>
      </c>
      <c r="S55" s="207">
        <f t="shared" si="4"/>
        <v>0</v>
      </c>
      <c r="T55" s="60" t="s">
        <v>21</v>
      </c>
    </row>
    <row r="56" spans="1:20" hidden="1" x14ac:dyDescent="0.2">
      <c r="A56" s="260" t="s">
        <v>133</v>
      </c>
      <c r="B56" s="212">
        <f t="shared" ref="B56:M56" si="5">SUM(B44:B55)</f>
        <v>0</v>
      </c>
      <c r="C56" s="212">
        <f t="shared" si="5"/>
        <v>0</v>
      </c>
      <c r="D56" s="212">
        <f t="shared" si="5"/>
        <v>0</v>
      </c>
      <c r="E56" s="212">
        <f t="shared" si="5"/>
        <v>0</v>
      </c>
      <c r="F56" s="212">
        <f t="shared" si="5"/>
        <v>0</v>
      </c>
      <c r="G56" s="212">
        <f t="shared" si="5"/>
        <v>0</v>
      </c>
      <c r="H56" s="212">
        <f t="shared" si="5"/>
        <v>0</v>
      </c>
      <c r="I56" s="212">
        <f t="shared" si="5"/>
        <v>0</v>
      </c>
      <c r="J56" s="212">
        <f t="shared" si="5"/>
        <v>0</v>
      </c>
      <c r="K56" s="212">
        <f t="shared" si="5"/>
        <v>0</v>
      </c>
      <c r="L56" s="212">
        <f t="shared" si="5"/>
        <v>0</v>
      </c>
      <c r="M56" s="212">
        <f t="shared" si="5"/>
        <v>0</v>
      </c>
      <c r="R56" s="212">
        <f t="shared" si="3"/>
        <v>0</v>
      </c>
      <c r="S56" s="212">
        <f t="shared" si="4"/>
        <v>0</v>
      </c>
      <c r="T56" s="60" t="s">
        <v>21</v>
      </c>
    </row>
    <row r="57" spans="1:20" hidden="1" x14ac:dyDescent="0.2">
      <c r="A57" s="259" t="s">
        <v>134</v>
      </c>
      <c r="B57" s="187">
        <f>-B56*0.5</f>
        <v>0</v>
      </c>
      <c r="C57" s="187">
        <f>-C56*0.5</f>
        <v>0</v>
      </c>
      <c r="D57" s="187">
        <f>-D56*0.5</f>
        <v>0</v>
      </c>
      <c r="E57" s="187">
        <f>-E56*0.5</f>
        <v>0</v>
      </c>
      <c r="F57" s="187">
        <f>-F56*0.5</f>
        <v>0</v>
      </c>
      <c r="G57" s="187"/>
      <c r="H57" s="187">
        <f>-H56*0.5</f>
        <v>0</v>
      </c>
      <c r="I57" s="187">
        <f>-I56*0.5</f>
        <v>0</v>
      </c>
      <c r="J57" s="187">
        <f>-J56*0.5</f>
        <v>0</v>
      </c>
      <c r="K57" s="187">
        <f>-K56*0.5</f>
        <v>0</v>
      </c>
      <c r="L57" s="187">
        <f>-L56*0.5</f>
        <v>0</v>
      </c>
      <c r="M57" s="187"/>
      <c r="R57" s="187">
        <f t="shared" si="3"/>
        <v>0</v>
      </c>
      <c r="S57" s="187">
        <f t="shared" si="4"/>
        <v>0</v>
      </c>
      <c r="T57" s="60" t="s">
        <v>21</v>
      </c>
    </row>
    <row r="58" spans="1:20" hidden="1" x14ac:dyDescent="0.2">
      <c r="A58" s="254" t="s">
        <v>170</v>
      </c>
      <c r="B58" s="187"/>
      <c r="C58" s="187">
        <v>0</v>
      </c>
      <c r="D58" s="187"/>
      <c r="E58" s="187">
        <v>0</v>
      </c>
      <c r="F58" s="187"/>
      <c r="G58" s="187">
        <v>0</v>
      </c>
      <c r="H58" s="187"/>
      <c r="I58" s="187">
        <v>0</v>
      </c>
      <c r="J58" s="187"/>
      <c r="K58" s="187">
        <v>0</v>
      </c>
      <c r="L58" s="187"/>
      <c r="M58" s="187">
        <v>0</v>
      </c>
      <c r="R58" s="187"/>
      <c r="S58" s="187">
        <f t="shared" ref="S58:S72" si="6">C23+E23+G23+I23+K23+M23+O23+Q23+S23+C58+E58+G58+I58+K58+M58</f>
        <v>0</v>
      </c>
      <c r="T58" s="60" t="s">
        <v>21</v>
      </c>
    </row>
    <row r="59" spans="1:20" hidden="1" x14ac:dyDescent="0.2">
      <c r="A59" s="258" t="s">
        <v>135</v>
      </c>
      <c r="B59" s="207">
        <f t="shared" ref="B59:M59" si="7">SUM(B56:B58)</f>
        <v>0</v>
      </c>
      <c r="C59" s="207">
        <f t="shared" si="7"/>
        <v>0</v>
      </c>
      <c r="D59" s="207">
        <f t="shared" si="7"/>
        <v>0</v>
      </c>
      <c r="E59" s="207">
        <f t="shared" si="7"/>
        <v>0</v>
      </c>
      <c r="F59" s="207">
        <f t="shared" si="7"/>
        <v>0</v>
      </c>
      <c r="G59" s="207">
        <f t="shared" si="7"/>
        <v>0</v>
      </c>
      <c r="H59" s="207">
        <f t="shared" si="7"/>
        <v>0</v>
      </c>
      <c r="I59" s="207">
        <f t="shared" si="7"/>
        <v>0</v>
      </c>
      <c r="J59" s="207">
        <f t="shared" si="7"/>
        <v>0</v>
      </c>
      <c r="K59" s="207">
        <f t="shared" si="7"/>
        <v>0</v>
      </c>
      <c r="L59" s="207">
        <f t="shared" si="7"/>
        <v>0</v>
      </c>
      <c r="M59" s="207">
        <f t="shared" si="7"/>
        <v>0</v>
      </c>
      <c r="R59" s="207">
        <f>B24+D24+F24+H24+J24+L24+N24+P24+R24+B59+D59+F59+H59+J59+L59</f>
        <v>0</v>
      </c>
      <c r="S59" s="207">
        <f t="shared" si="6"/>
        <v>0</v>
      </c>
      <c r="T59" s="60" t="s">
        <v>21</v>
      </c>
    </row>
    <row r="60" spans="1:20" hidden="1" x14ac:dyDescent="0.2">
      <c r="A60" s="254" t="s">
        <v>95</v>
      </c>
      <c r="B60" s="187"/>
      <c r="C60" s="187">
        <v>0</v>
      </c>
      <c r="D60" s="187"/>
      <c r="E60" s="187">
        <v>0</v>
      </c>
      <c r="F60" s="187"/>
      <c r="G60" s="187">
        <v>0</v>
      </c>
      <c r="H60" s="187"/>
      <c r="I60" s="187">
        <v>0</v>
      </c>
      <c r="J60" s="187"/>
      <c r="K60" s="187">
        <v>0</v>
      </c>
      <c r="L60" s="187"/>
      <c r="M60" s="187">
        <v>0</v>
      </c>
      <c r="R60" s="187"/>
      <c r="S60" s="187">
        <f t="shared" si="6"/>
        <v>0</v>
      </c>
      <c r="T60" s="60" t="s">
        <v>21</v>
      </c>
    </row>
    <row r="61" spans="1:20" x14ac:dyDescent="0.2">
      <c r="A61" s="254" t="s">
        <v>96</v>
      </c>
      <c r="B61" s="187"/>
      <c r="C61" s="187">
        <v>0</v>
      </c>
      <c r="D61" s="187"/>
      <c r="E61" s="187">
        <v>0</v>
      </c>
      <c r="F61" s="187">
        <v>0</v>
      </c>
      <c r="G61" s="187">
        <v>-17</v>
      </c>
      <c r="H61" s="187"/>
      <c r="I61" s="187">
        <v>0</v>
      </c>
      <c r="J61" s="187"/>
      <c r="K61" s="187">
        <v>0</v>
      </c>
      <c r="L61" s="187">
        <v>0</v>
      </c>
      <c r="M61" s="187">
        <v>-18</v>
      </c>
      <c r="R61" s="187">
        <v>0</v>
      </c>
      <c r="S61" s="187">
        <f t="shared" si="6"/>
        <v>-538</v>
      </c>
      <c r="T61" s="60" t="s">
        <v>21</v>
      </c>
    </row>
    <row r="62" spans="1:20" x14ac:dyDescent="0.2">
      <c r="A62" s="254" t="s">
        <v>171</v>
      </c>
      <c r="B62" s="187"/>
      <c r="C62" s="187">
        <v>0</v>
      </c>
      <c r="D62" s="187"/>
      <c r="E62" s="187">
        <v>0</v>
      </c>
      <c r="F62" s="187">
        <v>0</v>
      </c>
      <c r="G62" s="187">
        <v>-1</v>
      </c>
      <c r="H62" s="187"/>
      <c r="I62" s="187">
        <v>0</v>
      </c>
      <c r="J62" s="187"/>
      <c r="K62" s="187">
        <v>0</v>
      </c>
      <c r="L62" s="187">
        <v>0</v>
      </c>
      <c r="M62" s="187">
        <v>-1</v>
      </c>
      <c r="R62" s="187">
        <v>0</v>
      </c>
      <c r="S62" s="187">
        <f t="shared" si="6"/>
        <v>-24</v>
      </c>
      <c r="T62" s="60" t="s">
        <v>21</v>
      </c>
    </row>
    <row r="63" spans="1:20" hidden="1" x14ac:dyDescent="0.2">
      <c r="A63" s="254" t="s">
        <v>97</v>
      </c>
      <c r="B63" s="187"/>
      <c r="C63" s="187">
        <v>0</v>
      </c>
      <c r="D63" s="187"/>
      <c r="E63" s="187">
        <v>0</v>
      </c>
      <c r="F63" s="187"/>
      <c r="G63" s="187">
        <v>0</v>
      </c>
      <c r="H63" s="187"/>
      <c r="I63" s="187">
        <v>0</v>
      </c>
      <c r="J63" s="187"/>
      <c r="K63" s="187">
        <v>0</v>
      </c>
      <c r="L63" s="187"/>
      <c r="M63" s="187">
        <v>0</v>
      </c>
      <c r="R63" s="187"/>
      <c r="S63" s="187">
        <f t="shared" si="6"/>
        <v>0</v>
      </c>
      <c r="T63" s="60" t="s">
        <v>21</v>
      </c>
    </row>
    <row r="64" spans="1:20" x14ac:dyDescent="0.2">
      <c r="A64" s="254" t="s">
        <v>99</v>
      </c>
      <c r="B64" s="187"/>
      <c r="C64" s="187">
        <v>0</v>
      </c>
      <c r="D64" s="187"/>
      <c r="E64" s="187">
        <v>0</v>
      </c>
      <c r="F64" s="187">
        <v>0</v>
      </c>
      <c r="G64" s="187">
        <v>-22</v>
      </c>
      <c r="H64" s="187"/>
      <c r="I64" s="187">
        <v>0</v>
      </c>
      <c r="J64" s="187"/>
      <c r="K64" s="187">
        <v>0</v>
      </c>
      <c r="L64" s="187">
        <v>0</v>
      </c>
      <c r="M64" s="187">
        <v>-26</v>
      </c>
      <c r="R64" s="187">
        <v>0</v>
      </c>
      <c r="S64" s="187">
        <f t="shared" si="6"/>
        <v>-511</v>
      </c>
      <c r="T64" s="60" t="s">
        <v>21</v>
      </c>
    </row>
    <row r="65" spans="1:20" x14ac:dyDescent="0.2">
      <c r="A65" s="254" t="s">
        <v>100</v>
      </c>
      <c r="B65" s="187"/>
      <c r="C65" s="187">
        <v>0</v>
      </c>
      <c r="D65" s="187"/>
      <c r="E65" s="187">
        <v>0</v>
      </c>
      <c r="F65" s="187">
        <v>0</v>
      </c>
      <c r="G65" s="187">
        <v>-1</v>
      </c>
      <c r="H65" s="187"/>
      <c r="I65" s="187">
        <v>0</v>
      </c>
      <c r="J65" s="187"/>
      <c r="K65" s="187">
        <v>0</v>
      </c>
      <c r="L65" s="187">
        <v>0</v>
      </c>
      <c r="M65" s="187">
        <v>-1</v>
      </c>
      <c r="R65" s="187">
        <v>0</v>
      </c>
      <c r="S65" s="187">
        <f t="shared" si="6"/>
        <v>-15</v>
      </c>
      <c r="T65" s="60" t="s">
        <v>21</v>
      </c>
    </row>
    <row r="66" spans="1:20" hidden="1" x14ac:dyDescent="0.2">
      <c r="A66" s="254" t="s">
        <v>101</v>
      </c>
      <c r="B66" s="187"/>
      <c r="C66" s="187">
        <v>0</v>
      </c>
      <c r="D66" s="187"/>
      <c r="E66" s="187">
        <v>0</v>
      </c>
      <c r="F66" s="187"/>
      <c r="G66" s="187">
        <v>0</v>
      </c>
      <c r="H66" s="187"/>
      <c r="I66" s="187">
        <v>0</v>
      </c>
      <c r="J66" s="187"/>
      <c r="K66" s="187">
        <v>0</v>
      </c>
      <c r="L66" s="187"/>
      <c r="M66" s="187">
        <v>0</v>
      </c>
      <c r="R66" s="187"/>
      <c r="S66" s="187">
        <f t="shared" si="6"/>
        <v>0</v>
      </c>
      <c r="T66" s="60" t="s">
        <v>21</v>
      </c>
    </row>
    <row r="67" spans="1:20" x14ac:dyDescent="0.2">
      <c r="A67" s="254" t="s">
        <v>102</v>
      </c>
      <c r="B67" s="187"/>
      <c r="C67" s="187">
        <v>0</v>
      </c>
      <c r="D67" s="187"/>
      <c r="E67" s="187">
        <v>0</v>
      </c>
      <c r="F67" s="187">
        <v>0</v>
      </c>
      <c r="G67" s="187">
        <v>-34</v>
      </c>
      <c r="H67" s="187"/>
      <c r="I67" s="187">
        <v>0</v>
      </c>
      <c r="J67" s="187"/>
      <c r="K67" s="187">
        <v>0</v>
      </c>
      <c r="L67" s="187">
        <v>0</v>
      </c>
      <c r="M67" s="187">
        <v>-36</v>
      </c>
      <c r="R67" s="187">
        <v>0</v>
      </c>
      <c r="S67" s="187">
        <f t="shared" si="6"/>
        <v>-1549</v>
      </c>
      <c r="T67" s="60" t="s">
        <v>21</v>
      </c>
    </row>
    <row r="68" spans="1:20" hidden="1" x14ac:dyDescent="0.2">
      <c r="A68" s="254" t="s">
        <v>103</v>
      </c>
      <c r="B68" s="187"/>
      <c r="C68" s="187">
        <v>0</v>
      </c>
      <c r="D68" s="187"/>
      <c r="E68" s="187">
        <v>0</v>
      </c>
      <c r="F68" s="187"/>
      <c r="G68" s="187">
        <v>0</v>
      </c>
      <c r="H68" s="187"/>
      <c r="I68" s="187">
        <v>0</v>
      </c>
      <c r="J68" s="187"/>
      <c r="K68" s="187">
        <v>0</v>
      </c>
      <c r="L68" s="187"/>
      <c r="M68" s="187">
        <v>0</v>
      </c>
      <c r="R68" s="187"/>
      <c r="S68" s="187">
        <f t="shared" si="6"/>
        <v>0</v>
      </c>
      <c r="T68" s="60" t="s">
        <v>21</v>
      </c>
    </row>
    <row r="69" spans="1:20" hidden="1" x14ac:dyDescent="0.2">
      <c r="A69" s="254" t="s">
        <v>105</v>
      </c>
      <c r="B69" s="187"/>
      <c r="C69" s="187">
        <v>0</v>
      </c>
      <c r="D69" s="187"/>
      <c r="E69" s="187">
        <v>0</v>
      </c>
      <c r="F69" s="187"/>
      <c r="G69" s="187">
        <v>0</v>
      </c>
      <c r="H69" s="187"/>
      <c r="I69" s="187">
        <v>0</v>
      </c>
      <c r="J69" s="187"/>
      <c r="K69" s="187">
        <v>0</v>
      </c>
      <c r="L69" s="187"/>
      <c r="M69" s="187">
        <v>0</v>
      </c>
      <c r="R69" s="187"/>
      <c r="S69" s="187">
        <f t="shared" si="6"/>
        <v>0</v>
      </c>
      <c r="T69" s="60" t="s">
        <v>21</v>
      </c>
    </row>
    <row r="70" spans="1:20" hidden="1" x14ac:dyDescent="0.2">
      <c r="A70" s="254" t="s">
        <v>106</v>
      </c>
      <c r="B70" s="187"/>
      <c r="C70" s="187">
        <v>0</v>
      </c>
      <c r="D70" s="187"/>
      <c r="E70" s="187">
        <v>0</v>
      </c>
      <c r="F70" s="187"/>
      <c r="G70" s="187">
        <v>0</v>
      </c>
      <c r="H70" s="187"/>
      <c r="I70" s="187">
        <v>0</v>
      </c>
      <c r="J70" s="187"/>
      <c r="K70" s="187">
        <v>0</v>
      </c>
      <c r="L70" s="187"/>
      <c r="M70" s="187">
        <v>0</v>
      </c>
      <c r="R70" s="187"/>
      <c r="S70" s="187">
        <f t="shared" si="6"/>
        <v>0</v>
      </c>
      <c r="T70" s="60" t="s">
        <v>21</v>
      </c>
    </row>
    <row r="71" spans="1:20" x14ac:dyDescent="0.2">
      <c r="A71" s="254" t="s">
        <v>107</v>
      </c>
      <c r="B71" s="187"/>
      <c r="C71" s="187">
        <v>0</v>
      </c>
      <c r="D71" s="187"/>
      <c r="E71" s="187">
        <v>0</v>
      </c>
      <c r="F71" s="187">
        <v>0</v>
      </c>
      <c r="G71" s="187">
        <v>-5</v>
      </c>
      <c r="H71" s="187"/>
      <c r="I71" s="187">
        <v>0</v>
      </c>
      <c r="J71" s="187"/>
      <c r="K71" s="187">
        <v>0</v>
      </c>
      <c r="L71" s="187">
        <v>0</v>
      </c>
      <c r="M71" s="187">
        <v>-8</v>
      </c>
      <c r="R71" s="187">
        <v>0</v>
      </c>
      <c r="S71" s="187">
        <f t="shared" si="6"/>
        <v>-144</v>
      </c>
      <c r="T71" s="60" t="s">
        <v>21</v>
      </c>
    </row>
    <row r="72" spans="1:20" x14ac:dyDescent="0.2">
      <c r="A72" s="257" t="s">
        <v>108</v>
      </c>
      <c r="B72" s="256"/>
      <c r="C72" s="256">
        <v>0</v>
      </c>
      <c r="D72" s="256"/>
      <c r="E72" s="256">
        <v>0</v>
      </c>
      <c r="F72" s="256">
        <v>0</v>
      </c>
      <c r="G72" s="256">
        <v>-16</v>
      </c>
      <c r="H72" s="256"/>
      <c r="I72" s="256">
        <v>0</v>
      </c>
      <c r="J72" s="256"/>
      <c r="K72" s="256">
        <v>0</v>
      </c>
      <c r="L72" s="256">
        <v>0</v>
      </c>
      <c r="M72" s="256">
        <v>-471</v>
      </c>
      <c r="R72" s="256">
        <v>0</v>
      </c>
      <c r="S72" s="256">
        <f t="shared" si="6"/>
        <v>-2229</v>
      </c>
      <c r="T72" s="60" t="s">
        <v>21</v>
      </c>
    </row>
    <row r="73" spans="1:20" ht="15" x14ac:dyDescent="0.25">
      <c r="A73" s="67" t="s">
        <v>169</v>
      </c>
      <c r="B73" s="122">
        <f t="shared" ref="B73:M73" si="8">SUM(B59:B72)</f>
        <v>0</v>
      </c>
      <c r="C73" s="122">
        <f t="shared" si="8"/>
        <v>0</v>
      </c>
      <c r="D73" s="122">
        <f t="shared" si="8"/>
        <v>0</v>
      </c>
      <c r="E73" s="122">
        <f t="shared" si="8"/>
        <v>0</v>
      </c>
      <c r="F73" s="122">
        <f t="shared" si="8"/>
        <v>0</v>
      </c>
      <c r="G73" s="122">
        <f t="shared" si="8"/>
        <v>-96</v>
      </c>
      <c r="H73" s="122">
        <f t="shared" si="8"/>
        <v>0</v>
      </c>
      <c r="I73" s="122">
        <f t="shared" si="8"/>
        <v>0</v>
      </c>
      <c r="J73" s="122">
        <f t="shared" si="8"/>
        <v>0</v>
      </c>
      <c r="K73" s="122">
        <f t="shared" si="8"/>
        <v>0</v>
      </c>
      <c r="L73" s="122">
        <f t="shared" si="8"/>
        <v>0</v>
      </c>
      <c r="M73" s="122">
        <f t="shared" si="8"/>
        <v>-561</v>
      </c>
      <c r="R73" s="122">
        <f>SUM(R59:R72)</f>
        <v>0</v>
      </c>
      <c r="S73" s="122">
        <f>SUM(S59:S72)</f>
        <v>-5010</v>
      </c>
      <c r="T73" s="60" t="s">
        <v>21</v>
      </c>
    </row>
    <row r="74" spans="1:20" ht="15" x14ac:dyDescent="0.25">
      <c r="A74" s="66"/>
      <c r="B74" s="255"/>
      <c r="C74" s="255"/>
      <c r="D74" s="255"/>
      <c r="E74" s="255"/>
      <c r="F74" s="255"/>
      <c r="G74" s="255"/>
      <c r="H74" s="255"/>
      <c r="I74" s="255"/>
      <c r="J74" s="255"/>
      <c r="K74" s="255"/>
      <c r="L74" s="255"/>
      <c r="M74" s="255"/>
      <c r="R74" s="255"/>
      <c r="S74" s="255"/>
      <c r="T74" s="60" t="s">
        <v>21</v>
      </c>
    </row>
    <row r="75" spans="1:20" ht="15" x14ac:dyDescent="0.25">
      <c r="A75" s="66"/>
      <c r="B75" s="255"/>
      <c r="C75" s="255"/>
      <c r="D75" s="255"/>
      <c r="E75" s="255"/>
      <c r="F75" s="255"/>
      <c r="G75" s="255"/>
      <c r="H75" s="255"/>
      <c r="I75" s="255"/>
      <c r="J75" s="255"/>
      <c r="K75" s="255"/>
      <c r="L75" s="255"/>
      <c r="M75" s="255"/>
      <c r="R75" s="255"/>
      <c r="S75" s="255"/>
      <c r="T75" s="60" t="s">
        <v>21</v>
      </c>
    </row>
    <row r="76" spans="1:20" x14ac:dyDescent="0.2">
      <c r="T76" s="60" t="s">
        <v>21</v>
      </c>
    </row>
    <row r="77" spans="1:20" ht="18" x14ac:dyDescent="0.25">
      <c r="A77" s="301" t="s">
        <v>117</v>
      </c>
      <c r="B77" s="301"/>
      <c r="C77" s="301"/>
      <c r="D77" s="301"/>
      <c r="E77" s="301"/>
      <c r="F77" s="301"/>
      <c r="G77" s="301"/>
      <c r="H77" s="301"/>
      <c r="I77" s="301"/>
      <c r="J77" s="301"/>
      <c r="K77" s="301"/>
      <c r="L77" s="301"/>
      <c r="M77" s="301"/>
      <c r="N77" s="301"/>
      <c r="O77" s="301"/>
      <c r="P77" s="301"/>
      <c r="Q77" s="301"/>
      <c r="R77" s="301"/>
      <c r="S77" s="301"/>
      <c r="T77" s="60" t="s">
        <v>21</v>
      </c>
    </row>
    <row r="78" spans="1:20" ht="15" x14ac:dyDescent="0.2">
      <c r="A78" s="302" t="s">
        <v>189</v>
      </c>
      <c r="B78" s="302"/>
      <c r="C78" s="302"/>
      <c r="D78" s="302"/>
      <c r="E78" s="302"/>
      <c r="F78" s="302"/>
      <c r="G78" s="302"/>
      <c r="H78" s="302"/>
      <c r="I78" s="302"/>
      <c r="J78" s="302"/>
      <c r="K78" s="302"/>
      <c r="L78" s="302"/>
      <c r="M78" s="302"/>
      <c r="N78" s="302"/>
      <c r="O78" s="302"/>
      <c r="P78" s="302"/>
      <c r="Q78" s="302"/>
      <c r="R78" s="302"/>
      <c r="S78" s="302"/>
      <c r="T78" s="60" t="s">
        <v>21</v>
      </c>
    </row>
    <row r="79" spans="1:20" x14ac:dyDescent="0.2">
      <c r="A79" s="311" t="s">
        <v>225</v>
      </c>
      <c r="B79" s="311"/>
      <c r="C79" s="311"/>
      <c r="D79" s="311"/>
      <c r="E79" s="311"/>
      <c r="F79" s="311"/>
      <c r="G79" s="311"/>
      <c r="H79" s="311"/>
      <c r="I79" s="311"/>
      <c r="J79" s="311"/>
      <c r="K79" s="311"/>
      <c r="L79" s="311"/>
      <c r="M79" s="311"/>
      <c r="N79" s="311"/>
      <c r="O79" s="311"/>
      <c r="P79" s="311"/>
      <c r="Q79" s="311"/>
      <c r="R79" s="311"/>
      <c r="S79" s="311"/>
      <c r="T79" s="60" t="s">
        <v>21</v>
      </c>
    </row>
    <row r="80" spans="1:20" x14ac:dyDescent="0.2">
      <c r="A80" s="304" t="s">
        <v>2</v>
      </c>
      <c r="B80" s="304"/>
      <c r="C80" s="304"/>
      <c r="D80" s="304"/>
      <c r="E80" s="304"/>
      <c r="F80" s="304"/>
      <c r="G80" s="304"/>
      <c r="H80" s="304"/>
      <c r="I80" s="304"/>
      <c r="J80" s="304"/>
      <c r="K80" s="304"/>
      <c r="L80" s="304"/>
      <c r="M80" s="304"/>
      <c r="N80" s="304"/>
      <c r="O80" s="304"/>
      <c r="P80" s="304"/>
      <c r="Q80" s="304"/>
      <c r="R80" s="304"/>
      <c r="S80" s="304"/>
      <c r="T80" s="60" t="s">
        <v>21</v>
      </c>
    </row>
    <row r="81" spans="1:20" x14ac:dyDescent="0.2">
      <c r="A81" s="214"/>
      <c r="B81" s="214"/>
      <c r="C81" s="214"/>
      <c r="D81" s="214"/>
      <c r="E81" s="214"/>
      <c r="F81" s="214"/>
      <c r="G81" s="214"/>
      <c r="H81" s="214"/>
      <c r="I81" s="214"/>
      <c r="J81" s="214"/>
      <c r="K81" s="214"/>
      <c r="L81" s="214"/>
      <c r="M81" s="214"/>
      <c r="N81" s="214"/>
      <c r="O81" s="214"/>
      <c r="P81" s="214"/>
      <c r="Q81" s="214"/>
      <c r="R81" s="214"/>
      <c r="S81" s="214"/>
      <c r="T81" s="60" t="s">
        <v>21</v>
      </c>
    </row>
    <row r="82" spans="1:20" ht="15" x14ac:dyDescent="0.2">
      <c r="A82" s="374" t="s">
        <v>118</v>
      </c>
      <c r="B82" s="377" t="s">
        <v>225</v>
      </c>
      <c r="C82" s="377"/>
      <c r="D82" s="377"/>
      <c r="E82" s="377"/>
      <c r="F82" s="377"/>
      <c r="G82" s="377"/>
      <c r="L82" s="378" t="s">
        <v>18</v>
      </c>
      <c r="M82" s="379"/>
      <c r="T82" s="60" t="s">
        <v>21</v>
      </c>
    </row>
    <row r="83" spans="1:20" ht="15" x14ac:dyDescent="0.2">
      <c r="A83" s="375"/>
      <c r="B83" s="371" t="s">
        <v>119</v>
      </c>
      <c r="C83" s="373"/>
      <c r="D83" s="371" t="s">
        <v>120</v>
      </c>
      <c r="E83" s="373"/>
      <c r="F83" s="371" t="s">
        <v>34</v>
      </c>
      <c r="G83" s="373"/>
      <c r="L83" s="380"/>
      <c r="M83" s="314"/>
      <c r="T83" s="60" t="s">
        <v>21</v>
      </c>
    </row>
    <row r="84" spans="1:20" ht="28.5" x14ac:dyDescent="0.2">
      <c r="A84" s="376"/>
      <c r="B84" s="204" t="s">
        <v>4</v>
      </c>
      <c r="C84" s="204" t="s">
        <v>5</v>
      </c>
      <c r="D84" s="204" t="s">
        <v>4</v>
      </c>
      <c r="E84" s="204" t="s">
        <v>5</v>
      </c>
      <c r="F84" s="204" t="s">
        <v>4</v>
      </c>
      <c r="G84" s="204" t="s">
        <v>5</v>
      </c>
      <c r="L84" s="204" t="s">
        <v>4</v>
      </c>
      <c r="M84" s="204" t="s">
        <v>5</v>
      </c>
      <c r="T84" s="60" t="s">
        <v>21</v>
      </c>
    </row>
    <row r="85" spans="1:20" x14ac:dyDescent="0.2">
      <c r="A85" s="254" t="s">
        <v>102</v>
      </c>
      <c r="B85" s="187"/>
      <c r="C85" s="187">
        <v>0</v>
      </c>
      <c r="D85" s="187"/>
      <c r="E85" s="187">
        <v>0</v>
      </c>
      <c r="F85" s="187">
        <v>0</v>
      </c>
      <c r="G85" s="187">
        <v>-5000</v>
      </c>
      <c r="L85" s="187">
        <v>0</v>
      </c>
      <c r="M85" s="187">
        <f>G85</f>
        <v>-5000</v>
      </c>
      <c r="T85" s="60" t="s">
        <v>21</v>
      </c>
    </row>
    <row r="86" spans="1:20" ht="15" x14ac:dyDescent="0.25">
      <c r="A86" s="253" t="s">
        <v>169</v>
      </c>
      <c r="B86" s="202">
        <f>SUM(B72:B85)</f>
        <v>0</v>
      </c>
      <c r="C86" s="202">
        <f>SUM(C72:C85)</f>
        <v>0</v>
      </c>
      <c r="D86" s="202">
        <f>SUM(D72:D85)</f>
        <v>0</v>
      </c>
      <c r="E86" s="202">
        <f>SUM(E72:E85)</f>
        <v>0</v>
      </c>
      <c r="F86" s="202">
        <f>SUM(F72:F85)</f>
        <v>0</v>
      </c>
      <c r="G86" s="202">
        <f>SUM(G85:G85)</f>
        <v>-5000</v>
      </c>
      <c r="L86" s="202">
        <f>SUM(L72:L85)</f>
        <v>0</v>
      </c>
      <c r="M86" s="202">
        <f>SUM(M85:M85)</f>
        <v>-5000</v>
      </c>
      <c r="T86" s="60" t="s">
        <v>21</v>
      </c>
    </row>
    <row r="87" spans="1:20" x14ac:dyDescent="0.2">
      <c r="T87" s="60" t="s">
        <v>22</v>
      </c>
    </row>
  </sheetData>
  <mergeCells count="38">
    <mergeCell ref="A77:S77"/>
    <mergeCell ref="A78:S78"/>
    <mergeCell ref="A79:S79"/>
    <mergeCell ref="A80:S80"/>
    <mergeCell ref="L82:M83"/>
    <mergeCell ref="A82:A84"/>
    <mergeCell ref="B82:G82"/>
    <mergeCell ref="B83:C83"/>
    <mergeCell ref="D83:E83"/>
    <mergeCell ref="F83:G83"/>
    <mergeCell ref="J42:K42"/>
    <mergeCell ref="L42:M42"/>
    <mergeCell ref="P7:Q7"/>
    <mergeCell ref="R7:S7"/>
    <mergeCell ref="A41:A43"/>
    <mergeCell ref="B41:G41"/>
    <mergeCell ref="H41:M41"/>
    <mergeCell ref="R41:S42"/>
    <mergeCell ref="B42:C42"/>
    <mergeCell ref="D42:E42"/>
    <mergeCell ref="F42:G42"/>
    <mergeCell ref="H42:I42"/>
    <mergeCell ref="D7:E7"/>
    <mergeCell ref="F7:G7"/>
    <mergeCell ref="H7:I7"/>
    <mergeCell ref="N6:S6"/>
    <mergeCell ref="B7:C7"/>
    <mergeCell ref="L7:M7"/>
    <mergeCell ref="N7:O7"/>
    <mergeCell ref="A1:S1"/>
    <mergeCell ref="A2:S2"/>
    <mergeCell ref="A3:S3"/>
    <mergeCell ref="A4:S4"/>
    <mergeCell ref="A5:M5"/>
    <mergeCell ref="A6:A8"/>
    <mergeCell ref="B6:G6"/>
    <mergeCell ref="H6:M6"/>
    <mergeCell ref="J7:K7"/>
  </mergeCells>
  <printOptions horizontalCentered="1"/>
  <pageMargins left="0.7" right="0.7" top="0.52" bottom="0.39" header="0.3" footer="0.23"/>
  <pageSetup scale="73" orientation="landscape" r:id="rId1"/>
  <headerFooter>
    <oddHeader xml:space="preserve">&amp;L&amp;"Arial,Bold"&amp;12J. Financial Analysis of Program Changes
</oddHeader>
    <oddFooter>&amp;C&amp;"Arial,Regular"Exhibit J - Financial Analysis of Program Changes</oddFooter>
  </headerFooter>
  <rowBreaks count="1" manualBreakCount="1">
    <brk id="50" max="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zoomScale="80" zoomScaleNormal="100" zoomScaleSheetLayoutView="80" workbookViewId="0">
      <selection activeCell="A30" sqref="A30"/>
    </sheetView>
  </sheetViews>
  <sheetFormatPr defaultColWidth="9.140625" defaultRowHeight="14.25" x14ac:dyDescent="0.2"/>
  <cols>
    <col min="1" max="1" width="9.42578125" style="149" customWidth="1"/>
    <col min="2" max="2" width="13.5703125" style="149" customWidth="1"/>
    <col min="3" max="3" width="3.7109375" style="149" customWidth="1"/>
    <col min="4" max="4" width="10.7109375" style="149" bestFit="1" customWidth="1"/>
    <col min="5" max="5" width="8.28515625" style="149" customWidth="1"/>
    <col min="6" max="6" width="12.7109375" style="149" customWidth="1"/>
    <col min="7" max="7" width="8.28515625" style="149" customWidth="1"/>
    <col min="8" max="8" width="12.7109375" style="149" customWidth="1"/>
    <col min="9" max="9" width="8.28515625" style="149" customWidth="1"/>
    <col min="10" max="10" width="12.7109375" style="149" customWidth="1"/>
    <col min="11" max="11" width="8.28515625" style="149" customWidth="1"/>
    <col min="12" max="12" width="12.7109375" style="149" customWidth="1"/>
    <col min="13" max="13" width="14" style="7" bestFit="1" customWidth="1"/>
    <col min="14" max="14" width="4.5703125" style="149" customWidth="1"/>
    <col min="15" max="16" width="8.28515625" style="149" customWidth="1"/>
    <col min="17" max="17" width="12.7109375" style="149" customWidth="1"/>
    <col min="18" max="19" width="8.28515625" style="149" customWidth="1"/>
    <col min="20" max="20" width="12.7109375" style="149" customWidth="1"/>
    <col min="21" max="16384" width="9.140625" style="149"/>
  </cols>
  <sheetData>
    <row r="1" spans="1:20" ht="18" x14ac:dyDescent="0.25">
      <c r="A1" s="301" t="s">
        <v>166</v>
      </c>
      <c r="B1" s="301"/>
      <c r="C1" s="301"/>
      <c r="D1" s="301"/>
      <c r="E1" s="301"/>
      <c r="F1" s="301"/>
      <c r="G1" s="301"/>
      <c r="H1" s="301"/>
      <c r="I1" s="301"/>
      <c r="J1" s="301"/>
      <c r="K1" s="301"/>
      <c r="L1" s="301"/>
      <c r="M1" s="60" t="s">
        <v>21</v>
      </c>
      <c r="N1" s="9"/>
      <c r="O1" s="9"/>
      <c r="P1" s="9"/>
      <c r="Q1" s="9"/>
      <c r="R1" s="9"/>
      <c r="S1" s="9"/>
      <c r="T1" s="9"/>
    </row>
    <row r="2" spans="1:20" ht="15" x14ac:dyDescent="0.2">
      <c r="A2" s="302" t="s">
        <v>189</v>
      </c>
      <c r="B2" s="302"/>
      <c r="C2" s="302"/>
      <c r="D2" s="302"/>
      <c r="E2" s="302"/>
      <c r="F2" s="302"/>
      <c r="G2" s="302"/>
      <c r="H2" s="302"/>
      <c r="I2" s="302"/>
      <c r="J2" s="302"/>
      <c r="K2" s="302"/>
      <c r="L2" s="302"/>
      <c r="M2" s="60" t="s">
        <v>21</v>
      </c>
      <c r="N2" s="10"/>
      <c r="O2" s="10"/>
      <c r="P2" s="10"/>
      <c r="Q2" s="10"/>
      <c r="R2" s="10"/>
      <c r="S2" s="10"/>
      <c r="T2" s="10"/>
    </row>
    <row r="3" spans="1:20" x14ac:dyDescent="0.2">
      <c r="A3" s="311" t="s">
        <v>1</v>
      </c>
      <c r="B3" s="311"/>
      <c r="C3" s="311"/>
      <c r="D3" s="311"/>
      <c r="E3" s="311"/>
      <c r="F3" s="311"/>
      <c r="G3" s="311"/>
      <c r="H3" s="311"/>
      <c r="I3" s="311"/>
      <c r="J3" s="311"/>
      <c r="K3" s="311"/>
      <c r="L3" s="311"/>
      <c r="M3" s="60" t="s">
        <v>21</v>
      </c>
      <c r="N3" s="172"/>
      <c r="O3" s="172"/>
      <c r="P3" s="172"/>
      <c r="Q3" s="172"/>
      <c r="R3" s="172"/>
      <c r="S3" s="172"/>
      <c r="T3" s="172"/>
    </row>
    <row r="4" spans="1:20" x14ac:dyDescent="0.2">
      <c r="A4" s="304" t="s">
        <v>2</v>
      </c>
      <c r="B4" s="304"/>
      <c r="C4" s="304"/>
      <c r="D4" s="304"/>
      <c r="E4" s="304"/>
      <c r="F4" s="304"/>
      <c r="G4" s="304"/>
      <c r="H4" s="304"/>
      <c r="I4" s="304"/>
      <c r="J4" s="304"/>
      <c r="K4" s="304"/>
      <c r="L4" s="304"/>
      <c r="M4" s="60" t="s">
        <v>21</v>
      </c>
      <c r="N4" s="11"/>
      <c r="O4" s="11"/>
      <c r="P4" s="11"/>
      <c r="Q4" s="11"/>
      <c r="R4" s="11"/>
      <c r="S4" s="11"/>
      <c r="T4" s="11"/>
    </row>
    <row r="5" spans="1:20" x14ac:dyDescent="0.2">
      <c r="A5" s="304"/>
      <c r="B5" s="304"/>
      <c r="C5" s="304"/>
      <c r="D5" s="304"/>
      <c r="E5" s="304"/>
      <c r="F5" s="304"/>
      <c r="G5" s="304"/>
      <c r="H5" s="304"/>
      <c r="I5" s="304"/>
      <c r="J5" s="304"/>
      <c r="K5" s="304"/>
      <c r="L5" s="304"/>
      <c r="M5" s="60" t="s">
        <v>21</v>
      </c>
      <c r="N5" s="11"/>
      <c r="O5" s="11"/>
      <c r="P5" s="11"/>
      <c r="Q5" s="11"/>
      <c r="R5" s="11"/>
      <c r="S5" s="11"/>
      <c r="T5" s="11"/>
    </row>
    <row r="6" spans="1:20" ht="15" thickBot="1" x14ac:dyDescent="0.25">
      <c r="A6" s="304"/>
      <c r="B6" s="304"/>
      <c r="C6" s="304"/>
      <c r="D6" s="304"/>
      <c r="E6" s="304"/>
      <c r="F6" s="304"/>
      <c r="G6" s="304"/>
      <c r="H6" s="304"/>
      <c r="I6" s="304"/>
      <c r="J6" s="304"/>
      <c r="K6" s="304"/>
      <c r="L6" s="304"/>
      <c r="M6" s="60" t="s">
        <v>21</v>
      </c>
      <c r="N6" s="11"/>
      <c r="O6" s="11"/>
      <c r="P6" s="11"/>
      <c r="Q6" s="11"/>
      <c r="R6" s="11"/>
      <c r="S6" s="11"/>
      <c r="T6" s="11"/>
    </row>
    <row r="7" spans="1:20" ht="30.75" customHeight="1" x14ac:dyDescent="0.2">
      <c r="A7" s="390" t="s">
        <v>136</v>
      </c>
      <c r="B7" s="391"/>
      <c r="C7" s="391"/>
      <c r="D7" s="392"/>
      <c r="E7" s="308" t="s">
        <v>7</v>
      </c>
      <c r="F7" s="308"/>
      <c r="G7" s="308" t="s">
        <v>8</v>
      </c>
      <c r="H7" s="308"/>
      <c r="I7" s="308" t="s">
        <v>25</v>
      </c>
      <c r="J7" s="308"/>
      <c r="K7" s="308" t="s">
        <v>74</v>
      </c>
      <c r="L7" s="309"/>
      <c r="M7" s="60" t="s">
        <v>21</v>
      </c>
    </row>
    <row r="8" spans="1:20" ht="28.5" x14ac:dyDescent="0.2">
      <c r="A8" s="393"/>
      <c r="B8" s="394"/>
      <c r="C8" s="394"/>
      <c r="D8" s="395"/>
      <c r="E8" s="177" t="s">
        <v>4</v>
      </c>
      <c r="F8" s="177" t="s">
        <v>5</v>
      </c>
      <c r="G8" s="177" t="s">
        <v>4</v>
      </c>
      <c r="H8" s="177" t="s">
        <v>5</v>
      </c>
      <c r="I8" s="177" t="s">
        <v>4</v>
      </c>
      <c r="J8" s="177" t="s">
        <v>5</v>
      </c>
      <c r="K8" s="177" t="s">
        <v>4</v>
      </c>
      <c r="L8" s="213" t="s">
        <v>5</v>
      </c>
      <c r="M8" s="60" t="s">
        <v>21</v>
      </c>
    </row>
    <row r="9" spans="1:20" x14ac:dyDescent="0.2">
      <c r="A9" s="285" t="s">
        <v>137</v>
      </c>
      <c r="B9" s="284">
        <v>145700</v>
      </c>
      <c r="C9" s="283" t="s">
        <v>142</v>
      </c>
      <c r="D9" s="282">
        <v>199700</v>
      </c>
      <c r="E9" s="269">
        <v>1</v>
      </c>
      <c r="F9" s="269">
        <v>0</v>
      </c>
      <c r="G9" s="269">
        <v>1</v>
      </c>
      <c r="H9" s="269">
        <v>0</v>
      </c>
      <c r="I9" s="269">
        <v>1</v>
      </c>
      <c r="J9" s="269">
        <v>0</v>
      </c>
      <c r="K9" s="269">
        <f t="shared" ref="K9:K25" si="0">I9-G9</f>
        <v>0</v>
      </c>
      <c r="L9" s="281">
        <f t="shared" ref="L9:L25" si="1">J9-H9</f>
        <v>0</v>
      </c>
      <c r="M9" s="60" t="s">
        <v>21</v>
      </c>
    </row>
    <row r="10" spans="1:20" x14ac:dyDescent="0.2">
      <c r="A10" s="280" t="s">
        <v>167</v>
      </c>
      <c r="B10" s="279">
        <v>119554</v>
      </c>
      <c r="C10" s="278" t="s">
        <v>142</v>
      </c>
      <c r="D10" s="277">
        <v>179700</v>
      </c>
      <c r="E10" s="267">
        <f>18+36</f>
        <v>54</v>
      </c>
      <c r="F10" s="267">
        <v>0</v>
      </c>
      <c r="G10" s="267">
        <v>54</v>
      </c>
      <c r="H10" s="267">
        <v>0</v>
      </c>
      <c r="I10" s="267">
        <v>54</v>
      </c>
      <c r="J10" s="267">
        <v>0</v>
      </c>
      <c r="K10" s="267">
        <f t="shared" si="0"/>
        <v>0</v>
      </c>
      <c r="L10" s="276">
        <f t="shared" si="1"/>
        <v>0</v>
      </c>
      <c r="M10" s="60" t="s">
        <v>21</v>
      </c>
    </row>
    <row r="11" spans="1:20" x14ac:dyDescent="0.2">
      <c r="A11" s="280" t="s">
        <v>122</v>
      </c>
      <c r="B11" s="279">
        <v>123758</v>
      </c>
      <c r="C11" s="278" t="s">
        <v>142</v>
      </c>
      <c r="D11" s="277">
        <v>155500</v>
      </c>
      <c r="E11" s="267">
        <v>175</v>
      </c>
      <c r="F11" s="267">
        <v>0</v>
      </c>
      <c r="G11" s="267">
        <v>175</v>
      </c>
      <c r="H11" s="267">
        <v>0</v>
      </c>
      <c r="I11" s="267">
        <v>175</v>
      </c>
      <c r="J11" s="267">
        <v>0</v>
      </c>
      <c r="K11" s="267">
        <f t="shared" si="0"/>
        <v>0</v>
      </c>
      <c r="L11" s="276">
        <f t="shared" si="1"/>
        <v>0</v>
      </c>
      <c r="M11" s="60" t="s">
        <v>21</v>
      </c>
    </row>
    <row r="12" spans="1:20" x14ac:dyDescent="0.2">
      <c r="A12" s="280" t="s">
        <v>123</v>
      </c>
      <c r="B12" s="279">
        <v>105211</v>
      </c>
      <c r="C12" s="278" t="s">
        <v>142</v>
      </c>
      <c r="D12" s="277">
        <v>136771</v>
      </c>
      <c r="E12" s="267">
        <v>272</v>
      </c>
      <c r="F12" s="267">
        <v>0</v>
      </c>
      <c r="G12" s="267">
        <v>272</v>
      </c>
      <c r="H12" s="267">
        <v>0</v>
      </c>
      <c r="I12" s="267">
        <v>272</v>
      </c>
      <c r="J12" s="267">
        <v>0</v>
      </c>
      <c r="K12" s="267">
        <f t="shared" si="0"/>
        <v>0</v>
      </c>
      <c r="L12" s="276">
        <f t="shared" si="1"/>
        <v>0</v>
      </c>
      <c r="M12" s="60" t="s">
        <v>21</v>
      </c>
    </row>
    <row r="13" spans="1:20" x14ac:dyDescent="0.2">
      <c r="A13" s="280" t="s">
        <v>124</v>
      </c>
      <c r="B13" s="279">
        <v>89033</v>
      </c>
      <c r="C13" s="278" t="s">
        <v>142</v>
      </c>
      <c r="D13" s="277">
        <v>115742</v>
      </c>
      <c r="E13" s="267">
        <v>688</v>
      </c>
      <c r="F13" s="267">
        <v>0</v>
      </c>
      <c r="G13" s="267">
        <v>688</v>
      </c>
      <c r="H13" s="267">
        <v>0</v>
      </c>
      <c r="I13" s="267">
        <v>688</v>
      </c>
      <c r="J13" s="267">
        <v>0</v>
      </c>
      <c r="K13" s="267">
        <f t="shared" si="0"/>
        <v>0</v>
      </c>
      <c r="L13" s="276">
        <f t="shared" si="1"/>
        <v>0</v>
      </c>
      <c r="M13" s="60" t="s">
        <v>21</v>
      </c>
    </row>
    <row r="14" spans="1:20" x14ac:dyDescent="0.2">
      <c r="A14" s="280" t="s">
        <v>125</v>
      </c>
      <c r="B14" s="279">
        <v>74872</v>
      </c>
      <c r="C14" s="278" t="s">
        <v>142</v>
      </c>
      <c r="D14" s="277">
        <v>97333</v>
      </c>
      <c r="E14" s="267">
        <v>2697</v>
      </c>
      <c r="F14" s="267">
        <v>0</v>
      </c>
      <c r="G14" s="267">
        <v>2697</v>
      </c>
      <c r="H14" s="267">
        <v>0</v>
      </c>
      <c r="I14" s="267">
        <v>2697</v>
      </c>
      <c r="J14" s="267">
        <v>0</v>
      </c>
      <c r="K14" s="267">
        <f t="shared" si="0"/>
        <v>0</v>
      </c>
      <c r="L14" s="276">
        <f t="shared" si="1"/>
        <v>0</v>
      </c>
      <c r="M14" s="60" t="s">
        <v>21</v>
      </c>
    </row>
    <row r="15" spans="1:20" x14ac:dyDescent="0.2">
      <c r="A15" s="280" t="s">
        <v>126</v>
      </c>
      <c r="B15" s="279">
        <v>62467</v>
      </c>
      <c r="C15" s="278" t="s">
        <v>142</v>
      </c>
      <c r="D15" s="277">
        <v>81204</v>
      </c>
      <c r="E15" s="267">
        <v>310</v>
      </c>
      <c r="F15" s="267">
        <v>0</v>
      </c>
      <c r="G15" s="267">
        <v>310</v>
      </c>
      <c r="H15" s="267">
        <v>0</v>
      </c>
      <c r="I15" s="267">
        <v>310</v>
      </c>
      <c r="J15" s="267">
        <v>0</v>
      </c>
      <c r="K15" s="267">
        <f t="shared" si="0"/>
        <v>0</v>
      </c>
      <c r="L15" s="276">
        <f t="shared" si="1"/>
        <v>0</v>
      </c>
      <c r="M15" s="60" t="s">
        <v>21</v>
      </c>
    </row>
    <row r="16" spans="1:20" x14ac:dyDescent="0.2">
      <c r="A16" s="280" t="s">
        <v>127</v>
      </c>
      <c r="B16" s="279">
        <v>56857</v>
      </c>
      <c r="C16" s="278" t="s">
        <v>142</v>
      </c>
      <c r="D16" s="277">
        <v>73917</v>
      </c>
      <c r="E16" s="267">
        <v>1</v>
      </c>
      <c r="F16" s="267">
        <v>0</v>
      </c>
      <c r="G16" s="267">
        <v>1</v>
      </c>
      <c r="H16" s="267">
        <v>0</v>
      </c>
      <c r="I16" s="267">
        <v>1</v>
      </c>
      <c r="J16" s="267">
        <v>0</v>
      </c>
      <c r="K16" s="267">
        <f t="shared" si="0"/>
        <v>0</v>
      </c>
      <c r="L16" s="276">
        <f t="shared" si="1"/>
        <v>0</v>
      </c>
      <c r="M16" s="60" t="s">
        <v>21</v>
      </c>
    </row>
    <row r="17" spans="1:13" x14ac:dyDescent="0.2">
      <c r="A17" s="280" t="s">
        <v>128</v>
      </c>
      <c r="B17" s="279">
        <v>51630</v>
      </c>
      <c r="C17" s="278" t="s">
        <v>142</v>
      </c>
      <c r="D17" s="277">
        <v>67114</v>
      </c>
      <c r="E17" s="267">
        <v>869</v>
      </c>
      <c r="F17" s="267">
        <v>0</v>
      </c>
      <c r="G17" s="267">
        <v>869</v>
      </c>
      <c r="H17" s="267">
        <v>0</v>
      </c>
      <c r="I17" s="267">
        <v>869</v>
      </c>
      <c r="J17" s="267">
        <v>0</v>
      </c>
      <c r="K17" s="267">
        <f t="shared" si="0"/>
        <v>0</v>
      </c>
      <c r="L17" s="276">
        <f t="shared" si="1"/>
        <v>0</v>
      </c>
      <c r="M17" s="60" t="s">
        <v>21</v>
      </c>
    </row>
    <row r="18" spans="1:13" x14ac:dyDescent="0.2">
      <c r="A18" s="280" t="s">
        <v>129</v>
      </c>
      <c r="B18" s="279">
        <v>46745</v>
      </c>
      <c r="C18" s="278" t="s">
        <v>142</v>
      </c>
      <c r="D18" s="277">
        <v>60765</v>
      </c>
      <c r="E18" s="267">
        <v>37</v>
      </c>
      <c r="F18" s="267">
        <v>0</v>
      </c>
      <c r="G18" s="267">
        <v>37</v>
      </c>
      <c r="H18" s="267">
        <v>0</v>
      </c>
      <c r="I18" s="267">
        <v>37</v>
      </c>
      <c r="J18" s="267">
        <v>0</v>
      </c>
      <c r="K18" s="267">
        <f t="shared" si="0"/>
        <v>0</v>
      </c>
      <c r="L18" s="276">
        <f t="shared" si="1"/>
        <v>0</v>
      </c>
      <c r="M18" s="60" t="s">
        <v>21</v>
      </c>
    </row>
    <row r="19" spans="1:13" x14ac:dyDescent="0.2">
      <c r="A19" s="280" t="s">
        <v>130</v>
      </c>
      <c r="B19" s="279">
        <v>42209</v>
      </c>
      <c r="C19" s="278" t="s">
        <v>142</v>
      </c>
      <c r="D19" s="277">
        <v>54875</v>
      </c>
      <c r="E19" s="267">
        <v>439</v>
      </c>
      <c r="F19" s="267">
        <v>0</v>
      </c>
      <c r="G19" s="267">
        <v>439</v>
      </c>
      <c r="H19" s="267">
        <v>0</v>
      </c>
      <c r="I19" s="267">
        <v>439</v>
      </c>
      <c r="J19" s="267">
        <v>0</v>
      </c>
      <c r="K19" s="267">
        <f t="shared" si="0"/>
        <v>0</v>
      </c>
      <c r="L19" s="276">
        <f t="shared" si="1"/>
        <v>0</v>
      </c>
      <c r="M19" s="60" t="s">
        <v>21</v>
      </c>
    </row>
    <row r="20" spans="1:13" hidden="1" x14ac:dyDescent="0.2">
      <c r="A20" s="280" t="s">
        <v>131</v>
      </c>
      <c r="B20" s="279">
        <v>37983</v>
      </c>
      <c r="C20" s="278" t="s">
        <v>142</v>
      </c>
      <c r="D20" s="277">
        <v>49375</v>
      </c>
      <c r="E20" s="267">
        <v>0</v>
      </c>
      <c r="F20" s="267">
        <v>0</v>
      </c>
      <c r="G20" s="267">
        <v>0</v>
      </c>
      <c r="H20" s="267">
        <v>0</v>
      </c>
      <c r="I20" s="267">
        <v>0</v>
      </c>
      <c r="J20" s="267">
        <v>0</v>
      </c>
      <c r="K20" s="267">
        <f t="shared" si="0"/>
        <v>0</v>
      </c>
      <c r="L20" s="276">
        <f t="shared" si="1"/>
        <v>0</v>
      </c>
      <c r="M20" s="60" t="s">
        <v>21</v>
      </c>
    </row>
    <row r="21" spans="1:13" hidden="1" x14ac:dyDescent="0.2">
      <c r="A21" s="280" t="s">
        <v>132</v>
      </c>
      <c r="B21" s="279">
        <v>37075</v>
      </c>
      <c r="C21" s="278" t="s">
        <v>142</v>
      </c>
      <c r="D21" s="277">
        <v>44293</v>
      </c>
      <c r="E21" s="267">
        <v>0</v>
      </c>
      <c r="F21" s="267">
        <v>0</v>
      </c>
      <c r="G21" s="267">
        <v>0</v>
      </c>
      <c r="H21" s="267">
        <v>0</v>
      </c>
      <c r="I21" s="267">
        <v>0</v>
      </c>
      <c r="J21" s="267">
        <v>0</v>
      </c>
      <c r="K21" s="267">
        <f t="shared" si="0"/>
        <v>0</v>
      </c>
      <c r="L21" s="276">
        <f t="shared" si="1"/>
        <v>0</v>
      </c>
      <c r="M21" s="60" t="s">
        <v>21</v>
      </c>
    </row>
    <row r="22" spans="1:13" x14ac:dyDescent="0.2">
      <c r="A22" s="280" t="s">
        <v>138</v>
      </c>
      <c r="B22" s="279">
        <v>30456</v>
      </c>
      <c r="C22" s="278" t="s">
        <v>142</v>
      </c>
      <c r="D22" s="277">
        <v>39590</v>
      </c>
      <c r="E22" s="267">
        <v>1</v>
      </c>
      <c r="F22" s="267">
        <v>0</v>
      </c>
      <c r="G22" s="267">
        <v>1</v>
      </c>
      <c r="H22" s="267">
        <v>0</v>
      </c>
      <c r="I22" s="267">
        <v>1</v>
      </c>
      <c r="J22" s="267">
        <v>0</v>
      </c>
      <c r="K22" s="267">
        <f t="shared" si="0"/>
        <v>0</v>
      </c>
      <c r="L22" s="276">
        <f t="shared" si="1"/>
        <v>0</v>
      </c>
      <c r="M22" s="60" t="s">
        <v>21</v>
      </c>
    </row>
    <row r="23" spans="1:13" hidden="1" x14ac:dyDescent="0.2">
      <c r="A23" s="280" t="s">
        <v>139</v>
      </c>
      <c r="B23" s="279">
        <v>27130</v>
      </c>
      <c r="C23" s="278" t="s">
        <v>142</v>
      </c>
      <c r="D23" s="277">
        <v>35269</v>
      </c>
      <c r="E23" s="267">
        <v>0</v>
      </c>
      <c r="F23" s="267">
        <v>0</v>
      </c>
      <c r="G23" s="267">
        <v>0</v>
      </c>
      <c r="H23" s="267">
        <v>0</v>
      </c>
      <c r="I23" s="267">
        <v>0</v>
      </c>
      <c r="J23" s="267">
        <v>0</v>
      </c>
      <c r="K23" s="267">
        <f t="shared" si="0"/>
        <v>0</v>
      </c>
      <c r="L23" s="276">
        <f t="shared" si="1"/>
        <v>0</v>
      </c>
      <c r="M23" s="60" t="s">
        <v>21</v>
      </c>
    </row>
    <row r="24" spans="1:13" hidden="1" x14ac:dyDescent="0.2">
      <c r="A24" s="280" t="s">
        <v>140</v>
      </c>
      <c r="B24" s="279">
        <v>24865</v>
      </c>
      <c r="C24" s="278" t="s">
        <v>142</v>
      </c>
      <c r="D24" s="277">
        <v>31292</v>
      </c>
      <c r="E24" s="267">
        <v>0</v>
      </c>
      <c r="F24" s="267">
        <v>0</v>
      </c>
      <c r="G24" s="267">
        <v>0</v>
      </c>
      <c r="H24" s="267">
        <v>0</v>
      </c>
      <c r="I24" s="267">
        <v>0</v>
      </c>
      <c r="J24" s="267">
        <v>0</v>
      </c>
      <c r="K24" s="267">
        <f t="shared" si="0"/>
        <v>0</v>
      </c>
      <c r="L24" s="276">
        <f t="shared" si="1"/>
        <v>0</v>
      </c>
      <c r="M24" s="60" t="s">
        <v>21</v>
      </c>
    </row>
    <row r="25" spans="1:13" hidden="1" x14ac:dyDescent="0.2">
      <c r="A25" s="275" t="s">
        <v>141</v>
      </c>
      <c r="B25" s="274">
        <v>22115</v>
      </c>
      <c r="C25" s="273" t="s">
        <v>142</v>
      </c>
      <c r="D25" s="272">
        <v>27663</v>
      </c>
      <c r="E25" s="238">
        <v>0</v>
      </c>
      <c r="F25" s="238">
        <v>0</v>
      </c>
      <c r="G25" s="238">
        <v>0</v>
      </c>
      <c r="H25" s="238">
        <v>0</v>
      </c>
      <c r="I25" s="238">
        <v>0</v>
      </c>
      <c r="J25" s="238">
        <v>0</v>
      </c>
      <c r="K25" s="238">
        <f t="shared" si="0"/>
        <v>0</v>
      </c>
      <c r="L25" s="271">
        <f t="shared" si="1"/>
        <v>0</v>
      </c>
      <c r="M25" s="60" t="s">
        <v>21</v>
      </c>
    </row>
    <row r="26" spans="1:13" ht="15" x14ac:dyDescent="0.25">
      <c r="A26" s="381" t="s">
        <v>143</v>
      </c>
      <c r="B26" s="382"/>
      <c r="C26" s="382"/>
      <c r="D26" s="383"/>
      <c r="E26" s="122">
        <f t="shared" ref="E26:L26" si="2">SUM(E9:E25)</f>
        <v>5544</v>
      </c>
      <c r="F26" s="122">
        <f t="shared" si="2"/>
        <v>0</v>
      </c>
      <c r="G26" s="122">
        <f t="shared" si="2"/>
        <v>5544</v>
      </c>
      <c r="H26" s="122">
        <f t="shared" si="2"/>
        <v>0</v>
      </c>
      <c r="I26" s="122">
        <f t="shared" si="2"/>
        <v>5544</v>
      </c>
      <c r="J26" s="122">
        <f t="shared" si="2"/>
        <v>0</v>
      </c>
      <c r="K26" s="122">
        <f t="shared" si="2"/>
        <v>0</v>
      </c>
      <c r="L26" s="203">
        <f t="shared" si="2"/>
        <v>0</v>
      </c>
      <c r="M26" s="60" t="s">
        <v>21</v>
      </c>
    </row>
    <row r="27" spans="1:13" ht="15" x14ac:dyDescent="0.25">
      <c r="A27" s="384" t="s">
        <v>144</v>
      </c>
      <c r="B27" s="385"/>
      <c r="C27" s="385"/>
      <c r="D27" s="385"/>
      <c r="E27" s="269"/>
      <c r="F27" s="270">
        <v>166944</v>
      </c>
      <c r="G27" s="269"/>
      <c r="H27" s="270">
        <v>167779</v>
      </c>
      <c r="I27" s="269"/>
      <c r="J27" s="270">
        <v>170631</v>
      </c>
      <c r="K27" s="269"/>
      <c r="L27" s="268"/>
      <c r="M27" s="60" t="s">
        <v>21</v>
      </c>
    </row>
    <row r="28" spans="1:13" ht="15" x14ac:dyDescent="0.25">
      <c r="A28" s="386" t="s">
        <v>145</v>
      </c>
      <c r="B28" s="387"/>
      <c r="C28" s="387"/>
      <c r="D28" s="387"/>
      <c r="E28" s="267"/>
      <c r="F28" s="140">
        <v>87124</v>
      </c>
      <c r="G28" s="267"/>
      <c r="H28" s="140">
        <v>87560</v>
      </c>
      <c r="I28" s="267"/>
      <c r="J28" s="140">
        <v>89048</v>
      </c>
      <c r="K28" s="267"/>
      <c r="L28" s="266"/>
      <c r="M28" s="60" t="s">
        <v>21</v>
      </c>
    </row>
    <row r="29" spans="1:13" ht="15.75" thickBot="1" x14ac:dyDescent="0.3">
      <c r="A29" s="388" t="s">
        <v>146</v>
      </c>
      <c r="B29" s="389"/>
      <c r="C29" s="389"/>
      <c r="D29" s="389"/>
      <c r="E29" s="265"/>
      <c r="F29" s="141">
        <v>11.79</v>
      </c>
      <c r="G29" s="265"/>
      <c r="H29" s="141">
        <v>11.79</v>
      </c>
      <c r="I29" s="265"/>
      <c r="J29" s="141">
        <v>11.79</v>
      </c>
      <c r="K29" s="265"/>
      <c r="L29" s="264"/>
      <c r="M29" s="60" t="s">
        <v>21</v>
      </c>
    </row>
    <row r="30" spans="1:13" x14ac:dyDescent="0.2">
      <c r="M30" s="60" t="s">
        <v>22</v>
      </c>
    </row>
    <row r="32" spans="1:13" x14ac:dyDescent="0.2">
      <c r="M32" s="60"/>
    </row>
    <row r="33" spans="13:13" x14ac:dyDescent="0.2">
      <c r="M33" s="60"/>
    </row>
  </sheetData>
  <mergeCells count="15">
    <mergeCell ref="A27:D27"/>
    <mergeCell ref="A28:D28"/>
    <mergeCell ref="A29:D29"/>
    <mergeCell ref="A7:D8"/>
    <mergeCell ref="E7:F7"/>
    <mergeCell ref="I7:J7"/>
    <mergeCell ref="K7:L7"/>
    <mergeCell ref="A26:D26"/>
    <mergeCell ref="A1:L1"/>
    <mergeCell ref="A2:L2"/>
    <mergeCell ref="A3:L3"/>
    <mergeCell ref="A4:L4"/>
    <mergeCell ref="A5:L5"/>
    <mergeCell ref="A6:L6"/>
    <mergeCell ref="G7:H7"/>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zoomScale="90" zoomScaleNormal="100" zoomScaleSheetLayoutView="90" workbookViewId="0">
      <pane xSplit="1" ySplit="7" topLeftCell="B14" activePane="bottomRight" state="frozen"/>
      <selection activeCell="A29" sqref="A29:O29"/>
      <selection pane="topRight" activeCell="A29" sqref="A29:O29"/>
      <selection pane="bottomLeft" activeCell="A29" sqref="A29:O29"/>
      <selection pane="bottomRight" activeCell="A49" sqref="A49"/>
    </sheetView>
  </sheetViews>
  <sheetFormatPr defaultColWidth="9.140625" defaultRowHeight="14.25" x14ac:dyDescent="0.2"/>
  <cols>
    <col min="1" max="1" width="86.5703125" style="149" customWidth="1"/>
    <col min="2" max="2" width="8.28515625" style="149" customWidth="1"/>
    <col min="3" max="3" width="12.7109375" style="149" customWidth="1"/>
    <col min="4" max="4" width="8.28515625" style="149" customWidth="1"/>
    <col min="5" max="5" width="12.7109375" style="149" customWidth="1"/>
    <col min="6" max="6" width="8.28515625" style="149" customWidth="1"/>
    <col min="7" max="7" width="12.7109375" style="149" customWidth="1"/>
    <col min="8" max="8" width="8.28515625" style="149" customWidth="1"/>
    <col min="9" max="9" width="12.7109375" style="149" customWidth="1"/>
    <col min="10" max="10" width="14" style="7" bestFit="1" customWidth="1"/>
    <col min="11" max="11" width="4.5703125" style="149" customWidth="1"/>
    <col min="12" max="13" width="8.28515625" style="149" customWidth="1"/>
    <col min="14" max="14" width="12.7109375" style="149" customWidth="1"/>
    <col min="15" max="16" width="8.28515625" style="149" customWidth="1"/>
    <col min="17" max="17" width="12.7109375" style="149" customWidth="1"/>
    <col min="18" max="16384" width="9.140625" style="149"/>
  </cols>
  <sheetData>
    <row r="1" spans="1:17" ht="18" x14ac:dyDescent="0.25">
      <c r="A1" s="301" t="s">
        <v>87</v>
      </c>
      <c r="B1" s="301"/>
      <c r="C1" s="301"/>
      <c r="D1" s="301"/>
      <c r="E1" s="301"/>
      <c r="F1" s="301"/>
      <c r="G1" s="301"/>
      <c r="H1" s="301"/>
      <c r="I1" s="301"/>
      <c r="J1" s="60" t="s">
        <v>21</v>
      </c>
      <c r="K1" s="9"/>
      <c r="L1" s="9"/>
      <c r="M1" s="9"/>
      <c r="N1" s="9"/>
      <c r="O1" s="9"/>
      <c r="P1" s="9"/>
      <c r="Q1" s="9"/>
    </row>
    <row r="2" spans="1:17" ht="15" x14ac:dyDescent="0.2">
      <c r="A2" s="302" t="s">
        <v>189</v>
      </c>
      <c r="B2" s="302"/>
      <c r="C2" s="302"/>
      <c r="D2" s="302"/>
      <c r="E2" s="302"/>
      <c r="F2" s="302"/>
      <c r="G2" s="302"/>
      <c r="H2" s="302"/>
      <c r="I2" s="302"/>
      <c r="J2" s="60" t="s">
        <v>21</v>
      </c>
      <c r="K2" s="10"/>
      <c r="L2" s="10"/>
      <c r="M2" s="10"/>
      <c r="N2" s="10"/>
      <c r="O2" s="10"/>
      <c r="P2" s="10"/>
      <c r="Q2" s="10"/>
    </row>
    <row r="3" spans="1:17" x14ac:dyDescent="0.2">
      <c r="A3" s="311" t="s">
        <v>1</v>
      </c>
      <c r="B3" s="311"/>
      <c r="C3" s="311"/>
      <c r="D3" s="311"/>
      <c r="E3" s="311"/>
      <c r="F3" s="311"/>
      <c r="G3" s="311"/>
      <c r="H3" s="311"/>
      <c r="I3" s="311"/>
      <c r="J3" s="60" t="s">
        <v>21</v>
      </c>
      <c r="K3" s="172"/>
      <c r="L3" s="172"/>
      <c r="M3" s="172"/>
      <c r="N3" s="172"/>
      <c r="O3" s="172"/>
      <c r="P3" s="172"/>
      <c r="Q3" s="172"/>
    </row>
    <row r="4" spans="1:17" x14ac:dyDescent="0.2">
      <c r="A4" s="304" t="s">
        <v>2</v>
      </c>
      <c r="B4" s="304"/>
      <c r="C4" s="304"/>
      <c r="D4" s="304"/>
      <c r="E4" s="304"/>
      <c r="F4" s="304"/>
      <c r="G4" s="304"/>
      <c r="H4" s="304"/>
      <c r="I4" s="304"/>
      <c r="J4" s="60" t="s">
        <v>21</v>
      </c>
      <c r="K4" s="11"/>
      <c r="L4" s="11"/>
      <c r="M4" s="11"/>
      <c r="N4" s="11"/>
      <c r="O4" s="11"/>
      <c r="P4" s="11"/>
      <c r="Q4" s="11"/>
    </row>
    <row r="5" spans="1:17" ht="15" thickBot="1" x14ac:dyDescent="0.25">
      <c r="A5" s="304"/>
      <c r="B5" s="304"/>
      <c r="C5" s="304"/>
      <c r="D5" s="304"/>
      <c r="E5" s="304"/>
      <c r="F5" s="304"/>
      <c r="G5" s="304"/>
      <c r="H5" s="304"/>
      <c r="I5" s="304"/>
      <c r="J5" s="60" t="s">
        <v>21</v>
      </c>
      <c r="K5" s="11"/>
      <c r="L5" s="11"/>
      <c r="M5" s="11"/>
      <c r="N5" s="11"/>
      <c r="O5" s="11"/>
      <c r="P5" s="11"/>
      <c r="Q5" s="11"/>
    </row>
    <row r="6" spans="1:17" ht="15" x14ac:dyDescent="0.2">
      <c r="A6" s="305" t="s">
        <v>88</v>
      </c>
      <c r="B6" s="308" t="s">
        <v>73</v>
      </c>
      <c r="C6" s="308"/>
      <c r="D6" s="308" t="s">
        <v>71</v>
      </c>
      <c r="E6" s="308"/>
      <c r="F6" s="308" t="s">
        <v>25</v>
      </c>
      <c r="G6" s="308"/>
      <c r="H6" s="308" t="s">
        <v>74</v>
      </c>
      <c r="I6" s="309"/>
      <c r="J6" s="60" t="s">
        <v>21</v>
      </c>
    </row>
    <row r="7" spans="1:17" ht="28.5" x14ac:dyDescent="0.2">
      <c r="A7" s="306"/>
      <c r="B7" s="204" t="s">
        <v>31</v>
      </c>
      <c r="C7" s="204" t="s">
        <v>5</v>
      </c>
      <c r="D7" s="204" t="s">
        <v>31</v>
      </c>
      <c r="E7" s="204" t="s">
        <v>5</v>
      </c>
      <c r="F7" s="204" t="s">
        <v>31</v>
      </c>
      <c r="G7" s="204" t="s">
        <v>5</v>
      </c>
      <c r="H7" s="204" t="s">
        <v>31</v>
      </c>
      <c r="I7" s="213" t="s">
        <v>5</v>
      </c>
      <c r="J7" s="60" t="s">
        <v>21</v>
      </c>
    </row>
    <row r="8" spans="1:17" x14ac:dyDescent="0.2">
      <c r="A8" s="227" t="s">
        <v>89</v>
      </c>
      <c r="B8" s="212">
        <v>5156</v>
      </c>
      <c r="C8" s="212">
        <v>407821</v>
      </c>
      <c r="D8" s="212">
        <v>5065</v>
      </c>
      <c r="E8" s="212">
        <v>420768</v>
      </c>
      <c r="F8" s="212">
        <v>5065</v>
      </c>
      <c r="G8" s="212">
        <v>424083</v>
      </c>
      <c r="H8" s="212">
        <f>F8-D8</f>
        <v>0</v>
      </c>
      <c r="I8" s="211">
        <f>G8-E8</f>
        <v>3315</v>
      </c>
      <c r="J8" s="60" t="s">
        <v>21</v>
      </c>
    </row>
    <row r="9" spans="1:17" x14ac:dyDescent="0.2">
      <c r="A9" s="148" t="s">
        <v>90</v>
      </c>
      <c r="B9" s="160">
        <v>25</v>
      </c>
      <c r="C9" s="160">
        <v>13269</v>
      </c>
      <c r="D9" s="160">
        <v>25</v>
      </c>
      <c r="E9" s="160">
        <v>12703</v>
      </c>
      <c r="F9" s="160">
        <v>25</v>
      </c>
      <c r="G9" s="160">
        <v>12803</v>
      </c>
      <c r="H9" s="160">
        <f t="shared" ref="H9:I13" si="0">F9-D9</f>
        <v>0</v>
      </c>
      <c r="I9" s="165">
        <f t="shared" si="0"/>
        <v>100</v>
      </c>
      <c r="J9" s="60" t="s">
        <v>21</v>
      </c>
    </row>
    <row r="10" spans="1:17" x14ac:dyDescent="0.2">
      <c r="A10" s="148" t="s">
        <v>170</v>
      </c>
      <c r="B10" s="160">
        <f>SUM(B11:B12)</f>
        <v>846</v>
      </c>
      <c r="C10" s="160">
        <f t="shared" ref="C10:G10" si="1">SUM(C11:C12)</f>
        <v>81291</v>
      </c>
      <c r="D10" s="160">
        <f t="shared" si="1"/>
        <v>846</v>
      </c>
      <c r="E10" s="160">
        <f>SUM(E11:E12)</f>
        <v>95734</v>
      </c>
      <c r="F10" s="160">
        <f t="shared" si="1"/>
        <v>846</v>
      </c>
      <c r="G10" s="160">
        <f t="shared" si="1"/>
        <v>96335</v>
      </c>
      <c r="H10" s="160">
        <f t="shared" si="0"/>
        <v>0</v>
      </c>
      <c r="I10" s="165">
        <f t="shared" si="0"/>
        <v>601</v>
      </c>
      <c r="J10" s="60" t="s">
        <v>21</v>
      </c>
    </row>
    <row r="11" spans="1:17" x14ac:dyDescent="0.2">
      <c r="A11" s="61" t="s">
        <v>30</v>
      </c>
      <c r="B11" s="142">
        <v>207</v>
      </c>
      <c r="C11" s="142">
        <v>17606</v>
      </c>
      <c r="D11" s="142">
        <v>207</v>
      </c>
      <c r="E11" s="142">
        <v>17606</v>
      </c>
      <c r="F11" s="142">
        <v>207</v>
      </c>
      <c r="G11" s="142">
        <v>17606</v>
      </c>
      <c r="H11" s="142">
        <f t="shared" si="0"/>
        <v>0</v>
      </c>
      <c r="I11" s="143">
        <f t="shared" si="0"/>
        <v>0</v>
      </c>
      <c r="J11" s="60" t="s">
        <v>21</v>
      </c>
    </row>
    <row r="12" spans="1:17" x14ac:dyDescent="0.2">
      <c r="A12" s="61" t="s">
        <v>91</v>
      </c>
      <c r="B12" s="142">
        <v>639</v>
      </c>
      <c r="C12" s="142">
        <v>63685</v>
      </c>
      <c r="D12" s="142">
        <v>639</v>
      </c>
      <c r="E12" s="142">
        <f>72341+5787</f>
        <v>78128</v>
      </c>
      <c r="F12" s="142">
        <v>639</v>
      </c>
      <c r="G12" s="142">
        <f>72942+5787</f>
        <v>78729</v>
      </c>
      <c r="H12" s="142">
        <f t="shared" si="0"/>
        <v>0</v>
      </c>
      <c r="I12" s="143">
        <f t="shared" si="0"/>
        <v>601</v>
      </c>
      <c r="J12" s="60" t="s">
        <v>21</v>
      </c>
    </row>
    <row r="13" spans="1:17" x14ac:dyDescent="0.2">
      <c r="A13" s="148" t="s">
        <v>92</v>
      </c>
      <c r="B13" s="207">
        <v>0</v>
      </c>
      <c r="C13" s="207">
        <v>6492</v>
      </c>
      <c r="D13" s="207">
        <v>0</v>
      </c>
      <c r="E13" s="207">
        <v>6663</v>
      </c>
      <c r="F13" s="207">
        <v>0</v>
      </c>
      <c r="G13" s="207">
        <v>6663</v>
      </c>
      <c r="H13" s="207">
        <f t="shared" si="0"/>
        <v>0</v>
      </c>
      <c r="I13" s="228">
        <f t="shared" si="0"/>
        <v>0</v>
      </c>
      <c r="J13" s="60" t="s">
        <v>21</v>
      </c>
    </row>
    <row r="14" spans="1:17" ht="15" x14ac:dyDescent="0.25">
      <c r="A14" s="63" t="s">
        <v>26</v>
      </c>
      <c r="B14" s="109">
        <f>SUM(B8:B10,B13)</f>
        <v>6027</v>
      </c>
      <c r="C14" s="109">
        <f t="shared" ref="C14:I14" si="2">SUM(C8:C10,C13)</f>
        <v>508873</v>
      </c>
      <c r="D14" s="109">
        <f t="shared" si="2"/>
        <v>5936</v>
      </c>
      <c r="E14" s="109">
        <f>SUM(E8:E10,E13)</f>
        <v>535868</v>
      </c>
      <c r="F14" s="109">
        <f t="shared" si="2"/>
        <v>5936</v>
      </c>
      <c r="G14" s="109">
        <f t="shared" si="2"/>
        <v>539884</v>
      </c>
      <c r="H14" s="109">
        <f t="shared" si="2"/>
        <v>0</v>
      </c>
      <c r="I14" s="114">
        <f t="shared" si="2"/>
        <v>4016</v>
      </c>
      <c r="J14" s="60" t="s">
        <v>21</v>
      </c>
    </row>
    <row r="15" spans="1:17" ht="15" x14ac:dyDescent="0.25">
      <c r="A15" s="62" t="s">
        <v>93</v>
      </c>
      <c r="B15" s="160"/>
      <c r="C15" s="160"/>
      <c r="D15" s="160"/>
      <c r="E15" s="160"/>
      <c r="F15" s="160"/>
      <c r="G15" s="160"/>
      <c r="H15" s="160"/>
      <c r="I15" s="165"/>
      <c r="J15" s="60" t="s">
        <v>21</v>
      </c>
    </row>
    <row r="16" spans="1:17" x14ac:dyDescent="0.2">
      <c r="A16" s="148" t="s">
        <v>94</v>
      </c>
      <c r="B16" s="160"/>
      <c r="C16" s="160">
        <v>215554</v>
      </c>
      <c r="D16" s="160"/>
      <c r="E16" s="160">
        <v>221831</v>
      </c>
      <c r="F16" s="160"/>
      <c r="G16" s="160">
        <v>226669</v>
      </c>
      <c r="H16" s="160"/>
      <c r="I16" s="165">
        <f t="shared" ref="I16:I35" si="3">G16-E16</f>
        <v>4838</v>
      </c>
      <c r="J16" s="60" t="s">
        <v>21</v>
      </c>
    </row>
    <row r="17" spans="1:10" x14ac:dyDescent="0.2">
      <c r="A17" s="148" t="s">
        <v>95</v>
      </c>
      <c r="B17" s="160"/>
      <c r="C17" s="160">
        <v>0</v>
      </c>
      <c r="D17" s="160"/>
      <c r="E17" s="160">
        <v>9</v>
      </c>
      <c r="F17" s="160"/>
      <c r="G17" s="160">
        <v>9</v>
      </c>
      <c r="H17" s="160"/>
      <c r="I17" s="165">
        <f t="shared" si="3"/>
        <v>0</v>
      </c>
      <c r="J17" s="60" t="s">
        <v>21</v>
      </c>
    </row>
    <row r="18" spans="1:10" x14ac:dyDescent="0.2">
      <c r="A18" s="148" t="s">
        <v>96</v>
      </c>
      <c r="B18" s="160"/>
      <c r="C18" s="160">
        <v>29558</v>
      </c>
      <c r="D18" s="160"/>
      <c r="E18" s="160">
        <v>24358</v>
      </c>
      <c r="F18" s="160"/>
      <c r="G18" s="160">
        <v>23820</v>
      </c>
      <c r="H18" s="160"/>
      <c r="I18" s="165">
        <f t="shared" si="3"/>
        <v>-538</v>
      </c>
      <c r="J18" s="60" t="s">
        <v>21</v>
      </c>
    </row>
    <row r="19" spans="1:10" x14ac:dyDescent="0.2">
      <c r="A19" s="148" t="s">
        <v>171</v>
      </c>
      <c r="B19" s="160"/>
      <c r="C19" s="160">
        <v>1122</v>
      </c>
      <c r="D19" s="160"/>
      <c r="E19" s="160">
        <v>1081</v>
      </c>
      <c r="F19" s="160"/>
      <c r="G19" s="160">
        <v>1057</v>
      </c>
      <c r="H19" s="160"/>
      <c r="I19" s="165">
        <f t="shared" si="3"/>
        <v>-24</v>
      </c>
      <c r="J19" s="60" t="s">
        <v>21</v>
      </c>
    </row>
    <row r="20" spans="1:10" x14ac:dyDescent="0.2">
      <c r="A20" s="148" t="s">
        <v>97</v>
      </c>
      <c r="B20" s="160"/>
      <c r="C20" s="160">
        <v>173767</v>
      </c>
      <c r="D20" s="160"/>
      <c r="E20" s="160">
        <f>176460+314+8013</f>
        <v>184787</v>
      </c>
      <c r="F20" s="160"/>
      <c r="G20" s="160">
        <f>187452+314+8013</f>
        <v>195779</v>
      </c>
      <c r="H20" s="160"/>
      <c r="I20" s="165">
        <f t="shared" si="3"/>
        <v>10992</v>
      </c>
      <c r="J20" s="60" t="s">
        <v>21</v>
      </c>
    </row>
    <row r="21" spans="1:10" x14ac:dyDescent="0.2">
      <c r="A21" s="148" t="s">
        <v>98</v>
      </c>
      <c r="B21" s="160"/>
      <c r="C21" s="160">
        <v>10058</v>
      </c>
      <c r="D21" s="160"/>
      <c r="E21" s="160">
        <v>6283</v>
      </c>
      <c r="F21" s="160"/>
      <c r="G21" s="160">
        <v>6283</v>
      </c>
      <c r="H21" s="160"/>
      <c r="I21" s="165">
        <f t="shared" si="3"/>
        <v>0</v>
      </c>
      <c r="J21" s="60" t="s">
        <v>21</v>
      </c>
    </row>
    <row r="22" spans="1:10" x14ac:dyDescent="0.2">
      <c r="A22" s="148" t="s">
        <v>99</v>
      </c>
      <c r="B22" s="160"/>
      <c r="C22" s="160">
        <v>24426</v>
      </c>
      <c r="D22" s="160"/>
      <c r="E22" s="160">
        <v>23081</v>
      </c>
      <c r="F22" s="160"/>
      <c r="G22" s="160">
        <v>22570</v>
      </c>
      <c r="H22" s="160"/>
      <c r="I22" s="165">
        <f t="shared" si="3"/>
        <v>-511</v>
      </c>
      <c r="J22" s="60" t="s">
        <v>21</v>
      </c>
    </row>
    <row r="23" spans="1:10" x14ac:dyDescent="0.2">
      <c r="A23" s="148" t="s">
        <v>100</v>
      </c>
      <c r="B23" s="160"/>
      <c r="C23" s="160">
        <v>452</v>
      </c>
      <c r="D23" s="160"/>
      <c r="E23" s="160">
        <v>669</v>
      </c>
      <c r="F23" s="160"/>
      <c r="G23" s="160">
        <v>654</v>
      </c>
      <c r="H23" s="160"/>
      <c r="I23" s="165">
        <f t="shared" si="3"/>
        <v>-15</v>
      </c>
      <c r="J23" s="60" t="s">
        <v>21</v>
      </c>
    </row>
    <row r="24" spans="1:10" x14ac:dyDescent="0.2">
      <c r="A24" s="148" t="s">
        <v>101</v>
      </c>
      <c r="B24" s="160"/>
      <c r="C24" s="160">
        <v>1834</v>
      </c>
      <c r="D24" s="160"/>
      <c r="E24" s="160">
        <v>1000</v>
      </c>
      <c r="F24" s="160"/>
      <c r="G24" s="160">
        <v>1000</v>
      </c>
      <c r="H24" s="160"/>
      <c r="I24" s="165">
        <f t="shared" si="3"/>
        <v>0</v>
      </c>
      <c r="J24" s="60" t="s">
        <v>21</v>
      </c>
    </row>
    <row r="25" spans="1:10" x14ac:dyDescent="0.2">
      <c r="A25" s="148" t="s">
        <v>102</v>
      </c>
      <c r="B25" s="160"/>
      <c r="C25" s="160">
        <f>98523+22</f>
        <v>98545</v>
      </c>
      <c r="D25" s="160"/>
      <c r="E25" s="160">
        <f>69257+3966</f>
        <v>73223</v>
      </c>
      <c r="F25" s="160"/>
      <c r="G25" s="160">
        <f>68319+3966</f>
        <v>72285</v>
      </c>
      <c r="H25" s="160"/>
      <c r="I25" s="165">
        <f t="shared" si="3"/>
        <v>-938</v>
      </c>
      <c r="J25" s="60" t="s">
        <v>21</v>
      </c>
    </row>
    <row r="26" spans="1:10" x14ac:dyDescent="0.2">
      <c r="A26" s="148" t="s">
        <v>103</v>
      </c>
      <c r="B26" s="160"/>
      <c r="C26" s="160">
        <v>19632</v>
      </c>
      <c r="D26" s="160"/>
      <c r="E26" s="160">
        <v>18275</v>
      </c>
      <c r="F26" s="160"/>
      <c r="G26" s="160">
        <v>18275</v>
      </c>
      <c r="H26" s="160"/>
      <c r="I26" s="165">
        <f t="shared" si="3"/>
        <v>0</v>
      </c>
      <c r="J26" s="60" t="s">
        <v>21</v>
      </c>
    </row>
    <row r="27" spans="1:10" x14ac:dyDescent="0.2">
      <c r="A27" s="148" t="s">
        <v>278</v>
      </c>
      <c r="B27" s="160"/>
      <c r="C27" s="160">
        <v>11478</v>
      </c>
      <c r="D27" s="160"/>
      <c r="E27" s="160">
        <v>13532</v>
      </c>
      <c r="F27" s="160"/>
      <c r="G27" s="160">
        <v>13532</v>
      </c>
      <c r="H27" s="160"/>
      <c r="I27" s="165"/>
      <c r="J27" s="60" t="s">
        <v>21</v>
      </c>
    </row>
    <row r="28" spans="1:10" x14ac:dyDescent="0.2">
      <c r="A28" s="148" t="s">
        <v>104</v>
      </c>
      <c r="B28" s="160"/>
      <c r="C28" s="160">
        <v>7466</v>
      </c>
      <c r="D28" s="160"/>
      <c r="E28" s="160">
        <v>9466</v>
      </c>
      <c r="F28" s="160"/>
      <c r="G28" s="160">
        <v>9466</v>
      </c>
      <c r="H28" s="160"/>
      <c r="I28" s="165">
        <f t="shared" si="3"/>
        <v>0</v>
      </c>
      <c r="J28" s="60" t="s">
        <v>21</v>
      </c>
    </row>
    <row r="29" spans="1:10" x14ac:dyDescent="0.2">
      <c r="A29" s="148" t="s">
        <v>60</v>
      </c>
      <c r="B29" s="160"/>
      <c r="C29" s="160">
        <v>2188</v>
      </c>
      <c r="D29" s="160"/>
      <c r="E29" s="160">
        <v>2188</v>
      </c>
      <c r="F29" s="160"/>
      <c r="G29" s="160">
        <v>2188</v>
      </c>
      <c r="H29" s="160"/>
      <c r="I29" s="165">
        <f t="shared" si="3"/>
        <v>0</v>
      </c>
      <c r="J29" s="60" t="s">
        <v>21</v>
      </c>
    </row>
    <row r="30" spans="1:10" x14ac:dyDescent="0.2">
      <c r="A30" s="148" t="s">
        <v>106</v>
      </c>
      <c r="B30" s="160"/>
      <c r="C30" s="160">
        <v>16820</v>
      </c>
      <c r="D30" s="160"/>
      <c r="E30" s="160">
        <v>16820</v>
      </c>
      <c r="F30" s="160"/>
      <c r="G30" s="160">
        <v>16820</v>
      </c>
      <c r="H30" s="160"/>
      <c r="I30" s="165">
        <f t="shared" si="3"/>
        <v>0</v>
      </c>
      <c r="J30" s="60" t="s">
        <v>21</v>
      </c>
    </row>
    <row r="31" spans="1:10" x14ac:dyDescent="0.2">
      <c r="A31" s="148" t="s">
        <v>279</v>
      </c>
      <c r="B31" s="160"/>
      <c r="C31" s="160">
        <v>48</v>
      </c>
      <c r="D31" s="160"/>
      <c r="E31" s="160">
        <v>595</v>
      </c>
      <c r="F31" s="160"/>
      <c r="G31" s="160">
        <v>3777</v>
      </c>
      <c r="H31" s="160"/>
      <c r="I31" s="165">
        <f t="shared" si="3"/>
        <v>3182</v>
      </c>
      <c r="J31" s="60" t="s">
        <v>21</v>
      </c>
    </row>
    <row r="32" spans="1:10" x14ac:dyDescent="0.2">
      <c r="A32" s="148" t="s">
        <v>107</v>
      </c>
      <c r="B32" s="160"/>
      <c r="C32" s="160">
        <v>26018</v>
      </c>
      <c r="D32" s="160"/>
      <c r="E32" s="160">
        <f>6512+11181</f>
        <v>17693</v>
      </c>
      <c r="F32" s="160"/>
      <c r="G32" s="160">
        <f>6368+11181</f>
        <v>17549</v>
      </c>
      <c r="H32" s="160"/>
      <c r="I32" s="165">
        <f t="shared" si="3"/>
        <v>-144</v>
      </c>
      <c r="J32" s="60" t="s">
        <v>21</v>
      </c>
    </row>
    <row r="33" spans="1:10" x14ac:dyDescent="0.2">
      <c r="A33" s="148" t="s">
        <v>108</v>
      </c>
      <c r="B33" s="160"/>
      <c r="C33" s="160">
        <v>27727</v>
      </c>
      <c r="D33" s="160"/>
      <c r="E33" s="160">
        <v>27532</v>
      </c>
      <c r="F33" s="160"/>
      <c r="G33" s="160">
        <v>31722</v>
      </c>
      <c r="H33" s="160"/>
      <c r="I33" s="165">
        <f t="shared" si="3"/>
        <v>4190</v>
      </c>
      <c r="J33" s="60" t="s">
        <v>21</v>
      </c>
    </row>
    <row r="34" spans="1:10" x14ac:dyDescent="0.2">
      <c r="A34" s="148" t="s">
        <v>109</v>
      </c>
      <c r="B34" s="160"/>
      <c r="C34" s="160">
        <v>1734</v>
      </c>
      <c r="D34" s="160"/>
      <c r="E34" s="160">
        <v>469</v>
      </c>
      <c r="F34" s="160"/>
      <c r="G34" s="160">
        <v>469</v>
      </c>
      <c r="H34" s="160"/>
      <c r="I34" s="165">
        <f t="shared" si="3"/>
        <v>0</v>
      </c>
      <c r="J34" s="60" t="s">
        <v>21</v>
      </c>
    </row>
    <row r="35" spans="1:10" x14ac:dyDescent="0.2">
      <c r="A35" s="148" t="s">
        <v>110</v>
      </c>
      <c r="B35" s="160"/>
      <c r="C35" s="160">
        <v>347</v>
      </c>
      <c r="D35" s="160"/>
      <c r="E35" s="160">
        <v>225</v>
      </c>
      <c r="F35" s="160"/>
      <c r="G35" s="160">
        <v>225</v>
      </c>
      <c r="H35" s="160"/>
      <c r="I35" s="165">
        <f t="shared" si="3"/>
        <v>0</v>
      </c>
      <c r="J35" s="60" t="s">
        <v>21</v>
      </c>
    </row>
    <row r="36" spans="1:10" ht="15" x14ac:dyDescent="0.25">
      <c r="A36" s="63" t="s">
        <v>111</v>
      </c>
      <c r="B36" s="70"/>
      <c r="C36" s="70">
        <f>SUM(C14:C35)</f>
        <v>1177647</v>
      </c>
      <c r="D36" s="70"/>
      <c r="E36" s="70">
        <f>SUM(E14:E35)</f>
        <v>1178985</v>
      </c>
      <c r="F36" s="70"/>
      <c r="G36" s="70">
        <f>SUM(G14:G35)</f>
        <v>1204033</v>
      </c>
      <c r="H36" s="70"/>
      <c r="I36" s="73">
        <f>SUM(I14:I35)</f>
        <v>25048</v>
      </c>
      <c r="J36" s="60" t="s">
        <v>21</v>
      </c>
    </row>
    <row r="37" spans="1:10" x14ac:dyDescent="0.2">
      <c r="A37" s="148" t="s">
        <v>172</v>
      </c>
      <c r="B37" s="160"/>
      <c r="C37" s="160">
        <v>-13948</v>
      </c>
      <c r="D37" s="160"/>
      <c r="E37" s="160">
        <f>-C40</f>
        <v>-8405</v>
      </c>
      <c r="F37" s="160"/>
      <c r="G37" s="160">
        <f>-E40</f>
        <v>-14625</v>
      </c>
      <c r="H37" s="160"/>
      <c r="I37" s="165">
        <f>G37-E37</f>
        <v>-6220</v>
      </c>
      <c r="J37" s="60" t="s">
        <v>21</v>
      </c>
    </row>
    <row r="38" spans="1:10" x14ac:dyDescent="0.2">
      <c r="A38" s="148" t="s">
        <v>186</v>
      </c>
      <c r="B38" s="160"/>
      <c r="C38" s="160">
        <f>-7145-1201</f>
        <v>-8346</v>
      </c>
      <c r="D38" s="160"/>
      <c r="E38" s="160">
        <f>-4111-609</f>
        <v>-4720</v>
      </c>
      <c r="F38" s="160"/>
      <c r="G38" s="160">
        <v>0</v>
      </c>
      <c r="H38" s="160"/>
      <c r="I38" s="165">
        <f t="shared" ref="I38:I41" si="4">G38-E38</f>
        <v>4720</v>
      </c>
      <c r="J38" s="60" t="s">
        <v>21</v>
      </c>
    </row>
    <row r="39" spans="1:10" x14ac:dyDescent="0.2">
      <c r="A39" s="148" t="s">
        <v>187</v>
      </c>
      <c r="B39" s="160"/>
      <c r="C39" s="160">
        <v>1567</v>
      </c>
      <c r="D39" s="160"/>
      <c r="E39" s="160">
        <v>-1500</v>
      </c>
      <c r="F39" s="160"/>
      <c r="G39" s="160">
        <v>0</v>
      </c>
      <c r="H39" s="160"/>
      <c r="I39" s="165">
        <f t="shared" si="4"/>
        <v>1500</v>
      </c>
      <c r="J39" s="60" t="s">
        <v>21</v>
      </c>
    </row>
    <row r="40" spans="1:10" x14ac:dyDescent="0.2">
      <c r="A40" s="148" t="s">
        <v>112</v>
      </c>
      <c r="B40" s="160"/>
      <c r="C40" s="160">
        <f>8405</f>
        <v>8405</v>
      </c>
      <c r="D40" s="160"/>
      <c r="E40" s="160">
        <f>-SUM(E37:E39)</f>
        <v>14625</v>
      </c>
      <c r="F40" s="160"/>
      <c r="G40" s="160">
        <f>-G37-12200</f>
        <v>2425</v>
      </c>
      <c r="H40" s="160"/>
      <c r="I40" s="165">
        <f t="shared" si="4"/>
        <v>-12200</v>
      </c>
      <c r="J40" s="60" t="s">
        <v>21</v>
      </c>
    </row>
    <row r="41" spans="1:10" x14ac:dyDescent="0.2">
      <c r="A41" s="148" t="s">
        <v>178</v>
      </c>
      <c r="B41" s="160"/>
      <c r="C41" s="160">
        <f>6429+46</f>
        <v>6475</v>
      </c>
      <c r="D41" s="160"/>
      <c r="E41" s="160">
        <v>0</v>
      </c>
      <c r="F41" s="160"/>
      <c r="G41" s="160">
        <v>0</v>
      </c>
      <c r="H41" s="160"/>
      <c r="I41" s="165">
        <f t="shared" si="4"/>
        <v>0</v>
      </c>
      <c r="J41" s="60" t="s">
        <v>21</v>
      </c>
    </row>
    <row r="42" spans="1:10" ht="15.75" thickBot="1" x14ac:dyDescent="0.3">
      <c r="A42" s="64" t="s">
        <v>113</v>
      </c>
      <c r="B42" s="144">
        <f t="shared" ref="B42:I42" si="5">SUM(B36:B41)</f>
        <v>0</v>
      </c>
      <c r="C42" s="144">
        <f>SUM(C36:C41)</f>
        <v>1171800</v>
      </c>
      <c r="D42" s="144">
        <f t="shared" si="5"/>
        <v>0</v>
      </c>
      <c r="E42" s="144">
        <f t="shared" si="5"/>
        <v>1178985</v>
      </c>
      <c r="F42" s="144">
        <f t="shared" si="5"/>
        <v>0</v>
      </c>
      <c r="G42" s="144">
        <f t="shared" si="5"/>
        <v>1191833</v>
      </c>
      <c r="H42" s="144">
        <f t="shared" si="5"/>
        <v>0</v>
      </c>
      <c r="I42" s="145">
        <f t="shared" si="5"/>
        <v>12848</v>
      </c>
      <c r="J42" s="60" t="s">
        <v>21</v>
      </c>
    </row>
    <row r="43" spans="1:10" x14ac:dyDescent="0.2">
      <c r="A43" s="229" t="s">
        <v>27</v>
      </c>
      <c r="B43" s="230"/>
      <c r="C43" s="230"/>
      <c r="D43" s="230"/>
      <c r="E43" s="230"/>
      <c r="F43" s="230"/>
      <c r="G43" s="230"/>
      <c r="H43" s="230"/>
      <c r="I43" s="231"/>
      <c r="J43" s="60" t="s">
        <v>21</v>
      </c>
    </row>
    <row r="44" spans="1:10" x14ac:dyDescent="0.2">
      <c r="A44" s="148" t="s">
        <v>114</v>
      </c>
      <c r="B44" s="160">
        <v>390</v>
      </c>
      <c r="C44" s="160"/>
      <c r="D44" s="160">
        <v>418</v>
      </c>
      <c r="E44" s="160"/>
      <c r="F44" s="160">
        <v>426</v>
      </c>
      <c r="G44" s="160"/>
      <c r="H44" s="160">
        <f>F44-D44</f>
        <v>8</v>
      </c>
      <c r="I44" s="165"/>
      <c r="J44" s="60" t="s">
        <v>21</v>
      </c>
    </row>
    <row r="45" spans="1:10" x14ac:dyDescent="0.2">
      <c r="A45" s="148"/>
      <c r="B45" s="160"/>
      <c r="C45" s="160"/>
      <c r="D45" s="160"/>
      <c r="E45" s="160"/>
      <c r="F45" s="160"/>
      <c r="G45" s="160"/>
      <c r="H45" s="160"/>
      <c r="I45" s="165"/>
      <c r="J45" s="60" t="s">
        <v>21</v>
      </c>
    </row>
    <row r="46" spans="1:10" x14ac:dyDescent="0.2">
      <c r="A46" s="148" t="s">
        <v>115</v>
      </c>
      <c r="B46" s="160"/>
      <c r="C46" s="160">
        <f>20692-C47</f>
        <v>19450.48</v>
      </c>
      <c r="D46" s="160"/>
      <c r="E46" s="160">
        <f>20896-E47</f>
        <v>19642.240000000002</v>
      </c>
      <c r="F46" s="160"/>
      <c r="G46" s="160">
        <f>20896-G47</f>
        <v>19642.240000000002</v>
      </c>
      <c r="H46" s="160"/>
      <c r="I46" s="165">
        <f t="shared" ref="I46:I47" si="6">G46-E46</f>
        <v>0</v>
      </c>
      <c r="J46" s="60" t="s">
        <v>21</v>
      </c>
    </row>
    <row r="47" spans="1:10" ht="15" thickBot="1" x14ac:dyDescent="0.25">
      <c r="A47" s="232" t="s">
        <v>116</v>
      </c>
      <c r="B47" s="233"/>
      <c r="C47" s="233">
        <f>20692*0.06</f>
        <v>1241.52</v>
      </c>
      <c r="D47" s="233"/>
      <c r="E47" s="233">
        <f>20896*0.06</f>
        <v>1253.76</v>
      </c>
      <c r="F47" s="233"/>
      <c r="G47" s="233">
        <f>20896*0.06</f>
        <v>1253.76</v>
      </c>
      <c r="H47" s="233"/>
      <c r="I47" s="234">
        <f t="shared" si="6"/>
        <v>0</v>
      </c>
      <c r="J47" s="60" t="s">
        <v>21</v>
      </c>
    </row>
    <row r="48" spans="1:10" ht="7.9" customHeight="1" x14ac:dyDescent="0.2">
      <c r="J48" s="60" t="s">
        <v>21</v>
      </c>
    </row>
    <row r="49" spans="1:10" x14ac:dyDescent="0.2">
      <c r="A49" s="235" t="s">
        <v>280</v>
      </c>
      <c r="J49" s="7" t="s">
        <v>22</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 - Salaries and Expenses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90" zoomScaleNormal="100" zoomScaleSheetLayoutView="90" workbookViewId="0">
      <pane xSplit="1" ySplit="7" topLeftCell="B8" activePane="bottomRight" state="frozen"/>
      <selection activeCell="A29" sqref="A29:O29"/>
      <selection pane="topRight" activeCell="A29" sqref="A29:O29"/>
      <selection pane="bottomLeft" activeCell="A29" sqref="A29:O29"/>
      <selection pane="bottomRight" activeCell="A14" sqref="A14"/>
    </sheetView>
  </sheetViews>
  <sheetFormatPr defaultColWidth="9.140625" defaultRowHeight="14.25" x14ac:dyDescent="0.2"/>
  <cols>
    <col min="1" max="1" width="86.5703125" style="149" customWidth="1"/>
    <col min="2" max="2" width="8.28515625" style="149" customWidth="1"/>
    <col min="3" max="3" width="12.7109375" style="149" customWidth="1"/>
    <col min="4" max="4" width="8.28515625" style="149" customWidth="1"/>
    <col min="5" max="5" width="12.7109375" style="149" customWidth="1"/>
    <col min="6" max="6" width="8.28515625" style="149" customWidth="1"/>
    <col min="7" max="7" width="12.7109375" style="149" customWidth="1"/>
    <col min="8" max="8" width="8.28515625" style="149" customWidth="1"/>
    <col min="9" max="9" width="12.7109375" style="149" customWidth="1"/>
    <col min="10" max="10" width="14" style="7" bestFit="1" customWidth="1"/>
    <col min="11" max="11" width="4.5703125" style="149" customWidth="1"/>
    <col min="12" max="13" width="8.28515625" style="149" customWidth="1"/>
    <col min="14" max="14" width="12.7109375" style="149" customWidth="1"/>
    <col min="15" max="16" width="8.28515625" style="149" customWidth="1"/>
    <col min="17" max="17" width="12.7109375" style="149" customWidth="1"/>
    <col min="18" max="16384" width="9.140625" style="149"/>
  </cols>
  <sheetData>
    <row r="1" spans="1:17" ht="18" x14ac:dyDescent="0.25">
      <c r="A1" s="301" t="s">
        <v>87</v>
      </c>
      <c r="B1" s="301"/>
      <c r="C1" s="301"/>
      <c r="D1" s="301"/>
      <c r="E1" s="301"/>
      <c r="F1" s="301"/>
      <c r="G1" s="301"/>
      <c r="H1" s="301"/>
      <c r="I1" s="301"/>
      <c r="J1" s="60" t="s">
        <v>21</v>
      </c>
      <c r="K1" s="9"/>
      <c r="L1" s="9"/>
      <c r="M1" s="9"/>
      <c r="N1" s="9"/>
      <c r="O1" s="9"/>
      <c r="P1" s="9"/>
      <c r="Q1" s="9"/>
    </row>
    <row r="2" spans="1:17" ht="15" x14ac:dyDescent="0.2">
      <c r="A2" s="302" t="s">
        <v>189</v>
      </c>
      <c r="B2" s="302"/>
      <c r="C2" s="302"/>
      <c r="D2" s="302"/>
      <c r="E2" s="302"/>
      <c r="F2" s="302"/>
      <c r="G2" s="302"/>
      <c r="H2" s="302"/>
      <c r="I2" s="302"/>
      <c r="J2" s="60" t="s">
        <v>21</v>
      </c>
      <c r="K2" s="10"/>
      <c r="L2" s="10"/>
      <c r="M2" s="10"/>
      <c r="N2" s="10"/>
      <c r="O2" s="10"/>
      <c r="P2" s="10"/>
      <c r="Q2" s="10"/>
    </row>
    <row r="3" spans="1:17" x14ac:dyDescent="0.2">
      <c r="A3" s="311" t="s">
        <v>225</v>
      </c>
      <c r="B3" s="311"/>
      <c r="C3" s="311"/>
      <c r="D3" s="311"/>
      <c r="E3" s="311"/>
      <c r="F3" s="311"/>
      <c r="G3" s="311"/>
      <c r="H3" s="311"/>
      <c r="I3" s="311"/>
      <c r="J3" s="60" t="s">
        <v>21</v>
      </c>
      <c r="K3" s="172"/>
      <c r="L3" s="172"/>
      <c r="M3" s="172"/>
      <c r="N3" s="172"/>
      <c r="O3" s="172"/>
      <c r="P3" s="172"/>
      <c r="Q3" s="172"/>
    </row>
    <row r="4" spans="1:17" x14ac:dyDescent="0.2">
      <c r="A4" s="304" t="s">
        <v>2</v>
      </c>
      <c r="B4" s="304"/>
      <c r="C4" s="304"/>
      <c r="D4" s="304"/>
      <c r="E4" s="304"/>
      <c r="F4" s="304"/>
      <c r="G4" s="304"/>
      <c r="H4" s="304"/>
      <c r="I4" s="304"/>
      <c r="J4" s="60" t="s">
        <v>21</v>
      </c>
      <c r="K4" s="11"/>
      <c r="L4" s="11"/>
      <c r="M4" s="11"/>
      <c r="N4" s="11"/>
      <c r="O4" s="11"/>
      <c r="P4" s="11"/>
      <c r="Q4" s="11"/>
    </row>
    <row r="5" spans="1:17" ht="15" thickBot="1" x14ac:dyDescent="0.25">
      <c r="A5" s="304"/>
      <c r="B5" s="304"/>
      <c r="C5" s="304"/>
      <c r="D5" s="304"/>
      <c r="E5" s="304"/>
      <c r="F5" s="304"/>
      <c r="G5" s="304"/>
      <c r="H5" s="304"/>
      <c r="I5" s="304"/>
      <c r="J5" s="60" t="s">
        <v>21</v>
      </c>
      <c r="K5" s="11"/>
      <c r="L5" s="11"/>
      <c r="M5" s="11"/>
      <c r="N5" s="11"/>
      <c r="O5" s="11"/>
      <c r="P5" s="11"/>
      <c r="Q5" s="11"/>
    </row>
    <row r="6" spans="1:17" ht="15" x14ac:dyDescent="0.2">
      <c r="A6" s="305" t="s">
        <v>88</v>
      </c>
      <c r="B6" s="308" t="s">
        <v>73</v>
      </c>
      <c r="C6" s="308"/>
      <c r="D6" s="308" t="s">
        <v>71</v>
      </c>
      <c r="E6" s="308"/>
      <c r="F6" s="308" t="s">
        <v>25</v>
      </c>
      <c r="G6" s="308"/>
      <c r="H6" s="308" t="s">
        <v>74</v>
      </c>
      <c r="I6" s="309"/>
      <c r="J6" s="60" t="s">
        <v>21</v>
      </c>
    </row>
    <row r="7" spans="1:17" ht="28.5" x14ac:dyDescent="0.2">
      <c r="A7" s="306"/>
      <c r="B7" s="204" t="s">
        <v>31</v>
      </c>
      <c r="C7" s="204" t="s">
        <v>5</v>
      </c>
      <c r="D7" s="204" t="s">
        <v>31</v>
      </c>
      <c r="E7" s="204" t="s">
        <v>5</v>
      </c>
      <c r="F7" s="204" t="s">
        <v>31</v>
      </c>
      <c r="G7" s="204" t="s">
        <v>5</v>
      </c>
      <c r="H7" s="204" t="s">
        <v>31</v>
      </c>
      <c r="I7" s="213" t="s">
        <v>5</v>
      </c>
      <c r="J7" s="60" t="s">
        <v>21</v>
      </c>
    </row>
    <row r="8" spans="1:17" x14ac:dyDescent="0.2">
      <c r="A8" s="148" t="s">
        <v>102</v>
      </c>
      <c r="B8" s="160">
        <v>0</v>
      </c>
      <c r="C8" s="160">
        <v>16983</v>
      </c>
      <c r="D8" s="160">
        <v>0</v>
      </c>
      <c r="E8" s="160">
        <v>10000</v>
      </c>
      <c r="F8" s="160">
        <v>0</v>
      </c>
      <c r="G8" s="160">
        <v>10000</v>
      </c>
      <c r="H8" s="160"/>
      <c r="I8" s="165">
        <f t="shared" ref="I8" si="0">G8-E8</f>
        <v>0</v>
      </c>
      <c r="J8" s="60" t="s">
        <v>21</v>
      </c>
    </row>
    <row r="9" spans="1:17" ht="15" x14ac:dyDescent="0.25">
      <c r="A9" s="63" t="s">
        <v>111</v>
      </c>
      <c r="B9" s="70"/>
      <c r="C9" s="70">
        <f>SUM(C8:C8)</f>
        <v>16983</v>
      </c>
      <c r="D9" s="70"/>
      <c r="E9" s="70">
        <f>SUM(E8:E8)</f>
        <v>10000</v>
      </c>
      <c r="F9" s="70"/>
      <c r="G9" s="70">
        <f>SUM(G8:G8)</f>
        <v>10000</v>
      </c>
      <c r="H9" s="70"/>
      <c r="I9" s="73">
        <f>SUM(I8:I8)</f>
        <v>0</v>
      </c>
      <c r="J9" s="60" t="s">
        <v>21</v>
      </c>
    </row>
    <row r="10" spans="1:17" x14ac:dyDescent="0.2">
      <c r="A10" s="148" t="s">
        <v>172</v>
      </c>
      <c r="B10" s="160"/>
      <c r="C10" s="160">
        <v>-2051</v>
      </c>
      <c r="D10" s="160"/>
      <c r="E10" s="160">
        <v>-930</v>
      </c>
      <c r="F10" s="160"/>
      <c r="G10" s="160">
        <f>-E12</f>
        <v>-1930</v>
      </c>
      <c r="H10" s="160"/>
      <c r="I10" s="165">
        <f>G10-E10</f>
        <v>-1000</v>
      </c>
      <c r="J10" s="60" t="s">
        <v>21</v>
      </c>
    </row>
    <row r="11" spans="1:17" x14ac:dyDescent="0.2">
      <c r="A11" s="148" t="s">
        <v>187</v>
      </c>
      <c r="B11" s="160"/>
      <c r="C11" s="160">
        <v>-862</v>
      </c>
      <c r="D11" s="160"/>
      <c r="E11" s="160">
        <v>-1000</v>
      </c>
      <c r="F11" s="160"/>
      <c r="G11" s="160">
        <v>0</v>
      </c>
      <c r="H11" s="160"/>
      <c r="I11" s="165">
        <f t="shared" ref="I11:I13" si="1">G11-E11</f>
        <v>1000</v>
      </c>
      <c r="J11" s="60" t="s">
        <v>21</v>
      </c>
    </row>
    <row r="12" spans="1:17" x14ac:dyDescent="0.2">
      <c r="A12" s="148" t="s">
        <v>112</v>
      </c>
      <c r="B12" s="160"/>
      <c r="C12" s="160">
        <v>930</v>
      </c>
      <c r="D12" s="160"/>
      <c r="E12" s="160">
        <v>1930</v>
      </c>
      <c r="F12" s="160"/>
      <c r="G12" s="160">
        <v>1930</v>
      </c>
      <c r="H12" s="160"/>
      <c r="I12" s="165">
        <f t="shared" ref="I12" si="2">G12-E12</f>
        <v>0</v>
      </c>
      <c r="J12" s="60" t="s">
        <v>21</v>
      </c>
    </row>
    <row r="13" spans="1:17" x14ac:dyDescent="0.2">
      <c r="A13" s="148" t="s">
        <v>300</v>
      </c>
      <c r="B13" s="160"/>
      <c r="C13" s="160">
        <v>0</v>
      </c>
      <c r="D13" s="160"/>
      <c r="E13" s="160">
        <v>5000</v>
      </c>
      <c r="F13" s="160"/>
      <c r="G13" s="160">
        <v>0</v>
      </c>
      <c r="H13" s="160"/>
      <c r="I13" s="165">
        <f t="shared" si="1"/>
        <v>-5000</v>
      </c>
      <c r="J13" s="60" t="s">
        <v>21</v>
      </c>
    </row>
    <row r="14" spans="1:17" ht="15.75" thickBot="1" x14ac:dyDescent="0.3">
      <c r="A14" s="64" t="s">
        <v>113</v>
      </c>
      <c r="B14" s="144">
        <f t="shared" ref="B14:I14" si="3">SUM(B9:B13)</f>
        <v>0</v>
      </c>
      <c r="C14" s="144">
        <f t="shared" si="3"/>
        <v>15000</v>
      </c>
      <c r="D14" s="144">
        <f t="shared" si="3"/>
        <v>0</v>
      </c>
      <c r="E14" s="144">
        <f t="shared" si="3"/>
        <v>15000</v>
      </c>
      <c r="F14" s="144">
        <f t="shared" si="3"/>
        <v>0</v>
      </c>
      <c r="G14" s="144">
        <f t="shared" si="3"/>
        <v>10000</v>
      </c>
      <c r="H14" s="144">
        <f t="shared" si="3"/>
        <v>0</v>
      </c>
      <c r="I14" s="145">
        <f t="shared" si="3"/>
        <v>-5000</v>
      </c>
      <c r="J14" s="7" t="s">
        <v>22</v>
      </c>
    </row>
    <row r="15" spans="1:17" x14ac:dyDescent="0.2">
      <c r="E15" s="236"/>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 - Construction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topLeftCell="A4" zoomScale="90" zoomScaleNormal="100" zoomScaleSheetLayoutView="90" workbookViewId="0">
      <selection activeCell="C18" sqref="C18"/>
    </sheetView>
  </sheetViews>
  <sheetFormatPr defaultColWidth="9.140625" defaultRowHeight="14.25" x14ac:dyDescent="0.2"/>
  <cols>
    <col min="1" max="1" width="113.5703125" style="1" customWidth="1"/>
    <col min="2" max="3" width="14.5703125" style="2" customWidth="1"/>
    <col min="4" max="4" width="14.5703125" style="3" customWidth="1"/>
    <col min="5" max="5" width="11.5703125" style="7" bestFit="1" customWidth="1"/>
    <col min="6" max="6" width="4.85546875" style="1" customWidth="1"/>
    <col min="7" max="16384" width="9.140625" style="1"/>
  </cols>
  <sheetData>
    <row r="1" spans="1:5" ht="18" x14ac:dyDescent="0.25">
      <c r="A1" s="301" t="s">
        <v>0</v>
      </c>
      <c r="B1" s="301"/>
      <c r="C1" s="301"/>
      <c r="D1" s="301"/>
      <c r="E1" s="7" t="s">
        <v>21</v>
      </c>
    </row>
    <row r="2" spans="1:5" ht="15" x14ac:dyDescent="0.2">
      <c r="A2" s="302" t="s">
        <v>189</v>
      </c>
      <c r="B2" s="302"/>
      <c r="C2" s="302"/>
      <c r="D2" s="302"/>
      <c r="E2" s="7" t="s">
        <v>21</v>
      </c>
    </row>
    <row r="3" spans="1:5" x14ac:dyDescent="0.2">
      <c r="A3" s="303" t="s">
        <v>1</v>
      </c>
      <c r="B3" s="303"/>
      <c r="C3" s="303"/>
      <c r="D3" s="303"/>
      <c r="E3" s="7" t="s">
        <v>21</v>
      </c>
    </row>
    <row r="4" spans="1:5" x14ac:dyDescent="0.2">
      <c r="A4" s="304" t="s">
        <v>2</v>
      </c>
      <c r="B4" s="304"/>
      <c r="C4" s="304"/>
      <c r="D4" s="304"/>
      <c r="E4" s="7" t="s">
        <v>21</v>
      </c>
    </row>
    <row r="5" spans="1:5" ht="15" thickBot="1" x14ac:dyDescent="0.25">
      <c r="E5" s="7" t="s">
        <v>21</v>
      </c>
    </row>
    <row r="6" spans="1:5" ht="15" x14ac:dyDescent="0.25">
      <c r="B6" s="298" t="s">
        <v>3</v>
      </c>
      <c r="C6" s="299"/>
      <c r="D6" s="300"/>
      <c r="E6" s="7" t="s">
        <v>21</v>
      </c>
    </row>
    <row r="7" spans="1:5" ht="15.75" thickBot="1" x14ac:dyDescent="0.25">
      <c r="B7" s="4" t="s">
        <v>4</v>
      </c>
      <c r="C7" s="5" t="s">
        <v>153</v>
      </c>
      <c r="D7" s="6" t="s">
        <v>5</v>
      </c>
      <c r="E7" s="7" t="s">
        <v>21</v>
      </c>
    </row>
    <row r="8" spans="1:5" ht="17.25" x14ac:dyDescent="0.25">
      <c r="A8" s="91" t="s">
        <v>249</v>
      </c>
      <c r="B8" s="92">
        <v>5544</v>
      </c>
      <c r="C8" s="93">
        <v>5181</v>
      </c>
      <c r="D8" s="94">
        <v>1174000</v>
      </c>
      <c r="E8" s="7" t="s">
        <v>21</v>
      </c>
    </row>
    <row r="9" spans="1:5" x14ac:dyDescent="0.2">
      <c r="A9" s="166" t="s">
        <v>6</v>
      </c>
      <c r="B9" s="208">
        <v>0</v>
      </c>
      <c r="C9" s="207">
        <v>0</v>
      </c>
      <c r="D9" s="162">
        <v>-2200</v>
      </c>
      <c r="E9" s="7" t="s">
        <v>21</v>
      </c>
    </row>
    <row r="10" spans="1:5" ht="17.25" x14ac:dyDescent="0.25">
      <c r="A10" s="90" t="s">
        <v>250</v>
      </c>
      <c r="B10" s="108">
        <f t="shared" ref="B10:C10" si="0">SUM(B8:B9)</f>
        <v>5544</v>
      </c>
      <c r="C10" s="109">
        <f t="shared" si="0"/>
        <v>5181</v>
      </c>
      <c r="D10" s="110">
        <f>SUM(D8:D9)</f>
        <v>1171800</v>
      </c>
      <c r="E10" s="7" t="s">
        <v>21</v>
      </c>
    </row>
    <row r="11" spans="1:5" ht="15" x14ac:dyDescent="0.25">
      <c r="A11" s="68" t="s">
        <v>8</v>
      </c>
      <c r="B11" s="108">
        <v>5544</v>
      </c>
      <c r="C11" s="109">
        <v>5090</v>
      </c>
      <c r="D11" s="110">
        <v>1174000</v>
      </c>
      <c r="E11" s="7" t="s">
        <v>21</v>
      </c>
    </row>
    <row r="12" spans="1:5" x14ac:dyDescent="0.2">
      <c r="A12" s="166" t="s">
        <v>223</v>
      </c>
      <c r="B12" s="164">
        <v>0</v>
      </c>
      <c r="C12" s="160">
        <v>0</v>
      </c>
      <c r="D12" s="71">
        <v>-2200</v>
      </c>
      <c r="E12" s="7" t="s">
        <v>21</v>
      </c>
    </row>
    <row r="13" spans="1:5" x14ac:dyDescent="0.2">
      <c r="A13" s="146" t="s">
        <v>183</v>
      </c>
      <c r="B13" s="208">
        <v>0</v>
      </c>
      <c r="C13" s="207">
        <v>0</v>
      </c>
      <c r="D13" s="112">
        <v>7185</v>
      </c>
      <c r="E13" s="7" t="s">
        <v>21</v>
      </c>
    </row>
    <row r="14" spans="1:5" ht="15" x14ac:dyDescent="0.25">
      <c r="A14" s="72" t="s">
        <v>148</v>
      </c>
      <c r="B14" s="113">
        <f>SUM(B11:B13)</f>
        <v>5544</v>
      </c>
      <c r="C14" s="109">
        <v>5090</v>
      </c>
      <c r="D14" s="114">
        <f>SUM(D11:D13)</f>
        <v>1178985</v>
      </c>
      <c r="E14" s="7" t="s">
        <v>21</v>
      </c>
    </row>
    <row r="15" spans="1:5" ht="15" x14ac:dyDescent="0.25">
      <c r="A15" s="72"/>
      <c r="B15" s="69"/>
      <c r="C15" s="70"/>
      <c r="D15" s="73"/>
      <c r="E15" s="7" t="s">
        <v>21</v>
      </c>
    </row>
    <row r="16" spans="1:5" ht="15" x14ac:dyDescent="0.25">
      <c r="A16" s="74" t="s">
        <v>9</v>
      </c>
      <c r="B16" s="69"/>
      <c r="C16" s="70"/>
      <c r="D16" s="73"/>
      <c r="E16" s="7" t="s">
        <v>21</v>
      </c>
    </row>
    <row r="17" spans="1:5" x14ac:dyDescent="0.2">
      <c r="A17" s="163" t="s">
        <v>213</v>
      </c>
      <c r="B17" s="75">
        <v>0</v>
      </c>
      <c r="C17" s="76">
        <v>0</v>
      </c>
      <c r="D17" s="71">
        <v>2200</v>
      </c>
      <c r="E17" s="7" t="s">
        <v>21</v>
      </c>
    </row>
    <row r="18" spans="1:5" x14ac:dyDescent="0.2">
      <c r="A18" s="147" t="s">
        <v>184</v>
      </c>
      <c r="B18" s="164">
        <v>0</v>
      </c>
      <c r="C18" s="160">
        <v>0</v>
      </c>
      <c r="D18" s="165">
        <v>-7185</v>
      </c>
      <c r="E18" s="7" t="s">
        <v>21</v>
      </c>
    </row>
    <row r="19" spans="1:5" ht="15" x14ac:dyDescent="0.25">
      <c r="A19" s="78" t="s">
        <v>181</v>
      </c>
      <c r="B19" s="69">
        <f>SUM(B17:B18)</f>
        <v>0</v>
      </c>
      <c r="C19" s="70">
        <f>SUM(C17:C18)</f>
        <v>0</v>
      </c>
      <c r="D19" s="73">
        <f>SUM(D17:D18)</f>
        <v>-4985</v>
      </c>
      <c r="E19" s="7" t="s">
        <v>21</v>
      </c>
    </row>
    <row r="20" spans="1:5" ht="15" x14ac:dyDescent="0.25">
      <c r="A20" s="74" t="s">
        <v>147</v>
      </c>
      <c r="B20" s="69"/>
      <c r="C20" s="70"/>
      <c r="D20" s="73"/>
      <c r="E20" s="7" t="s">
        <v>21</v>
      </c>
    </row>
    <row r="21" spans="1:5" ht="15" x14ac:dyDescent="0.25">
      <c r="A21" s="77" t="s">
        <v>10</v>
      </c>
      <c r="B21" s="69"/>
      <c r="C21" s="70"/>
      <c r="D21" s="73"/>
      <c r="E21" s="7" t="s">
        <v>21</v>
      </c>
    </row>
    <row r="22" spans="1:5" x14ac:dyDescent="0.2">
      <c r="A22" s="163" t="s">
        <v>214</v>
      </c>
      <c r="B22" s="164">
        <v>0</v>
      </c>
      <c r="C22" s="160">
        <v>0</v>
      </c>
      <c r="D22" s="165">
        <v>2755</v>
      </c>
      <c r="E22" s="7" t="s">
        <v>21</v>
      </c>
    </row>
    <row r="23" spans="1:5" x14ac:dyDescent="0.2">
      <c r="A23" s="163" t="s">
        <v>215</v>
      </c>
      <c r="B23" s="164">
        <v>0</v>
      </c>
      <c r="C23" s="160">
        <v>0</v>
      </c>
      <c r="D23" s="165">
        <v>2774</v>
      </c>
      <c r="E23" s="7" t="s">
        <v>21</v>
      </c>
    </row>
    <row r="24" spans="1:5" x14ac:dyDescent="0.2">
      <c r="A24" s="163" t="s">
        <v>216</v>
      </c>
      <c r="B24" s="164">
        <v>0</v>
      </c>
      <c r="C24" s="160">
        <v>0</v>
      </c>
      <c r="D24" s="165">
        <v>3700</v>
      </c>
      <c r="E24" s="7" t="s">
        <v>21</v>
      </c>
    </row>
    <row r="25" spans="1:5" x14ac:dyDescent="0.2">
      <c r="A25" s="163" t="s">
        <v>217</v>
      </c>
      <c r="B25" s="164">
        <v>0</v>
      </c>
      <c r="C25" s="160">
        <v>0</v>
      </c>
      <c r="D25" s="165">
        <v>-147</v>
      </c>
      <c r="E25" s="7" t="s">
        <v>21</v>
      </c>
    </row>
    <row r="26" spans="1:5" x14ac:dyDescent="0.2">
      <c r="A26" s="163" t="s">
        <v>218</v>
      </c>
      <c r="B26" s="164">
        <v>0</v>
      </c>
      <c r="C26" s="160">
        <v>0</v>
      </c>
      <c r="D26" s="165">
        <v>-7</v>
      </c>
      <c r="E26" s="7" t="s">
        <v>21</v>
      </c>
    </row>
    <row r="27" spans="1:5" x14ac:dyDescent="0.2">
      <c r="A27" s="77" t="s">
        <v>11</v>
      </c>
      <c r="B27" s="75">
        <v>0</v>
      </c>
      <c r="C27" s="76">
        <v>0</v>
      </c>
      <c r="D27" s="71">
        <v>8670</v>
      </c>
      <c r="E27" s="7" t="s">
        <v>21</v>
      </c>
    </row>
    <row r="28" spans="1:5" x14ac:dyDescent="0.2">
      <c r="A28" s="77" t="s">
        <v>12</v>
      </c>
      <c r="B28" s="75">
        <v>0</v>
      </c>
      <c r="C28" s="76">
        <v>0</v>
      </c>
      <c r="D28" s="71">
        <v>14174</v>
      </c>
      <c r="E28" s="7" t="s">
        <v>21</v>
      </c>
    </row>
    <row r="29" spans="1:5" x14ac:dyDescent="0.2">
      <c r="A29" s="77" t="s">
        <v>13</v>
      </c>
      <c r="B29" s="75">
        <v>0</v>
      </c>
      <c r="C29" s="76">
        <v>0</v>
      </c>
      <c r="D29" s="71">
        <v>2792</v>
      </c>
      <c r="E29" s="7" t="s">
        <v>21</v>
      </c>
    </row>
    <row r="30" spans="1:5" x14ac:dyDescent="0.2">
      <c r="A30" s="77" t="s">
        <v>14</v>
      </c>
      <c r="B30" s="75">
        <v>0</v>
      </c>
      <c r="C30" s="76">
        <v>0</v>
      </c>
      <c r="D30" s="71">
        <v>332</v>
      </c>
      <c r="E30" s="7" t="s">
        <v>21</v>
      </c>
    </row>
    <row r="31" spans="1:5" ht="15" x14ac:dyDescent="0.25">
      <c r="A31" s="78" t="s">
        <v>149</v>
      </c>
      <c r="B31" s="69">
        <f>SUM(B26:B30)</f>
        <v>0</v>
      </c>
      <c r="C31" s="70">
        <f>SUM(C26:C30)</f>
        <v>0</v>
      </c>
      <c r="D31" s="73">
        <f>SUM(D22:D30)</f>
        <v>35043</v>
      </c>
      <c r="E31" s="7" t="s">
        <v>21</v>
      </c>
    </row>
    <row r="32" spans="1:5" ht="15" x14ac:dyDescent="0.25">
      <c r="A32" s="72" t="s">
        <v>150</v>
      </c>
      <c r="B32" s="115">
        <f>B31+B19</f>
        <v>0</v>
      </c>
      <c r="C32" s="31">
        <f>C31+C19</f>
        <v>0</v>
      </c>
      <c r="D32" s="32">
        <f>D31+D19</f>
        <v>30058</v>
      </c>
      <c r="E32" s="7" t="s">
        <v>21</v>
      </c>
    </row>
    <row r="33" spans="1:5" ht="15" x14ac:dyDescent="0.25">
      <c r="A33" s="79" t="s">
        <v>15</v>
      </c>
      <c r="B33" s="113">
        <f>B14+B32</f>
        <v>5544</v>
      </c>
      <c r="C33" s="109">
        <f>C14+C32</f>
        <v>5090</v>
      </c>
      <c r="D33" s="114">
        <f>D14+D32</f>
        <v>1209043</v>
      </c>
      <c r="E33" s="7" t="s">
        <v>21</v>
      </c>
    </row>
    <row r="34" spans="1:5" ht="15" x14ac:dyDescent="0.25">
      <c r="A34" s="79" t="s">
        <v>16</v>
      </c>
      <c r="B34" s="113"/>
      <c r="C34" s="109"/>
      <c r="D34" s="114"/>
      <c r="E34" s="7" t="s">
        <v>21</v>
      </c>
    </row>
    <row r="35" spans="1:5" ht="15" x14ac:dyDescent="0.25">
      <c r="A35" s="168" t="s">
        <v>221</v>
      </c>
      <c r="B35" s="80"/>
      <c r="C35" s="70"/>
      <c r="D35" s="81"/>
      <c r="E35" s="7" t="s">
        <v>21</v>
      </c>
    </row>
    <row r="36" spans="1:5" x14ac:dyDescent="0.2">
      <c r="A36" s="167" t="s">
        <v>219</v>
      </c>
      <c r="B36" s="83">
        <v>0</v>
      </c>
      <c r="C36" s="76">
        <v>0</v>
      </c>
      <c r="D36" s="84">
        <v>-3533</v>
      </c>
      <c r="E36" s="7" t="s">
        <v>21</v>
      </c>
    </row>
    <row r="37" spans="1:5" x14ac:dyDescent="0.2">
      <c r="A37" s="167" t="s">
        <v>220</v>
      </c>
      <c r="B37" s="83">
        <v>0</v>
      </c>
      <c r="C37" s="76">
        <v>0</v>
      </c>
      <c r="D37" s="84">
        <v>-1477</v>
      </c>
      <c r="E37" s="7" t="s">
        <v>21</v>
      </c>
    </row>
    <row r="38" spans="1:5" x14ac:dyDescent="0.2">
      <c r="A38" s="82" t="s">
        <v>17</v>
      </c>
      <c r="B38" s="83">
        <f>SUM(B36:B37)</f>
        <v>0</v>
      </c>
      <c r="C38" s="76">
        <f>SUM(C36:C37)</f>
        <v>0</v>
      </c>
      <c r="D38" s="84">
        <f>SUM(D36:D37)</f>
        <v>-5010</v>
      </c>
      <c r="E38" s="7" t="s">
        <v>21</v>
      </c>
    </row>
    <row r="39" spans="1:5" ht="15" x14ac:dyDescent="0.25">
      <c r="A39" s="72" t="s">
        <v>18</v>
      </c>
      <c r="B39" s="111">
        <f>+B38</f>
        <v>0</v>
      </c>
      <c r="C39" s="31">
        <f>+C38</f>
        <v>0</v>
      </c>
      <c r="D39" s="116">
        <f>D38</f>
        <v>-5010</v>
      </c>
      <c r="E39" s="7" t="s">
        <v>21</v>
      </c>
    </row>
    <row r="40" spans="1:5" ht="15" x14ac:dyDescent="0.25">
      <c r="A40" s="86" t="s">
        <v>19</v>
      </c>
      <c r="B40" s="108">
        <f>B33+B39</f>
        <v>5544</v>
      </c>
      <c r="C40" s="109">
        <f>C33+C39</f>
        <v>5090</v>
      </c>
      <c r="D40" s="110">
        <f>D33+D39</f>
        <v>1204033</v>
      </c>
      <c r="E40" s="7" t="s">
        <v>21</v>
      </c>
    </row>
    <row r="41" spans="1:5" ht="15" x14ac:dyDescent="0.25">
      <c r="A41" s="166" t="s">
        <v>222</v>
      </c>
      <c r="B41" s="111">
        <v>0</v>
      </c>
      <c r="C41" s="31">
        <v>0</v>
      </c>
      <c r="D41" s="112">
        <v>-12200</v>
      </c>
      <c r="E41" s="7" t="s">
        <v>21</v>
      </c>
    </row>
    <row r="42" spans="1:5" s="8" customFormat="1" ht="15" x14ac:dyDescent="0.25">
      <c r="A42" s="101" t="s">
        <v>151</v>
      </c>
      <c r="B42" s="98">
        <f t="shared" ref="B42:C42" si="1">SUM(B40:B41)</f>
        <v>5544</v>
      </c>
      <c r="C42" s="99">
        <f t="shared" si="1"/>
        <v>5090</v>
      </c>
      <c r="D42" s="100">
        <f>SUM(D40:D41)</f>
        <v>1191833</v>
      </c>
      <c r="E42" s="7" t="s">
        <v>21</v>
      </c>
    </row>
    <row r="43" spans="1:5" ht="15" thickBot="1" x14ac:dyDescent="0.25">
      <c r="A43" s="194" t="s">
        <v>304</v>
      </c>
      <c r="B43" s="87">
        <f>B40-B14</f>
        <v>0</v>
      </c>
      <c r="C43" s="88">
        <f>C40-C8</f>
        <v>-91</v>
      </c>
      <c r="D43" s="89">
        <f>D40-D8</f>
        <v>30033</v>
      </c>
      <c r="E43" s="7" t="s">
        <v>21</v>
      </c>
    </row>
    <row r="44" spans="1:5" ht="7.9" customHeight="1" x14ac:dyDescent="0.2">
      <c r="A44" s="7"/>
      <c r="E44" s="7" t="s">
        <v>21</v>
      </c>
    </row>
    <row r="45" spans="1:5" ht="16.5" x14ac:dyDescent="0.2">
      <c r="A45" s="297" t="s">
        <v>248</v>
      </c>
      <c r="B45" s="297"/>
      <c r="C45" s="297"/>
      <c r="D45" s="297"/>
      <c r="E45" s="7" t="s">
        <v>22</v>
      </c>
    </row>
  </sheetData>
  <mergeCells count="6">
    <mergeCell ref="A45:D45"/>
    <mergeCell ref="B6:D6"/>
    <mergeCell ref="A1:D1"/>
    <mergeCell ref="A2:D2"/>
    <mergeCell ref="A3:D3"/>
    <mergeCell ref="A4:D4"/>
  </mergeCells>
  <printOptions horizontalCentered="1"/>
  <pageMargins left="0.7" right="0.7" top="0.63" bottom="0.63" header="0.3" footer="0.3"/>
  <pageSetup scale="64" orientation="landscape" r:id="rId1"/>
  <headerFooter>
    <oddHeader>&amp;L&amp;"Arial,Bold"&amp;12B. Summary of Requirements</oddHeader>
    <oddFooter>&amp;C&amp;"Arial,Regular"Exhibit B - Summary of Requirements - Salaries and Expenses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80" zoomScaleNormal="100" zoomScaleSheetLayoutView="80" workbookViewId="0">
      <selection activeCell="A43" sqref="A43"/>
    </sheetView>
  </sheetViews>
  <sheetFormatPr defaultColWidth="9.140625" defaultRowHeight="14.25" x14ac:dyDescent="0.2"/>
  <cols>
    <col min="1" max="1" width="42" style="12" bestFit="1" customWidth="1"/>
    <col min="2" max="3" width="8.28515625" style="12" customWidth="1"/>
    <col min="4" max="4" width="12.7109375" style="12" customWidth="1"/>
    <col min="5" max="6" width="8.28515625" style="12" customWidth="1"/>
    <col min="7" max="7" width="13.5703125" style="12" customWidth="1"/>
    <col min="8" max="9" width="8.28515625" style="12" customWidth="1"/>
    <col min="10" max="10" width="12.7109375" style="12" customWidth="1"/>
    <col min="11" max="12" width="8.28515625" style="12" customWidth="1"/>
    <col min="13" max="13" width="12.7109375" style="12" customWidth="1"/>
    <col min="14" max="14" width="14" style="7" bestFit="1" customWidth="1"/>
    <col min="15" max="15" width="4.5703125" style="12" customWidth="1"/>
    <col min="16" max="17" width="8.28515625" style="12" customWidth="1"/>
    <col min="18" max="18" width="12.7109375" style="12" customWidth="1"/>
    <col min="19" max="20" width="8.28515625" style="12" customWidth="1"/>
    <col min="21" max="21" width="12.7109375" style="12" customWidth="1"/>
    <col min="22" max="16384" width="9.140625" style="12"/>
  </cols>
  <sheetData>
    <row r="1" spans="1:21" ht="18" x14ac:dyDescent="0.25">
      <c r="A1" s="301" t="s">
        <v>0</v>
      </c>
      <c r="B1" s="301"/>
      <c r="C1" s="301"/>
      <c r="D1" s="301"/>
      <c r="E1" s="301"/>
      <c r="F1" s="301"/>
      <c r="G1" s="301"/>
      <c r="H1" s="301"/>
      <c r="I1" s="301"/>
      <c r="J1" s="301"/>
      <c r="K1" s="301"/>
      <c r="L1" s="301"/>
      <c r="M1" s="301"/>
      <c r="N1" s="60" t="s">
        <v>21</v>
      </c>
      <c r="O1" s="9"/>
      <c r="P1" s="9"/>
      <c r="Q1" s="9"/>
      <c r="R1" s="9"/>
      <c r="S1" s="9"/>
      <c r="T1" s="9"/>
      <c r="U1" s="9"/>
    </row>
    <row r="2" spans="1:21" ht="15" x14ac:dyDescent="0.2">
      <c r="A2" s="302" t="s">
        <v>189</v>
      </c>
      <c r="B2" s="302"/>
      <c r="C2" s="302"/>
      <c r="D2" s="302"/>
      <c r="E2" s="302"/>
      <c r="F2" s="302"/>
      <c r="G2" s="302"/>
      <c r="H2" s="302"/>
      <c r="I2" s="302"/>
      <c r="J2" s="302"/>
      <c r="K2" s="302"/>
      <c r="L2" s="302"/>
      <c r="M2" s="302"/>
      <c r="N2" s="60" t="s">
        <v>21</v>
      </c>
      <c r="O2" s="10"/>
      <c r="P2" s="10"/>
      <c r="Q2" s="10"/>
      <c r="R2" s="10"/>
      <c r="S2" s="10"/>
      <c r="T2" s="10"/>
      <c r="U2" s="10"/>
    </row>
    <row r="3" spans="1:21" x14ac:dyDescent="0.2">
      <c r="A3" s="307" t="s">
        <v>1</v>
      </c>
      <c r="B3" s="307"/>
      <c r="C3" s="307"/>
      <c r="D3" s="307"/>
      <c r="E3" s="307"/>
      <c r="F3" s="307"/>
      <c r="G3" s="307"/>
      <c r="H3" s="307"/>
      <c r="I3" s="307"/>
      <c r="J3" s="307"/>
      <c r="K3" s="307"/>
      <c r="L3" s="307"/>
      <c r="M3" s="307"/>
      <c r="N3" s="60" t="s">
        <v>21</v>
      </c>
      <c r="O3" s="13"/>
      <c r="P3" s="13"/>
      <c r="Q3" s="13"/>
      <c r="R3" s="13"/>
      <c r="S3" s="13"/>
      <c r="T3" s="13"/>
      <c r="U3" s="13"/>
    </row>
    <row r="4" spans="1:21" x14ac:dyDescent="0.2">
      <c r="A4" s="304" t="s">
        <v>2</v>
      </c>
      <c r="B4" s="304"/>
      <c r="C4" s="304"/>
      <c r="D4" s="304"/>
      <c r="E4" s="304"/>
      <c r="F4" s="304"/>
      <c r="G4" s="304"/>
      <c r="H4" s="304"/>
      <c r="I4" s="304"/>
      <c r="J4" s="304"/>
      <c r="K4" s="304"/>
      <c r="L4" s="304"/>
      <c r="M4" s="304"/>
      <c r="N4" s="60" t="s">
        <v>21</v>
      </c>
      <c r="O4" s="11"/>
      <c r="P4" s="11"/>
      <c r="Q4" s="11"/>
      <c r="R4" s="11"/>
      <c r="S4" s="11"/>
      <c r="T4" s="11"/>
      <c r="U4" s="11"/>
    </row>
    <row r="5" spans="1:21" x14ac:dyDescent="0.2">
      <c r="A5" s="304"/>
      <c r="B5" s="304"/>
      <c r="C5" s="304"/>
      <c r="D5" s="304"/>
      <c r="E5" s="304"/>
      <c r="F5" s="304"/>
      <c r="G5" s="304"/>
      <c r="H5" s="304"/>
      <c r="I5" s="304"/>
      <c r="J5" s="304"/>
      <c r="K5" s="304"/>
      <c r="L5" s="304"/>
      <c r="M5" s="304"/>
      <c r="N5" s="60" t="s">
        <v>21</v>
      </c>
      <c r="O5" s="11"/>
      <c r="P5" s="11"/>
      <c r="Q5" s="11"/>
      <c r="R5" s="11"/>
      <c r="S5" s="11"/>
      <c r="T5" s="11"/>
      <c r="U5" s="11"/>
    </row>
    <row r="6" spans="1:21" ht="15" thickBot="1" x14ac:dyDescent="0.25">
      <c r="A6" s="304"/>
      <c r="B6" s="304"/>
      <c r="C6" s="304"/>
      <c r="D6" s="304"/>
      <c r="E6" s="304"/>
      <c r="F6" s="304"/>
      <c r="G6" s="304"/>
      <c r="H6" s="304"/>
      <c r="I6" s="304"/>
      <c r="J6" s="304"/>
      <c r="K6" s="304"/>
      <c r="L6" s="304"/>
      <c r="M6" s="304"/>
      <c r="N6" s="60" t="s">
        <v>21</v>
      </c>
      <c r="O6" s="11"/>
      <c r="P6" s="11"/>
      <c r="Q6" s="11"/>
      <c r="R6" s="11"/>
      <c r="S6" s="11"/>
      <c r="T6" s="11"/>
      <c r="U6" s="11"/>
    </row>
    <row r="7" spans="1:21" ht="45.75" customHeight="1" x14ac:dyDescent="0.2">
      <c r="A7" s="305" t="s">
        <v>160</v>
      </c>
      <c r="B7" s="308" t="s">
        <v>152</v>
      </c>
      <c r="C7" s="308"/>
      <c r="D7" s="308"/>
      <c r="E7" s="308" t="s">
        <v>252</v>
      </c>
      <c r="F7" s="308"/>
      <c r="G7" s="308"/>
      <c r="H7" s="308" t="s">
        <v>182</v>
      </c>
      <c r="I7" s="308"/>
      <c r="J7" s="308"/>
      <c r="K7" s="308" t="s">
        <v>15</v>
      </c>
      <c r="L7" s="308"/>
      <c r="M7" s="309"/>
      <c r="N7" s="60" t="s">
        <v>21</v>
      </c>
    </row>
    <row r="8" spans="1:21" ht="28.5" x14ac:dyDescent="0.2">
      <c r="A8" s="306"/>
      <c r="B8" s="14" t="s">
        <v>4</v>
      </c>
      <c r="C8" s="102" t="s">
        <v>154</v>
      </c>
      <c r="D8" s="14" t="s">
        <v>5</v>
      </c>
      <c r="E8" s="14" t="s">
        <v>4</v>
      </c>
      <c r="F8" s="102" t="s">
        <v>176</v>
      </c>
      <c r="G8" s="14" t="s">
        <v>5</v>
      </c>
      <c r="H8" s="14" t="s">
        <v>4</v>
      </c>
      <c r="I8" s="14" t="s">
        <v>176</v>
      </c>
      <c r="J8" s="14" t="s">
        <v>5</v>
      </c>
      <c r="K8" s="14" t="s">
        <v>4</v>
      </c>
      <c r="L8" s="14" t="s">
        <v>176</v>
      </c>
      <c r="M8" s="15" t="s">
        <v>5</v>
      </c>
      <c r="N8" s="60" t="s">
        <v>21</v>
      </c>
    </row>
    <row r="9" spans="1:21" x14ac:dyDescent="0.2">
      <c r="A9" s="153" t="s">
        <v>224</v>
      </c>
      <c r="B9" s="117">
        <v>2222</v>
      </c>
      <c r="C9" s="117">
        <v>2077</v>
      </c>
      <c r="D9" s="117">
        <v>454888</v>
      </c>
      <c r="E9" s="117">
        <v>2222</v>
      </c>
      <c r="F9" s="117">
        <v>2041</v>
      </c>
      <c r="G9" s="117">
        <v>457672</v>
      </c>
      <c r="H9" s="117">
        <v>0</v>
      </c>
      <c r="I9" s="117">
        <v>0</v>
      </c>
      <c r="J9" s="117">
        <f>-2784+11339</f>
        <v>8555</v>
      </c>
      <c r="K9" s="117">
        <f>E9+H9</f>
        <v>2222</v>
      </c>
      <c r="L9" s="117">
        <f t="shared" ref="L9:M16" si="0">F9+I9</f>
        <v>2041</v>
      </c>
      <c r="M9" s="118">
        <f t="shared" si="0"/>
        <v>466227</v>
      </c>
      <c r="N9" s="60" t="s">
        <v>21</v>
      </c>
    </row>
    <row r="10" spans="1:21" x14ac:dyDescent="0.2">
      <c r="A10" s="155" t="s">
        <v>191</v>
      </c>
      <c r="B10" s="28">
        <v>1744</v>
      </c>
      <c r="C10" s="28">
        <v>1630</v>
      </c>
      <c r="D10" s="28">
        <v>397254</v>
      </c>
      <c r="E10" s="28">
        <v>1744</v>
      </c>
      <c r="F10" s="28">
        <v>1601</v>
      </c>
      <c r="G10" s="28">
        <v>399685</v>
      </c>
      <c r="H10" s="28">
        <v>0</v>
      </c>
      <c r="I10" s="28">
        <v>0</v>
      </c>
      <c r="J10" s="28">
        <f>-2431+9232</f>
        <v>6801</v>
      </c>
      <c r="K10" s="28">
        <f t="shared" ref="K10:K13" si="1">E10+H10</f>
        <v>1744</v>
      </c>
      <c r="L10" s="28">
        <f t="shared" si="0"/>
        <v>1601</v>
      </c>
      <c r="M10" s="119">
        <f t="shared" si="0"/>
        <v>406486</v>
      </c>
      <c r="N10" s="60" t="s">
        <v>21</v>
      </c>
    </row>
    <row r="11" spans="1:21" x14ac:dyDescent="0.2">
      <c r="A11" s="155" t="s">
        <v>192</v>
      </c>
      <c r="B11" s="28">
        <v>1194</v>
      </c>
      <c r="C11" s="28">
        <v>1118</v>
      </c>
      <c r="D11" s="28">
        <v>249802</v>
      </c>
      <c r="E11" s="28">
        <v>1194</v>
      </c>
      <c r="F11" s="28">
        <v>1099</v>
      </c>
      <c r="G11" s="28">
        <v>251331</v>
      </c>
      <c r="H11" s="28">
        <v>0</v>
      </c>
      <c r="I11" s="28">
        <v>0</v>
      </c>
      <c r="J11" s="28">
        <f>671+6093-2200</f>
        <v>4564</v>
      </c>
      <c r="K11" s="28">
        <f t="shared" si="1"/>
        <v>1194</v>
      </c>
      <c r="L11" s="28">
        <f t="shared" si="0"/>
        <v>1099</v>
      </c>
      <c r="M11" s="119">
        <f t="shared" si="0"/>
        <v>255895</v>
      </c>
      <c r="N11" s="60" t="s">
        <v>21</v>
      </c>
    </row>
    <row r="12" spans="1:21" x14ac:dyDescent="0.2">
      <c r="A12" s="169" t="s">
        <v>193</v>
      </c>
      <c r="B12" s="158">
        <v>207</v>
      </c>
      <c r="C12" s="158">
        <v>193</v>
      </c>
      <c r="D12" s="158">
        <v>34509</v>
      </c>
      <c r="E12" s="158">
        <v>207</v>
      </c>
      <c r="F12" s="158">
        <v>189</v>
      </c>
      <c r="G12" s="158">
        <v>34720</v>
      </c>
      <c r="H12" s="158">
        <v>0</v>
      </c>
      <c r="I12" s="158">
        <v>0</v>
      </c>
      <c r="J12" s="158">
        <f>-211+1056</f>
        <v>845</v>
      </c>
      <c r="K12" s="28">
        <f t="shared" ref="K12" si="2">E12+H12</f>
        <v>207</v>
      </c>
      <c r="L12" s="28">
        <f t="shared" ref="L12" si="3">F12+I12</f>
        <v>189</v>
      </c>
      <c r="M12" s="119">
        <f t="shared" ref="M12" si="4">G12+J12</f>
        <v>35565</v>
      </c>
      <c r="N12" s="60" t="s">
        <v>21</v>
      </c>
    </row>
    <row r="13" spans="1:21" x14ac:dyDescent="0.2">
      <c r="A13" s="170" t="s">
        <v>194</v>
      </c>
      <c r="B13" s="120">
        <v>177</v>
      </c>
      <c r="C13" s="120">
        <v>163</v>
      </c>
      <c r="D13" s="120">
        <v>37547</v>
      </c>
      <c r="E13" s="120">
        <v>177</v>
      </c>
      <c r="F13" s="120">
        <v>160</v>
      </c>
      <c r="G13" s="120">
        <v>37777</v>
      </c>
      <c r="H13" s="120">
        <v>0</v>
      </c>
      <c r="I13" s="120">
        <v>0</v>
      </c>
      <c r="J13" s="120">
        <f>-230+7323</f>
        <v>7093</v>
      </c>
      <c r="K13" s="120">
        <f t="shared" si="1"/>
        <v>177</v>
      </c>
      <c r="L13" s="120">
        <f t="shared" si="0"/>
        <v>160</v>
      </c>
      <c r="M13" s="121">
        <f t="shared" si="0"/>
        <v>44870</v>
      </c>
      <c r="N13" s="60" t="s">
        <v>21</v>
      </c>
    </row>
    <row r="14" spans="1:21" ht="15" x14ac:dyDescent="0.25">
      <c r="A14" s="16" t="s">
        <v>157</v>
      </c>
      <c r="B14" s="122">
        <f>SUM(B9:B13)</f>
        <v>5544</v>
      </c>
      <c r="C14" s="122">
        <f t="shared" ref="C14:M14" si="5">SUM(C9:C13)</f>
        <v>5181</v>
      </c>
      <c r="D14" s="122">
        <f t="shared" si="5"/>
        <v>1174000</v>
      </c>
      <c r="E14" s="122">
        <f t="shared" si="5"/>
        <v>5544</v>
      </c>
      <c r="F14" s="122">
        <f t="shared" si="5"/>
        <v>5090</v>
      </c>
      <c r="G14" s="122">
        <f t="shared" si="5"/>
        <v>1181185</v>
      </c>
      <c r="H14" s="122">
        <f t="shared" si="5"/>
        <v>0</v>
      </c>
      <c r="I14" s="122">
        <f t="shared" si="5"/>
        <v>0</v>
      </c>
      <c r="J14" s="122">
        <f t="shared" si="5"/>
        <v>27858</v>
      </c>
      <c r="K14" s="122">
        <f t="shared" si="5"/>
        <v>5544</v>
      </c>
      <c r="L14" s="122">
        <f t="shared" si="5"/>
        <v>5090</v>
      </c>
      <c r="M14" s="123">
        <f t="shared" si="5"/>
        <v>1209043</v>
      </c>
      <c r="N14" s="60" t="s">
        <v>21</v>
      </c>
    </row>
    <row r="15" spans="1:21" ht="15" x14ac:dyDescent="0.25">
      <c r="A15" s="97" t="s">
        <v>156</v>
      </c>
      <c r="B15" s="124"/>
      <c r="C15" s="124"/>
      <c r="D15" s="125">
        <v>-2200</v>
      </c>
      <c r="E15" s="124"/>
      <c r="F15" s="124"/>
      <c r="G15" s="125">
        <v>-2200</v>
      </c>
      <c r="H15" s="124"/>
      <c r="I15" s="124"/>
      <c r="J15" s="125">
        <v>2200</v>
      </c>
      <c r="K15" s="124"/>
      <c r="L15" s="124"/>
      <c r="M15" s="126">
        <f t="shared" si="0"/>
        <v>0</v>
      </c>
      <c r="N15" s="60" t="s">
        <v>21</v>
      </c>
    </row>
    <row r="16" spans="1:21" ht="15" x14ac:dyDescent="0.25">
      <c r="A16" s="107" t="s">
        <v>177</v>
      </c>
      <c r="B16" s="31"/>
      <c r="C16" s="31"/>
      <c r="D16" s="127">
        <f>SUM(D14:D15)</f>
        <v>1171800</v>
      </c>
      <c r="E16" s="31"/>
      <c r="F16" s="31"/>
      <c r="G16" s="127">
        <f>SUM(G14:G15)</f>
        <v>1178985</v>
      </c>
      <c r="H16" s="31"/>
      <c r="I16" s="31"/>
      <c r="J16" s="127">
        <f>SUM(J14:J15)</f>
        <v>30058</v>
      </c>
      <c r="K16" s="31"/>
      <c r="L16" s="31"/>
      <c r="M16" s="128">
        <f t="shared" si="0"/>
        <v>1209043</v>
      </c>
      <c r="N16" s="60" t="s">
        <v>21</v>
      </c>
    </row>
    <row r="17" spans="1:14" x14ac:dyDescent="0.2">
      <c r="A17" s="103" t="s">
        <v>27</v>
      </c>
      <c r="B17" s="129"/>
      <c r="C17" s="129">
        <v>390</v>
      </c>
      <c r="D17" s="129"/>
      <c r="E17" s="129"/>
      <c r="F17" s="129">
        <v>418</v>
      </c>
      <c r="G17" s="129"/>
      <c r="H17" s="129"/>
      <c r="I17" s="129">
        <v>8</v>
      </c>
      <c r="J17" s="129"/>
      <c r="K17" s="129"/>
      <c r="L17" s="129">
        <f t="shared" ref="L17:L18" si="6">F17+I17</f>
        <v>426</v>
      </c>
      <c r="M17" s="130"/>
      <c r="N17" s="60" t="s">
        <v>21</v>
      </c>
    </row>
    <row r="18" spans="1:14" x14ac:dyDescent="0.2">
      <c r="A18" s="104" t="s">
        <v>158</v>
      </c>
      <c r="B18" s="28"/>
      <c r="C18" s="28">
        <f>C14+C17</f>
        <v>5571</v>
      </c>
      <c r="D18" s="28"/>
      <c r="E18" s="28"/>
      <c r="F18" s="28">
        <f>F14+F17</f>
        <v>5508</v>
      </c>
      <c r="G18" s="28"/>
      <c r="H18" s="28"/>
      <c r="I18" s="28">
        <f>I14+I17</f>
        <v>8</v>
      </c>
      <c r="J18" s="28"/>
      <c r="K18" s="28"/>
      <c r="L18" s="28">
        <f t="shared" si="6"/>
        <v>5516</v>
      </c>
      <c r="M18" s="119"/>
      <c r="N18" s="60" t="s">
        <v>21</v>
      </c>
    </row>
    <row r="19" spans="1:14" x14ac:dyDescent="0.2">
      <c r="A19" s="18"/>
      <c r="B19" s="28"/>
      <c r="C19" s="28"/>
      <c r="D19" s="28"/>
      <c r="E19" s="28"/>
      <c r="F19" s="28"/>
      <c r="G19" s="28"/>
      <c r="H19" s="28"/>
      <c r="I19" s="28"/>
      <c r="J19" s="28"/>
      <c r="K19" s="28"/>
      <c r="L19" s="28"/>
      <c r="M19" s="119"/>
      <c r="N19" s="60" t="s">
        <v>21</v>
      </c>
    </row>
    <row r="20" spans="1:14" x14ac:dyDescent="0.2">
      <c r="A20" s="18" t="s">
        <v>28</v>
      </c>
      <c r="B20" s="28"/>
      <c r="C20" s="28"/>
      <c r="D20" s="28"/>
      <c r="E20" s="28"/>
      <c r="F20" s="28"/>
      <c r="G20" s="28"/>
      <c r="H20" s="28"/>
      <c r="I20" s="28"/>
      <c r="J20" s="28"/>
      <c r="K20" s="28"/>
      <c r="L20" s="28"/>
      <c r="M20" s="119"/>
      <c r="N20" s="60" t="s">
        <v>21</v>
      </c>
    </row>
    <row r="21" spans="1:14" x14ac:dyDescent="0.2">
      <c r="A21" s="19" t="s">
        <v>29</v>
      </c>
      <c r="B21" s="28"/>
      <c r="C21" s="28">
        <v>639</v>
      </c>
      <c r="D21" s="28"/>
      <c r="E21" s="28"/>
      <c r="F21" s="28">
        <v>639</v>
      </c>
      <c r="G21" s="28"/>
      <c r="H21" s="28"/>
      <c r="I21" s="28">
        <v>0</v>
      </c>
      <c r="J21" s="28"/>
      <c r="K21" s="28"/>
      <c r="L21" s="28">
        <f t="shared" ref="L21:L23" si="7">F21+I21</f>
        <v>639</v>
      </c>
      <c r="M21" s="119"/>
      <c r="N21" s="60" t="s">
        <v>21</v>
      </c>
    </row>
    <row r="22" spans="1:14" x14ac:dyDescent="0.2">
      <c r="A22" s="20" t="s">
        <v>30</v>
      </c>
      <c r="B22" s="131"/>
      <c r="C22" s="131">
        <v>207</v>
      </c>
      <c r="D22" s="131"/>
      <c r="E22" s="131"/>
      <c r="F22" s="131">
        <v>207</v>
      </c>
      <c r="G22" s="131"/>
      <c r="H22" s="131"/>
      <c r="I22" s="131">
        <v>0</v>
      </c>
      <c r="J22" s="131"/>
      <c r="K22" s="131"/>
      <c r="L22" s="131">
        <f t="shared" si="7"/>
        <v>207</v>
      </c>
      <c r="M22" s="132"/>
      <c r="N22" s="60" t="s">
        <v>21</v>
      </c>
    </row>
    <row r="23" spans="1:14" ht="15" thickBot="1" x14ac:dyDescent="0.25">
      <c r="A23" s="105" t="s">
        <v>159</v>
      </c>
      <c r="B23" s="133"/>
      <c r="C23" s="133">
        <f>C18+C21+C22</f>
        <v>6417</v>
      </c>
      <c r="D23" s="133"/>
      <c r="E23" s="133"/>
      <c r="F23" s="133">
        <f>F18+F21+F22</f>
        <v>6354</v>
      </c>
      <c r="G23" s="133"/>
      <c r="H23" s="133"/>
      <c r="I23" s="133">
        <f>I18+I21+I22</f>
        <v>8</v>
      </c>
      <c r="J23" s="133"/>
      <c r="K23" s="133"/>
      <c r="L23" s="133">
        <f t="shared" si="7"/>
        <v>6362</v>
      </c>
      <c r="M23" s="134"/>
      <c r="N23" s="60" t="s">
        <v>21</v>
      </c>
    </row>
    <row r="24" spans="1:14" ht="15" thickBot="1" x14ac:dyDescent="0.25">
      <c r="N24" s="60" t="s">
        <v>21</v>
      </c>
    </row>
    <row r="25" spans="1:14" ht="15" x14ac:dyDescent="0.2">
      <c r="A25" s="305" t="s">
        <v>160</v>
      </c>
      <c r="B25" s="308" t="s">
        <v>23</v>
      </c>
      <c r="C25" s="308"/>
      <c r="D25" s="308"/>
      <c r="E25" s="308" t="s">
        <v>24</v>
      </c>
      <c r="F25" s="308"/>
      <c r="G25" s="308"/>
      <c r="H25" s="308" t="s">
        <v>25</v>
      </c>
      <c r="I25" s="308"/>
      <c r="J25" s="309"/>
      <c r="N25" s="60" t="s">
        <v>21</v>
      </c>
    </row>
    <row r="26" spans="1:14" ht="28.5" x14ac:dyDescent="0.2">
      <c r="A26" s="306"/>
      <c r="B26" s="14" t="s">
        <v>4</v>
      </c>
      <c r="C26" s="14" t="s">
        <v>176</v>
      </c>
      <c r="D26" s="14" t="s">
        <v>5</v>
      </c>
      <c r="E26" s="14" t="s">
        <v>4</v>
      </c>
      <c r="F26" s="14" t="s">
        <v>176</v>
      </c>
      <c r="G26" s="14" t="s">
        <v>5</v>
      </c>
      <c r="H26" s="14" t="s">
        <v>4</v>
      </c>
      <c r="I26" s="14" t="s">
        <v>176</v>
      </c>
      <c r="J26" s="15" t="s">
        <v>5</v>
      </c>
      <c r="N26" s="60" t="s">
        <v>21</v>
      </c>
    </row>
    <row r="27" spans="1:14" x14ac:dyDescent="0.2">
      <c r="A27" s="17" t="str">
        <f>A9</f>
        <v xml:space="preserve">Judicial and Courthouse Security </v>
      </c>
      <c r="B27" s="117">
        <v>0</v>
      </c>
      <c r="C27" s="117">
        <v>0</v>
      </c>
      <c r="D27" s="117">
        <v>0</v>
      </c>
      <c r="E27" s="117">
        <v>0</v>
      </c>
      <c r="F27" s="117">
        <v>0</v>
      </c>
      <c r="G27" s="117">
        <v>-940</v>
      </c>
      <c r="H27" s="117">
        <f t="shared" ref="H27:J30" si="8">K9+B27+E27</f>
        <v>2222</v>
      </c>
      <c r="I27" s="117">
        <f t="shared" si="8"/>
        <v>2041</v>
      </c>
      <c r="J27" s="118">
        <f t="shared" si="8"/>
        <v>465287</v>
      </c>
      <c r="N27" s="60" t="s">
        <v>21</v>
      </c>
    </row>
    <row r="28" spans="1:14" x14ac:dyDescent="0.2">
      <c r="A28" s="18" t="str">
        <f>A10</f>
        <v>Fugitive Apprehension</v>
      </c>
      <c r="B28" s="28">
        <v>0</v>
      </c>
      <c r="C28" s="28">
        <v>0</v>
      </c>
      <c r="D28" s="28">
        <v>0</v>
      </c>
      <c r="E28" s="28">
        <v>0</v>
      </c>
      <c r="F28" s="28">
        <v>0</v>
      </c>
      <c r="G28" s="28">
        <v>-1684</v>
      </c>
      <c r="H28" s="28">
        <f t="shared" si="8"/>
        <v>1744</v>
      </c>
      <c r="I28" s="28">
        <f t="shared" si="8"/>
        <v>1601</v>
      </c>
      <c r="J28" s="119">
        <f t="shared" si="8"/>
        <v>404802</v>
      </c>
      <c r="N28" s="60" t="s">
        <v>21</v>
      </c>
    </row>
    <row r="29" spans="1:14" x14ac:dyDescent="0.2">
      <c r="A29" s="18" t="str">
        <f>A11</f>
        <v>Prisoner Security and Transportation</v>
      </c>
      <c r="B29" s="28">
        <v>0</v>
      </c>
      <c r="C29" s="28">
        <v>0</v>
      </c>
      <c r="D29" s="28">
        <v>0</v>
      </c>
      <c r="E29" s="28">
        <v>0</v>
      </c>
      <c r="F29" s="28">
        <v>0</v>
      </c>
      <c r="G29" s="28">
        <v>-1729</v>
      </c>
      <c r="H29" s="28">
        <f t="shared" si="8"/>
        <v>1194</v>
      </c>
      <c r="I29" s="28">
        <f t="shared" si="8"/>
        <v>1099</v>
      </c>
      <c r="J29" s="119">
        <f t="shared" si="8"/>
        <v>254166</v>
      </c>
      <c r="N29" s="60" t="s">
        <v>21</v>
      </c>
    </row>
    <row r="30" spans="1:14" x14ac:dyDescent="0.2">
      <c r="A30" s="171" t="str">
        <f>A12</f>
        <v>Protection of Witnesses</v>
      </c>
      <c r="B30" s="131">
        <v>0</v>
      </c>
      <c r="C30" s="131">
        <v>0</v>
      </c>
      <c r="D30" s="131">
        <v>0</v>
      </c>
      <c r="E30" s="131">
        <v>0</v>
      </c>
      <c r="F30" s="131">
        <v>0</v>
      </c>
      <c r="G30" s="131">
        <v>-96</v>
      </c>
      <c r="H30" s="28">
        <f t="shared" si="8"/>
        <v>207</v>
      </c>
      <c r="I30" s="28">
        <f t="shared" si="8"/>
        <v>189</v>
      </c>
      <c r="J30" s="119">
        <f t="shared" si="8"/>
        <v>35469</v>
      </c>
      <c r="N30" s="60" t="s">
        <v>21</v>
      </c>
    </row>
    <row r="31" spans="1:14" x14ac:dyDescent="0.2">
      <c r="A31" s="95" t="str">
        <f>A13</f>
        <v>Tactical Operations</v>
      </c>
      <c r="B31" s="135">
        <v>0</v>
      </c>
      <c r="C31" s="135">
        <v>0</v>
      </c>
      <c r="D31" s="135">
        <v>0</v>
      </c>
      <c r="E31" s="135">
        <v>0</v>
      </c>
      <c r="F31" s="135">
        <v>0</v>
      </c>
      <c r="G31" s="135">
        <v>-561</v>
      </c>
      <c r="H31" s="135">
        <f t="shared" ref="H31:J31" si="9">K13+B31+E31</f>
        <v>177</v>
      </c>
      <c r="I31" s="135">
        <f t="shared" si="9"/>
        <v>160</v>
      </c>
      <c r="J31" s="136">
        <f t="shared" si="9"/>
        <v>44309</v>
      </c>
      <c r="N31" s="60" t="s">
        <v>21</v>
      </c>
    </row>
    <row r="32" spans="1:14" ht="15" x14ac:dyDescent="0.25">
      <c r="A32" s="16" t="s">
        <v>157</v>
      </c>
      <c r="B32" s="122">
        <f t="shared" ref="B32:J32" si="10">SUM(B27:B31)</f>
        <v>0</v>
      </c>
      <c r="C32" s="122">
        <f t="shared" si="10"/>
        <v>0</v>
      </c>
      <c r="D32" s="122">
        <f t="shared" si="10"/>
        <v>0</v>
      </c>
      <c r="E32" s="122">
        <f t="shared" si="10"/>
        <v>0</v>
      </c>
      <c r="F32" s="122">
        <f t="shared" si="10"/>
        <v>0</v>
      </c>
      <c r="G32" s="122">
        <f t="shared" si="10"/>
        <v>-5010</v>
      </c>
      <c r="H32" s="122">
        <f t="shared" si="10"/>
        <v>5544</v>
      </c>
      <c r="I32" s="122">
        <f t="shared" si="10"/>
        <v>5090</v>
      </c>
      <c r="J32" s="123">
        <f t="shared" si="10"/>
        <v>1204033</v>
      </c>
      <c r="N32" s="60" t="s">
        <v>21</v>
      </c>
    </row>
    <row r="33" spans="1:14" ht="15" x14ac:dyDescent="0.25">
      <c r="A33" s="97" t="s">
        <v>156</v>
      </c>
      <c r="B33" s="124"/>
      <c r="C33" s="124"/>
      <c r="D33" s="125">
        <v>0</v>
      </c>
      <c r="E33" s="124"/>
      <c r="F33" s="124"/>
      <c r="G33" s="125">
        <v>-12200</v>
      </c>
      <c r="H33" s="124"/>
      <c r="I33" s="124"/>
      <c r="J33" s="126">
        <f>M15+D33+G33</f>
        <v>-12200</v>
      </c>
      <c r="N33" s="60" t="s">
        <v>21</v>
      </c>
    </row>
    <row r="34" spans="1:14" ht="15" x14ac:dyDescent="0.25">
      <c r="A34" s="107" t="s">
        <v>177</v>
      </c>
      <c r="B34" s="31"/>
      <c r="C34" s="31"/>
      <c r="D34" s="127">
        <f>SUM(D32:D33)</f>
        <v>0</v>
      </c>
      <c r="E34" s="31"/>
      <c r="F34" s="31"/>
      <c r="G34" s="127">
        <f>SUM(G32:G33)</f>
        <v>-17210</v>
      </c>
      <c r="H34" s="31"/>
      <c r="I34" s="31"/>
      <c r="J34" s="128">
        <f>M16+D34+G34</f>
        <v>1191833</v>
      </c>
      <c r="N34" s="60" t="s">
        <v>21</v>
      </c>
    </row>
    <row r="35" spans="1:14" x14ac:dyDescent="0.2">
      <c r="A35" s="96" t="s">
        <v>27</v>
      </c>
      <c r="B35" s="129"/>
      <c r="C35" s="129">
        <v>0</v>
      </c>
      <c r="D35" s="129"/>
      <c r="E35" s="129"/>
      <c r="F35" s="129">
        <v>0</v>
      </c>
      <c r="G35" s="129"/>
      <c r="H35" s="129"/>
      <c r="I35" s="129">
        <f>L17+C35+F35</f>
        <v>426</v>
      </c>
      <c r="J35" s="130"/>
      <c r="N35" s="60" t="s">
        <v>21</v>
      </c>
    </row>
    <row r="36" spans="1:14" x14ac:dyDescent="0.2">
      <c r="A36" s="18" t="s">
        <v>158</v>
      </c>
      <c r="B36" s="28"/>
      <c r="C36" s="28">
        <f>C32+C35</f>
        <v>0</v>
      </c>
      <c r="D36" s="28"/>
      <c r="E36" s="28"/>
      <c r="F36" s="28">
        <f>F32+F35</f>
        <v>0</v>
      </c>
      <c r="G36" s="28"/>
      <c r="H36" s="28"/>
      <c r="I36" s="28">
        <f>L18+C36+F36</f>
        <v>5516</v>
      </c>
      <c r="J36" s="119"/>
      <c r="N36" s="60" t="s">
        <v>21</v>
      </c>
    </row>
    <row r="37" spans="1:14" x14ac:dyDescent="0.2">
      <c r="A37" s="18"/>
      <c r="B37" s="28"/>
      <c r="C37" s="28"/>
      <c r="D37" s="28"/>
      <c r="E37" s="28"/>
      <c r="F37" s="28"/>
      <c r="G37" s="28"/>
      <c r="H37" s="28"/>
      <c r="I37" s="28"/>
      <c r="J37" s="119"/>
      <c r="N37" s="60" t="s">
        <v>21</v>
      </c>
    </row>
    <row r="38" spans="1:14" x14ac:dyDescent="0.2">
      <c r="A38" s="18" t="s">
        <v>28</v>
      </c>
      <c r="B38" s="28"/>
      <c r="C38" s="28"/>
      <c r="D38" s="28"/>
      <c r="E38" s="28"/>
      <c r="F38" s="28"/>
      <c r="G38" s="28"/>
      <c r="H38" s="28"/>
      <c r="I38" s="28"/>
      <c r="J38" s="119"/>
      <c r="N38" s="60" t="s">
        <v>21</v>
      </c>
    </row>
    <row r="39" spans="1:14" x14ac:dyDescent="0.2">
      <c r="A39" s="19" t="s">
        <v>29</v>
      </c>
      <c r="B39" s="28"/>
      <c r="C39" s="28">
        <v>0</v>
      </c>
      <c r="D39" s="28"/>
      <c r="E39" s="28"/>
      <c r="F39" s="28">
        <v>0</v>
      </c>
      <c r="G39" s="28"/>
      <c r="H39" s="28"/>
      <c r="I39" s="28">
        <f>L21+C39+F39</f>
        <v>639</v>
      </c>
      <c r="J39" s="119"/>
      <c r="N39" s="60" t="s">
        <v>21</v>
      </c>
    </row>
    <row r="40" spans="1:14" x14ac:dyDescent="0.2">
      <c r="A40" s="20" t="s">
        <v>30</v>
      </c>
      <c r="B40" s="131"/>
      <c r="C40" s="131">
        <v>0</v>
      </c>
      <c r="D40" s="131"/>
      <c r="E40" s="131"/>
      <c r="F40" s="131">
        <v>0</v>
      </c>
      <c r="G40" s="131"/>
      <c r="H40" s="131"/>
      <c r="I40" s="131">
        <f>L22+C40+F40</f>
        <v>207</v>
      </c>
      <c r="J40" s="132"/>
      <c r="N40" s="60" t="s">
        <v>21</v>
      </c>
    </row>
    <row r="41" spans="1:14" ht="15" thickBot="1" x14ac:dyDescent="0.25">
      <c r="A41" s="21" t="s">
        <v>159</v>
      </c>
      <c r="B41" s="133"/>
      <c r="C41" s="133">
        <f>C36+C39+C40</f>
        <v>0</v>
      </c>
      <c r="D41" s="133"/>
      <c r="E41" s="133"/>
      <c r="F41" s="133">
        <f>F36+F39+F40</f>
        <v>0</v>
      </c>
      <c r="G41" s="133"/>
      <c r="H41" s="133"/>
      <c r="I41" s="133">
        <f>L23+C41+F41</f>
        <v>6362</v>
      </c>
      <c r="J41" s="134"/>
      <c r="N41" s="60" t="s">
        <v>21</v>
      </c>
    </row>
    <row r="42" spans="1:14" ht="7.9" customHeight="1" x14ac:dyDescent="0.2">
      <c r="A42" s="210"/>
      <c r="B42" s="206"/>
      <c r="C42" s="206"/>
      <c r="D42" s="206"/>
      <c r="E42" s="206"/>
      <c r="F42" s="206"/>
      <c r="G42" s="206"/>
      <c r="H42" s="206"/>
      <c r="I42" s="206"/>
      <c r="J42" s="206"/>
      <c r="N42" s="60" t="s">
        <v>21</v>
      </c>
    </row>
    <row r="43" spans="1:14" x14ac:dyDescent="0.2">
      <c r="A43" s="38" t="s">
        <v>251</v>
      </c>
      <c r="N43" s="7" t="s">
        <v>22</v>
      </c>
    </row>
  </sheetData>
  <mergeCells count="15">
    <mergeCell ref="A5:M5"/>
    <mergeCell ref="A6:M6"/>
    <mergeCell ref="A25:A26"/>
    <mergeCell ref="A1:M1"/>
    <mergeCell ref="A2:M2"/>
    <mergeCell ref="A3:M3"/>
    <mergeCell ref="A4:M4"/>
    <mergeCell ref="A7:A8"/>
    <mergeCell ref="B7:D7"/>
    <mergeCell ref="E7:G7"/>
    <mergeCell ref="H7:J7"/>
    <mergeCell ref="K7:M7"/>
    <mergeCell ref="B25:D25"/>
    <mergeCell ref="E25:G25"/>
    <mergeCell ref="H25:J25"/>
  </mergeCells>
  <printOptions horizontalCentered="1"/>
  <pageMargins left="0.7" right="0.7" top="0.75" bottom="0.75" header="0.3" footer="0.3"/>
  <pageSetup scale="72" orientation="landscape" r:id="rId1"/>
  <headerFooter>
    <oddHeader>&amp;L&amp;"Arial,Bold"&amp;12B. Summary of Requirements</oddHeader>
    <oddFooter>&amp;C&amp;"Arial,Regular"Exhibit B - Summary of Requirements - Salaries and Expenses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BreakPreview" zoomScale="90" zoomScaleNormal="100" zoomScaleSheetLayoutView="90" workbookViewId="0">
      <selection activeCell="A32" sqref="A32:D32"/>
    </sheetView>
  </sheetViews>
  <sheetFormatPr defaultColWidth="9.140625" defaultRowHeight="14.25" x14ac:dyDescent="0.2"/>
  <cols>
    <col min="1" max="1" width="113.5703125" style="1" customWidth="1"/>
    <col min="2" max="3" width="14.5703125" style="2" customWidth="1"/>
    <col min="4" max="4" width="14.5703125" style="3" customWidth="1"/>
    <col min="5" max="5" width="11.5703125" style="7" bestFit="1" customWidth="1"/>
    <col min="6" max="6" width="4.85546875" style="1" customWidth="1"/>
    <col min="7" max="16384" width="9.140625" style="1"/>
  </cols>
  <sheetData>
    <row r="1" spans="1:5" ht="18" x14ac:dyDescent="0.25">
      <c r="A1" s="301" t="s">
        <v>0</v>
      </c>
      <c r="B1" s="301"/>
      <c r="C1" s="301"/>
      <c r="D1" s="301"/>
      <c r="E1" s="7" t="s">
        <v>21</v>
      </c>
    </row>
    <row r="2" spans="1:5" ht="15" x14ac:dyDescent="0.2">
      <c r="A2" s="302" t="s">
        <v>189</v>
      </c>
      <c r="B2" s="302"/>
      <c r="C2" s="302"/>
      <c r="D2" s="302"/>
      <c r="E2" s="7" t="s">
        <v>21</v>
      </c>
    </row>
    <row r="3" spans="1:5" x14ac:dyDescent="0.2">
      <c r="A3" s="311" t="s">
        <v>225</v>
      </c>
      <c r="B3" s="303"/>
      <c r="C3" s="303"/>
      <c r="D3" s="303"/>
      <c r="E3" s="7" t="s">
        <v>21</v>
      </c>
    </row>
    <row r="4" spans="1:5" x14ac:dyDescent="0.2">
      <c r="A4" s="304" t="s">
        <v>2</v>
      </c>
      <c r="B4" s="304"/>
      <c r="C4" s="304"/>
      <c r="D4" s="304"/>
      <c r="E4" s="7" t="s">
        <v>21</v>
      </c>
    </row>
    <row r="5" spans="1:5" ht="15" thickBot="1" x14ac:dyDescent="0.25">
      <c r="E5" s="7" t="s">
        <v>21</v>
      </c>
    </row>
    <row r="6" spans="1:5" ht="15" x14ac:dyDescent="0.25">
      <c r="B6" s="298" t="s">
        <v>3</v>
      </c>
      <c r="C6" s="299"/>
      <c r="D6" s="300"/>
      <c r="E6" s="7" t="s">
        <v>21</v>
      </c>
    </row>
    <row r="7" spans="1:5" ht="15.75" thickBot="1" x14ac:dyDescent="0.25">
      <c r="B7" s="4" t="s">
        <v>4</v>
      </c>
      <c r="C7" s="5" t="s">
        <v>153</v>
      </c>
      <c r="D7" s="6" t="s">
        <v>5</v>
      </c>
      <c r="E7" s="7" t="s">
        <v>21</v>
      </c>
    </row>
    <row r="8" spans="1:5" ht="17.25" x14ac:dyDescent="0.25">
      <c r="A8" s="91" t="s">
        <v>249</v>
      </c>
      <c r="B8" s="92">
        <v>0</v>
      </c>
      <c r="C8" s="93">
        <v>0</v>
      </c>
      <c r="D8" s="94">
        <v>15000</v>
      </c>
      <c r="E8" s="7" t="s">
        <v>21</v>
      </c>
    </row>
    <row r="9" spans="1:5" ht="15" x14ac:dyDescent="0.25">
      <c r="A9" s="166" t="s">
        <v>6</v>
      </c>
      <c r="B9" s="111">
        <v>0</v>
      </c>
      <c r="C9" s="31">
        <v>0</v>
      </c>
      <c r="D9" s="162">
        <v>0</v>
      </c>
      <c r="E9" s="7" t="s">
        <v>21</v>
      </c>
    </row>
    <row r="10" spans="1:5" ht="17.25" x14ac:dyDescent="0.25">
      <c r="A10" s="90" t="s">
        <v>250</v>
      </c>
      <c r="B10" s="108">
        <f>SUM(B8:B9)</f>
        <v>0</v>
      </c>
      <c r="C10" s="109">
        <f>SUM(C8:C9)</f>
        <v>0</v>
      </c>
      <c r="D10" s="110">
        <f>SUM(D8:D9)</f>
        <v>15000</v>
      </c>
      <c r="E10" s="7" t="s">
        <v>21</v>
      </c>
    </row>
    <row r="11" spans="1:5" ht="15" x14ac:dyDescent="0.25">
      <c r="A11" s="68" t="s">
        <v>8</v>
      </c>
      <c r="B11" s="108">
        <v>0</v>
      </c>
      <c r="C11" s="109">
        <v>0</v>
      </c>
      <c r="D11" s="110">
        <v>15000</v>
      </c>
      <c r="E11" s="7" t="s">
        <v>21</v>
      </c>
    </row>
    <row r="12" spans="1:5" x14ac:dyDescent="0.2">
      <c r="A12" s="146" t="s">
        <v>183</v>
      </c>
      <c r="B12" s="208">
        <v>0</v>
      </c>
      <c r="C12" s="207">
        <v>0</v>
      </c>
      <c r="D12" s="112">
        <v>92</v>
      </c>
      <c r="E12" s="7" t="s">
        <v>21</v>
      </c>
    </row>
    <row r="13" spans="1:5" ht="15" x14ac:dyDescent="0.25">
      <c r="A13" s="72" t="s">
        <v>148</v>
      </c>
      <c r="B13" s="113">
        <f>SUM(B11:B12)</f>
        <v>0</v>
      </c>
      <c r="C13" s="109">
        <f>SUM(C11:C12)</f>
        <v>0</v>
      </c>
      <c r="D13" s="114">
        <f>SUM(D11:D12)</f>
        <v>15092</v>
      </c>
      <c r="E13" s="7" t="s">
        <v>21</v>
      </c>
    </row>
    <row r="14" spans="1:5" ht="15" x14ac:dyDescent="0.25">
      <c r="A14" s="72"/>
      <c r="B14" s="69"/>
      <c r="C14" s="70"/>
      <c r="D14" s="73"/>
      <c r="E14" s="7" t="s">
        <v>21</v>
      </c>
    </row>
    <row r="15" spans="1:5" ht="15" x14ac:dyDescent="0.25">
      <c r="A15" s="74" t="s">
        <v>9</v>
      </c>
      <c r="B15" s="69"/>
      <c r="C15" s="70"/>
      <c r="D15" s="73"/>
      <c r="E15" s="7" t="s">
        <v>21</v>
      </c>
    </row>
    <row r="16" spans="1:5" x14ac:dyDescent="0.2">
      <c r="A16" s="147" t="s">
        <v>184</v>
      </c>
      <c r="B16" s="164">
        <v>0</v>
      </c>
      <c r="C16" s="160">
        <v>0</v>
      </c>
      <c r="D16" s="165">
        <v>-92</v>
      </c>
      <c r="E16" s="7" t="s">
        <v>21</v>
      </c>
    </row>
    <row r="17" spans="1:5" ht="15" x14ac:dyDescent="0.25">
      <c r="A17" s="78" t="s">
        <v>181</v>
      </c>
      <c r="B17" s="69">
        <f>SUM(B16:B16)</f>
        <v>0</v>
      </c>
      <c r="C17" s="70">
        <f>SUM(C16:C16)</f>
        <v>0</v>
      </c>
      <c r="D17" s="73">
        <f>SUM(D16:D16)</f>
        <v>-92</v>
      </c>
      <c r="E17" s="7" t="s">
        <v>21</v>
      </c>
    </row>
    <row r="18" spans="1:5" ht="15" x14ac:dyDescent="0.25">
      <c r="A18" s="74" t="s">
        <v>147</v>
      </c>
      <c r="B18" s="69"/>
      <c r="C18" s="70"/>
      <c r="D18" s="73"/>
      <c r="E18" s="7" t="s">
        <v>21</v>
      </c>
    </row>
    <row r="19" spans="1:5" ht="15" x14ac:dyDescent="0.25">
      <c r="A19" s="78" t="s">
        <v>149</v>
      </c>
      <c r="B19" s="69">
        <v>0</v>
      </c>
      <c r="C19" s="70">
        <v>0</v>
      </c>
      <c r="D19" s="73">
        <v>0</v>
      </c>
      <c r="E19" s="7" t="s">
        <v>21</v>
      </c>
    </row>
    <row r="20" spans="1:5" ht="15" x14ac:dyDescent="0.25">
      <c r="A20" s="72" t="s">
        <v>150</v>
      </c>
      <c r="B20" s="115">
        <f>B19+B17</f>
        <v>0</v>
      </c>
      <c r="C20" s="31">
        <f>C19+C17</f>
        <v>0</v>
      </c>
      <c r="D20" s="32">
        <f>D19+D17</f>
        <v>-92</v>
      </c>
      <c r="E20" s="7" t="s">
        <v>21</v>
      </c>
    </row>
    <row r="21" spans="1:5" ht="15" x14ac:dyDescent="0.25">
      <c r="A21" s="79" t="s">
        <v>15</v>
      </c>
      <c r="B21" s="113">
        <f>B13+B20</f>
        <v>0</v>
      </c>
      <c r="C21" s="109">
        <f>C13+C20</f>
        <v>0</v>
      </c>
      <c r="D21" s="114">
        <f>D13+D20</f>
        <v>15000</v>
      </c>
      <c r="E21" s="7" t="s">
        <v>21</v>
      </c>
    </row>
    <row r="22" spans="1:5" ht="15" x14ac:dyDescent="0.25">
      <c r="A22" s="79" t="s">
        <v>16</v>
      </c>
      <c r="B22" s="113"/>
      <c r="C22" s="109"/>
      <c r="D22" s="114"/>
      <c r="E22" s="7" t="s">
        <v>21</v>
      </c>
    </row>
    <row r="23" spans="1:5" ht="15" x14ac:dyDescent="0.25">
      <c r="A23" s="168" t="s">
        <v>221</v>
      </c>
      <c r="B23" s="80"/>
      <c r="C23" s="70"/>
      <c r="D23" s="81"/>
      <c r="E23" s="7" t="s">
        <v>21</v>
      </c>
    </row>
    <row r="24" spans="1:5" x14ac:dyDescent="0.2">
      <c r="A24" s="167" t="s">
        <v>225</v>
      </c>
      <c r="B24" s="83">
        <v>0</v>
      </c>
      <c r="C24" s="76">
        <v>0</v>
      </c>
      <c r="D24" s="84">
        <v>-5000</v>
      </c>
      <c r="E24" s="7" t="s">
        <v>21</v>
      </c>
    </row>
    <row r="25" spans="1:5" x14ac:dyDescent="0.2">
      <c r="A25" s="82" t="s">
        <v>17</v>
      </c>
      <c r="B25" s="83">
        <f>SUM(B24:B24)</f>
        <v>0</v>
      </c>
      <c r="C25" s="76">
        <f>SUM(C24:C24)</f>
        <v>0</v>
      </c>
      <c r="D25" s="84">
        <f>SUM(D24:D24)</f>
        <v>-5000</v>
      </c>
      <c r="E25" s="7" t="s">
        <v>21</v>
      </c>
    </row>
    <row r="26" spans="1:5" ht="15" x14ac:dyDescent="0.25">
      <c r="A26" s="72" t="s">
        <v>18</v>
      </c>
      <c r="B26" s="111">
        <f>+B25</f>
        <v>0</v>
      </c>
      <c r="C26" s="31">
        <f>+C25</f>
        <v>0</v>
      </c>
      <c r="D26" s="116">
        <f>D25</f>
        <v>-5000</v>
      </c>
      <c r="E26" s="7" t="s">
        <v>21</v>
      </c>
    </row>
    <row r="27" spans="1:5" ht="15" x14ac:dyDescent="0.25">
      <c r="A27" s="86" t="s">
        <v>19</v>
      </c>
      <c r="B27" s="108">
        <f>B21+B26</f>
        <v>0</v>
      </c>
      <c r="C27" s="109">
        <f>C21+C26</f>
        <v>0</v>
      </c>
      <c r="D27" s="110">
        <f>D21+D26</f>
        <v>10000</v>
      </c>
      <c r="E27" s="7" t="s">
        <v>21</v>
      </c>
    </row>
    <row r="28" spans="1:5" ht="15" x14ac:dyDescent="0.25">
      <c r="A28" s="166" t="s">
        <v>222</v>
      </c>
      <c r="B28" s="111">
        <v>0</v>
      </c>
      <c r="C28" s="31">
        <v>0</v>
      </c>
      <c r="D28" s="112">
        <v>0</v>
      </c>
      <c r="E28" s="7" t="s">
        <v>21</v>
      </c>
    </row>
    <row r="29" spans="1:5" s="8" customFormat="1" ht="15" x14ac:dyDescent="0.25">
      <c r="A29" s="101" t="s">
        <v>151</v>
      </c>
      <c r="B29" s="98">
        <f>SUM(B27:B28)</f>
        <v>0</v>
      </c>
      <c r="C29" s="99">
        <f>SUM(C27:C28)</f>
        <v>0</v>
      </c>
      <c r="D29" s="100">
        <f>SUM(D27:D28)</f>
        <v>10000</v>
      </c>
      <c r="E29" s="7" t="s">
        <v>21</v>
      </c>
    </row>
    <row r="30" spans="1:5" ht="15" thickBot="1" x14ac:dyDescent="0.25">
      <c r="A30" s="85" t="s">
        <v>20</v>
      </c>
      <c r="B30" s="87">
        <f>B27-B13</f>
        <v>0</v>
      </c>
      <c r="C30" s="88">
        <f>C27-C13</f>
        <v>0</v>
      </c>
      <c r="D30" s="89">
        <f>D27-D11</f>
        <v>-5000</v>
      </c>
      <c r="E30" s="7" t="s">
        <v>21</v>
      </c>
    </row>
    <row r="31" spans="1:5" ht="8.4499999999999993" customHeight="1" x14ac:dyDescent="0.2">
      <c r="A31" s="7"/>
      <c r="E31" s="7" t="s">
        <v>21</v>
      </c>
    </row>
    <row r="32" spans="1:5" ht="16.5" x14ac:dyDescent="0.2">
      <c r="A32" s="310" t="s">
        <v>248</v>
      </c>
      <c r="B32" s="310"/>
      <c r="C32" s="310"/>
      <c r="D32" s="310"/>
      <c r="E32" s="7" t="s">
        <v>22</v>
      </c>
    </row>
  </sheetData>
  <mergeCells count="6">
    <mergeCell ref="A32:D32"/>
    <mergeCell ref="A1:D1"/>
    <mergeCell ref="A2:D2"/>
    <mergeCell ref="A3:D3"/>
    <mergeCell ref="A4:D4"/>
    <mergeCell ref="B6:D6"/>
  </mergeCells>
  <printOptions horizontalCentered="1"/>
  <pageMargins left="0.7" right="0.7" top="0.63" bottom="0.63" header="0.3" footer="0.3"/>
  <pageSetup scale="64" orientation="landscape" r:id="rId1"/>
  <headerFooter>
    <oddHeader>&amp;L&amp;"Arial,Bold"&amp;12B. Summary of Requirements</oddHeader>
    <oddFooter>&amp;C&amp;"Arial,Regular"Exhibit B - Summary of Requirements - Construction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view="pageBreakPreview" zoomScale="80" zoomScaleNormal="100" zoomScaleSheetLayoutView="80" workbookViewId="0">
      <selection activeCell="A23" sqref="A23"/>
    </sheetView>
  </sheetViews>
  <sheetFormatPr defaultColWidth="9.140625" defaultRowHeight="14.25" x14ac:dyDescent="0.2"/>
  <cols>
    <col min="1" max="1" width="42" style="12" bestFit="1" customWidth="1"/>
    <col min="2" max="3" width="8.28515625" style="12" customWidth="1"/>
    <col min="4" max="4" width="12.7109375" style="12" customWidth="1"/>
    <col min="5" max="6" width="8.28515625" style="12" customWidth="1"/>
    <col min="7" max="7" width="14" style="12" customWidth="1"/>
    <col min="8" max="9" width="8.28515625" style="12" customWidth="1"/>
    <col min="10" max="10" width="12.7109375" style="12" customWidth="1"/>
    <col min="11" max="12" width="8.28515625" style="12" customWidth="1"/>
    <col min="13" max="13" width="12.7109375" style="12" customWidth="1"/>
    <col min="14" max="14" width="14" style="7" bestFit="1" customWidth="1"/>
    <col min="15" max="15" width="4.5703125" style="12" customWidth="1"/>
    <col min="16" max="17" width="8.28515625" style="12" customWidth="1"/>
    <col min="18" max="18" width="12.7109375" style="12" customWidth="1"/>
    <col min="19" max="20" width="8.28515625" style="12" customWidth="1"/>
    <col min="21" max="21" width="12.7109375" style="12" customWidth="1"/>
    <col min="22" max="16384" width="9.140625" style="12"/>
  </cols>
  <sheetData>
    <row r="1" spans="1:21" ht="18" x14ac:dyDescent="0.25">
      <c r="A1" s="301" t="s">
        <v>0</v>
      </c>
      <c r="B1" s="301"/>
      <c r="C1" s="301"/>
      <c r="D1" s="301"/>
      <c r="E1" s="301"/>
      <c r="F1" s="301"/>
      <c r="G1" s="301"/>
      <c r="H1" s="301"/>
      <c r="I1" s="301"/>
      <c r="J1" s="301"/>
      <c r="K1" s="301"/>
      <c r="L1" s="301"/>
      <c r="M1" s="301"/>
      <c r="N1" s="60" t="s">
        <v>21</v>
      </c>
      <c r="O1" s="9"/>
      <c r="P1" s="9"/>
      <c r="Q1" s="9"/>
      <c r="R1" s="9"/>
      <c r="S1" s="9"/>
      <c r="T1" s="9"/>
      <c r="U1" s="9"/>
    </row>
    <row r="2" spans="1:21" ht="15" x14ac:dyDescent="0.2">
      <c r="A2" s="302" t="s">
        <v>189</v>
      </c>
      <c r="B2" s="302"/>
      <c r="C2" s="302"/>
      <c r="D2" s="302"/>
      <c r="E2" s="302"/>
      <c r="F2" s="302"/>
      <c r="G2" s="302"/>
      <c r="H2" s="302"/>
      <c r="I2" s="302"/>
      <c r="J2" s="302"/>
      <c r="K2" s="302"/>
      <c r="L2" s="302"/>
      <c r="M2" s="302"/>
      <c r="N2" s="60" t="s">
        <v>21</v>
      </c>
      <c r="O2" s="10"/>
      <c r="P2" s="10"/>
      <c r="Q2" s="10"/>
      <c r="R2" s="10"/>
      <c r="S2" s="10"/>
      <c r="T2" s="10"/>
      <c r="U2" s="10"/>
    </row>
    <row r="3" spans="1:21" x14ac:dyDescent="0.2">
      <c r="A3" s="311" t="s">
        <v>225</v>
      </c>
      <c r="B3" s="307"/>
      <c r="C3" s="307"/>
      <c r="D3" s="307"/>
      <c r="E3" s="307"/>
      <c r="F3" s="307"/>
      <c r="G3" s="307"/>
      <c r="H3" s="307"/>
      <c r="I3" s="307"/>
      <c r="J3" s="307"/>
      <c r="K3" s="307"/>
      <c r="L3" s="307"/>
      <c r="M3" s="307"/>
      <c r="N3" s="60" t="s">
        <v>21</v>
      </c>
      <c r="O3" s="13"/>
      <c r="P3" s="13"/>
      <c r="Q3" s="13"/>
      <c r="R3" s="13"/>
      <c r="S3" s="13"/>
      <c r="T3" s="13"/>
      <c r="U3" s="13"/>
    </row>
    <row r="4" spans="1:21" x14ac:dyDescent="0.2">
      <c r="A4" s="304" t="s">
        <v>2</v>
      </c>
      <c r="B4" s="304"/>
      <c r="C4" s="304"/>
      <c r="D4" s="304"/>
      <c r="E4" s="304"/>
      <c r="F4" s="304"/>
      <c r="G4" s="304"/>
      <c r="H4" s="304"/>
      <c r="I4" s="304"/>
      <c r="J4" s="304"/>
      <c r="K4" s="304"/>
      <c r="L4" s="304"/>
      <c r="M4" s="304"/>
      <c r="N4" s="60" t="s">
        <v>21</v>
      </c>
      <c r="O4" s="11"/>
      <c r="P4" s="11"/>
      <c r="Q4" s="11"/>
      <c r="R4" s="11"/>
      <c r="S4" s="11"/>
      <c r="T4" s="11"/>
      <c r="U4" s="11"/>
    </row>
    <row r="5" spans="1:21" x14ac:dyDescent="0.2">
      <c r="A5" s="304"/>
      <c r="B5" s="304"/>
      <c r="C5" s="304"/>
      <c r="D5" s="304"/>
      <c r="E5" s="304"/>
      <c r="F5" s="304"/>
      <c r="G5" s="304"/>
      <c r="H5" s="304"/>
      <c r="I5" s="304"/>
      <c r="J5" s="304"/>
      <c r="K5" s="304"/>
      <c r="L5" s="304"/>
      <c r="M5" s="304"/>
      <c r="N5" s="60" t="s">
        <v>21</v>
      </c>
      <c r="O5" s="11"/>
      <c r="P5" s="11"/>
      <c r="Q5" s="11"/>
      <c r="R5" s="11"/>
      <c r="S5" s="11"/>
      <c r="T5" s="11"/>
      <c r="U5" s="11"/>
    </row>
    <row r="6" spans="1:21" ht="15" thickBot="1" x14ac:dyDescent="0.25">
      <c r="A6" s="304"/>
      <c r="B6" s="304"/>
      <c r="C6" s="304"/>
      <c r="D6" s="304"/>
      <c r="E6" s="304"/>
      <c r="F6" s="304"/>
      <c r="G6" s="304"/>
      <c r="H6" s="304"/>
      <c r="I6" s="304"/>
      <c r="J6" s="304"/>
      <c r="K6" s="304"/>
      <c r="L6" s="304"/>
      <c r="M6" s="304"/>
      <c r="N6" s="60" t="s">
        <v>21</v>
      </c>
      <c r="O6" s="11"/>
      <c r="P6" s="11"/>
      <c r="Q6" s="11"/>
      <c r="R6" s="11"/>
      <c r="S6" s="11"/>
      <c r="T6" s="11"/>
      <c r="U6" s="11"/>
    </row>
    <row r="7" spans="1:21" ht="45.75" customHeight="1" x14ac:dyDescent="0.2">
      <c r="A7" s="305" t="s">
        <v>160</v>
      </c>
      <c r="B7" s="308" t="s">
        <v>152</v>
      </c>
      <c r="C7" s="308"/>
      <c r="D7" s="308"/>
      <c r="E7" s="308" t="s">
        <v>252</v>
      </c>
      <c r="F7" s="308"/>
      <c r="G7" s="308"/>
      <c r="H7" s="308" t="s">
        <v>182</v>
      </c>
      <c r="I7" s="308"/>
      <c r="J7" s="308"/>
      <c r="K7" s="308" t="s">
        <v>15</v>
      </c>
      <c r="L7" s="308"/>
      <c r="M7" s="309"/>
      <c r="N7" s="60" t="s">
        <v>21</v>
      </c>
    </row>
    <row r="8" spans="1:21" ht="28.5" x14ac:dyDescent="0.2">
      <c r="A8" s="306"/>
      <c r="B8" s="14" t="s">
        <v>4</v>
      </c>
      <c r="C8" s="102" t="s">
        <v>154</v>
      </c>
      <c r="D8" s="14" t="s">
        <v>5</v>
      </c>
      <c r="E8" s="14" t="s">
        <v>4</v>
      </c>
      <c r="F8" s="102" t="s">
        <v>176</v>
      </c>
      <c r="G8" s="14" t="s">
        <v>5</v>
      </c>
      <c r="H8" s="14" t="s">
        <v>4</v>
      </c>
      <c r="I8" s="14" t="s">
        <v>176</v>
      </c>
      <c r="J8" s="14" t="s">
        <v>5</v>
      </c>
      <c r="K8" s="14" t="s">
        <v>4</v>
      </c>
      <c r="L8" s="14" t="s">
        <v>176</v>
      </c>
      <c r="M8" s="15" t="s">
        <v>5</v>
      </c>
      <c r="N8" s="60" t="s">
        <v>21</v>
      </c>
    </row>
    <row r="9" spans="1:21" x14ac:dyDescent="0.2">
      <c r="A9" s="153" t="s">
        <v>225</v>
      </c>
      <c r="B9" s="117">
        <v>0</v>
      </c>
      <c r="C9" s="117">
        <v>0</v>
      </c>
      <c r="D9" s="117">
        <v>15000</v>
      </c>
      <c r="E9" s="117">
        <v>0</v>
      </c>
      <c r="F9" s="117">
        <v>0</v>
      </c>
      <c r="G9" s="117">
        <v>15092</v>
      </c>
      <c r="H9" s="117">
        <v>0</v>
      </c>
      <c r="I9" s="117">
        <v>0</v>
      </c>
      <c r="J9" s="117">
        <v>-92</v>
      </c>
      <c r="K9" s="117">
        <f>E9+H9</f>
        <v>0</v>
      </c>
      <c r="L9" s="117">
        <f t="shared" ref="L9:M12" si="0">F9+I9</f>
        <v>0</v>
      </c>
      <c r="M9" s="118">
        <f t="shared" si="0"/>
        <v>15000</v>
      </c>
      <c r="N9" s="60" t="s">
        <v>21</v>
      </c>
    </row>
    <row r="10" spans="1:21" ht="15" x14ac:dyDescent="0.25">
      <c r="A10" s="16" t="s">
        <v>157</v>
      </c>
      <c r="B10" s="122">
        <f t="shared" ref="B10:M10" si="1">SUM(B9:B9)</f>
        <v>0</v>
      </c>
      <c r="C10" s="122">
        <f t="shared" si="1"/>
        <v>0</v>
      </c>
      <c r="D10" s="122">
        <f t="shared" si="1"/>
        <v>15000</v>
      </c>
      <c r="E10" s="122">
        <f t="shared" si="1"/>
        <v>0</v>
      </c>
      <c r="F10" s="122">
        <f t="shared" si="1"/>
        <v>0</v>
      </c>
      <c r="G10" s="122">
        <f t="shared" si="1"/>
        <v>15092</v>
      </c>
      <c r="H10" s="122">
        <f t="shared" si="1"/>
        <v>0</v>
      </c>
      <c r="I10" s="122">
        <f t="shared" si="1"/>
        <v>0</v>
      </c>
      <c r="J10" s="122">
        <f t="shared" si="1"/>
        <v>-92</v>
      </c>
      <c r="K10" s="122">
        <f t="shared" si="1"/>
        <v>0</v>
      </c>
      <c r="L10" s="122">
        <f t="shared" si="1"/>
        <v>0</v>
      </c>
      <c r="M10" s="123">
        <f t="shared" si="1"/>
        <v>15000</v>
      </c>
      <c r="N10" s="60" t="s">
        <v>21</v>
      </c>
    </row>
    <row r="11" spans="1:21" ht="15" x14ac:dyDescent="0.25">
      <c r="A11" s="97" t="s">
        <v>156</v>
      </c>
      <c r="B11" s="124"/>
      <c r="C11" s="124"/>
      <c r="D11" s="125">
        <v>0</v>
      </c>
      <c r="E11" s="124"/>
      <c r="F11" s="124"/>
      <c r="G11" s="125">
        <v>0</v>
      </c>
      <c r="H11" s="124"/>
      <c r="I11" s="124"/>
      <c r="J11" s="125">
        <v>0</v>
      </c>
      <c r="K11" s="124"/>
      <c r="L11" s="124"/>
      <c r="M11" s="126">
        <f t="shared" si="0"/>
        <v>0</v>
      </c>
      <c r="N11" s="60" t="s">
        <v>21</v>
      </c>
    </row>
    <row r="12" spans="1:21" ht="15" x14ac:dyDescent="0.25">
      <c r="A12" s="107" t="s">
        <v>177</v>
      </c>
      <c r="B12" s="31"/>
      <c r="C12" s="31"/>
      <c r="D12" s="127">
        <f>SUM(D10:D11)</f>
        <v>15000</v>
      </c>
      <c r="E12" s="31"/>
      <c r="F12" s="31"/>
      <c r="G12" s="127">
        <f>SUM(G10:G11)</f>
        <v>15092</v>
      </c>
      <c r="H12" s="31"/>
      <c r="I12" s="31"/>
      <c r="J12" s="127">
        <f>SUM(J10:J11)</f>
        <v>-92</v>
      </c>
      <c r="K12" s="31"/>
      <c r="L12" s="31"/>
      <c r="M12" s="128">
        <f t="shared" si="0"/>
        <v>15000</v>
      </c>
      <c r="N12" s="60" t="s">
        <v>21</v>
      </c>
    </row>
    <row r="13" spans="1:21" ht="15" thickBot="1" x14ac:dyDescent="0.25">
      <c r="A13" s="105" t="s">
        <v>159</v>
      </c>
      <c r="B13" s="133"/>
      <c r="C13" s="133">
        <v>0</v>
      </c>
      <c r="D13" s="133"/>
      <c r="E13" s="133"/>
      <c r="F13" s="133">
        <v>0</v>
      </c>
      <c r="G13" s="133"/>
      <c r="H13" s="133"/>
      <c r="I13" s="133">
        <v>0</v>
      </c>
      <c r="J13" s="133"/>
      <c r="K13" s="133"/>
      <c r="L13" s="133">
        <f t="shared" ref="L13" si="2">F13+I13</f>
        <v>0</v>
      </c>
      <c r="M13" s="134"/>
      <c r="N13" s="60" t="s">
        <v>21</v>
      </c>
    </row>
    <row r="14" spans="1:21" ht="15" thickBot="1" x14ac:dyDescent="0.25">
      <c r="N14" s="60" t="s">
        <v>21</v>
      </c>
    </row>
    <row r="15" spans="1:21" ht="15" x14ac:dyDescent="0.2">
      <c r="A15" s="305" t="s">
        <v>160</v>
      </c>
      <c r="B15" s="308" t="s">
        <v>23</v>
      </c>
      <c r="C15" s="308"/>
      <c r="D15" s="308"/>
      <c r="E15" s="308" t="s">
        <v>24</v>
      </c>
      <c r="F15" s="308"/>
      <c r="G15" s="308"/>
      <c r="H15" s="308" t="s">
        <v>25</v>
      </c>
      <c r="I15" s="308"/>
      <c r="J15" s="309"/>
      <c r="N15" s="60" t="s">
        <v>21</v>
      </c>
    </row>
    <row r="16" spans="1:21" ht="28.5" x14ac:dyDescent="0.2">
      <c r="A16" s="306"/>
      <c r="B16" s="14" t="s">
        <v>4</v>
      </c>
      <c r="C16" s="14" t="s">
        <v>176</v>
      </c>
      <c r="D16" s="14" t="s">
        <v>5</v>
      </c>
      <c r="E16" s="14" t="s">
        <v>4</v>
      </c>
      <c r="F16" s="14" t="s">
        <v>176</v>
      </c>
      <c r="G16" s="14" t="s">
        <v>5</v>
      </c>
      <c r="H16" s="14" t="s">
        <v>4</v>
      </c>
      <c r="I16" s="14" t="s">
        <v>176</v>
      </c>
      <c r="J16" s="15" t="s">
        <v>5</v>
      </c>
      <c r="N16" s="60" t="s">
        <v>21</v>
      </c>
    </row>
    <row r="17" spans="1:14" x14ac:dyDescent="0.2">
      <c r="A17" s="17" t="str">
        <f>A9</f>
        <v>Construction</v>
      </c>
      <c r="B17" s="117">
        <v>0</v>
      </c>
      <c r="C17" s="117">
        <v>0</v>
      </c>
      <c r="D17" s="117">
        <v>0</v>
      </c>
      <c r="E17" s="117">
        <v>0</v>
      </c>
      <c r="F17" s="117">
        <v>0</v>
      </c>
      <c r="G17" s="117">
        <v>-5000</v>
      </c>
      <c r="H17" s="117">
        <f>K9+B17+E17</f>
        <v>0</v>
      </c>
      <c r="I17" s="117">
        <f>L9+C17+F17</f>
        <v>0</v>
      </c>
      <c r="J17" s="118">
        <f>M9+D17+G17</f>
        <v>10000</v>
      </c>
      <c r="N17" s="60" t="s">
        <v>21</v>
      </c>
    </row>
    <row r="18" spans="1:14" ht="15" x14ac:dyDescent="0.25">
      <c r="A18" s="16" t="s">
        <v>157</v>
      </c>
      <c r="B18" s="122">
        <f t="shared" ref="B18:J18" si="3">SUM(B17:B17)</f>
        <v>0</v>
      </c>
      <c r="C18" s="122">
        <f t="shared" si="3"/>
        <v>0</v>
      </c>
      <c r="D18" s="122">
        <f t="shared" si="3"/>
        <v>0</v>
      </c>
      <c r="E18" s="122">
        <f t="shared" si="3"/>
        <v>0</v>
      </c>
      <c r="F18" s="122">
        <f t="shared" si="3"/>
        <v>0</v>
      </c>
      <c r="G18" s="122">
        <f t="shared" si="3"/>
        <v>-5000</v>
      </c>
      <c r="H18" s="122">
        <f t="shared" si="3"/>
        <v>0</v>
      </c>
      <c r="I18" s="122">
        <f t="shared" si="3"/>
        <v>0</v>
      </c>
      <c r="J18" s="123">
        <f t="shared" si="3"/>
        <v>10000</v>
      </c>
      <c r="N18" s="60" t="s">
        <v>21</v>
      </c>
    </row>
    <row r="19" spans="1:14" ht="15" x14ac:dyDescent="0.25">
      <c r="A19" s="97" t="s">
        <v>156</v>
      </c>
      <c r="B19" s="124"/>
      <c r="C19" s="124"/>
      <c r="D19" s="125">
        <v>0</v>
      </c>
      <c r="E19" s="124"/>
      <c r="F19" s="124"/>
      <c r="G19" s="125">
        <v>0</v>
      </c>
      <c r="H19" s="124"/>
      <c r="I19" s="124"/>
      <c r="J19" s="126">
        <f>M11+D19+G19</f>
        <v>0</v>
      </c>
      <c r="N19" s="60" t="s">
        <v>21</v>
      </c>
    </row>
    <row r="20" spans="1:14" ht="15" x14ac:dyDescent="0.25">
      <c r="A20" s="107" t="s">
        <v>177</v>
      </c>
      <c r="B20" s="31"/>
      <c r="C20" s="31"/>
      <c r="D20" s="127">
        <f>SUM(D18:D19)</f>
        <v>0</v>
      </c>
      <c r="E20" s="31"/>
      <c r="F20" s="31"/>
      <c r="G20" s="127">
        <f>SUM(G18:G19)</f>
        <v>-5000</v>
      </c>
      <c r="H20" s="31"/>
      <c r="I20" s="31"/>
      <c r="J20" s="128">
        <f>M12+D20+G20</f>
        <v>10000</v>
      </c>
      <c r="N20" s="60" t="s">
        <v>21</v>
      </c>
    </row>
    <row r="21" spans="1:14" ht="15" thickBot="1" x14ac:dyDescent="0.25">
      <c r="A21" s="105" t="s">
        <v>159</v>
      </c>
      <c r="B21" s="133"/>
      <c r="C21" s="133">
        <v>0</v>
      </c>
      <c r="D21" s="133"/>
      <c r="E21" s="133"/>
      <c r="F21" s="133">
        <v>0</v>
      </c>
      <c r="G21" s="133"/>
      <c r="H21" s="133"/>
      <c r="I21" s="133">
        <v>0</v>
      </c>
      <c r="J21" s="199"/>
      <c r="N21" s="60" t="s">
        <v>21</v>
      </c>
    </row>
    <row r="22" spans="1:14" ht="8.4499999999999993" customHeight="1" x14ac:dyDescent="0.2">
      <c r="N22" s="60" t="s">
        <v>21</v>
      </c>
    </row>
    <row r="23" spans="1:14" x14ac:dyDescent="0.2">
      <c r="A23" s="12" t="s">
        <v>251</v>
      </c>
      <c r="N23" s="7" t="s">
        <v>22</v>
      </c>
    </row>
  </sheetData>
  <mergeCells count="15">
    <mergeCell ref="A15:A16"/>
    <mergeCell ref="B15:D15"/>
    <mergeCell ref="E15:G15"/>
    <mergeCell ref="H15:J15"/>
    <mergeCell ref="A1:M1"/>
    <mergeCell ref="A2:M2"/>
    <mergeCell ref="A3:M3"/>
    <mergeCell ref="A4:M4"/>
    <mergeCell ref="A5:M5"/>
    <mergeCell ref="A6:M6"/>
    <mergeCell ref="A7:A8"/>
    <mergeCell ref="B7:D7"/>
    <mergeCell ref="E7:G7"/>
    <mergeCell ref="H7:J7"/>
    <mergeCell ref="K7:M7"/>
  </mergeCells>
  <printOptions horizontalCentered="1"/>
  <pageMargins left="0.7" right="0.7" top="0.75" bottom="0.75" header="0.3" footer="0.3"/>
  <pageSetup scale="76" orientation="landscape" r:id="rId1"/>
  <headerFooter>
    <oddHeader>&amp;L&amp;"Arial,Bold"&amp;12B. Summary of Requirements</oddHeader>
    <oddFooter>&amp;C&amp;"Arial,Regular"Exhibit B - Construction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view="pageBreakPreview" zoomScale="80" zoomScaleNormal="100" zoomScaleSheetLayoutView="80" workbookViewId="0">
      <selection activeCell="A16" sqref="A16"/>
    </sheetView>
  </sheetViews>
  <sheetFormatPr defaultColWidth="9.140625" defaultRowHeight="14.25" x14ac:dyDescent="0.2"/>
  <cols>
    <col min="1" max="1" width="37.140625" style="12" customWidth="1"/>
    <col min="2" max="2" width="25.140625" style="12" bestFit="1" customWidth="1"/>
    <col min="3" max="5" width="8.7109375" style="12" customWidth="1"/>
    <col min="6" max="6" width="12.7109375" style="12" customWidth="1"/>
    <col min="7" max="9" width="8.7109375" style="12" customWidth="1"/>
    <col min="10" max="10" width="12.7109375" style="12" customWidth="1"/>
    <col min="11" max="13" width="8.7109375" style="12" customWidth="1"/>
    <col min="14" max="14" width="12.7109375" style="12" customWidth="1"/>
    <col min="15" max="15" width="14" style="7" bestFit="1" customWidth="1"/>
    <col min="16" max="16" width="4.5703125" style="12" customWidth="1"/>
    <col min="17" max="18" width="8.28515625" style="12" customWidth="1"/>
    <col min="19" max="19" width="12.7109375" style="12" customWidth="1"/>
    <col min="20" max="21" width="8.28515625" style="12" customWidth="1"/>
    <col min="22" max="22" width="12.7109375" style="12" customWidth="1"/>
    <col min="23" max="16384" width="9.140625" style="12"/>
  </cols>
  <sheetData>
    <row r="1" spans="1:22" ht="18" x14ac:dyDescent="0.25">
      <c r="A1" s="301" t="s">
        <v>32</v>
      </c>
      <c r="B1" s="301"/>
      <c r="C1" s="301"/>
      <c r="D1" s="301"/>
      <c r="E1" s="301"/>
      <c r="F1" s="301"/>
      <c r="G1" s="301"/>
      <c r="H1" s="301"/>
      <c r="I1" s="301"/>
      <c r="J1" s="301"/>
      <c r="K1" s="301"/>
      <c r="L1" s="301"/>
      <c r="M1" s="301"/>
      <c r="N1" s="301"/>
      <c r="O1" s="60" t="s">
        <v>21</v>
      </c>
      <c r="P1" s="9"/>
      <c r="Q1" s="9"/>
      <c r="R1" s="9"/>
      <c r="S1" s="9"/>
      <c r="T1" s="9"/>
      <c r="U1" s="9"/>
      <c r="V1" s="9"/>
    </row>
    <row r="2" spans="1:22" ht="15" x14ac:dyDescent="0.2">
      <c r="A2" s="302" t="s">
        <v>189</v>
      </c>
      <c r="B2" s="302"/>
      <c r="C2" s="302"/>
      <c r="D2" s="302"/>
      <c r="E2" s="302"/>
      <c r="F2" s="302"/>
      <c r="G2" s="302"/>
      <c r="H2" s="302"/>
      <c r="I2" s="302"/>
      <c r="J2" s="302"/>
      <c r="K2" s="302"/>
      <c r="L2" s="302"/>
      <c r="M2" s="302"/>
      <c r="N2" s="302"/>
      <c r="O2" s="60" t="s">
        <v>21</v>
      </c>
      <c r="P2" s="10"/>
      <c r="Q2" s="10"/>
      <c r="R2" s="10"/>
      <c r="S2" s="10"/>
      <c r="T2" s="10"/>
      <c r="U2" s="10"/>
      <c r="V2" s="10"/>
    </row>
    <row r="3" spans="1:22" x14ac:dyDescent="0.2">
      <c r="A3" s="312" t="s">
        <v>1</v>
      </c>
      <c r="B3" s="312"/>
      <c r="C3" s="312"/>
      <c r="D3" s="312"/>
      <c r="E3" s="312"/>
      <c r="F3" s="312"/>
      <c r="G3" s="312"/>
      <c r="H3" s="312"/>
      <c r="I3" s="312"/>
      <c r="J3" s="312"/>
      <c r="K3" s="312"/>
      <c r="L3" s="312"/>
      <c r="M3" s="312"/>
      <c r="N3" s="312"/>
      <c r="O3" s="60" t="s">
        <v>21</v>
      </c>
      <c r="P3" s="13"/>
      <c r="Q3" s="13"/>
      <c r="R3" s="13"/>
      <c r="S3" s="13"/>
      <c r="T3" s="13"/>
      <c r="U3" s="13"/>
      <c r="V3" s="13"/>
    </row>
    <row r="4" spans="1:22" x14ac:dyDescent="0.2">
      <c r="A4" s="304" t="s">
        <v>2</v>
      </c>
      <c r="B4" s="304"/>
      <c r="C4" s="304"/>
      <c r="D4" s="304"/>
      <c r="E4" s="304"/>
      <c r="F4" s="304"/>
      <c r="G4" s="304"/>
      <c r="H4" s="304"/>
      <c r="I4" s="304"/>
      <c r="J4" s="304"/>
      <c r="K4" s="304"/>
      <c r="L4" s="304"/>
      <c r="M4" s="304"/>
      <c r="N4" s="304"/>
      <c r="O4" s="60" t="s">
        <v>21</v>
      </c>
      <c r="P4" s="11"/>
      <c r="Q4" s="11"/>
      <c r="R4" s="11"/>
      <c r="S4" s="11"/>
      <c r="T4" s="11"/>
      <c r="U4" s="11"/>
      <c r="V4" s="11"/>
    </row>
    <row r="5" spans="1:22" ht="15" thickBot="1" x14ac:dyDescent="0.25">
      <c r="A5" s="315"/>
      <c r="B5" s="315"/>
      <c r="C5" s="315"/>
      <c r="D5" s="315"/>
      <c r="E5" s="315"/>
      <c r="F5" s="315"/>
      <c r="G5" s="315"/>
      <c r="H5" s="315"/>
      <c r="I5" s="315"/>
      <c r="J5" s="315"/>
      <c r="K5" s="316"/>
      <c r="L5" s="316"/>
      <c r="M5" s="316"/>
      <c r="N5" s="316"/>
      <c r="O5" s="60" t="s">
        <v>21</v>
      </c>
      <c r="P5" s="11"/>
      <c r="Q5" s="11"/>
      <c r="R5" s="11"/>
      <c r="S5" s="11"/>
      <c r="T5" s="11"/>
      <c r="U5" s="11"/>
      <c r="V5" s="11"/>
    </row>
    <row r="6" spans="1:22" s="23" customFormat="1" ht="33.75" customHeight="1" x14ac:dyDescent="0.2">
      <c r="A6" s="305" t="s">
        <v>34</v>
      </c>
      <c r="B6" s="313" t="s">
        <v>161</v>
      </c>
      <c r="C6" s="308" t="s">
        <v>190</v>
      </c>
      <c r="D6" s="308"/>
      <c r="E6" s="308"/>
      <c r="F6" s="308"/>
      <c r="G6" s="308" t="s">
        <v>191</v>
      </c>
      <c r="H6" s="308"/>
      <c r="I6" s="308"/>
      <c r="J6" s="308"/>
      <c r="K6" s="317" t="s">
        <v>192</v>
      </c>
      <c r="L6" s="308"/>
      <c r="M6" s="308"/>
      <c r="N6" s="309"/>
      <c r="O6" s="60" t="s">
        <v>21</v>
      </c>
    </row>
    <row r="7" spans="1:22" s="23" customFormat="1" ht="28.5" x14ac:dyDescent="0.2">
      <c r="A7" s="306"/>
      <c r="B7" s="314"/>
      <c r="C7" s="22" t="s">
        <v>4</v>
      </c>
      <c r="D7" s="22" t="s">
        <v>36</v>
      </c>
      <c r="E7" s="22" t="s">
        <v>176</v>
      </c>
      <c r="F7" s="22" t="s">
        <v>5</v>
      </c>
      <c r="G7" s="197" t="s">
        <v>4</v>
      </c>
      <c r="H7" s="197" t="s">
        <v>36</v>
      </c>
      <c r="I7" s="197" t="s">
        <v>176</v>
      </c>
      <c r="J7" s="197" t="s">
        <v>5</v>
      </c>
      <c r="K7" s="209" t="s">
        <v>4</v>
      </c>
      <c r="L7" s="22" t="s">
        <v>36</v>
      </c>
      <c r="M7" s="22" t="s">
        <v>176</v>
      </c>
      <c r="N7" s="27" t="s">
        <v>5</v>
      </c>
      <c r="O7" s="60" t="s">
        <v>21</v>
      </c>
    </row>
    <row r="8" spans="1:22" s="23" customFormat="1" x14ac:dyDescent="0.2">
      <c r="A8" s="153" t="s">
        <v>227</v>
      </c>
      <c r="B8" s="186" t="s">
        <v>229</v>
      </c>
      <c r="C8" s="137">
        <v>0</v>
      </c>
      <c r="D8" s="137">
        <v>0</v>
      </c>
      <c r="E8" s="137">
        <v>0</v>
      </c>
      <c r="F8" s="137">
        <v>-730</v>
      </c>
      <c r="G8" s="189">
        <v>0</v>
      </c>
      <c r="H8" s="189">
        <v>0</v>
      </c>
      <c r="I8" s="189">
        <v>0</v>
      </c>
      <c r="J8" s="189">
        <v>-1454</v>
      </c>
      <c r="K8" s="200">
        <v>0</v>
      </c>
      <c r="L8" s="137">
        <v>0</v>
      </c>
      <c r="M8" s="137">
        <v>0</v>
      </c>
      <c r="N8" s="138">
        <v>-1015</v>
      </c>
      <c r="O8" s="60" t="s">
        <v>21</v>
      </c>
    </row>
    <row r="9" spans="1:22" s="23" customFormat="1" x14ac:dyDescent="0.2">
      <c r="A9" s="155" t="s">
        <v>228</v>
      </c>
      <c r="B9" s="205" t="s">
        <v>229</v>
      </c>
      <c r="C9" s="29">
        <v>0</v>
      </c>
      <c r="D9" s="29">
        <v>0</v>
      </c>
      <c r="E9" s="29">
        <v>0</v>
      </c>
      <c r="F9" s="29">
        <v>-210</v>
      </c>
      <c r="G9" s="29">
        <v>0</v>
      </c>
      <c r="H9" s="29">
        <v>0</v>
      </c>
      <c r="I9" s="29">
        <v>0</v>
      </c>
      <c r="J9" s="29">
        <v>-230</v>
      </c>
      <c r="K9" s="195">
        <v>0</v>
      </c>
      <c r="L9" s="29">
        <v>0</v>
      </c>
      <c r="M9" s="29">
        <v>0</v>
      </c>
      <c r="N9" s="30">
        <v>-714</v>
      </c>
      <c r="O9" s="60" t="s">
        <v>21</v>
      </c>
    </row>
    <row r="10" spans="1:22" s="23" customFormat="1" ht="15.75" thickBot="1" x14ac:dyDescent="0.3">
      <c r="A10" s="24" t="s">
        <v>35</v>
      </c>
      <c r="B10" s="25"/>
      <c r="C10" s="34">
        <f t="shared" ref="C10:N10" si="0">SUM(C8:C9)</f>
        <v>0</v>
      </c>
      <c r="D10" s="34">
        <f t="shared" si="0"/>
        <v>0</v>
      </c>
      <c r="E10" s="34">
        <f t="shared" si="0"/>
        <v>0</v>
      </c>
      <c r="F10" s="34">
        <f t="shared" si="0"/>
        <v>-940</v>
      </c>
      <c r="G10" s="196">
        <f t="shared" si="0"/>
        <v>0</v>
      </c>
      <c r="H10" s="196">
        <f t="shared" si="0"/>
        <v>0</v>
      </c>
      <c r="I10" s="196">
        <f t="shared" si="0"/>
        <v>0</v>
      </c>
      <c r="J10" s="196">
        <f t="shared" si="0"/>
        <v>-1684</v>
      </c>
      <c r="K10" s="193">
        <f t="shared" si="0"/>
        <v>0</v>
      </c>
      <c r="L10" s="34">
        <f t="shared" si="0"/>
        <v>0</v>
      </c>
      <c r="M10" s="34">
        <f t="shared" si="0"/>
        <v>0</v>
      </c>
      <c r="N10" s="139">
        <f t="shared" si="0"/>
        <v>-1729</v>
      </c>
      <c r="O10" s="60" t="s">
        <v>21</v>
      </c>
    </row>
    <row r="11" spans="1:22" s="23" customFormat="1" ht="15" thickBot="1" x14ac:dyDescent="0.25">
      <c r="O11" s="60" t="s">
        <v>21</v>
      </c>
    </row>
    <row r="12" spans="1:22" s="23" customFormat="1" ht="33.75" customHeight="1" x14ac:dyDescent="0.2">
      <c r="A12" s="305" t="s">
        <v>34</v>
      </c>
      <c r="B12" s="313" t="s">
        <v>161</v>
      </c>
      <c r="C12" s="308" t="s">
        <v>226</v>
      </c>
      <c r="D12" s="308"/>
      <c r="E12" s="308"/>
      <c r="F12" s="308"/>
      <c r="G12" s="308" t="s">
        <v>194</v>
      </c>
      <c r="H12" s="308"/>
      <c r="I12" s="308"/>
      <c r="J12" s="308"/>
      <c r="K12" s="308" t="s">
        <v>33</v>
      </c>
      <c r="L12" s="308"/>
      <c r="M12" s="308"/>
      <c r="N12" s="309"/>
      <c r="O12" s="60" t="s">
        <v>21</v>
      </c>
    </row>
    <row r="13" spans="1:22" s="23" customFormat="1" ht="28.5" x14ac:dyDescent="0.2">
      <c r="A13" s="306"/>
      <c r="B13" s="314"/>
      <c r="C13" s="22" t="s">
        <v>4</v>
      </c>
      <c r="D13" s="22" t="s">
        <v>36</v>
      </c>
      <c r="E13" s="22" t="s">
        <v>176</v>
      </c>
      <c r="F13" s="22" t="s">
        <v>5</v>
      </c>
      <c r="G13" s="22" t="s">
        <v>4</v>
      </c>
      <c r="H13" s="22" t="s">
        <v>36</v>
      </c>
      <c r="I13" s="22" t="s">
        <v>176</v>
      </c>
      <c r="J13" s="22" t="s">
        <v>5</v>
      </c>
      <c r="K13" s="197" t="s">
        <v>4</v>
      </c>
      <c r="L13" s="197" t="s">
        <v>36</v>
      </c>
      <c r="M13" s="197" t="s">
        <v>176</v>
      </c>
      <c r="N13" s="201" t="s">
        <v>5</v>
      </c>
      <c r="O13" s="60" t="s">
        <v>21</v>
      </c>
    </row>
    <row r="14" spans="1:22" s="23" customFormat="1" x14ac:dyDescent="0.2">
      <c r="A14" s="153" t="s">
        <v>227</v>
      </c>
      <c r="B14" s="186" t="s">
        <v>229</v>
      </c>
      <c r="C14" s="137">
        <v>0</v>
      </c>
      <c r="D14" s="137">
        <v>0</v>
      </c>
      <c r="E14" s="137">
        <v>0</v>
      </c>
      <c r="F14" s="137">
        <v>-85</v>
      </c>
      <c r="G14" s="137">
        <v>0</v>
      </c>
      <c r="H14" s="137">
        <v>0</v>
      </c>
      <c r="I14" s="137">
        <v>0</v>
      </c>
      <c r="J14" s="137">
        <v>-249</v>
      </c>
      <c r="K14" s="189">
        <f t="shared" ref="K14:M15" si="1">C8+G8+C14+G14</f>
        <v>0</v>
      </c>
      <c r="L14" s="189">
        <f t="shared" si="1"/>
        <v>0</v>
      </c>
      <c r="M14" s="189">
        <f t="shared" si="1"/>
        <v>0</v>
      </c>
      <c r="N14" s="198">
        <f>F8+J8+N8+F14+J14</f>
        <v>-3533</v>
      </c>
      <c r="O14" s="60" t="s">
        <v>21</v>
      </c>
    </row>
    <row r="15" spans="1:22" s="23" customFormat="1" x14ac:dyDescent="0.2">
      <c r="A15" s="155" t="s">
        <v>228</v>
      </c>
      <c r="B15" s="205" t="s">
        <v>229</v>
      </c>
      <c r="C15" s="29">
        <v>0</v>
      </c>
      <c r="D15" s="29">
        <v>0</v>
      </c>
      <c r="E15" s="29">
        <v>0</v>
      </c>
      <c r="F15" s="29">
        <v>-11</v>
      </c>
      <c r="G15" s="29">
        <v>0</v>
      </c>
      <c r="H15" s="29">
        <v>0</v>
      </c>
      <c r="I15" s="29">
        <v>0</v>
      </c>
      <c r="J15" s="29">
        <v>-312</v>
      </c>
      <c r="K15" s="29">
        <f t="shared" si="1"/>
        <v>0</v>
      </c>
      <c r="L15" s="29">
        <f t="shared" si="1"/>
        <v>0</v>
      </c>
      <c r="M15" s="29">
        <f t="shared" si="1"/>
        <v>0</v>
      </c>
      <c r="N15" s="30">
        <f>F9+J9+N9+F15+J15</f>
        <v>-1477</v>
      </c>
      <c r="O15" s="60" t="s">
        <v>21</v>
      </c>
    </row>
    <row r="16" spans="1:22" s="23" customFormat="1" ht="15.75" thickBot="1" x14ac:dyDescent="0.3">
      <c r="A16" s="24" t="s">
        <v>35</v>
      </c>
      <c r="B16" s="25"/>
      <c r="C16" s="34">
        <f t="shared" ref="C16:N16" si="2">SUM(C14:C15)</f>
        <v>0</v>
      </c>
      <c r="D16" s="34">
        <f t="shared" si="2"/>
        <v>0</v>
      </c>
      <c r="E16" s="34">
        <f t="shared" si="2"/>
        <v>0</v>
      </c>
      <c r="F16" s="34">
        <f t="shared" si="2"/>
        <v>-96</v>
      </c>
      <c r="G16" s="34">
        <f t="shared" si="2"/>
        <v>0</v>
      </c>
      <c r="H16" s="34">
        <f t="shared" si="2"/>
        <v>0</v>
      </c>
      <c r="I16" s="34">
        <f t="shared" si="2"/>
        <v>0</v>
      </c>
      <c r="J16" s="34">
        <f t="shared" si="2"/>
        <v>-561</v>
      </c>
      <c r="K16" s="196">
        <f t="shared" si="2"/>
        <v>0</v>
      </c>
      <c r="L16" s="196">
        <f t="shared" si="2"/>
        <v>0</v>
      </c>
      <c r="M16" s="196">
        <f t="shared" si="2"/>
        <v>0</v>
      </c>
      <c r="N16" s="190">
        <f t="shared" si="2"/>
        <v>-5010</v>
      </c>
      <c r="O16" s="7" t="s">
        <v>22</v>
      </c>
    </row>
    <row r="18" spans="2:2" x14ac:dyDescent="0.2">
      <c r="B18" s="26"/>
    </row>
  </sheetData>
  <mergeCells count="15">
    <mergeCell ref="A12:A13"/>
    <mergeCell ref="B12:B13"/>
    <mergeCell ref="C12:F12"/>
    <mergeCell ref="G12:J12"/>
    <mergeCell ref="K12:N12"/>
    <mergeCell ref="A1:N1"/>
    <mergeCell ref="A2:N2"/>
    <mergeCell ref="A3:N3"/>
    <mergeCell ref="C6:F6"/>
    <mergeCell ref="A4:N4"/>
    <mergeCell ref="B6:B7"/>
    <mergeCell ref="G6:J6"/>
    <mergeCell ref="A6:A7"/>
    <mergeCell ref="A5:N5"/>
    <mergeCell ref="K6:N6"/>
  </mergeCells>
  <printOptions horizontalCentered="1"/>
  <pageMargins left="0.7" right="0.7" top="0.66" bottom="0.65" header="0.3" footer="0.3"/>
  <pageSetup scale="68" orientation="landscape" r:id="rId1"/>
  <headerFooter>
    <oddHeader xml:space="preserve">&amp;L&amp;"Arial,Bold"&amp;12C. Program Changes by Decision Unit
</oddHeader>
    <oddFooter>&amp;C&amp;"Arial,Regular"Exhibit C - Program Changes by Decision Unit - Salaries and Expenses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view="pageBreakPreview" zoomScale="80" zoomScaleNormal="100" zoomScaleSheetLayoutView="80" workbookViewId="0">
      <selection activeCell="C9" sqref="C9"/>
    </sheetView>
  </sheetViews>
  <sheetFormatPr defaultColWidth="9.140625" defaultRowHeight="14.25" x14ac:dyDescent="0.2"/>
  <cols>
    <col min="1" max="1" width="37.140625" style="149" customWidth="1"/>
    <col min="2" max="2" width="17" style="149" customWidth="1"/>
    <col min="3" max="5" width="8.7109375" style="149" customWidth="1"/>
    <col min="6" max="6" width="12.7109375" style="149" customWidth="1"/>
    <col min="7" max="9" width="8.7109375" style="149" customWidth="1"/>
    <col min="10" max="10" width="12.7109375" style="149" customWidth="1"/>
    <col min="11" max="11" width="14" style="7" bestFit="1" customWidth="1"/>
    <col min="12" max="12" width="4.5703125" style="149" customWidth="1"/>
    <col min="13" max="14" width="8.28515625" style="149" customWidth="1"/>
    <col min="15" max="15" width="12.7109375" style="149" customWidth="1"/>
    <col min="16" max="17" width="8.28515625" style="149" customWidth="1"/>
    <col min="18" max="18" width="12.7109375" style="149" customWidth="1"/>
    <col min="19" max="16384" width="9.140625" style="149"/>
  </cols>
  <sheetData>
    <row r="1" spans="1:18" ht="18" x14ac:dyDescent="0.25">
      <c r="A1" s="301" t="s">
        <v>32</v>
      </c>
      <c r="B1" s="301"/>
      <c r="C1" s="301"/>
      <c r="D1" s="301"/>
      <c r="E1" s="301"/>
      <c r="F1" s="301"/>
      <c r="G1" s="301"/>
      <c r="H1" s="301"/>
      <c r="I1" s="301"/>
      <c r="J1" s="301"/>
      <c r="K1" s="60" t="s">
        <v>21</v>
      </c>
      <c r="L1" s="9"/>
      <c r="M1" s="9"/>
      <c r="N1" s="9"/>
      <c r="O1" s="9"/>
      <c r="P1" s="9"/>
      <c r="Q1" s="9"/>
      <c r="R1" s="9"/>
    </row>
    <row r="2" spans="1:18" ht="15" x14ac:dyDescent="0.2">
      <c r="A2" s="302" t="s">
        <v>189</v>
      </c>
      <c r="B2" s="302"/>
      <c r="C2" s="302"/>
      <c r="D2" s="302"/>
      <c r="E2" s="302"/>
      <c r="F2" s="302"/>
      <c r="G2" s="302"/>
      <c r="H2" s="302"/>
      <c r="I2" s="302"/>
      <c r="J2" s="302"/>
      <c r="K2" s="60" t="s">
        <v>21</v>
      </c>
      <c r="L2" s="10"/>
      <c r="M2" s="10"/>
      <c r="N2" s="10"/>
      <c r="O2" s="10"/>
      <c r="P2" s="10"/>
      <c r="Q2" s="10"/>
      <c r="R2" s="10"/>
    </row>
    <row r="3" spans="1:18" x14ac:dyDescent="0.2">
      <c r="A3" s="311" t="s">
        <v>225</v>
      </c>
      <c r="B3" s="311"/>
      <c r="C3" s="311"/>
      <c r="D3" s="311"/>
      <c r="E3" s="311"/>
      <c r="F3" s="311"/>
      <c r="G3" s="311"/>
      <c r="H3" s="311"/>
      <c r="I3" s="311"/>
      <c r="J3" s="311"/>
      <c r="K3" s="60" t="s">
        <v>21</v>
      </c>
      <c r="L3" s="172"/>
      <c r="M3" s="172"/>
      <c r="N3" s="172"/>
      <c r="O3" s="172"/>
      <c r="P3" s="172"/>
      <c r="Q3" s="172"/>
      <c r="R3" s="172"/>
    </row>
    <row r="4" spans="1:18" x14ac:dyDescent="0.2">
      <c r="A4" s="304" t="s">
        <v>2</v>
      </c>
      <c r="B4" s="304"/>
      <c r="C4" s="304"/>
      <c r="D4" s="304"/>
      <c r="E4" s="304"/>
      <c r="F4" s="304"/>
      <c r="G4" s="304"/>
      <c r="H4" s="304"/>
      <c r="I4" s="304"/>
      <c r="J4" s="304"/>
      <c r="K4" s="60" t="s">
        <v>21</v>
      </c>
      <c r="L4" s="11"/>
      <c r="M4" s="11"/>
      <c r="N4" s="11"/>
      <c r="O4" s="11"/>
      <c r="P4" s="11"/>
      <c r="Q4" s="11"/>
      <c r="R4" s="11"/>
    </row>
    <row r="5" spans="1:18" ht="15" thickBot="1" x14ac:dyDescent="0.25">
      <c r="A5" s="304"/>
      <c r="B5" s="304"/>
      <c r="C5" s="304"/>
      <c r="D5" s="304"/>
      <c r="E5" s="304"/>
      <c r="F5" s="304"/>
      <c r="G5" s="304"/>
      <c r="H5" s="304"/>
      <c r="I5" s="304"/>
      <c r="J5" s="304"/>
      <c r="K5" s="60" t="s">
        <v>21</v>
      </c>
      <c r="L5" s="11"/>
      <c r="M5" s="11"/>
      <c r="N5" s="11"/>
      <c r="O5" s="11"/>
      <c r="P5" s="11"/>
      <c r="Q5" s="11"/>
      <c r="R5" s="11"/>
    </row>
    <row r="6" spans="1:18" ht="33.75" customHeight="1" x14ac:dyDescent="0.2">
      <c r="A6" s="305" t="s">
        <v>34</v>
      </c>
      <c r="B6" s="313" t="s">
        <v>161</v>
      </c>
      <c r="C6" s="308" t="s">
        <v>225</v>
      </c>
      <c r="D6" s="308"/>
      <c r="E6" s="308"/>
      <c r="F6" s="308"/>
      <c r="G6" s="308" t="s">
        <v>33</v>
      </c>
      <c r="H6" s="308"/>
      <c r="I6" s="308"/>
      <c r="J6" s="309"/>
      <c r="K6" s="60" t="s">
        <v>21</v>
      </c>
    </row>
    <row r="7" spans="1:18" ht="28.5" x14ac:dyDescent="0.2">
      <c r="A7" s="306"/>
      <c r="B7" s="314"/>
      <c r="C7" s="177" t="s">
        <v>4</v>
      </c>
      <c r="D7" s="177" t="s">
        <v>36</v>
      </c>
      <c r="E7" s="177" t="s">
        <v>176</v>
      </c>
      <c r="F7" s="177" t="s">
        <v>5</v>
      </c>
      <c r="G7" s="177" t="s">
        <v>4</v>
      </c>
      <c r="H7" s="177" t="s">
        <v>36</v>
      </c>
      <c r="I7" s="177" t="s">
        <v>176</v>
      </c>
      <c r="J7" s="178" t="s">
        <v>5</v>
      </c>
      <c r="K7" s="60" t="s">
        <v>21</v>
      </c>
    </row>
    <row r="8" spans="1:18" x14ac:dyDescent="0.2">
      <c r="A8" s="153" t="s">
        <v>225</v>
      </c>
      <c r="B8" s="174" t="s">
        <v>225</v>
      </c>
      <c r="C8" s="176">
        <v>0</v>
      </c>
      <c r="D8" s="176">
        <v>0</v>
      </c>
      <c r="E8" s="176">
        <v>0</v>
      </c>
      <c r="F8" s="176">
        <v>-5000</v>
      </c>
      <c r="G8" s="176">
        <f>C8</f>
        <v>0</v>
      </c>
      <c r="H8" s="176">
        <f>D8</f>
        <v>0</v>
      </c>
      <c r="I8" s="176">
        <f>E8</f>
        <v>0</v>
      </c>
      <c r="J8" s="179">
        <f>F8</f>
        <v>-5000</v>
      </c>
      <c r="K8" s="60" t="s">
        <v>21</v>
      </c>
    </row>
    <row r="9" spans="1:18" ht="15.75" thickBot="1" x14ac:dyDescent="0.3">
      <c r="A9" s="24" t="s">
        <v>35</v>
      </c>
      <c r="B9" s="25"/>
      <c r="C9" s="34">
        <f t="shared" ref="C9:J9" si="0">SUM(C8:C8)</f>
        <v>0</v>
      </c>
      <c r="D9" s="34">
        <f t="shared" si="0"/>
        <v>0</v>
      </c>
      <c r="E9" s="34">
        <f t="shared" si="0"/>
        <v>0</v>
      </c>
      <c r="F9" s="34">
        <f t="shared" si="0"/>
        <v>-5000</v>
      </c>
      <c r="G9" s="34">
        <f t="shared" si="0"/>
        <v>0</v>
      </c>
      <c r="H9" s="34">
        <f t="shared" si="0"/>
        <v>0</v>
      </c>
      <c r="I9" s="34">
        <f t="shared" si="0"/>
        <v>0</v>
      </c>
      <c r="J9" s="139">
        <f t="shared" si="0"/>
        <v>-5000</v>
      </c>
      <c r="K9" s="7" t="s">
        <v>22</v>
      </c>
    </row>
    <row r="11" spans="1:18" x14ac:dyDescent="0.2">
      <c r="B11" s="175"/>
    </row>
  </sheetData>
  <mergeCells count="9">
    <mergeCell ref="A6:A7"/>
    <mergeCell ref="B6:B7"/>
    <mergeCell ref="C6:F6"/>
    <mergeCell ref="G6:J6"/>
    <mergeCell ref="A1:J1"/>
    <mergeCell ref="A2:J2"/>
    <mergeCell ref="A3:J3"/>
    <mergeCell ref="A4:J4"/>
    <mergeCell ref="A5:J5"/>
  </mergeCells>
  <printOptions horizontalCentered="1"/>
  <pageMargins left="0.7" right="0.7" top="0.75" bottom="0.75" header="0.3" footer="0.3"/>
  <pageSetup scale="71" orientation="landscape" r:id="rId1"/>
  <headerFooter>
    <oddHeader xml:space="preserve">&amp;L&amp;"Arial,Bold"&amp;12C. Program Changes by Decision Unit
</oddHeader>
    <oddFooter>&amp;C&amp;"Arial,Regular"Exhibit C - Program Changes by Decision Unit - Construction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abSelected="1" view="pageBreakPreview" zoomScale="80" zoomScaleNormal="100" zoomScaleSheetLayoutView="80" workbookViewId="0">
      <selection activeCell="A17" activeCellId="2" sqref="A9 A12 A17"/>
    </sheetView>
  </sheetViews>
  <sheetFormatPr defaultColWidth="9.140625" defaultRowHeight="14.25" x14ac:dyDescent="0.2"/>
  <cols>
    <col min="1" max="1" width="7.42578125" style="149" bestFit="1" customWidth="1"/>
    <col min="2" max="2" width="75.85546875" style="149" customWidth="1"/>
    <col min="3" max="3" width="8.7109375" style="149" customWidth="1"/>
    <col min="4" max="4" width="12.7109375" style="149" customWidth="1"/>
    <col min="5" max="5" width="8.7109375" style="149" customWidth="1"/>
    <col min="6" max="6" width="12.7109375" style="149" customWidth="1"/>
    <col min="7" max="7" width="8.7109375" style="149" customWidth="1"/>
    <col min="8" max="8" width="12.7109375" style="149" customWidth="1"/>
    <col min="9" max="9" width="8.7109375" style="149" customWidth="1"/>
    <col min="10" max="10" width="12.7109375" style="149" customWidth="1"/>
    <col min="11" max="11" width="8.7109375" style="149" customWidth="1"/>
    <col min="12" max="12" width="12.7109375" style="149" customWidth="1"/>
    <col min="13" max="13" width="14" style="7" bestFit="1" customWidth="1"/>
    <col min="14" max="14" width="4.5703125" style="149" customWidth="1"/>
    <col min="15" max="16" width="8.28515625" style="149" customWidth="1"/>
    <col min="17" max="17" width="12.7109375" style="149" customWidth="1"/>
    <col min="18" max="19" width="8.28515625" style="149" customWidth="1"/>
    <col min="20" max="20" width="12.7109375" style="149" customWidth="1"/>
    <col min="21" max="16384" width="9.140625" style="149"/>
  </cols>
  <sheetData>
    <row r="1" spans="1:20" ht="18" x14ac:dyDescent="0.25">
      <c r="A1" s="301" t="s">
        <v>37</v>
      </c>
      <c r="B1" s="301"/>
      <c r="C1" s="301"/>
      <c r="D1" s="301"/>
      <c r="E1" s="301"/>
      <c r="F1" s="301"/>
      <c r="G1" s="301"/>
      <c r="H1" s="301"/>
      <c r="I1" s="301"/>
      <c r="J1" s="301"/>
      <c r="K1" s="301"/>
      <c r="L1" s="301"/>
      <c r="M1" s="60" t="s">
        <v>21</v>
      </c>
      <c r="N1" s="9"/>
      <c r="O1" s="9"/>
      <c r="P1" s="9"/>
      <c r="Q1" s="9"/>
      <c r="R1" s="9"/>
      <c r="S1" s="9"/>
      <c r="T1" s="9"/>
    </row>
    <row r="2" spans="1:20" ht="15" x14ac:dyDescent="0.2">
      <c r="A2" s="302" t="s">
        <v>189</v>
      </c>
      <c r="B2" s="302"/>
      <c r="C2" s="302"/>
      <c r="D2" s="302"/>
      <c r="E2" s="302"/>
      <c r="F2" s="302"/>
      <c r="G2" s="302"/>
      <c r="H2" s="302"/>
      <c r="I2" s="302"/>
      <c r="J2" s="302"/>
      <c r="K2" s="302"/>
      <c r="L2" s="302"/>
      <c r="M2" s="60" t="s">
        <v>21</v>
      </c>
      <c r="N2" s="10"/>
      <c r="O2" s="10"/>
      <c r="P2" s="10"/>
      <c r="Q2" s="10"/>
      <c r="R2" s="10"/>
      <c r="S2" s="10"/>
      <c r="T2" s="10"/>
    </row>
    <row r="3" spans="1:20" x14ac:dyDescent="0.2">
      <c r="A3" s="311" t="s">
        <v>1</v>
      </c>
      <c r="B3" s="311"/>
      <c r="C3" s="311"/>
      <c r="D3" s="311"/>
      <c r="E3" s="311"/>
      <c r="F3" s="311"/>
      <c r="G3" s="311"/>
      <c r="H3" s="311"/>
      <c r="I3" s="311"/>
      <c r="J3" s="311"/>
      <c r="K3" s="311"/>
      <c r="L3" s="311"/>
      <c r="M3" s="60" t="s">
        <v>21</v>
      </c>
      <c r="N3" s="172"/>
      <c r="O3" s="172"/>
      <c r="P3" s="172"/>
      <c r="Q3" s="172"/>
      <c r="R3" s="172"/>
      <c r="S3" s="172"/>
      <c r="T3" s="172"/>
    </row>
    <row r="4" spans="1:20" x14ac:dyDescent="0.2">
      <c r="A4" s="304" t="s">
        <v>2</v>
      </c>
      <c r="B4" s="304"/>
      <c r="C4" s="304"/>
      <c r="D4" s="304"/>
      <c r="E4" s="304"/>
      <c r="F4" s="304"/>
      <c r="G4" s="304"/>
      <c r="H4" s="304"/>
      <c r="I4" s="304"/>
      <c r="J4" s="304"/>
      <c r="K4" s="304"/>
      <c r="L4" s="304"/>
      <c r="M4" s="60" t="s">
        <v>21</v>
      </c>
      <c r="N4" s="11"/>
      <c r="O4" s="11"/>
      <c r="P4" s="11"/>
      <c r="Q4" s="11"/>
      <c r="R4" s="11"/>
      <c r="S4" s="11"/>
      <c r="T4" s="11"/>
    </row>
    <row r="5" spans="1:20" x14ac:dyDescent="0.2">
      <c r="A5" s="311"/>
      <c r="B5" s="311"/>
      <c r="C5" s="311"/>
      <c r="D5" s="311"/>
      <c r="E5" s="311"/>
      <c r="F5" s="311"/>
      <c r="G5" s="311"/>
      <c r="H5" s="311"/>
      <c r="I5" s="311"/>
      <c r="J5" s="311"/>
      <c r="K5" s="311"/>
      <c r="L5" s="311"/>
      <c r="M5" s="60" t="s">
        <v>21</v>
      </c>
      <c r="N5" s="11"/>
      <c r="O5" s="11"/>
      <c r="P5" s="11"/>
      <c r="Q5" s="11"/>
      <c r="R5" s="11"/>
      <c r="S5" s="11"/>
      <c r="T5" s="11"/>
    </row>
    <row r="6" spans="1:20" ht="15" thickBot="1" x14ac:dyDescent="0.25">
      <c r="A6" s="318"/>
      <c r="B6" s="318"/>
      <c r="C6" s="318"/>
      <c r="D6" s="318"/>
      <c r="E6" s="318"/>
      <c r="F6" s="318"/>
      <c r="G6" s="318"/>
      <c r="H6" s="318"/>
      <c r="I6" s="318"/>
      <c r="J6" s="318"/>
      <c r="K6" s="318"/>
      <c r="L6" s="318"/>
      <c r="M6" s="60" t="s">
        <v>21</v>
      </c>
      <c r="N6" s="11"/>
      <c r="O6" s="11"/>
      <c r="P6" s="11"/>
      <c r="Q6" s="11"/>
      <c r="R6" s="11"/>
      <c r="S6" s="11"/>
      <c r="T6" s="11"/>
    </row>
    <row r="7" spans="1:20" ht="33.75" customHeight="1" x14ac:dyDescent="0.2">
      <c r="A7" s="319" t="s">
        <v>38</v>
      </c>
      <c r="B7" s="320"/>
      <c r="C7" s="308" t="s">
        <v>162</v>
      </c>
      <c r="D7" s="308"/>
      <c r="E7" s="308" t="s">
        <v>8</v>
      </c>
      <c r="F7" s="308"/>
      <c r="G7" s="308" t="s">
        <v>15</v>
      </c>
      <c r="H7" s="308"/>
      <c r="I7" s="308" t="s">
        <v>24</v>
      </c>
      <c r="J7" s="308"/>
      <c r="K7" s="308" t="s">
        <v>19</v>
      </c>
      <c r="L7" s="309"/>
      <c r="M7" s="60" t="s">
        <v>21</v>
      </c>
    </row>
    <row r="8" spans="1:20" ht="42.75" x14ac:dyDescent="0.2">
      <c r="A8" s="321"/>
      <c r="B8" s="322"/>
      <c r="C8" s="204" t="s">
        <v>40</v>
      </c>
      <c r="D8" s="204" t="s">
        <v>39</v>
      </c>
      <c r="E8" s="204" t="s">
        <v>40</v>
      </c>
      <c r="F8" s="204" t="s">
        <v>39</v>
      </c>
      <c r="G8" s="204" t="s">
        <v>40</v>
      </c>
      <c r="H8" s="204" t="s">
        <v>39</v>
      </c>
      <c r="I8" s="204" t="s">
        <v>40</v>
      </c>
      <c r="J8" s="204" t="s">
        <v>39</v>
      </c>
      <c r="K8" s="204" t="s">
        <v>40</v>
      </c>
      <c r="L8" s="213" t="s">
        <v>39</v>
      </c>
      <c r="M8" s="60" t="s">
        <v>21</v>
      </c>
    </row>
    <row r="9" spans="1:20" ht="45" x14ac:dyDescent="0.2">
      <c r="A9" s="286" t="s">
        <v>41</v>
      </c>
      <c r="B9" s="400" t="s">
        <v>43</v>
      </c>
      <c r="C9" s="288"/>
      <c r="D9" s="288"/>
      <c r="E9" s="288"/>
      <c r="F9" s="288"/>
      <c r="G9" s="288"/>
      <c r="H9" s="288"/>
      <c r="I9" s="288"/>
      <c r="J9" s="288"/>
      <c r="K9" s="288"/>
      <c r="L9" s="289"/>
      <c r="M9" s="60" t="s">
        <v>21</v>
      </c>
    </row>
    <row r="10" spans="1:20" x14ac:dyDescent="0.2">
      <c r="A10" s="290">
        <v>1.1000000000000001</v>
      </c>
      <c r="B10" s="291" t="s">
        <v>42</v>
      </c>
      <c r="C10" s="160">
        <f>391+2</f>
        <v>393</v>
      </c>
      <c r="D10" s="292">
        <f>94323+739</f>
        <v>95062</v>
      </c>
      <c r="E10" s="160">
        <v>399</v>
      </c>
      <c r="F10" s="160">
        <f>94900+1656</f>
        <v>96556</v>
      </c>
      <c r="G10" s="160">
        <v>399</v>
      </c>
      <c r="H10" s="160">
        <f>101216+1651</f>
        <v>102867</v>
      </c>
      <c r="I10" s="160">
        <v>0</v>
      </c>
      <c r="J10" s="160">
        <v>0</v>
      </c>
      <c r="K10" s="160">
        <f>G10+I10</f>
        <v>399</v>
      </c>
      <c r="L10" s="165">
        <f>H10+J10</f>
        <v>102867</v>
      </c>
      <c r="M10" s="60" t="s">
        <v>21</v>
      </c>
    </row>
    <row r="11" spans="1:20" ht="15" x14ac:dyDescent="0.25">
      <c r="A11" s="293"/>
      <c r="B11" s="35" t="s">
        <v>47</v>
      </c>
      <c r="C11" s="31">
        <f t="shared" ref="C11:L11" si="0">SUM(C10:C10)</f>
        <v>393</v>
      </c>
      <c r="D11" s="31">
        <f t="shared" si="0"/>
        <v>95062</v>
      </c>
      <c r="E11" s="31">
        <f t="shared" si="0"/>
        <v>399</v>
      </c>
      <c r="F11" s="31">
        <f t="shared" si="0"/>
        <v>96556</v>
      </c>
      <c r="G11" s="31">
        <f t="shared" si="0"/>
        <v>399</v>
      </c>
      <c r="H11" s="31">
        <f t="shared" si="0"/>
        <v>102867</v>
      </c>
      <c r="I11" s="31">
        <f t="shared" si="0"/>
        <v>0</v>
      </c>
      <c r="J11" s="31">
        <f t="shared" si="0"/>
        <v>0</v>
      </c>
      <c r="K11" s="31">
        <f t="shared" si="0"/>
        <v>399</v>
      </c>
      <c r="L11" s="32">
        <f t="shared" si="0"/>
        <v>102867</v>
      </c>
      <c r="M11" s="60" t="s">
        <v>21</v>
      </c>
    </row>
    <row r="12" spans="1:20" ht="30" x14ac:dyDescent="0.2">
      <c r="A12" s="286" t="s">
        <v>44</v>
      </c>
      <c r="B12" s="287" t="s">
        <v>45</v>
      </c>
      <c r="C12" s="288"/>
      <c r="D12" s="288"/>
      <c r="E12" s="288"/>
      <c r="F12" s="288"/>
      <c r="G12" s="288"/>
      <c r="H12" s="288"/>
      <c r="I12" s="288"/>
      <c r="J12" s="288"/>
      <c r="K12" s="288"/>
      <c r="L12" s="289"/>
      <c r="M12" s="60" t="s">
        <v>21</v>
      </c>
    </row>
    <row r="13" spans="1:20" x14ac:dyDescent="0.2">
      <c r="A13" s="398">
        <v>2.1</v>
      </c>
      <c r="B13" s="399" t="s">
        <v>48</v>
      </c>
      <c r="C13" s="396">
        <f>493-40-18-86-59</f>
        <v>290</v>
      </c>
      <c r="D13" s="396">
        <f>162518-8504-4430-15035-27354</f>
        <v>107195</v>
      </c>
      <c r="E13" s="396">
        <f>493-40-18-86-59</f>
        <v>290</v>
      </c>
      <c r="F13" s="396">
        <f>163513-8556-4457-15127-27521</f>
        <v>107852</v>
      </c>
      <c r="G13" s="396">
        <f>498-40-18-92-59</f>
        <v>289</v>
      </c>
      <c r="H13" s="396">
        <f>164273-8553-4452-15149-27426</f>
        <v>108693</v>
      </c>
      <c r="I13" s="396">
        <v>0</v>
      </c>
      <c r="J13" s="396">
        <v>0</v>
      </c>
      <c r="K13" s="396">
        <f t="shared" ref="K13:L15" si="1">G13+I13</f>
        <v>289</v>
      </c>
      <c r="L13" s="397">
        <f t="shared" si="1"/>
        <v>108693</v>
      </c>
      <c r="M13" s="60" t="s">
        <v>21</v>
      </c>
    </row>
    <row r="14" spans="1:20" x14ac:dyDescent="0.2">
      <c r="A14" s="290">
        <v>2.2000000000000002</v>
      </c>
      <c r="B14" s="294" t="s">
        <v>49</v>
      </c>
      <c r="C14" s="160">
        <v>211</v>
      </c>
      <c r="D14" s="160">
        <v>55323</v>
      </c>
      <c r="E14" s="160">
        <v>211</v>
      </c>
      <c r="F14" s="160">
        <v>55662</v>
      </c>
      <c r="G14" s="160">
        <v>211</v>
      </c>
      <c r="H14" s="160">
        <v>55580</v>
      </c>
      <c r="I14" s="160">
        <v>0</v>
      </c>
      <c r="J14" s="160">
        <v>0</v>
      </c>
      <c r="K14" s="160">
        <f t="shared" si="1"/>
        <v>211</v>
      </c>
      <c r="L14" s="165">
        <f t="shared" si="1"/>
        <v>55580</v>
      </c>
      <c r="M14" s="60" t="s">
        <v>21</v>
      </c>
    </row>
    <row r="15" spans="1:20" x14ac:dyDescent="0.2">
      <c r="A15" s="290">
        <v>2.2999999999999998</v>
      </c>
      <c r="B15" s="294" t="s">
        <v>50</v>
      </c>
      <c r="C15" s="160">
        <f>1139+8+43</f>
        <v>1190</v>
      </c>
      <c r="D15" s="160">
        <v>248880</v>
      </c>
      <c r="E15" s="160">
        <f>1074+8+43</f>
        <v>1125</v>
      </c>
      <c r="F15" s="160">
        <v>250517</v>
      </c>
      <c r="G15" s="160">
        <f>1074+8+41</f>
        <v>1123</v>
      </c>
      <c r="H15" s="160">
        <v>251457</v>
      </c>
      <c r="I15" s="160">
        <v>0</v>
      </c>
      <c r="J15" s="160">
        <v>0</v>
      </c>
      <c r="K15" s="160">
        <f t="shared" si="1"/>
        <v>1123</v>
      </c>
      <c r="L15" s="165">
        <f t="shared" si="1"/>
        <v>251457</v>
      </c>
      <c r="M15" s="60" t="s">
        <v>21</v>
      </c>
    </row>
    <row r="16" spans="1:20" ht="15" x14ac:dyDescent="0.25">
      <c r="A16" s="293"/>
      <c r="B16" s="35" t="s">
        <v>46</v>
      </c>
      <c r="C16" s="31">
        <f t="shared" ref="C16:L16" si="2">SUM(C13:C15)</f>
        <v>1691</v>
      </c>
      <c r="D16" s="31">
        <f t="shared" si="2"/>
        <v>411398</v>
      </c>
      <c r="E16" s="31">
        <f t="shared" si="2"/>
        <v>1626</v>
      </c>
      <c r="F16" s="31">
        <f t="shared" si="2"/>
        <v>414031</v>
      </c>
      <c r="G16" s="31">
        <f t="shared" si="2"/>
        <v>1623</v>
      </c>
      <c r="H16" s="31">
        <f t="shared" si="2"/>
        <v>415730</v>
      </c>
      <c r="I16" s="31">
        <f t="shared" si="2"/>
        <v>0</v>
      </c>
      <c r="J16" s="31">
        <f t="shared" si="2"/>
        <v>0</v>
      </c>
      <c r="K16" s="31">
        <f t="shared" si="2"/>
        <v>1623</v>
      </c>
      <c r="L16" s="32">
        <f t="shared" si="2"/>
        <v>415730</v>
      </c>
      <c r="M16" s="60" t="s">
        <v>21</v>
      </c>
    </row>
    <row r="17" spans="1:13" ht="45" x14ac:dyDescent="0.2">
      <c r="A17" s="286" t="s">
        <v>51</v>
      </c>
      <c r="B17" s="400" t="s">
        <v>52</v>
      </c>
      <c r="C17" s="288"/>
      <c r="D17" s="288"/>
      <c r="E17" s="288"/>
      <c r="F17" s="288"/>
      <c r="G17" s="288"/>
      <c r="H17" s="288"/>
      <c r="I17" s="288"/>
      <c r="J17" s="288"/>
      <c r="K17" s="288"/>
      <c r="L17" s="289"/>
      <c r="M17" s="60" t="s">
        <v>21</v>
      </c>
    </row>
    <row r="18" spans="1:13" ht="28.5" x14ac:dyDescent="0.2">
      <c r="A18" s="398">
        <v>3.1</v>
      </c>
      <c r="B18" s="399" t="s">
        <v>174</v>
      </c>
      <c r="C18" s="396">
        <v>29</v>
      </c>
      <c r="D18" s="396">
        <v>15068</v>
      </c>
      <c r="E18" s="396">
        <v>29</v>
      </c>
      <c r="F18" s="396">
        <v>15161</v>
      </c>
      <c r="G18" s="396">
        <v>29</v>
      </c>
      <c r="H18" s="396">
        <v>15460</v>
      </c>
      <c r="I18" s="396">
        <v>0</v>
      </c>
      <c r="J18" s="396">
        <v>0</v>
      </c>
      <c r="K18" s="396">
        <f t="shared" ref="K18:L21" si="3">G18+I18</f>
        <v>29</v>
      </c>
      <c r="L18" s="397">
        <f t="shared" si="3"/>
        <v>15460</v>
      </c>
      <c r="M18" s="60" t="s">
        <v>21</v>
      </c>
    </row>
    <row r="19" spans="1:13" ht="42.75" x14ac:dyDescent="0.2">
      <c r="A19" s="398">
        <v>3.2</v>
      </c>
      <c r="B19" s="399" t="s">
        <v>175</v>
      </c>
      <c r="C19" s="396">
        <f>5181+390-(C11+C16+C18+C20+C21)</f>
        <v>1046</v>
      </c>
      <c r="D19" s="396">
        <f>1174000-(D11+D16+D18+D20+D21)</f>
        <v>188320</v>
      </c>
      <c r="E19" s="396">
        <f>5090+418-(E11+E16+E18+E20+E21)</f>
        <v>1061</v>
      </c>
      <c r="F19" s="396">
        <f>1181185-(F11+F16+F18+F20+F21)</f>
        <v>190644</v>
      </c>
      <c r="G19" s="396">
        <f>5090+426-(G11+G16+G18+G20+G21)</f>
        <v>1072</v>
      </c>
      <c r="H19" s="396">
        <f>1209043-(H11+H16+H18+H20+H21)</f>
        <v>203121</v>
      </c>
      <c r="I19" s="396">
        <v>0</v>
      </c>
      <c r="J19" s="396">
        <f>-5010+1729</f>
        <v>-3281</v>
      </c>
      <c r="K19" s="396">
        <f t="shared" si="3"/>
        <v>1072</v>
      </c>
      <c r="L19" s="397">
        <f t="shared" si="3"/>
        <v>199840</v>
      </c>
      <c r="M19" s="60" t="s">
        <v>21</v>
      </c>
    </row>
    <row r="20" spans="1:13" ht="42.75" x14ac:dyDescent="0.2">
      <c r="A20" s="398">
        <v>3.3</v>
      </c>
      <c r="B20" s="399" t="s">
        <v>55</v>
      </c>
      <c r="C20" s="396">
        <v>1118</v>
      </c>
      <c r="D20" s="396">
        <v>249802</v>
      </c>
      <c r="E20" s="396">
        <v>1099</v>
      </c>
      <c r="F20" s="396">
        <v>249131</v>
      </c>
      <c r="G20" s="396">
        <v>1099</v>
      </c>
      <c r="H20" s="396">
        <v>255895</v>
      </c>
      <c r="I20" s="396">
        <v>0</v>
      </c>
      <c r="J20" s="396">
        <f>-1729</f>
        <v>-1729</v>
      </c>
      <c r="K20" s="396">
        <f t="shared" si="3"/>
        <v>1099</v>
      </c>
      <c r="L20" s="397">
        <f t="shared" si="3"/>
        <v>254166</v>
      </c>
      <c r="M20" s="60" t="s">
        <v>21</v>
      </c>
    </row>
    <row r="21" spans="1:13" ht="28.5" x14ac:dyDescent="0.2">
      <c r="A21" s="398">
        <v>3.4</v>
      </c>
      <c r="B21" s="399" t="s">
        <v>56</v>
      </c>
      <c r="C21" s="396">
        <v>1294</v>
      </c>
      <c r="D21" s="396">
        <v>214350</v>
      </c>
      <c r="E21" s="396">
        <v>1294</v>
      </c>
      <c r="F21" s="396">
        <v>215662</v>
      </c>
      <c r="G21" s="396">
        <v>1294</v>
      </c>
      <c r="H21" s="396">
        <v>215970</v>
      </c>
      <c r="I21" s="396">
        <v>0</v>
      </c>
      <c r="J21" s="396">
        <v>0</v>
      </c>
      <c r="K21" s="396">
        <f t="shared" si="3"/>
        <v>1294</v>
      </c>
      <c r="L21" s="397">
        <f t="shared" si="3"/>
        <v>215970</v>
      </c>
      <c r="M21" s="60" t="s">
        <v>21</v>
      </c>
    </row>
    <row r="22" spans="1:13" ht="15" x14ac:dyDescent="0.25">
      <c r="A22" s="293"/>
      <c r="B22" s="33" t="s">
        <v>53</v>
      </c>
      <c r="C22" s="31">
        <f>SUM(C18:C21)</f>
        <v>3487</v>
      </c>
      <c r="D22" s="31">
        <f t="shared" ref="D22:L22" si="4">SUM(D18:D21)</f>
        <v>667540</v>
      </c>
      <c r="E22" s="31">
        <f t="shared" si="4"/>
        <v>3483</v>
      </c>
      <c r="F22" s="31">
        <f t="shared" si="4"/>
        <v>670598</v>
      </c>
      <c r="G22" s="31">
        <f t="shared" si="4"/>
        <v>3494</v>
      </c>
      <c r="H22" s="31">
        <f t="shared" si="4"/>
        <v>690446</v>
      </c>
      <c r="I22" s="31">
        <f t="shared" si="4"/>
        <v>0</v>
      </c>
      <c r="J22" s="31">
        <f t="shared" si="4"/>
        <v>-5010</v>
      </c>
      <c r="K22" s="31">
        <f t="shared" si="4"/>
        <v>3494</v>
      </c>
      <c r="L22" s="32">
        <f t="shared" si="4"/>
        <v>685436</v>
      </c>
      <c r="M22" s="60" t="s">
        <v>21</v>
      </c>
    </row>
    <row r="23" spans="1:13" ht="15.75" thickBot="1" x14ac:dyDescent="0.3">
      <c r="A23" s="295"/>
      <c r="B23" s="296" t="s">
        <v>54</v>
      </c>
      <c r="C23" s="196">
        <f t="shared" ref="C23:L23" si="5">C22+C16+C11</f>
        <v>5571</v>
      </c>
      <c r="D23" s="196">
        <f t="shared" si="5"/>
        <v>1174000</v>
      </c>
      <c r="E23" s="196">
        <f t="shared" si="5"/>
        <v>5508</v>
      </c>
      <c r="F23" s="196">
        <f t="shared" si="5"/>
        <v>1181185</v>
      </c>
      <c r="G23" s="196">
        <f t="shared" si="5"/>
        <v>5516</v>
      </c>
      <c r="H23" s="196">
        <f t="shared" si="5"/>
        <v>1209043</v>
      </c>
      <c r="I23" s="196">
        <f t="shared" si="5"/>
        <v>0</v>
      </c>
      <c r="J23" s="196">
        <f t="shared" si="5"/>
        <v>-5010</v>
      </c>
      <c r="K23" s="196">
        <f t="shared" si="5"/>
        <v>5516</v>
      </c>
      <c r="L23" s="190">
        <f t="shared" si="5"/>
        <v>1204033</v>
      </c>
      <c r="M23" s="60" t="s">
        <v>21</v>
      </c>
    </row>
    <row r="24" spans="1:13" ht="8.4499999999999993" customHeight="1" x14ac:dyDescent="0.2">
      <c r="M24" s="60" t="s">
        <v>21</v>
      </c>
    </row>
    <row r="25" spans="1:13" x14ac:dyDescent="0.2">
      <c r="A25" s="58" t="s">
        <v>290</v>
      </c>
      <c r="M25" s="60" t="s">
        <v>21</v>
      </c>
    </row>
    <row r="26" spans="1:13" x14ac:dyDescent="0.2">
      <c r="M26" s="60" t="s">
        <v>22</v>
      </c>
    </row>
  </sheetData>
  <mergeCells count="12">
    <mergeCell ref="K7:L7"/>
    <mergeCell ref="A7:B8"/>
    <mergeCell ref="C7:D7"/>
    <mergeCell ref="E7:F7"/>
    <mergeCell ref="G7:H7"/>
    <mergeCell ref="I7:J7"/>
    <mergeCell ref="A6:L6"/>
    <mergeCell ref="A1:L1"/>
    <mergeCell ref="A2:L2"/>
    <mergeCell ref="A3:L3"/>
    <mergeCell ref="A4:L4"/>
    <mergeCell ref="A5:L5"/>
  </mergeCells>
  <printOptions horizontalCentered="1"/>
  <pageMargins left="0.7" right="0.7"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 - Salaries and Expenses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view="pageBreakPreview" zoomScale="80" zoomScaleNormal="100" zoomScaleSheetLayoutView="80" workbookViewId="0">
      <selection activeCell="A14" sqref="A14"/>
    </sheetView>
  </sheetViews>
  <sheetFormatPr defaultColWidth="9.140625" defaultRowHeight="14.25" x14ac:dyDescent="0.2"/>
  <cols>
    <col min="1" max="1" width="7.42578125" style="149" bestFit="1" customWidth="1"/>
    <col min="2" max="2" width="58.140625" style="149" customWidth="1"/>
    <col min="3" max="3" width="8.7109375" style="149" customWidth="1"/>
    <col min="4" max="4" width="12.7109375" style="149" customWidth="1"/>
    <col min="5" max="5" width="8.7109375" style="149" customWidth="1"/>
    <col min="6" max="6" width="12.7109375" style="149" customWidth="1"/>
    <col min="7" max="7" width="8.7109375" style="149" customWidth="1"/>
    <col min="8" max="8" width="12.7109375" style="149" customWidth="1"/>
    <col min="9" max="9" width="8.7109375" style="149" customWidth="1"/>
    <col min="10" max="10" width="12.7109375" style="149" customWidth="1"/>
    <col min="11" max="11" width="8.7109375" style="149" customWidth="1"/>
    <col min="12" max="12" width="12.7109375" style="149" customWidth="1"/>
    <col min="13" max="13" width="14" style="7" bestFit="1" customWidth="1"/>
    <col min="14" max="14" width="4.5703125" style="149" customWidth="1"/>
    <col min="15" max="16" width="8.28515625" style="149" customWidth="1"/>
    <col min="17" max="17" width="12.7109375" style="149" customWidth="1"/>
    <col min="18" max="19" width="8.28515625" style="149" customWidth="1"/>
    <col min="20" max="20" width="12.7109375" style="149" customWidth="1"/>
    <col min="21" max="16384" width="9.140625" style="149"/>
  </cols>
  <sheetData>
    <row r="1" spans="1:13" x14ac:dyDescent="0.2">
      <c r="M1" s="60" t="s">
        <v>21</v>
      </c>
    </row>
    <row r="2" spans="1:13" ht="18" x14ac:dyDescent="0.25">
      <c r="A2" s="301" t="s">
        <v>37</v>
      </c>
      <c r="B2" s="301"/>
      <c r="C2" s="301"/>
      <c r="D2" s="301"/>
      <c r="E2" s="301"/>
      <c r="F2" s="301"/>
      <c r="G2" s="301"/>
      <c r="H2" s="301"/>
      <c r="I2" s="301"/>
      <c r="J2" s="301"/>
      <c r="K2" s="301"/>
      <c r="L2" s="301"/>
      <c r="M2" s="60" t="s">
        <v>21</v>
      </c>
    </row>
    <row r="3" spans="1:13" ht="15" x14ac:dyDescent="0.2">
      <c r="A3" s="302" t="s">
        <v>189</v>
      </c>
      <c r="B3" s="302"/>
      <c r="C3" s="302"/>
      <c r="D3" s="302"/>
      <c r="E3" s="302"/>
      <c r="F3" s="302"/>
      <c r="G3" s="302"/>
      <c r="H3" s="302"/>
      <c r="I3" s="302"/>
      <c r="J3" s="302"/>
      <c r="K3" s="302"/>
      <c r="L3" s="302"/>
      <c r="M3" s="60" t="s">
        <v>21</v>
      </c>
    </row>
    <row r="4" spans="1:13" x14ac:dyDescent="0.2">
      <c r="A4" s="311" t="s">
        <v>225</v>
      </c>
      <c r="B4" s="311"/>
      <c r="C4" s="311"/>
      <c r="D4" s="311"/>
      <c r="E4" s="311"/>
      <c r="F4" s="311"/>
      <c r="G4" s="311"/>
      <c r="H4" s="311"/>
      <c r="I4" s="311"/>
      <c r="J4" s="311"/>
      <c r="K4" s="311"/>
      <c r="L4" s="311"/>
      <c r="M4" s="60" t="s">
        <v>21</v>
      </c>
    </row>
    <row r="5" spans="1:13" x14ac:dyDescent="0.2">
      <c r="A5" s="304" t="s">
        <v>2</v>
      </c>
      <c r="B5" s="304"/>
      <c r="C5" s="304"/>
      <c r="D5" s="304"/>
      <c r="E5" s="304"/>
      <c r="F5" s="304"/>
      <c r="G5" s="304"/>
      <c r="H5" s="304"/>
      <c r="I5" s="304"/>
      <c r="J5" s="304"/>
      <c r="K5" s="304"/>
      <c r="L5" s="304"/>
      <c r="M5" s="60" t="s">
        <v>21</v>
      </c>
    </row>
    <row r="6" spans="1:13" ht="15" thickBot="1" x14ac:dyDescent="0.25">
      <c r="A6" s="311"/>
      <c r="B6" s="311"/>
      <c r="C6" s="311"/>
      <c r="D6" s="311"/>
      <c r="E6" s="311"/>
      <c r="F6" s="311"/>
      <c r="G6" s="311"/>
      <c r="H6" s="311"/>
      <c r="I6" s="311"/>
      <c r="J6" s="311"/>
      <c r="K6" s="311"/>
      <c r="L6" s="311"/>
      <c r="M6" s="60" t="s">
        <v>21</v>
      </c>
    </row>
    <row r="7" spans="1:13" ht="41.45" customHeight="1" x14ac:dyDescent="0.2">
      <c r="A7" s="319" t="s">
        <v>38</v>
      </c>
      <c r="B7" s="320"/>
      <c r="C7" s="308" t="s">
        <v>162</v>
      </c>
      <c r="D7" s="308"/>
      <c r="E7" s="308" t="s">
        <v>8</v>
      </c>
      <c r="F7" s="308"/>
      <c r="G7" s="308" t="s">
        <v>15</v>
      </c>
      <c r="H7" s="308"/>
      <c r="I7" s="308" t="s">
        <v>24</v>
      </c>
      <c r="J7" s="308"/>
      <c r="K7" s="308" t="s">
        <v>19</v>
      </c>
      <c r="L7" s="309"/>
      <c r="M7" s="60" t="s">
        <v>21</v>
      </c>
    </row>
    <row r="8" spans="1:13" ht="42.75" x14ac:dyDescent="0.2">
      <c r="A8" s="321"/>
      <c r="B8" s="322"/>
      <c r="C8" s="204" t="s">
        <v>40</v>
      </c>
      <c r="D8" s="204" t="s">
        <v>39</v>
      </c>
      <c r="E8" s="204" t="s">
        <v>40</v>
      </c>
      <c r="F8" s="204" t="s">
        <v>39</v>
      </c>
      <c r="G8" s="204" t="s">
        <v>40</v>
      </c>
      <c r="H8" s="204" t="s">
        <v>39</v>
      </c>
      <c r="I8" s="204" t="s">
        <v>40</v>
      </c>
      <c r="J8" s="204" t="s">
        <v>39</v>
      </c>
      <c r="K8" s="204" t="s">
        <v>40</v>
      </c>
      <c r="L8" s="213" t="s">
        <v>39</v>
      </c>
      <c r="M8" s="60" t="s">
        <v>21</v>
      </c>
    </row>
    <row r="9" spans="1:13" ht="45" x14ac:dyDescent="0.2">
      <c r="A9" s="286" t="s">
        <v>51</v>
      </c>
      <c r="B9" s="287" t="s">
        <v>52</v>
      </c>
      <c r="C9" s="288"/>
      <c r="D9" s="288"/>
      <c r="E9" s="288"/>
      <c r="F9" s="288"/>
      <c r="G9" s="288"/>
      <c r="H9" s="288"/>
      <c r="I9" s="288"/>
      <c r="J9" s="288"/>
      <c r="K9" s="288"/>
      <c r="L9" s="289"/>
      <c r="M9" s="60" t="s">
        <v>21</v>
      </c>
    </row>
    <row r="10" spans="1:13" ht="57" x14ac:dyDescent="0.2">
      <c r="A10" s="290">
        <v>3.2</v>
      </c>
      <c r="B10" s="291" t="s">
        <v>175</v>
      </c>
      <c r="C10" s="160">
        <v>0</v>
      </c>
      <c r="D10" s="160">
        <v>15000</v>
      </c>
      <c r="E10" s="160">
        <v>0</v>
      </c>
      <c r="F10" s="160">
        <v>15092</v>
      </c>
      <c r="G10" s="160">
        <v>0</v>
      </c>
      <c r="H10" s="160">
        <v>15000</v>
      </c>
      <c r="I10" s="160">
        <v>0</v>
      </c>
      <c r="J10" s="160">
        <v>-5000</v>
      </c>
      <c r="K10" s="160">
        <v>0</v>
      </c>
      <c r="L10" s="165">
        <f>H10+J10</f>
        <v>10000</v>
      </c>
      <c r="M10" s="60" t="s">
        <v>21</v>
      </c>
    </row>
    <row r="11" spans="1:13" ht="15" x14ac:dyDescent="0.25">
      <c r="A11" s="293"/>
      <c r="B11" s="33" t="s">
        <v>53</v>
      </c>
      <c r="C11" s="31">
        <f>SUM(C7:C10)</f>
        <v>0</v>
      </c>
      <c r="D11" s="31">
        <f t="shared" ref="D11:L11" si="0">SUM(D7:D10)</f>
        <v>15000</v>
      </c>
      <c r="E11" s="31">
        <f t="shared" si="0"/>
        <v>0</v>
      </c>
      <c r="F11" s="31">
        <f t="shared" si="0"/>
        <v>15092</v>
      </c>
      <c r="G11" s="31">
        <f t="shared" si="0"/>
        <v>0</v>
      </c>
      <c r="H11" s="31">
        <f t="shared" si="0"/>
        <v>15000</v>
      </c>
      <c r="I11" s="31">
        <f t="shared" si="0"/>
        <v>0</v>
      </c>
      <c r="J11" s="31">
        <f t="shared" si="0"/>
        <v>-5000</v>
      </c>
      <c r="K11" s="31">
        <f t="shared" si="0"/>
        <v>0</v>
      </c>
      <c r="L11" s="32">
        <f t="shared" si="0"/>
        <v>10000</v>
      </c>
      <c r="M11" s="60" t="s">
        <v>21</v>
      </c>
    </row>
    <row r="12" spans="1:13" ht="15.75" thickBot="1" x14ac:dyDescent="0.3">
      <c r="A12" s="295"/>
      <c r="B12" s="296" t="s">
        <v>54</v>
      </c>
      <c r="C12" s="196">
        <f>C11+C5</f>
        <v>0</v>
      </c>
      <c r="D12" s="196">
        <f t="shared" ref="D12:L12" si="1">D11+D5</f>
        <v>15000</v>
      </c>
      <c r="E12" s="196">
        <f t="shared" si="1"/>
        <v>0</v>
      </c>
      <c r="F12" s="196">
        <f t="shared" si="1"/>
        <v>15092</v>
      </c>
      <c r="G12" s="196">
        <f t="shared" si="1"/>
        <v>0</v>
      </c>
      <c r="H12" s="196">
        <f t="shared" si="1"/>
        <v>15000</v>
      </c>
      <c r="I12" s="196">
        <f t="shared" si="1"/>
        <v>0</v>
      </c>
      <c r="J12" s="196">
        <f t="shared" si="1"/>
        <v>-5000</v>
      </c>
      <c r="K12" s="196">
        <f t="shared" si="1"/>
        <v>0</v>
      </c>
      <c r="L12" s="190">
        <f t="shared" si="1"/>
        <v>10000</v>
      </c>
      <c r="M12" s="60" t="s">
        <v>21</v>
      </c>
    </row>
    <row r="13" spans="1:13" ht="10.15" customHeight="1" x14ac:dyDescent="0.2">
      <c r="M13" s="60" t="s">
        <v>21</v>
      </c>
    </row>
    <row r="14" spans="1:13" x14ac:dyDescent="0.2">
      <c r="A14" s="58" t="s">
        <v>290</v>
      </c>
      <c r="M14" s="60" t="s">
        <v>22</v>
      </c>
    </row>
  </sheetData>
  <mergeCells count="11">
    <mergeCell ref="K7:L7"/>
    <mergeCell ref="A2:L2"/>
    <mergeCell ref="A3:L3"/>
    <mergeCell ref="A4:L4"/>
    <mergeCell ref="A5:L5"/>
    <mergeCell ref="A6:L6"/>
    <mergeCell ref="A7:B8"/>
    <mergeCell ref="C7:D7"/>
    <mergeCell ref="E7:F7"/>
    <mergeCell ref="G7:H7"/>
    <mergeCell ref="I7:J7"/>
  </mergeCells>
  <printOptions horizontalCentered="1"/>
  <pageMargins left="0.7" right="0.7"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 - Construction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A. Org Chart</vt:lpstr>
      <vt:lpstr>B. Summ of Req._S&amp;E</vt:lpstr>
      <vt:lpstr>B. Summ of Req. by DU_S&amp;E</vt:lpstr>
      <vt:lpstr>B. Summ of Req._Con</vt:lpstr>
      <vt:lpstr>B. Summ of Req. by DU_Con</vt:lpstr>
      <vt:lpstr>C. Program Changes by DU_S&amp;E</vt:lpstr>
      <vt:lpstr>C. Program Changes by DU_Con</vt:lpstr>
      <vt:lpstr>D. Strategic Goals S&amp;E</vt:lpstr>
      <vt:lpstr>D. Strategic Goals Con</vt:lpstr>
      <vt:lpstr>E. ATB Justification</vt:lpstr>
      <vt:lpstr>F. 2012 Crosswalk</vt:lpstr>
      <vt:lpstr>G. 2013 Crosswalk</vt:lpstr>
      <vt:lpstr>H. Reimbursable Resources</vt:lpstr>
      <vt:lpstr>I. Permanent Positions</vt:lpstr>
      <vt:lpstr>J. Financial Analysis</vt:lpstr>
      <vt:lpstr>K. Summary by Grade</vt:lpstr>
      <vt:lpstr>L. Summary by OC_SE</vt:lpstr>
      <vt:lpstr>L. Summary by OC_Con</vt:lpstr>
      <vt:lpstr>'A. Org Chart'!Print_Area</vt:lpstr>
      <vt:lpstr>'B. Summ of Req. by DU_Con'!Print_Area</vt:lpstr>
      <vt:lpstr>'B. Summ of Req. by DU_S&amp;E'!Print_Area</vt:lpstr>
      <vt:lpstr>'B. Summ of Req._Con'!Print_Area</vt:lpstr>
      <vt:lpstr>'B. Summ of Req._S&amp;E'!Print_Area</vt:lpstr>
      <vt:lpstr>'C. Program Changes by DU_Con'!Print_Area</vt:lpstr>
      <vt:lpstr>'C. Program Changes by DU_S&amp;E'!Print_Area</vt:lpstr>
      <vt:lpstr>'D. Strategic Goals Con'!Print_Area</vt:lpstr>
      <vt:lpstr>'D. Strategic Goals S&amp;E'!Print_Area</vt:lpstr>
      <vt:lpstr>'E. ATB Justification'!Print_Area</vt:lpstr>
      <vt:lpstr>'F. 2012 Crosswalk'!Print_Area</vt:lpstr>
      <vt:lpstr>'G. 2013 Crosswalk'!Print_Area</vt:lpstr>
      <vt:lpstr>'H. Reimbursable Resources'!Print_Area</vt:lpstr>
      <vt:lpstr>'I. Permanent Positions'!Print_Area</vt:lpstr>
      <vt:lpstr>'J. Financial Analysis'!Print_Area</vt:lpstr>
      <vt:lpstr>'K. Summary by Grade'!Print_Area</vt:lpstr>
      <vt:lpstr>'L. Summary by OC_Con'!Print_Area</vt:lpstr>
      <vt:lpstr>'L. Summary by OC_SE'!Print_Area</vt:lpstr>
      <vt:lpstr>'E. ATB Justification'!Print_Titles</vt:lpstr>
      <vt:lpstr>'J. Financial Analysis'!Print_Titles</vt:lpstr>
    </vt:vector>
  </TitlesOfParts>
  <Company>JMD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tphan</dc:creator>
  <cp:lastModifiedBy>Harris, Douglas (USMS)</cp:lastModifiedBy>
  <cp:lastPrinted>2013-03-22T15:17:01Z</cp:lastPrinted>
  <dcterms:created xsi:type="dcterms:W3CDTF">2012-12-06T16:08:32Z</dcterms:created>
  <dcterms:modified xsi:type="dcterms:W3CDTF">2013-03-22T15:18:34Z</dcterms:modified>
</cp:coreProperties>
</file>