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68" windowWidth="25236" windowHeight="12228" tabRatio="806" firstSheet="5" activeTab="10"/>
  </bookViews>
  <sheets>
    <sheet name="A. Organizational Chart" sheetId="22" r:id="rId1"/>
    <sheet name="B. Summ of Req." sheetId="1" r:id="rId2"/>
    <sheet name="B. Summ of Req. by DU" sheetId="23" r:id="rId3"/>
    <sheet name="D. Strategic Goals &amp; Objectives" sheetId="8" r:id="rId4"/>
    <sheet name="E. ATB Justification" sheetId="9" r:id="rId5"/>
    <sheet name="F. 2012 Crosswalk" sheetId="10" r:id="rId6"/>
    <sheet name="G. 2013 Crosswalk" sheetId="11" r:id="rId7"/>
    <sheet name="H. Reimbursable Resources" sheetId="12" r:id="rId8"/>
    <sheet name="I. Permanent Positions" sheetId="13" r:id="rId9"/>
    <sheet name="K. Summary by Grade" sheetId="18" r:id="rId10"/>
    <sheet name="L. Summary by OC" sheetId="14" r:id="rId11"/>
  </sheets>
  <externalReferences>
    <externalReference r:id="rId12"/>
  </externalReferences>
  <definedNames>
    <definedName name="_11POS_BY_CAT">#REF!</definedName>
    <definedName name="_1ATTORNEY_SUPP">#REF!</definedName>
    <definedName name="_2ATTORNEY_SUPP">#REF!</definedName>
    <definedName name="_2GA_ROLLUP">#REF!</definedName>
    <definedName name="_3POS_BY_CAT">#REF!</definedName>
    <definedName name="_6GA_ROLLUP">#REF!</definedName>
    <definedName name="_7GA_ROLLUP">#REF!</definedName>
    <definedName name="_9POS_BY_CAT">#REF!</definedName>
    <definedName name="DL">#REF!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INTEL">#REF!</definedName>
    <definedName name="JMD">#REF!</definedName>
    <definedName name="PART">#REF!</definedName>
    <definedName name="_xlnm.Print_Area" localSheetId="1">'B. Summ of Req.'!$A$1:$D$31</definedName>
    <definedName name="_xlnm.Print_Area" localSheetId="2">'B. Summ of Req. by DU'!$A$1:$M$37</definedName>
    <definedName name="_xlnm.Print_Area" localSheetId="3">'D. Strategic Goals &amp; Objectives'!$A$1:$N$16</definedName>
    <definedName name="_xlnm.Print_Area" localSheetId="4">'E. ATB Justification'!$A$1:$G$30</definedName>
    <definedName name="_xlnm.Print_Area" localSheetId="5">'F. 2012 Crosswalk'!$A$1:$O$26</definedName>
    <definedName name="_xlnm.Print_Area" localSheetId="6">'G. 2013 Crosswalk'!$A$1:$M$31</definedName>
    <definedName name="_xlnm.Print_Area" localSheetId="7">'H. Reimbursable Resources'!$A$1:$M$17</definedName>
    <definedName name="_xlnm.Print_Area" localSheetId="8">'I. Permanent Positions'!$A$1:$J$26</definedName>
    <definedName name="_xlnm.Print_Area" localSheetId="9">'K. Summary by Grade'!$A$1:$L$31</definedName>
    <definedName name="_xlnm.Print_Area" localSheetId="10">'L. Summary by OC'!$A$1:$I$48</definedName>
    <definedName name="_xlnm.Print_Area">#REF!</definedName>
    <definedName name="_xlnm.Print_Titles" localSheetId="4">'E. ATB Justification'!$1:$6</definedName>
    <definedName name="REIMPRO">#REF!</definedName>
    <definedName name="REIMSOR">#REF!</definedName>
    <definedName name="Test">#REF!</definedName>
  </definedNames>
  <calcPr calcId="145621"/>
</workbook>
</file>

<file path=xl/calcChain.xml><?xml version="1.0" encoding="utf-8"?>
<calcChain xmlns="http://schemas.openxmlformats.org/spreadsheetml/2006/main">
  <c r="F24" i="18" l="1"/>
  <c r="H24" i="18"/>
  <c r="J24" i="18"/>
  <c r="L24" i="18" s="1"/>
  <c r="K24" i="18"/>
  <c r="F25" i="18"/>
  <c r="H25" i="18"/>
  <c r="J25" i="18"/>
  <c r="L25" i="18" s="1"/>
  <c r="K25" i="18"/>
  <c r="F21" i="18"/>
  <c r="H21" i="18"/>
  <c r="J21" i="18"/>
  <c r="K21" i="18"/>
  <c r="F16" i="18"/>
  <c r="H16" i="18"/>
  <c r="J16" i="18"/>
  <c r="K16" i="18"/>
  <c r="L16" i="18" l="1"/>
  <c r="L21" i="18"/>
  <c r="C29" i="1"/>
  <c r="D29" i="1"/>
  <c r="B29" i="1"/>
  <c r="E16" i="14" l="1"/>
  <c r="J23" i="18" l="1"/>
  <c r="J22" i="18"/>
  <c r="J20" i="18"/>
  <c r="J19" i="18"/>
  <c r="J18" i="18"/>
  <c r="J17" i="18"/>
  <c r="J15" i="18"/>
  <c r="J14" i="18"/>
  <c r="J13" i="18"/>
  <c r="J12" i="18"/>
  <c r="J11" i="18"/>
  <c r="J10" i="18"/>
  <c r="J9" i="18"/>
  <c r="H23" i="18"/>
  <c r="H22" i="18"/>
  <c r="H20" i="18"/>
  <c r="H19" i="18"/>
  <c r="H18" i="18"/>
  <c r="H17" i="18"/>
  <c r="H15" i="18"/>
  <c r="H14" i="18"/>
  <c r="H13" i="18"/>
  <c r="H12" i="18"/>
  <c r="H11" i="18"/>
  <c r="H10" i="18"/>
  <c r="H9" i="18"/>
  <c r="F23" i="18"/>
  <c r="F22" i="18"/>
  <c r="F20" i="18"/>
  <c r="F19" i="18"/>
  <c r="F18" i="18"/>
  <c r="F17" i="18"/>
  <c r="F15" i="18"/>
  <c r="F14" i="18"/>
  <c r="F13" i="18"/>
  <c r="F12" i="18"/>
  <c r="F11" i="18"/>
  <c r="F10" i="18"/>
  <c r="F9" i="18"/>
  <c r="A2" i="23" l="1"/>
  <c r="I32" i="23"/>
  <c r="I31" i="23"/>
  <c r="G26" i="23"/>
  <c r="G28" i="23" s="1"/>
  <c r="F26" i="23"/>
  <c r="F30" i="23" s="1"/>
  <c r="F35" i="23" s="1"/>
  <c r="E26" i="23"/>
  <c r="D26" i="23"/>
  <c r="D28" i="23" s="1"/>
  <c r="C26" i="23"/>
  <c r="C30" i="23" s="1"/>
  <c r="C35" i="23" s="1"/>
  <c r="B26" i="23"/>
  <c r="A24" i="23"/>
  <c r="L18" i="23"/>
  <c r="I33" i="23" s="1"/>
  <c r="L14" i="23"/>
  <c r="I29" i="23" s="1"/>
  <c r="M12" i="23"/>
  <c r="J27" i="23" s="1"/>
  <c r="J11" i="23"/>
  <c r="J13" i="23" s="1"/>
  <c r="I11" i="23"/>
  <c r="I15" i="23" s="1"/>
  <c r="I20" i="23" s="1"/>
  <c r="H11" i="23"/>
  <c r="G11" i="23"/>
  <c r="G13" i="23" s="1"/>
  <c r="F11" i="23"/>
  <c r="F15" i="23" s="1"/>
  <c r="L15" i="23" s="1"/>
  <c r="I30" i="23" s="1"/>
  <c r="E11" i="23"/>
  <c r="D11" i="23"/>
  <c r="D13" i="23" s="1"/>
  <c r="C11" i="23"/>
  <c r="C15" i="23" s="1"/>
  <c r="C20" i="23" s="1"/>
  <c r="B11" i="23"/>
  <c r="M9" i="23"/>
  <c r="M11" i="23" s="1"/>
  <c r="L9" i="23"/>
  <c r="I24" i="23" s="1"/>
  <c r="I26" i="23" s="1"/>
  <c r="K9" i="23"/>
  <c r="K11" i="23" s="1"/>
  <c r="M13" i="23" l="1"/>
  <c r="J28" i="23" s="1"/>
  <c r="H24" i="23"/>
  <c r="H26" i="23" s="1"/>
  <c r="F20" i="23"/>
  <c r="L20" i="23" s="1"/>
  <c r="I35" i="23" s="1"/>
  <c r="L11" i="23"/>
  <c r="J24" i="23"/>
  <c r="J26" i="23" s="1"/>
  <c r="D12" i="1" l="1"/>
  <c r="G29" i="9" l="1"/>
  <c r="G15" i="9" l="1"/>
  <c r="G23" i="9" l="1"/>
  <c r="E15" i="9" l="1"/>
  <c r="F15" i="9"/>
  <c r="C9" i="14" l="1"/>
  <c r="K10" i="12" l="1"/>
  <c r="L10" i="12"/>
  <c r="M10" i="12"/>
  <c r="K10" i="10"/>
  <c r="F23" i="9" l="1"/>
  <c r="E23" i="9"/>
  <c r="N16" i="10" l="1"/>
  <c r="N15" i="10"/>
  <c r="N11" i="10"/>
  <c r="O9" i="10"/>
  <c r="G10" i="10"/>
  <c r="F10" i="10"/>
  <c r="F12" i="10" s="1"/>
  <c r="F17" i="10" s="1"/>
  <c r="E10" i="10"/>
  <c r="L18" i="11" l="1"/>
  <c r="L17" i="11"/>
  <c r="L13" i="11"/>
  <c r="B10" i="14" l="1"/>
  <c r="B14" i="14" s="1"/>
  <c r="K9" i="12"/>
  <c r="D24" i="1"/>
  <c r="M11" i="11" l="1"/>
  <c r="M9" i="10"/>
  <c r="D16" i="1" l="1"/>
  <c r="D25" i="1" s="1"/>
  <c r="C16" i="1"/>
  <c r="B16" i="1"/>
  <c r="I21" i="13" l="1"/>
  <c r="I18" i="13"/>
  <c r="I17" i="13"/>
  <c r="I16" i="13"/>
  <c r="I15" i="13"/>
  <c r="I14" i="13"/>
  <c r="I13" i="13"/>
  <c r="I11" i="13"/>
  <c r="I10" i="13"/>
  <c r="I9" i="13"/>
  <c r="L23" i="18" l="1"/>
  <c r="K23" i="18"/>
  <c r="L22" i="18"/>
  <c r="K22" i="18"/>
  <c r="L20" i="18"/>
  <c r="K20" i="18"/>
  <c r="L19" i="18"/>
  <c r="K19" i="18"/>
  <c r="L18" i="18"/>
  <c r="K18" i="18"/>
  <c r="L17" i="18"/>
  <c r="K17" i="18"/>
  <c r="L15" i="18"/>
  <c r="K15" i="18"/>
  <c r="L14" i="18"/>
  <c r="K14" i="18"/>
  <c r="L13" i="18"/>
  <c r="K13" i="18"/>
  <c r="L12" i="18"/>
  <c r="K12" i="18"/>
  <c r="L11" i="18"/>
  <c r="K11" i="18"/>
  <c r="L10" i="18"/>
  <c r="K10" i="18"/>
  <c r="J26" i="18"/>
  <c r="I26" i="18"/>
  <c r="H26" i="18"/>
  <c r="G26" i="18"/>
  <c r="F26" i="18"/>
  <c r="E26" i="18"/>
  <c r="L9" i="18"/>
  <c r="K9" i="18"/>
  <c r="L26" i="18" l="1"/>
  <c r="K26" i="18"/>
  <c r="I45" i="14"/>
  <c r="H43" i="14"/>
  <c r="I37" i="14" l="1"/>
  <c r="I38" i="14"/>
  <c r="I39" i="14"/>
  <c r="I40" i="14"/>
  <c r="I36" i="14"/>
  <c r="I34" i="14" l="1"/>
  <c r="I33" i="14"/>
  <c r="I32" i="14"/>
  <c r="I31" i="14"/>
  <c r="I30" i="14"/>
  <c r="I29" i="14"/>
  <c r="I28" i="14"/>
  <c r="I27" i="14"/>
  <c r="I26" i="14"/>
  <c r="I25" i="14"/>
  <c r="I24" i="14"/>
  <c r="I23" i="14"/>
  <c r="I22" i="14"/>
  <c r="I21" i="14"/>
  <c r="I20" i="14"/>
  <c r="I19" i="14"/>
  <c r="I18" i="14"/>
  <c r="I17" i="14"/>
  <c r="I16" i="14"/>
  <c r="I13" i="14"/>
  <c r="H13" i="14"/>
  <c r="I12" i="14"/>
  <c r="H12" i="14"/>
  <c r="I11" i="14"/>
  <c r="H11" i="14"/>
  <c r="I9" i="14"/>
  <c r="H9" i="14"/>
  <c r="F10" i="14"/>
  <c r="D10" i="14"/>
  <c r="C14" i="14"/>
  <c r="B41" i="14"/>
  <c r="I8" i="14"/>
  <c r="H8" i="14"/>
  <c r="G26" i="13"/>
  <c r="F26" i="13"/>
  <c r="E26" i="13"/>
  <c r="D26" i="13"/>
  <c r="C26" i="13"/>
  <c r="B26" i="13"/>
  <c r="J22" i="13"/>
  <c r="H22" i="13"/>
  <c r="H23" i="13" s="1"/>
  <c r="I23" i="13" s="1"/>
  <c r="G22" i="13"/>
  <c r="F22" i="13"/>
  <c r="E22" i="13"/>
  <c r="D22" i="13"/>
  <c r="C22" i="13"/>
  <c r="B22" i="13"/>
  <c r="C35" i="14" l="1"/>
  <c r="C41" i="14" s="1"/>
  <c r="F41" i="14"/>
  <c r="F14" i="14"/>
  <c r="G14" i="14"/>
  <c r="G35" i="14" s="1"/>
  <c r="G41" i="14" s="1"/>
  <c r="D41" i="14"/>
  <c r="D14" i="14"/>
  <c r="E14" i="14"/>
  <c r="E35" i="14" s="1"/>
  <c r="E41" i="14" s="1"/>
  <c r="I22" i="13"/>
  <c r="I10" i="14"/>
  <c r="I14" i="14" s="1"/>
  <c r="H10" i="14"/>
  <c r="H41" i="14" s="1"/>
  <c r="H24" i="13"/>
  <c r="H25" i="13" l="1"/>
  <c r="I25" i="13" s="1"/>
  <c r="I24" i="13"/>
  <c r="I35" i="14"/>
  <c r="I41" i="14" s="1"/>
  <c r="H14" i="14"/>
  <c r="H26" i="13"/>
  <c r="J26" i="13"/>
  <c r="I26" i="13" l="1"/>
  <c r="J16" i="12"/>
  <c r="I16" i="12"/>
  <c r="H16" i="12"/>
  <c r="G16" i="12"/>
  <c r="F16" i="12"/>
  <c r="E16" i="12"/>
  <c r="D16" i="12"/>
  <c r="C16" i="12"/>
  <c r="B16" i="12"/>
  <c r="M15" i="12"/>
  <c r="L15" i="12"/>
  <c r="K15" i="12"/>
  <c r="M9" i="12"/>
  <c r="L9" i="12"/>
  <c r="J11" i="12"/>
  <c r="I11" i="12"/>
  <c r="H11" i="12"/>
  <c r="G11" i="12"/>
  <c r="F11" i="12"/>
  <c r="E11" i="12"/>
  <c r="D11" i="12"/>
  <c r="C11" i="12"/>
  <c r="B11" i="12"/>
  <c r="J10" i="11"/>
  <c r="I10" i="11"/>
  <c r="I14" i="11" s="1"/>
  <c r="H10" i="11"/>
  <c r="G10" i="11"/>
  <c r="G14" i="11" s="1"/>
  <c r="G19" i="11" s="1"/>
  <c r="F10" i="11"/>
  <c r="E10" i="11"/>
  <c r="D10" i="11"/>
  <c r="D12" i="11" s="1"/>
  <c r="C10" i="11"/>
  <c r="C14" i="11" s="1"/>
  <c r="C19" i="11" s="1"/>
  <c r="B10" i="11"/>
  <c r="M9" i="11"/>
  <c r="L9" i="11"/>
  <c r="K9" i="11"/>
  <c r="J10" i="10"/>
  <c r="I10" i="10"/>
  <c r="I12" i="10" s="1"/>
  <c r="H10" i="10"/>
  <c r="L10" i="10"/>
  <c r="D10" i="10"/>
  <c r="C10" i="10"/>
  <c r="C12" i="10" s="1"/>
  <c r="C17" i="10" s="1"/>
  <c r="B10" i="10"/>
  <c r="E29" i="9"/>
  <c r="F29" i="9"/>
  <c r="I17" i="10" l="1"/>
  <c r="L10" i="11"/>
  <c r="L14" i="11" s="1"/>
  <c r="L19" i="11" s="1"/>
  <c r="M10" i="11"/>
  <c r="M12" i="11" s="1"/>
  <c r="K10" i="11"/>
  <c r="K16" i="12"/>
  <c r="L16" i="12"/>
  <c r="M16" i="12"/>
  <c r="L11" i="12"/>
  <c r="K11" i="12"/>
  <c r="M11" i="12"/>
  <c r="I19" i="11"/>
  <c r="N10" i="10"/>
  <c r="M10" i="10"/>
  <c r="O10" i="10"/>
  <c r="N17" i="10" l="1"/>
  <c r="N12" i="10"/>
  <c r="G10" i="9"/>
  <c r="F10" i="9"/>
  <c r="E10" i="9"/>
  <c r="L11" i="8"/>
  <c r="L12" i="8" s="1"/>
  <c r="K11" i="8"/>
  <c r="K12" i="8" s="1"/>
  <c r="J11" i="8"/>
  <c r="J12" i="8" s="1"/>
  <c r="I11" i="8"/>
  <c r="I12" i="8" s="1"/>
  <c r="H11" i="8"/>
  <c r="H12" i="8" s="1"/>
  <c r="G11" i="8"/>
  <c r="G12" i="8" s="1"/>
  <c r="F11" i="8"/>
  <c r="F12" i="8" s="1"/>
  <c r="E11" i="8"/>
  <c r="E12" i="8" s="1"/>
  <c r="D11" i="8"/>
  <c r="D12" i="8" s="1"/>
  <c r="C11" i="8"/>
  <c r="C12" i="8" s="1"/>
  <c r="M10" i="8"/>
  <c r="N10" i="8"/>
  <c r="M11" i="8" l="1"/>
  <c r="M12" i="8" s="1"/>
  <c r="N11" i="8"/>
  <c r="N12" i="8" s="1"/>
  <c r="C24" i="1"/>
  <c r="C25" i="1" s="1"/>
  <c r="B24" i="1"/>
  <c r="B25" i="1" s="1"/>
  <c r="C26" i="1" l="1"/>
  <c r="B26" i="1"/>
  <c r="D26" i="1"/>
  <c r="G30" i="9" l="1"/>
</calcChain>
</file>

<file path=xl/sharedStrings.xml><?xml version="1.0" encoding="utf-8"?>
<sst xmlns="http://schemas.openxmlformats.org/spreadsheetml/2006/main" count="692" uniqueCount="197">
  <si>
    <t>Summary of Requirements</t>
  </si>
  <si>
    <t>Salaries and Expenses</t>
  </si>
  <si>
    <t>(Dollars in Thousands)</t>
  </si>
  <si>
    <t>FY 2014 Request</t>
  </si>
  <si>
    <t>Direct Pos.</t>
  </si>
  <si>
    <t>Amount</t>
  </si>
  <si>
    <t>2012 Enacted</t>
  </si>
  <si>
    <t>2013 Continuing Resolution</t>
  </si>
  <si>
    <t>Technical Adjustments</t>
  </si>
  <si>
    <t>Transfers:</t>
  </si>
  <si>
    <t>Pay and Benefits</t>
  </si>
  <si>
    <t>Domestic Rent and Facilities</t>
  </si>
  <si>
    <t>2014 Current Services</t>
  </si>
  <si>
    <t>Program Changes</t>
  </si>
  <si>
    <t>2014 Total Request</t>
  </si>
  <si>
    <t>end of line</t>
  </si>
  <si>
    <t>end of sheet</t>
  </si>
  <si>
    <t>2014 Increases</t>
  </si>
  <si>
    <t>2014 Offsets</t>
  </si>
  <si>
    <t>2014 Request</t>
  </si>
  <si>
    <t>Total</t>
  </si>
  <si>
    <t>Reimbursable FTE</t>
  </si>
  <si>
    <t>Other FTE:</t>
  </si>
  <si>
    <t>LEAP</t>
  </si>
  <si>
    <t>Overtime</t>
  </si>
  <si>
    <t>Direct FTE</t>
  </si>
  <si>
    <t>Program Increases</t>
  </si>
  <si>
    <t>Program Offsets</t>
  </si>
  <si>
    <t>Resources by Department of Justice Strategic Goal/Objective</t>
  </si>
  <si>
    <t>Strategic Goal and Strategic Objective</t>
  </si>
  <si>
    <t>Direct Amount</t>
  </si>
  <si>
    <t>2012 Appropriation Enacted with Balance Rescissions</t>
  </si>
  <si>
    <t>Direct/
Reimb FTE</t>
  </si>
  <si>
    <t>Goal 2</t>
  </si>
  <si>
    <t>Prevent Crime, Protect the Rights of the American People, and enforce Federal Law</t>
  </si>
  <si>
    <t>Subtotal, Goal 2</t>
  </si>
  <si>
    <t>Protect the federal fisc and defend the interests of the United States.</t>
  </si>
  <si>
    <t>TOTAL</t>
  </si>
  <si>
    <t>Transfers</t>
  </si>
  <si>
    <t>Subtotal, Transfers</t>
  </si>
  <si>
    <t>25.6 Medical Care</t>
  </si>
  <si>
    <t>Subtotal, Pay and Benefits</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</si>
  <si>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2014. </t>
    </r>
  </si>
  <si>
    <t>Subtotal, Domestic Rent and Facilities</t>
  </si>
  <si>
    <t>Crosswalk of 2012 Availability</t>
  </si>
  <si>
    <t>Reprogramming/Transfers</t>
  </si>
  <si>
    <t xml:space="preserve">Carryover </t>
  </si>
  <si>
    <t>Crosswalk of 2013 Availability</t>
  </si>
  <si>
    <t>2013 Availability</t>
  </si>
  <si>
    <t>Summary of Reimbursable Resources</t>
  </si>
  <si>
    <t>2012 Actual</t>
  </si>
  <si>
    <t>Increase/Decrease</t>
  </si>
  <si>
    <t>Reimb. Pos.</t>
  </si>
  <si>
    <t>Reimb. FTE</t>
  </si>
  <si>
    <t>Detail of Permanent Positions by Category</t>
  </si>
  <si>
    <t>ATBs</t>
  </si>
  <si>
    <t>Category</t>
  </si>
  <si>
    <t>Personnel Management (200-299)</t>
  </si>
  <si>
    <t>Clerical and Office Services (300-399)</t>
  </si>
  <si>
    <t>Accounting and Budget (500-599)</t>
  </si>
  <si>
    <t>Attorneys (905)</t>
  </si>
  <si>
    <t>Paralegals / Other Law (900-998)</t>
  </si>
  <si>
    <t>Information Technology Mgmt  (2210)</t>
  </si>
  <si>
    <t>Security Specialists (080)</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</si>
  <si>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</si>
  <si>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</si>
  <si>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</si>
  <si>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</si>
  <si>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</si>
  <si>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</si>
  <si>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</si>
  <si>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</si>
  <si>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</si>
  <si>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</si>
  <si>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</si>
  <si>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</si>
  <si>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</si>
  <si>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</si>
  <si>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</si>
  <si>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</si>
  <si>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</si>
  <si>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</si>
  <si>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</si>
  <si>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</si>
  <si>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</si>
  <si>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</si>
  <si>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</si>
  <si>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</si>
  <si>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</si>
  <si>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25.8 Subsistence and Support of Persons</t>
  </si>
  <si>
    <t>26.0 Supplies and Materials</t>
  </si>
  <si>
    <t>31.0 Equipment</t>
  </si>
  <si>
    <t>32.0 Land and Structures</t>
  </si>
  <si>
    <t>Total Obligations</t>
  </si>
  <si>
    <t>Add - Unobligated End-of-Year, Available</t>
  </si>
  <si>
    <t>Total Direct Requirements</t>
  </si>
  <si>
    <t>Full-Time Permanent</t>
  </si>
  <si>
    <t>23.1 Rental Payments to GSA (Reimbursable)</t>
  </si>
  <si>
    <t>25.3 Other Goods and Services from Federal Sources - DHS Security (Reimbursable)</t>
  </si>
  <si>
    <t>GS-15</t>
  </si>
  <si>
    <t>GS-14</t>
  </si>
  <si>
    <t>GS-13</t>
  </si>
  <si>
    <t>GS-12</t>
  </si>
  <si>
    <t>GS-11</t>
  </si>
  <si>
    <t>GS-10</t>
  </si>
  <si>
    <t>GS-9</t>
  </si>
  <si>
    <t>GS-8</t>
  </si>
  <si>
    <t>GS-7</t>
  </si>
  <si>
    <t>GS-6</t>
  </si>
  <si>
    <t>GS-5</t>
  </si>
  <si>
    <t>Grades and Salary Ranges</t>
  </si>
  <si>
    <t xml:space="preserve">EX </t>
  </si>
  <si>
    <t>GS-4</t>
  </si>
  <si>
    <t>GS-3</t>
  </si>
  <si>
    <t>GS-2</t>
  </si>
  <si>
    <t>GS-1</t>
  </si>
  <si>
    <t>-</t>
  </si>
  <si>
    <t>Total, Appropriated Positions</t>
  </si>
  <si>
    <t>Average SES Salary</t>
  </si>
  <si>
    <t>Average GS Salary</t>
  </si>
  <si>
    <t>Average GS Grade</t>
  </si>
  <si>
    <t>Base Adjustments</t>
  </si>
  <si>
    <t>Total Base Adjustments</t>
  </si>
  <si>
    <t>Total Technical and Base Adjustments</t>
  </si>
  <si>
    <t>Estimate FTE</t>
  </si>
  <si>
    <t>Actual FTE</t>
  </si>
  <si>
    <t>Estim. FTE</t>
  </si>
  <si>
    <t>Balance Rescission</t>
  </si>
  <si>
    <t>Total Direct</t>
  </si>
  <si>
    <t>Total Direct and Reimb. FTE</t>
  </si>
  <si>
    <t>Grand Total, FTE</t>
  </si>
  <si>
    <t>Program Activity</t>
  </si>
  <si>
    <t>2012 Appropriation Enacted</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</si>
  <si>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</si>
  <si>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</si>
  <si>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</si>
  <si>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Supplemental Appropriation</t>
  </si>
  <si>
    <t>Recoveries/Refunds</t>
  </si>
  <si>
    <t>Obligations by Program Activity</t>
  </si>
  <si>
    <t>Summary of Requirements by Grade</t>
  </si>
  <si>
    <t>11.5 Other Personnel Compensation</t>
  </si>
  <si>
    <t>22.0 Transportation of Things</t>
  </si>
  <si>
    <t>Subtract - Unobligated Balance, Start-of-Year</t>
  </si>
  <si>
    <t>Budgetary Resources</t>
  </si>
  <si>
    <t>Total Direct with Rescission</t>
  </si>
  <si>
    <t>Add - Unobligated End-of-Year, Expiring</t>
  </si>
  <si>
    <t>Total Technical Adjustments</t>
  </si>
  <si>
    <t>2013 CR 0.612% Increase</t>
  </si>
  <si>
    <t>Adjustment - 2013 CR 0.612%</t>
  </si>
  <si>
    <t>Collections by Source</t>
  </si>
  <si>
    <t>Subtract - Transfers/Reprogramming</t>
  </si>
  <si>
    <t>Subtract - Recoveries/Refunds</t>
  </si>
  <si>
    <t>2013 Planned</t>
  </si>
  <si>
    <t>2012 Appropriation Enacted w/o Balance Rescission</t>
  </si>
  <si>
    <t>U.S. Trustee Program</t>
  </si>
  <si>
    <t>JCON and JCON S/TS</t>
  </si>
  <si>
    <t>Office of Information Policy (OIP) - From Components</t>
  </si>
  <si>
    <t>Professional Responsibility Advisory Office (PRAO)</t>
  </si>
  <si>
    <t>Administration of Cases</t>
  </si>
  <si>
    <t>Office of Attorney Recruitment</t>
  </si>
  <si>
    <t>Rule of Law</t>
  </si>
  <si>
    <t>U.S. Trustees / Assistant U.S. Trustees</t>
  </si>
  <si>
    <t>Bankruptcy Analyst  (301)</t>
  </si>
  <si>
    <t>Contracting and Procurement  (1102-1106)</t>
  </si>
  <si>
    <t>Other Legal and Kindred (986)</t>
  </si>
  <si>
    <t>Other (1160, 10350</t>
  </si>
  <si>
    <t>Mathematics &amp; Statistics</t>
  </si>
  <si>
    <r>
      <t>Guard Services:</t>
    </r>
    <r>
      <rPr>
        <sz val="9"/>
        <color theme="1"/>
        <rFont val="Arial"/>
        <family val="2"/>
      </rPr>
      <t xml:space="preserve">
This includes Department of Homeland Security (DHS) Federal Protective Service charges, Justice Protective Service charges and other security services across the country.  </t>
    </r>
  </si>
  <si>
    <t xml:space="preserve"> </t>
  </si>
  <si>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$231is necessary to meet our increased retirement obligations as a result of this conversion.</t>
    </r>
  </si>
  <si>
    <r>
      <t>Health Insurance:</t>
    </r>
    <r>
      <rPr>
        <sz val="9"/>
        <color theme="1"/>
        <rFont val="Arial"/>
        <family val="2"/>
      </rPr>
      <t xml:space="preserve">
Effective January 2014, the component's contribution to Federal employees' health insurance increases.  The additional amount required is $316,000.  </t>
    </r>
  </si>
  <si>
    <t>A:  Organizational Chart</t>
  </si>
  <si>
    <t>*The 2013 Continuing Resolution includes the 0.612% funding provided by the Continuing Appropriations Resolution, 2013 (P.L. 112-175, Section 101 (c)).</t>
  </si>
  <si>
    <t>FY 2013 Continuing Resolution *</t>
  </si>
  <si>
    <t>*The 2013 Availability includes the 0.612% funding provided by the Continuing Appropriations Resolution, 2013 (P.L. 112-175, Section 101 (c)).</t>
  </si>
  <si>
    <t>*The 2013 Continuing Resolution includes the 0.612% funding provided by the Continuing Appropriations Resolution, 2013 (P.L. 112-175, Section 101(c)).</t>
  </si>
  <si>
    <r>
      <rPr>
        <u/>
        <sz val="9"/>
        <color theme="1"/>
        <rFont val="Arial"/>
        <family val="2"/>
      </rPr>
      <t>Employee Compensation Fund:</t>
    </r>
    <r>
      <rPr>
        <sz val="9"/>
        <color theme="1"/>
        <rFont val="Arial"/>
        <family val="2"/>
      </rPr>
      <t xml:space="preserve">
This $25,000 request provides for anticipated changes in payments to the Department of Labor for injury benefits under the Federal Employee Compensation Act.</t>
    </r>
  </si>
  <si>
    <r>
      <t>General Services Administration (GSA) Rent:</t>
    </r>
    <r>
      <rPr>
        <sz val="9"/>
        <color theme="1"/>
        <rFont val="Arial"/>
        <family val="2"/>
      </rPr>
      <t xml:space="preserve">
GSA will continue to charge rental rates that approximate those charged to commercial tenants for equivalent space and related services.  This requested decrease of 2,837,000 is required to meet our commitment to GSA and reflects savings through consolidation of the Headquarters Executive Office from 2 offices into a single office at GAO.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</si>
  <si>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t>Rental Payments - Non GSA:</t>
    </r>
    <r>
      <rPr>
        <sz val="9"/>
        <color theme="1"/>
        <rFont val="Arial"/>
        <family val="2"/>
      </rPr>
      <t xml:space="preserve">
This adjustment to base increase of $2,080,000 covers the Executive Office for U.S. Trustee's non-GSA rent in FY 2014 at the new GAO location.  The Program's GSA rent for FY 2014 was adjusted downwards to account for this move in FY 2014.  </t>
    </r>
  </si>
  <si>
    <r>
      <t xml:space="preserve">Annualization of the 2013 Pay Raise:
</t>
    </r>
    <r>
      <rPr>
        <sz val="9"/>
        <color theme="1"/>
        <rFont val="Arial"/>
        <family val="2"/>
      </rPr>
      <t>This request provides for annualization of the 0.5 percent pay raise effective April 17, 2013.  The amount requested, $194,000, is for salary plus appropriate benefits ($149,000 for pay and $45,000 for benefits.)</t>
    </r>
  </si>
  <si>
    <r>
      <t xml:space="preserve">2014 Pay Raise:
</t>
    </r>
    <r>
      <rPr>
        <sz val="9"/>
        <color theme="1"/>
        <rFont val="Arial"/>
        <family val="2"/>
      </rPr>
      <t>This request provides for a proposed 1 percent pay raise to be effective in January of 2014.  This increase only includes the general pay raise.  The amount requested, $1,154,000 represents the pay amounts for 3/4 of the fiscal year plus appropriate benefits ($888,000 for salaries and $266,000 for benefits).</t>
    </r>
  </si>
  <si>
    <r>
      <t>AD</t>
    </r>
    <r>
      <rPr>
        <vertAlign val="superscript"/>
        <sz val="11"/>
        <color theme="1"/>
        <rFont val="Arial"/>
        <family val="2"/>
      </rPr>
      <t xml:space="preserve"> /1</t>
    </r>
  </si>
  <si>
    <r>
      <rPr>
        <vertAlign val="superscript"/>
        <sz val="11"/>
        <color theme="1"/>
        <rFont val="Arial"/>
        <family val="2"/>
      </rPr>
      <t>/1</t>
    </r>
    <r>
      <rPr>
        <sz val="11"/>
        <color theme="1"/>
        <rFont val="Arial"/>
        <family val="2"/>
      </rPr>
      <t xml:space="preserve">  Administratively Determined Pay</t>
    </r>
  </si>
  <si>
    <t xml:space="preserve">2012 Appropriation Enacted </t>
  </si>
  <si>
    <t>2013 Continuing 
Resolution *</t>
  </si>
  <si>
    <t>2014 Technical and Base Adjustments</t>
  </si>
  <si>
    <t>Est. FTE</t>
  </si>
  <si>
    <t>[2]</t>
  </si>
  <si>
    <r>
      <rPr>
        <u/>
        <sz val="9"/>
        <color theme="1"/>
        <rFont val="Arial"/>
        <family val="2"/>
      </rPr>
      <t xml:space="preserve">Office of Information Policy (OIP) from components:
</t>
    </r>
    <r>
      <rPr>
        <sz val="9"/>
        <color theme="1"/>
        <rFont val="Arial"/>
        <family val="2"/>
      </rPr>
      <t xml:space="preserve">This component transfer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</si>
  <si>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r>
      <rPr>
        <u/>
        <sz val="9"/>
        <color theme="1"/>
        <rFont val="Arial"/>
        <family val="2"/>
      </rPr>
      <t xml:space="preserve">Professional Responsibility Advisory Office (PRAO) from components:
</t>
    </r>
    <r>
      <rPr>
        <sz val="9"/>
        <color theme="1"/>
        <rFont val="Arial"/>
        <family val="2"/>
      </rPr>
      <t xml:space="preserve">This component transfer to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 
</t>
    </r>
  </si>
  <si>
    <t>Total 2013 Continuing Resolution</t>
  </si>
  <si>
    <r>
      <t>201</t>
    </r>
    <r>
      <rPr>
        <sz val="11"/>
        <rFont val="Arial"/>
        <family val="2"/>
      </rPr>
      <t>2</t>
    </r>
    <r>
      <rPr>
        <sz val="11"/>
        <color theme="1"/>
        <rFont val="Arial"/>
        <family val="2"/>
      </rPr>
      <t xml:space="preserve"> - 2014 Total Change</t>
    </r>
  </si>
  <si>
    <t>Note: The FTE for FY 2012 is actual and for FY 2013 and FY 2014 are estimates.</t>
  </si>
  <si>
    <r>
      <t xml:space="preserve">Adjustment - 2013 CR 0.612%:
</t>
    </r>
    <r>
      <rPr>
        <sz val="9"/>
        <rFont val="Arial"/>
        <family val="2"/>
      </rPr>
      <t xml:space="preserve">PL 112-175 section 101 (c) provided 0.612% across the board increase above the current rate for the 2013 CR funding level.  This adjustment reverses this increase.   </t>
    </r>
  </si>
  <si>
    <r>
      <t xml:space="preserve">Carryover/Recoveries: </t>
    </r>
    <r>
      <rPr>
        <sz val="11"/>
        <color theme="1"/>
        <rFont val="Arial"/>
        <family val="2"/>
      </rPr>
      <t>Funds were carried over into FY 2012 from No-Year account.</t>
    </r>
  </si>
  <si>
    <r>
      <t xml:space="preserve">Carryover:  </t>
    </r>
    <r>
      <rPr>
        <sz val="11"/>
        <color theme="1"/>
        <rFont val="Arial"/>
        <family val="2"/>
      </rPr>
      <t>Funds were carried over into FY 2013 from No-Year account.</t>
    </r>
  </si>
  <si>
    <r>
      <rPr>
        <u/>
        <sz val="9"/>
        <color theme="1"/>
        <rFont val="Arial"/>
        <family val="2"/>
      </rPr>
      <t xml:space="preserve">JCON and JCON S/TS:
</t>
    </r>
    <r>
      <rPr>
        <sz val="9"/>
        <color theme="1"/>
        <rFont val="Arial"/>
        <family val="2"/>
      </rPr>
      <t xml:space="preserve">This transfer of $575,000 is included in support of the Department’s Justice Consolidated Office Network (JCON) and JCON S/TS programs which will be moved to the Working Capital Fund and provided as a billable service in FY 2014.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</si>
</sst>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i/>
      <sz val="11"/>
      <color theme="1"/>
      <name val="Arial"/>
      <family val="2"/>
    </font>
    <font>
      <sz val="11"/>
      <name val="Arial"/>
      <family val="2"/>
    </font>
    <font>
      <b/>
      <sz val="11"/>
      <name val="Arial"/>
      <family val="2"/>
    </font>
    <font>
      <b/>
      <vertAlign val="superscript"/>
      <sz val="11"/>
      <color theme="1"/>
      <name val="Arial"/>
      <family val="2"/>
    </font>
    <font>
      <sz val="10"/>
      <name val="Arial"/>
      <family val="2"/>
    </font>
    <font>
      <sz val="12"/>
      <name val="Arial"/>
      <family val="2"/>
    </font>
    <font>
      <vertAlign val="superscript"/>
      <sz val="11"/>
      <color theme="1"/>
      <name val="Arial"/>
      <family val="2"/>
    </font>
    <font>
      <b/>
      <strike/>
      <sz val="11"/>
      <color theme="1"/>
      <name val="Arial"/>
      <family val="2"/>
    </font>
    <font>
      <sz val="9"/>
      <color rgb="FF1F497D"/>
      <name val="Arial"/>
      <family val="2"/>
    </font>
    <font>
      <u/>
      <sz val="9"/>
      <name val="Arial"/>
      <family val="2"/>
    </font>
    <font>
      <sz val="9"/>
      <name val="Arial"/>
      <family val="2"/>
    </font>
    <font>
      <sz val="11"/>
      <name val="Calibri"/>
      <family val="2"/>
      <scheme val="minor"/>
    </font>
  </fonts>
  <fills count="2">
    <fill>
      <patternFill patternType="none"/>
    </fill>
    <fill>
      <patternFill patternType="gray125"/>
    </fill>
  </fills>
  <borders count="9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right style="medium">
        <color auto="1"/>
      </right>
      <top/>
      <bottom style="thin">
        <color indexed="64"/>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style="medium">
        <color auto="1"/>
      </left>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thin">
        <color auto="1"/>
      </top>
      <bottom style="dotted">
        <color theme="0" tint="-0.14996795556505021"/>
      </bottom>
      <diagonal/>
    </border>
    <border>
      <left/>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style="medium">
        <color auto="1"/>
      </right>
      <top style="thin">
        <color auto="1"/>
      </top>
      <bottom style="dotted">
        <color theme="0" tint="-0.14996795556505021"/>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thin">
        <color auto="1"/>
      </top>
      <bottom style="dotted">
        <color theme="0" tint="-0.14996795556505021"/>
      </bottom>
      <diagonal/>
    </border>
    <border>
      <left style="thin">
        <color auto="1"/>
      </left>
      <right style="medium">
        <color auto="1"/>
      </right>
      <top style="dotted">
        <color theme="0" tint="-0.14996795556505021"/>
      </top>
      <bottom style="dotted">
        <color theme="0" tint="-0.14996795556505021"/>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style="medium">
        <color auto="1"/>
      </left>
      <right/>
      <top style="medium">
        <color auto="1"/>
      </top>
      <bottom style="thin">
        <color indexed="64"/>
      </bottom>
      <diagonal/>
    </border>
    <border>
      <left style="thin">
        <color auto="1"/>
      </left>
      <right style="medium">
        <color auto="1"/>
      </right>
      <top/>
      <bottom style="thin">
        <color indexed="64"/>
      </bottom>
      <diagonal/>
    </border>
    <border>
      <left style="medium">
        <color auto="1"/>
      </left>
      <right style="thin">
        <color indexed="64"/>
      </right>
      <top/>
      <bottom style="medium">
        <color auto="1"/>
      </bottom>
      <diagonal/>
    </border>
  </borders>
  <cellStyleXfs count="21">
    <xf numFmtId="0" fontId="0" fillId="0" borderId="0"/>
    <xf numFmtId="43" fontId="10" fillId="0" borderId="0" applyFont="0" applyFill="0" applyBorder="0" applyAlignment="0" applyProtection="0"/>
    <xf numFmtId="44" fontId="1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0" fontId="29" fillId="0" borderId="0"/>
    <xf numFmtId="0" fontId="28" fillId="0" borderId="0"/>
    <xf numFmtId="0" fontId="29" fillId="0" borderId="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9" fillId="0" borderId="0"/>
  </cellStyleXfs>
  <cellXfs count="323">
    <xf numFmtId="0" fontId="0" fillId="0" borderId="0" xfId="0"/>
    <xf numFmtId="0" fontId="11" fillId="0" borderId="0" xfId="0" applyFont="1"/>
    <xf numFmtId="3" fontId="11" fillId="0" borderId="0" xfId="0" applyNumberFormat="1" applyFont="1"/>
    <xf numFmtId="164" fontId="11" fillId="0" borderId="0" xfId="1" applyNumberFormat="1" applyFont="1"/>
    <xf numFmtId="3" fontId="15" fillId="0" borderId="6" xfId="0" applyNumberFormat="1" applyFont="1" applyBorder="1" applyAlignment="1">
      <alignment horizontal="center" vertical="top" wrapText="1"/>
    </xf>
    <xf numFmtId="3" fontId="15" fillId="0" borderId="7" xfId="0" applyNumberFormat="1" applyFont="1" applyBorder="1" applyAlignment="1">
      <alignment horizontal="center" vertical="top" wrapText="1"/>
    </xf>
    <xf numFmtId="164" fontId="15" fillId="0" borderId="8" xfId="1" applyNumberFormat="1" applyFont="1" applyBorder="1" applyAlignment="1">
      <alignment horizontal="center" vertical="top" wrapText="1"/>
    </xf>
    <xf numFmtId="0" fontId="16" fillId="0" borderId="0" xfId="0" applyFont="1"/>
    <xf numFmtId="0" fontId="15" fillId="0" borderId="0" xfId="0" applyFont="1"/>
    <xf numFmtId="0" fontId="13" fillId="0" borderId="0" xfId="0" applyFont="1" applyAlignment="1"/>
    <xf numFmtId="0" fontId="14" fillId="0" borderId="0" xfId="0" applyFont="1" applyAlignment="1"/>
    <xf numFmtId="0" fontId="12" fillId="0" borderId="0" xfId="0" applyFont="1" applyAlignment="1"/>
    <xf numFmtId="0" fontId="9" fillId="0" borderId="0" xfId="0" applyFont="1"/>
    <xf numFmtId="0" fontId="9" fillId="0" borderId="0" xfId="0" applyFont="1" applyAlignment="1"/>
    <xf numFmtId="0" fontId="9" fillId="0" borderId="1" xfId="0" applyFont="1" applyBorder="1" applyAlignment="1">
      <alignment horizontal="center" vertical="top" wrapText="1"/>
    </xf>
    <xf numFmtId="0" fontId="9" fillId="0" borderId="12" xfId="0" applyFont="1" applyBorder="1" applyAlignment="1">
      <alignment horizontal="center" vertical="top" wrapText="1"/>
    </xf>
    <xf numFmtId="0" fontId="15" fillId="0" borderId="13" xfId="0" applyFont="1" applyBorder="1" applyAlignment="1">
      <alignment horizontal="right"/>
    </xf>
    <xf numFmtId="0" fontId="9" fillId="0" borderId="15" xfId="0" applyFont="1" applyBorder="1"/>
    <xf numFmtId="0" fontId="9" fillId="0" borderId="16" xfId="0" applyFont="1" applyBorder="1"/>
    <xf numFmtId="0" fontId="9" fillId="0" borderId="17" xfId="0" applyFont="1" applyBorder="1" applyAlignment="1">
      <alignment horizontal="left" indent="3"/>
    </xf>
    <xf numFmtId="0" fontId="9" fillId="0" borderId="17" xfId="0" applyFont="1" applyBorder="1" applyAlignment="1">
      <alignment horizontal="left" indent="5"/>
    </xf>
    <xf numFmtId="0" fontId="9" fillId="0" borderId="20" xfId="0" applyFont="1" applyBorder="1" applyAlignment="1">
      <alignment horizontal="left" indent="5"/>
    </xf>
    <xf numFmtId="0" fontId="8" fillId="0" borderId="1" xfId="0" applyFont="1" applyBorder="1" applyAlignment="1">
      <alignment horizontal="center" vertical="top" wrapText="1"/>
    </xf>
    <xf numFmtId="0" fontId="8" fillId="0" borderId="0" xfId="0" applyFont="1"/>
    <xf numFmtId="0" fontId="8" fillId="0" borderId="12" xfId="0" applyFont="1" applyBorder="1" applyAlignment="1">
      <alignment horizontal="center" vertical="top" wrapText="1"/>
    </xf>
    <xf numFmtId="3" fontId="9" fillId="0" borderId="18" xfId="0" applyNumberFormat="1" applyFont="1" applyBorder="1"/>
    <xf numFmtId="3" fontId="8" fillId="0" borderId="18" xfId="0" applyNumberFormat="1" applyFont="1" applyBorder="1"/>
    <xf numFmtId="3" fontId="8" fillId="0" borderId="19" xfId="0" applyNumberFormat="1" applyFont="1" applyBorder="1"/>
    <xf numFmtId="3" fontId="15" fillId="0" borderId="34" xfId="0" applyNumberFormat="1" applyFont="1" applyBorder="1"/>
    <xf numFmtId="3" fontId="15" fillId="0" borderId="35" xfId="0" applyNumberFormat="1" applyFont="1" applyBorder="1"/>
    <xf numFmtId="0" fontId="15" fillId="0" borderId="41" xfId="0" applyFont="1" applyBorder="1" applyAlignment="1">
      <alignment vertical="top"/>
    </xf>
    <xf numFmtId="0" fontId="9" fillId="0" borderId="42" xfId="0" applyFont="1" applyBorder="1" applyAlignment="1">
      <alignment vertical="top"/>
    </xf>
    <xf numFmtId="0" fontId="9" fillId="0" borderId="43" xfId="0" applyFont="1" applyBorder="1"/>
    <xf numFmtId="0" fontId="9" fillId="0" borderId="44" xfId="0" applyFont="1" applyBorder="1"/>
    <xf numFmtId="0" fontId="15" fillId="0" borderId="28" xfId="0" applyFont="1" applyBorder="1" applyAlignment="1">
      <alignment horizontal="center"/>
    </xf>
    <xf numFmtId="3" fontId="15" fillId="0" borderId="7" xfId="0" applyNumberFormat="1" applyFont="1" applyBorder="1"/>
    <xf numFmtId="0" fontId="15" fillId="0" borderId="26" xfId="0" applyFont="1" applyBorder="1" applyAlignment="1">
      <alignment vertical="top" wrapText="1"/>
    </xf>
    <xf numFmtId="0" fontId="15" fillId="0" borderId="33" xfId="0" applyFont="1" applyBorder="1" applyAlignment="1">
      <alignment horizontal="right" vertical="top"/>
    </xf>
    <xf numFmtId="0" fontId="19" fillId="0" borderId="31" xfId="0" applyFont="1" applyBorder="1" applyAlignment="1">
      <alignment vertical="center" wrapText="1"/>
    </xf>
    <xf numFmtId="0" fontId="22" fillId="0" borderId="0" xfId="0" applyFont="1" applyAlignment="1"/>
    <xf numFmtId="0" fontId="20" fillId="0" borderId="0" xfId="0" applyFont="1"/>
    <xf numFmtId="0" fontId="19" fillId="0" borderId="46" xfId="0" applyFont="1" applyBorder="1" applyAlignment="1">
      <alignment vertical="top"/>
    </xf>
    <xf numFmtId="0" fontId="20" fillId="0" borderId="42" xfId="0" applyFont="1" applyBorder="1" applyAlignment="1">
      <alignment vertical="top"/>
    </xf>
    <xf numFmtId="0" fontId="20" fillId="0" borderId="43" xfId="0" applyFont="1" applyBorder="1"/>
    <xf numFmtId="0" fontId="19" fillId="0" borderId="41" xfId="0" applyFont="1" applyBorder="1" applyAlignment="1">
      <alignment vertical="top"/>
    </xf>
    <xf numFmtId="0" fontId="22" fillId="0" borderId="0" xfId="0" applyFont="1"/>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15" xfId="0" applyFont="1" applyBorder="1"/>
    <xf numFmtId="3" fontId="20" fillId="0" borderId="18" xfId="0" applyNumberFormat="1" applyFont="1" applyBorder="1"/>
    <xf numFmtId="3" fontId="19" fillId="0" borderId="34" xfId="0" applyNumberFormat="1" applyFont="1" applyBorder="1"/>
    <xf numFmtId="3" fontId="20" fillId="0" borderId="15" xfId="0" applyNumberFormat="1" applyFont="1" applyBorder="1"/>
    <xf numFmtId="0" fontId="20" fillId="0" borderId="41" xfId="0" applyFont="1" applyBorder="1" applyAlignment="1">
      <alignment vertical="top"/>
    </xf>
    <xf numFmtId="3" fontId="19" fillId="0" borderId="18" xfId="0" applyNumberFormat="1" applyFont="1" applyBorder="1"/>
    <xf numFmtId="3" fontId="19" fillId="0" borderId="49" xfId="0" applyNumberFormat="1" applyFont="1" applyBorder="1"/>
    <xf numFmtId="0" fontId="20" fillId="0" borderId="46" xfId="0" applyFont="1" applyBorder="1" applyAlignment="1">
      <alignment vertical="top"/>
    </xf>
    <xf numFmtId="0" fontId="20" fillId="0" borderId="45" xfId="0" applyFont="1" applyBorder="1" applyAlignment="1">
      <alignment vertical="top"/>
    </xf>
    <xf numFmtId="3" fontId="19" fillId="0" borderId="53" xfId="0" applyNumberFormat="1" applyFont="1" applyBorder="1"/>
    <xf numFmtId="0" fontId="19" fillId="0" borderId="3" xfId="0" applyFont="1" applyBorder="1" applyAlignment="1">
      <alignment horizontal="center" vertical="center" wrapText="1"/>
    </xf>
    <xf numFmtId="0" fontId="20" fillId="0" borderId="16" xfId="0" applyFont="1" applyBorder="1"/>
    <xf numFmtId="3" fontId="20" fillId="0" borderId="19" xfId="0" applyNumberFormat="1" applyFont="1" applyBorder="1"/>
    <xf numFmtId="3" fontId="19" fillId="0" borderId="35" xfId="0" applyNumberFormat="1" applyFont="1" applyBorder="1"/>
    <xf numFmtId="3" fontId="20" fillId="0" borderId="16" xfId="0" applyNumberFormat="1" applyFont="1" applyBorder="1"/>
    <xf numFmtId="3" fontId="19" fillId="0" borderId="54" xfId="0" applyNumberFormat="1" applyFont="1" applyBorder="1"/>
    <xf numFmtId="3" fontId="19" fillId="0" borderId="55" xfId="0" applyNumberFormat="1" applyFont="1" applyBorder="1"/>
    <xf numFmtId="0" fontId="12" fillId="0" borderId="31" xfId="0" applyFont="1" applyBorder="1" applyAlignment="1"/>
    <xf numFmtId="0" fontId="16" fillId="0" borderId="0" xfId="0" applyFont="1" applyAlignment="1"/>
    <xf numFmtId="0" fontId="7" fillId="0" borderId="1" xfId="0" applyFont="1" applyBorder="1" applyAlignment="1">
      <alignment horizontal="center" vertical="top" wrapText="1"/>
    </xf>
    <xf numFmtId="0" fontId="7" fillId="0" borderId="12" xfId="0" applyFont="1" applyBorder="1" applyAlignment="1">
      <alignment horizontal="center" vertical="top" wrapText="1"/>
    </xf>
    <xf numFmtId="0" fontId="9" fillId="0" borderId="42" xfId="0" applyFont="1" applyBorder="1"/>
    <xf numFmtId="0" fontId="9" fillId="0" borderId="46" xfId="0" applyFont="1" applyBorder="1" applyAlignment="1">
      <alignment horizontal="left" indent="1"/>
    </xf>
    <xf numFmtId="0" fontId="9" fillId="0" borderId="42" xfId="0" applyFont="1" applyBorder="1" applyAlignment="1">
      <alignment horizontal="left" indent="1"/>
    </xf>
    <xf numFmtId="0" fontId="15" fillId="0" borderId="9" xfId="0" applyFont="1" applyBorder="1" applyAlignment="1">
      <alignment horizontal="center"/>
    </xf>
    <xf numFmtId="0" fontId="7" fillId="0" borderId="14" xfId="0" applyFont="1" applyBorder="1" applyAlignment="1">
      <alignment horizontal="left" indent="2"/>
    </xf>
    <xf numFmtId="0" fontId="7" fillId="0" borderId="17" xfId="0" applyFont="1" applyBorder="1" applyAlignment="1">
      <alignment horizontal="left" indent="2"/>
    </xf>
    <xf numFmtId="0" fontId="24" fillId="0" borderId="17" xfId="0" applyFont="1" applyBorder="1" applyAlignment="1">
      <alignment horizontal="left" indent="8"/>
    </xf>
    <xf numFmtId="0" fontId="15" fillId="0" borderId="17" xfId="0" applyFont="1" applyBorder="1"/>
    <xf numFmtId="0" fontId="15" fillId="0" borderId="17" xfId="0" applyFont="1" applyBorder="1" applyAlignment="1">
      <alignment horizontal="center"/>
    </xf>
    <xf numFmtId="0" fontId="15" fillId="0" borderId="61" xfId="0" applyFont="1" applyBorder="1" applyAlignment="1">
      <alignment horizontal="center"/>
    </xf>
    <xf numFmtId="0" fontId="7" fillId="0" borderId="64" xfId="0" applyFont="1" applyBorder="1"/>
    <xf numFmtId="0" fontId="15" fillId="0" borderId="69" xfId="0" applyFont="1" applyBorder="1"/>
    <xf numFmtId="3" fontId="15" fillId="0" borderId="17" xfId="0" applyNumberFormat="1" applyFont="1" applyBorder="1"/>
    <xf numFmtId="3" fontId="15" fillId="0" borderId="18" xfId="0" applyNumberFormat="1" applyFont="1" applyBorder="1"/>
    <xf numFmtId="3" fontId="11" fillId="0" borderId="19" xfId="0" applyNumberFormat="1" applyFont="1" applyBorder="1"/>
    <xf numFmtId="0" fontId="15" fillId="0" borderId="70" xfId="0" applyFont="1" applyBorder="1" applyAlignment="1">
      <alignment horizontal="left" indent="1"/>
    </xf>
    <xf numFmtId="3" fontId="15" fillId="0" borderId="19" xfId="0" applyNumberFormat="1" applyFont="1" applyBorder="1"/>
    <xf numFmtId="0" fontId="15" fillId="0" borderId="70" xfId="0" applyFont="1" applyBorder="1"/>
    <xf numFmtId="3" fontId="11" fillId="0" borderId="17" xfId="0" applyNumberFormat="1" applyFont="1" applyBorder="1"/>
    <xf numFmtId="3" fontId="11" fillId="0" borderId="18" xfId="0" applyNumberFormat="1" applyFont="1" applyBorder="1"/>
    <xf numFmtId="0" fontId="11" fillId="0" borderId="70" xfId="0" applyFont="1" applyBorder="1" applyAlignment="1">
      <alignment horizontal="left" indent="3"/>
    </xf>
    <xf numFmtId="0" fontId="15" fillId="0" borderId="70" xfId="0" applyFont="1" applyBorder="1" applyAlignment="1">
      <alignment horizontal="left" indent="3"/>
    </xf>
    <xf numFmtId="0" fontId="15" fillId="0" borderId="68" xfId="0" applyFont="1" applyBorder="1" applyAlignment="1">
      <alignment horizontal="left"/>
    </xf>
    <xf numFmtId="0" fontId="15" fillId="0" borderId="70" xfId="0" applyFont="1" applyBorder="1" applyAlignment="1">
      <alignment horizontal="left"/>
    </xf>
    <xf numFmtId="3" fontId="11" fillId="0" borderId="60" xfId="0" applyNumberFormat="1" applyFont="1" applyBorder="1"/>
    <xf numFmtId="0" fontId="15" fillId="0" borderId="69" xfId="0" applyFont="1" applyBorder="1" applyAlignment="1">
      <alignment horizontal="left" indent="1"/>
    </xf>
    <xf numFmtId="0" fontId="15" fillId="0" borderId="73" xfId="0" applyFont="1" applyBorder="1"/>
    <xf numFmtId="0" fontId="15" fillId="0" borderId="4" xfId="0" applyFont="1" applyBorder="1" applyAlignment="1">
      <alignment horizontal="center" vertical="center" wrapText="1"/>
    </xf>
    <xf numFmtId="165" fontId="8" fillId="0" borderId="75" xfId="2" applyNumberFormat="1" applyFont="1" applyBorder="1" applyAlignment="1">
      <alignment horizontal="left"/>
    </xf>
    <xf numFmtId="165" fontId="8" fillId="0" borderId="75" xfId="2" applyNumberFormat="1" applyFont="1" applyBorder="1" applyAlignment="1">
      <alignment horizontal="center"/>
    </xf>
    <xf numFmtId="164" fontId="8" fillId="0" borderId="25" xfId="1" applyNumberFormat="1" applyFont="1" applyBorder="1" applyAlignment="1">
      <alignment horizontal="left"/>
    </xf>
    <xf numFmtId="0" fontId="9" fillId="0" borderId="65" xfId="0" applyFont="1" applyBorder="1" applyAlignment="1">
      <alignment horizontal="left" indent="3"/>
    </xf>
    <xf numFmtId="0" fontId="6" fillId="0" borderId="71" xfId="0" applyFont="1" applyBorder="1" applyAlignment="1">
      <alignment horizontal="left"/>
    </xf>
    <xf numFmtId="0" fontId="6" fillId="0" borderId="76" xfId="0" applyFont="1" applyBorder="1" applyAlignment="1">
      <alignment horizontal="left"/>
    </xf>
    <xf numFmtId="165" fontId="6" fillId="0" borderId="77" xfId="2" applyNumberFormat="1" applyFont="1" applyBorder="1" applyAlignment="1">
      <alignment horizontal="left"/>
    </xf>
    <xf numFmtId="165" fontId="6" fillId="0" borderId="77" xfId="2" applyNumberFormat="1" applyFont="1" applyBorder="1" applyAlignment="1">
      <alignment horizontal="center"/>
    </xf>
    <xf numFmtId="164" fontId="6" fillId="0" borderId="78" xfId="1" applyNumberFormat="1" applyFont="1" applyBorder="1" applyAlignment="1">
      <alignment horizontal="left"/>
    </xf>
    <xf numFmtId="0" fontId="6" fillId="0" borderId="81" xfId="0" applyFont="1" applyBorder="1" applyAlignment="1">
      <alignment horizontal="left"/>
    </xf>
    <xf numFmtId="165" fontId="6" fillId="0" borderId="82" xfId="2" applyNumberFormat="1" applyFont="1" applyBorder="1" applyAlignment="1">
      <alignment horizontal="left"/>
    </xf>
    <xf numFmtId="165" fontId="6" fillId="0" borderId="82" xfId="2" applyNumberFormat="1" applyFont="1" applyBorder="1" applyAlignment="1">
      <alignment horizontal="center"/>
    </xf>
    <xf numFmtId="164" fontId="6" fillId="0" borderId="83" xfId="1" applyNumberFormat="1" applyFont="1" applyBorder="1" applyAlignment="1">
      <alignment horizontal="left"/>
    </xf>
    <xf numFmtId="165" fontId="8" fillId="0" borderId="82" xfId="2" applyNumberFormat="1" applyFont="1" applyBorder="1" applyAlignment="1">
      <alignment horizontal="left"/>
    </xf>
    <xf numFmtId="165" fontId="8" fillId="0" borderId="82" xfId="2" applyNumberFormat="1" applyFont="1" applyBorder="1" applyAlignment="1">
      <alignment horizontal="center"/>
    </xf>
    <xf numFmtId="164" fontId="8" fillId="0" borderId="83" xfId="1" applyNumberFormat="1" applyFont="1" applyBorder="1" applyAlignment="1">
      <alignment horizontal="left"/>
    </xf>
    <xf numFmtId="0" fontId="5" fillId="0" borderId="1" xfId="0" applyFont="1" applyBorder="1" applyAlignment="1">
      <alignment horizontal="center" vertical="top" wrapText="1"/>
    </xf>
    <xf numFmtId="0" fontId="5" fillId="0" borderId="17" xfId="0" applyFont="1" applyBorder="1" applyAlignment="1">
      <alignment horizontal="left" indent="3"/>
    </xf>
    <xf numFmtId="0" fontId="5" fillId="0" borderId="6" xfId="0" applyFont="1" applyBorder="1" applyAlignment="1">
      <alignment horizontal="left" indent="3"/>
    </xf>
    <xf numFmtId="0" fontId="5" fillId="0" borderId="17" xfId="0" applyFont="1" applyBorder="1" applyAlignment="1">
      <alignment horizontal="left" indent="2"/>
    </xf>
    <xf numFmtId="0" fontId="15" fillId="0" borderId="4" xfId="0" applyFont="1" applyBorder="1" applyAlignment="1">
      <alignment horizontal="center" vertical="center" wrapText="1"/>
    </xf>
    <xf numFmtId="0" fontId="25" fillId="0" borderId="0" xfId="0" applyFont="1"/>
    <xf numFmtId="0" fontId="5" fillId="0" borderId="89" xfId="0" applyFont="1" applyBorder="1" applyAlignment="1">
      <alignment horizontal="left" indent="1"/>
    </xf>
    <xf numFmtId="0" fontId="5" fillId="0" borderId="10" xfId="0" applyFont="1" applyBorder="1" applyAlignment="1">
      <alignment horizontal="left" indent="1"/>
    </xf>
    <xf numFmtId="0" fontId="4" fillId="0" borderId="17" xfId="0" applyFont="1" applyBorder="1" applyAlignment="1">
      <alignment horizontal="left" indent="2"/>
    </xf>
    <xf numFmtId="3" fontId="15" fillId="0" borderId="46" xfId="0" applyNumberFormat="1" applyFont="1" applyBorder="1"/>
    <xf numFmtId="3" fontId="15" fillId="0" borderId="49" xfId="0" applyNumberFormat="1" applyFont="1" applyBorder="1"/>
    <xf numFmtId="3" fontId="15" fillId="0" borderId="90" xfId="0" applyNumberFormat="1" applyFont="1" applyBorder="1"/>
    <xf numFmtId="3" fontId="15" fillId="0" borderId="43" xfId="0" applyNumberFormat="1" applyFont="1" applyBorder="1"/>
    <xf numFmtId="3" fontId="11" fillId="0" borderId="91" xfId="0" applyNumberFormat="1" applyFont="1" applyBorder="1"/>
    <xf numFmtId="3" fontId="15" fillId="0" borderId="65" xfId="0" applyNumberFormat="1" applyFont="1" applyBorder="1"/>
    <xf numFmtId="3" fontId="15" fillId="0" borderId="54" xfId="0" applyNumberFormat="1" applyFont="1" applyBorder="1"/>
    <xf numFmtId="3" fontId="15" fillId="0" borderId="32" xfId="0" applyNumberFormat="1" applyFont="1" applyBorder="1"/>
    <xf numFmtId="0" fontId="3" fillId="0" borderId="1" xfId="0" applyFont="1" applyBorder="1" applyAlignment="1">
      <alignment horizontal="center" vertical="top" wrapText="1"/>
    </xf>
    <xf numFmtId="3" fontId="9" fillId="0" borderId="15" xfId="0" applyNumberFormat="1" applyFont="1" applyBorder="1"/>
    <xf numFmtId="3" fontId="9" fillId="0" borderId="16" xfId="0" applyNumberFormat="1" applyFont="1" applyBorder="1"/>
    <xf numFmtId="3" fontId="9" fillId="0" borderId="19" xfId="0" applyNumberFormat="1" applyFont="1" applyBorder="1"/>
    <xf numFmtId="3" fontId="9" fillId="0" borderId="2" xfId="0" applyNumberFormat="1" applyFont="1" applyBorder="1"/>
    <xf numFmtId="3" fontId="15" fillId="0" borderId="1" xfId="0" applyNumberFormat="1" applyFont="1" applyBorder="1"/>
    <xf numFmtId="3" fontId="15" fillId="0" borderId="12" xfId="0" applyNumberFormat="1" applyFont="1" applyBorder="1"/>
    <xf numFmtId="3" fontId="9" fillId="0" borderId="49" xfId="0" applyNumberFormat="1" applyFont="1" applyBorder="1"/>
    <xf numFmtId="3" fontId="9" fillId="0" borderId="54" xfId="0" applyNumberFormat="1" applyFont="1" applyBorder="1"/>
    <xf numFmtId="3" fontId="9" fillId="0" borderId="21" xfId="0" applyNumberFormat="1" applyFont="1" applyBorder="1"/>
    <xf numFmtId="3" fontId="9" fillId="0" borderId="22" xfId="0" applyNumberFormat="1" applyFont="1" applyBorder="1"/>
    <xf numFmtId="3" fontId="9" fillId="0" borderId="7" xfId="0" applyNumberFormat="1" applyFont="1" applyBorder="1"/>
    <xf numFmtId="3" fontId="9" fillId="0" borderId="8" xfId="0" applyNumberFormat="1" applyFont="1" applyBorder="1"/>
    <xf numFmtId="3" fontId="9" fillId="0" borderId="34" xfId="0" applyNumberFormat="1" applyFont="1" applyBorder="1"/>
    <xf numFmtId="3" fontId="9" fillId="0" borderId="35" xfId="0" applyNumberFormat="1" applyFont="1" applyBorder="1"/>
    <xf numFmtId="3" fontId="8" fillId="0" borderId="15" xfId="0" applyNumberFormat="1" applyFont="1" applyBorder="1"/>
    <xf numFmtId="3" fontId="8" fillId="0" borderId="49" xfId="0" applyNumberFormat="1" applyFont="1" applyBorder="1"/>
    <xf numFmtId="3" fontId="9" fillId="0" borderId="79" xfId="0" applyNumberFormat="1" applyFont="1" applyBorder="1"/>
    <xf numFmtId="3" fontId="9" fillId="0" borderId="80" xfId="0" applyNumberFormat="1" applyFont="1" applyBorder="1"/>
    <xf numFmtId="3" fontId="9" fillId="0" borderId="84" xfId="0" applyNumberFormat="1" applyFont="1" applyBorder="1"/>
    <xf numFmtId="3" fontId="9" fillId="0" borderId="85" xfId="0" applyNumberFormat="1" applyFont="1" applyBorder="1"/>
    <xf numFmtId="3" fontId="9" fillId="0" borderId="67" xfId="0" applyNumberFormat="1" applyFont="1" applyBorder="1"/>
    <xf numFmtId="3" fontId="15" fillId="0" borderId="79" xfId="2" applyNumberFormat="1" applyFont="1" applyBorder="1"/>
    <xf numFmtId="3" fontId="9" fillId="0" borderId="87" xfId="0" applyNumberFormat="1" applyFont="1" applyBorder="1"/>
    <xf numFmtId="3" fontId="15" fillId="0" borderId="84" xfId="2" applyNumberFormat="1" applyFont="1" applyBorder="1"/>
    <xf numFmtId="3" fontId="9" fillId="0" borderId="88" xfId="0" applyNumberFormat="1" applyFont="1" applyBorder="1"/>
    <xf numFmtId="3" fontId="9" fillId="0" borderId="60" xfId="0" applyNumberFormat="1" applyFont="1" applyBorder="1"/>
    <xf numFmtId="3" fontId="15" fillId="0" borderId="60" xfId="0" applyNumberFormat="1" applyFont="1" applyBorder="1"/>
    <xf numFmtId="3" fontId="9" fillId="0" borderId="86" xfId="0" applyNumberFormat="1" applyFont="1" applyBorder="1"/>
    <xf numFmtId="3" fontId="15" fillId="0" borderId="53" xfId="0" applyNumberFormat="1" applyFont="1" applyBorder="1"/>
    <xf numFmtId="3" fontId="15" fillId="0" borderId="55" xfId="0" applyNumberFormat="1" applyFont="1" applyBorder="1"/>
    <xf numFmtId="3" fontId="9" fillId="0" borderId="63" xfId="0" applyNumberFormat="1" applyFont="1" applyBorder="1"/>
    <xf numFmtId="3" fontId="9" fillId="0" borderId="62" xfId="0" applyNumberFormat="1" applyFont="1" applyBorder="1"/>
    <xf numFmtId="3" fontId="9" fillId="0" borderId="53" xfId="0" applyNumberFormat="1" applyFont="1" applyBorder="1"/>
    <xf numFmtId="3" fontId="9" fillId="0" borderId="55" xfId="0" applyNumberFormat="1" applyFont="1" applyBorder="1"/>
    <xf numFmtId="0" fontId="2" fillId="0" borderId="70" xfId="0" applyFont="1" applyBorder="1" applyAlignment="1">
      <alignment horizontal="left" indent="1"/>
    </xf>
    <xf numFmtId="0" fontId="2" fillId="0" borderId="70" xfId="0" applyFont="1" applyBorder="1" applyAlignment="1">
      <alignment horizontal="left" indent="6"/>
    </xf>
    <xf numFmtId="0" fontId="1" fillId="0" borderId="17" xfId="0" applyFont="1" applyBorder="1" applyAlignment="1">
      <alignment horizontal="left" indent="2"/>
    </xf>
    <xf numFmtId="0" fontId="20" fillId="0" borderId="29" xfId="0" applyFont="1" applyBorder="1" applyAlignment="1">
      <alignment vertical="top"/>
    </xf>
    <xf numFmtId="3" fontId="20" fillId="0" borderId="49" xfId="0" applyNumberFormat="1" applyFont="1" applyBorder="1"/>
    <xf numFmtId="3" fontId="20" fillId="0" borderId="54" xfId="0" applyNumberFormat="1" applyFont="1" applyBorder="1"/>
    <xf numFmtId="0" fontId="1" fillId="0" borderId="70" xfId="0" applyFont="1" applyFill="1" applyBorder="1" applyAlignment="1">
      <alignment horizontal="left" indent="6"/>
    </xf>
    <xf numFmtId="0" fontId="1" fillId="0" borderId="14" xfId="0" applyFont="1" applyBorder="1" applyAlignment="1">
      <alignment horizontal="left" indent="3"/>
    </xf>
    <xf numFmtId="0" fontId="1" fillId="0" borderId="17" xfId="0" applyFont="1" applyBorder="1" applyAlignment="1">
      <alignment horizontal="left" indent="3"/>
    </xf>
    <xf numFmtId="0" fontId="1" fillId="0" borderId="41" xfId="0" applyFont="1" applyBorder="1"/>
    <xf numFmtId="0" fontId="1" fillId="0" borderId="42" xfId="0" applyFont="1" applyBorder="1"/>
    <xf numFmtId="0" fontId="1" fillId="0" borderId="81" xfId="0" applyFont="1" applyBorder="1" applyAlignment="1">
      <alignment horizontal="left"/>
    </xf>
    <xf numFmtId="3" fontId="1" fillId="0" borderId="18" xfId="0" applyNumberFormat="1" applyFont="1" applyBorder="1"/>
    <xf numFmtId="3" fontId="1" fillId="0" borderId="15" xfId="0" applyNumberFormat="1" applyFont="1" applyBorder="1"/>
    <xf numFmtId="0" fontId="17" fillId="0" borderId="0" xfId="0" applyFont="1" applyAlignment="1">
      <alignment horizontal="left" vertical="top"/>
    </xf>
    <xf numFmtId="0" fontId="18" fillId="0" borderId="0" xfId="0" applyFont="1"/>
    <xf numFmtId="0" fontId="28" fillId="0" borderId="0" xfId="0" applyFont="1" applyFill="1" applyAlignment="1">
      <alignment horizontal="left"/>
    </xf>
    <xf numFmtId="0" fontId="28" fillId="0" borderId="0" xfId="0" applyFont="1" applyFill="1" applyAlignment="1">
      <alignment horizontal="left" wrapText="1"/>
    </xf>
    <xf numFmtId="0" fontId="0" fillId="0" borderId="0" xfId="0"/>
    <xf numFmtId="0" fontId="12" fillId="0" borderId="0" xfId="0" applyFont="1"/>
    <xf numFmtId="0" fontId="16" fillId="0" borderId="0" xfId="0" applyFont="1" applyAlignment="1"/>
    <xf numFmtId="0" fontId="16" fillId="0" borderId="0" xfId="0" applyFont="1"/>
    <xf numFmtId="0" fontId="1" fillId="0" borderId="0" xfId="0" applyFont="1"/>
    <xf numFmtId="0" fontId="20" fillId="0" borderId="0" xfId="0" applyFont="1"/>
    <xf numFmtId="0" fontId="20" fillId="0" borderId="50" xfId="0" applyFont="1" applyBorder="1" applyAlignment="1">
      <alignment vertical="top"/>
    </xf>
    <xf numFmtId="3" fontId="20" fillId="0" borderId="21" xfId="0" applyNumberFormat="1" applyFont="1" applyBorder="1"/>
    <xf numFmtId="3" fontId="20" fillId="0" borderId="22" xfId="0" applyNumberFormat="1" applyFont="1" applyBorder="1"/>
    <xf numFmtId="0" fontId="8" fillId="0" borderId="27" xfId="0" applyFont="1" applyBorder="1" applyAlignment="1">
      <alignment vertical="top" wrapText="1"/>
    </xf>
    <xf numFmtId="0" fontId="15" fillId="0" borderId="0" xfId="0" applyFont="1" applyBorder="1" applyAlignment="1">
      <alignment horizontal="left" indent="2"/>
    </xf>
    <xf numFmtId="3" fontId="9" fillId="0" borderId="0" xfId="0" applyNumberFormat="1" applyFont="1" applyBorder="1"/>
    <xf numFmtId="3" fontId="15" fillId="0" borderId="0" xfId="0" applyNumberFormat="1" applyFont="1" applyBorder="1"/>
    <xf numFmtId="0" fontId="1" fillId="0" borderId="0" xfId="0" quotePrefix="1" applyFont="1"/>
    <xf numFmtId="3" fontId="15" fillId="0" borderId="95" xfId="0" applyNumberFormat="1" applyFont="1" applyBorder="1"/>
    <xf numFmtId="3" fontId="15" fillId="0" borderId="4" xfId="0" applyNumberFormat="1" applyFont="1" applyBorder="1"/>
    <xf numFmtId="3" fontId="15" fillId="0" borderId="56" xfId="0" applyNumberFormat="1" applyFont="1" applyBorder="1"/>
    <xf numFmtId="3" fontId="31" fillId="0" borderId="46" xfId="0" applyNumberFormat="1" applyFont="1" applyBorder="1"/>
    <xf numFmtId="3" fontId="31" fillId="0" borderId="49" xfId="0" applyNumberFormat="1" applyFont="1" applyBorder="1"/>
    <xf numFmtId="3" fontId="31" fillId="0" borderId="90" xfId="0" applyNumberFormat="1" applyFont="1" applyBorder="1"/>
    <xf numFmtId="0" fontId="1" fillId="0" borderId="23" xfId="0" applyFont="1" applyBorder="1" applyAlignment="1">
      <alignment horizontal="left"/>
    </xf>
    <xf numFmtId="0" fontId="1" fillId="0" borderId="0" xfId="0" applyFont="1" applyAlignment="1"/>
    <xf numFmtId="0" fontId="1" fillId="0" borderId="1" xfId="0" applyFont="1" applyBorder="1" applyAlignment="1">
      <alignment horizontal="center" vertical="top" wrapText="1"/>
    </xf>
    <xf numFmtId="0" fontId="1" fillId="0" borderId="12" xfId="0" applyFont="1" applyBorder="1" applyAlignment="1">
      <alignment horizontal="center" vertical="top" wrapText="1"/>
    </xf>
    <xf numFmtId="3" fontId="1" fillId="0" borderId="16" xfId="0" applyNumberFormat="1" applyFont="1" applyBorder="1"/>
    <xf numFmtId="0" fontId="1" fillId="0" borderId="10" xfId="0" applyFont="1" applyBorder="1" applyAlignment="1">
      <alignment horizontal="left" indent="3"/>
    </xf>
    <xf numFmtId="3" fontId="1" fillId="0" borderId="2" xfId="0" applyNumberFormat="1" applyFont="1" applyBorder="1"/>
    <xf numFmtId="3" fontId="1" fillId="0" borderId="96" xfId="0" applyNumberFormat="1" applyFont="1" applyBorder="1"/>
    <xf numFmtId="0" fontId="1" fillId="0" borderId="14" xfId="0" applyFont="1" applyBorder="1" applyAlignment="1">
      <alignment horizontal="left" indent="2"/>
    </xf>
    <xf numFmtId="3" fontId="15" fillId="0" borderId="15" xfId="0" applyNumberFormat="1" applyFont="1" applyBorder="1"/>
    <xf numFmtId="0" fontId="1" fillId="0" borderId="32" xfId="0" applyFont="1" applyBorder="1" applyAlignment="1">
      <alignment horizontal="left" indent="2"/>
    </xf>
    <xf numFmtId="3" fontId="1" fillId="0" borderId="34" xfId="0" applyNumberFormat="1" applyFont="1" applyBorder="1"/>
    <xf numFmtId="3" fontId="1" fillId="0" borderId="35" xfId="0" applyNumberFormat="1" applyFont="1" applyBorder="1"/>
    <xf numFmtId="0" fontId="1" fillId="0" borderId="65" xfId="0" applyFont="1" applyBorder="1" applyAlignment="1">
      <alignment horizontal="left" indent="3"/>
    </xf>
    <xf numFmtId="3" fontId="1" fillId="0" borderId="49" xfId="0" applyNumberFormat="1" applyFont="1" applyBorder="1"/>
    <xf numFmtId="3" fontId="1" fillId="0" borderId="54" xfId="0" applyNumberFormat="1" applyFont="1" applyBorder="1"/>
    <xf numFmtId="3" fontId="1" fillId="0" borderId="19" xfId="0" applyNumberFormat="1" applyFont="1" applyBorder="1"/>
    <xf numFmtId="0" fontId="1" fillId="0" borderId="17" xfId="0" applyFont="1" applyBorder="1" applyAlignment="1">
      <alignment horizontal="left" indent="5"/>
    </xf>
    <xf numFmtId="0" fontId="1" fillId="0" borderId="20" xfId="0" applyFont="1" applyBorder="1" applyAlignment="1">
      <alignment horizontal="left" indent="5"/>
    </xf>
    <xf numFmtId="3" fontId="1" fillId="0" borderId="21" xfId="0" applyNumberFormat="1" applyFont="1" applyBorder="1"/>
    <xf numFmtId="3" fontId="1" fillId="0" borderId="21" xfId="0" applyNumberFormat="1" applyFont="1" applyBorder="1" applyAlignment="1">
      <alignment horizontal="right"/>
    </xf>
    <xf numFmtId="3" fontId="1" fillId="0" borderId="22" xfId="0" applyNumberFormat="1" applyFont="1" applyBorder="1"/>
    <xf numFmtId="0" fontId="1" fillId="0" borderId="6" xfId="0" applyFont="1" applyBorder="1" applyAlignment="1">
      <alignment horizontal="left" indent="3"/>
    </xf>
    <xf numFmtId="3" fontId="1" fillId="0" borderId="7" xfId="0" applyNumberFormat="1" applyFont="1" applyBorder="1"/>
    <xf numFmtId="3" fontId="1" fillId="0" borderId="8" xfId="0" applyNumberFormat="1" applyFont="1" applyBorder="1"/>
    <xf numFmtId="0" fontId="1" fillId="0" borderId="32" xfId="0" applyFont="1" applyBorder="1" applyAlignment="1">
      <alignment horizontal="left" indent="3"/>
    </xf>
    <xf numFmtId="0" fontId="32" fillId="0" borderId="0" xfId="0" applyFont="1" applyAlignment="1">
      <alignment vertical="center"/>
    </xf>
    <xf numFmtId="0" fontId="16" fillId="0" borderId="0" xfId="0" applyFont="1"/>
    <xf numFmtId="0" fontId="16" fillId="0" borderId="0" xfId="0" applyFont="1" applyAlignment="1"/>
    <xf numFmtId="3" fontId="11" fillId="0" borderId="97" xfId="0" applyNumberFormat="1" applyFont="1" applyBorder="1"/>
    <xf numFmtId="3" fontId="11" fillId="0" borderId="86" xfId="0" applyNumberFormat="1" applyFont="1" applyBorder="1"/>
    <xf numFmtId="3" fontId="11" fillId="0" borderId="32" xfId="0" applyNumberFormat="1" applyFont="1" applyBorder="1"/>
    <xf numFmtId="3" fontId="11" fillId="0" borderId="34" xfId="0" applyNumberFormat="1" applyFont="1" applyBorder="1"/>
    <xf numFmtId="3" fontId="11" fillId="0" borderId="35" xfId="0" applyNumberFormat="1" applyFont="1" applyBorder="1"/>
    <xf numFmtId="3" fontId="25" fillId="0" borderId="19" xfId="0" applyNumberFormat="1" applyFont="1" applyBorder="1"/>
    <xf numFmtId="3" fontId="26" fillId="0" borderId="53" xfId="0" applyNumberFormat="1" applyFont="1" applyBorder="1"/>
    <xf numFmtId="3" fontId="25" fillId="0" borderId="18" xfId="0" applyNumberFormat="1" applyFont="1" applyBorder="1"/>
    <xf numFmtId="3" fontId="25" fillId="0" borderId="15" xfId="0" applyNumberFormat="1" applyFont="1" applyBorder="1"/>
    <xf numFmtId="0" fontId="16" fillId="0" borderId="0" xfId="0" applyFont="1" applyAlignment="1"/>
    <xf numFmtId="0" fontId="7" fillId="0" borderId="61" xfId="0" applyFont="1" applyBorder="1" applyAlignment="1">
      <alignment horizontal="left" indent="2"/>
    </xf>
    <xf numFmtId="0" fontId="12" fillId="0" borderId="0" xfId="0" applyFont="1" applyBorder="1" applyAlignment="1">
      <alignment horizontal="left"/>
    </xf>
    <xf numFmtId="0" fontId="9" fillId="0" borderId="0" xfId="0" applyFont="1" applyBorder="1"/>
    <xf numFmtId="0" fontId="7" fillId="0" borderId="36" xfId="0" applyFont="1" applyBorder="1" applyAlignment="1">
      <alignment horizontal="left" indent="2"/>
    </xf>
    <xf numFmtId="3" fontId="9" fillId="0" borderId="36" xfId="0" applyNumberFormat="1" applyFont="1" applyBorder="1"/>
    <xf numFmtId="0" fontId="27" fillId="0" borderId="0" xfId="0" applyFont="1" applyAlignment="1">
      <alignment horizontal="left" vertical="top"/>
    </xf>
    <xf numFmtId="0" fontId="15" fillId="0" borderId="3"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 fillId="0" borderId="0" xfId="0" applyFont="1" applyAlignment="1">
      <alignment horizontal="left" vertical="top"/>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0" xfId="0" applyFont="1" applyAlignment="1">
      <alignment horizontal="center"/>
    </xf>
    <xf numFmtId="0" fontId="17" fillId="0" borderId="0" xfId="0" applyFont="1" applyAlignment="1">
      <alignment horizontal="left" vertical="top"/>
    </xf>
    <xf numFmtId="0" fontId="15" fillId="0" borderId="1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9" fillId="0" borderId="31" xfId="0" applyFont="1" applyBorder="1" applyAlignment="1">
      <alignment horizontal="center"/>
    </xf>
    <xf numFmtId="0" fontId="23" fillId="0" borderId="93" xfId="0" applyFont="1" applyBorder="1" applyAlignment="1">
      <alignment horizontal="left" vertical="top" wrapText="1"/>
    </xf>
    <xf numFmtId="0" fontId="0" fillId="0" borderId="93" xfId="0" applyBorder="1" applyAlignment="1">
      <alignment horizontal="left" vertical="top" wrapText="1"/>
    </xf>
    <xf numFmtId="0" fontId="0" fillId="0" borderId="94" xfId="0" applyBorder="1" applyAlignment="1">
      <alignment horizontal="left" vertical="top" wrapText="1"/>
    </xf>
    <xf numFmtId="0" fontId="0" fillId="0" borderId="48" xfId="0" applyBorder="1" applyAlignment="1">
      <alignment horizontal="left" vertical="top" wrapText="1"/>
    </xf>
    <xf numFmtId="0" fontId="0" fillId="0" borderId="51" xfId="0" applyBorder="1" applyAlignment="1">
      <alignment horizontal="left" vertical="top" wrapText="1"/>
    </xf>
    <xf numFmtId="0" fontId="19" fillId="0" borderId="39" xfId="0" applyFont="1" applyBorder="1" applyAlignment="1">
      <alignment horizontal="right" vertical="top"/>
    </xf>
    <xf numFmtId="0" fontId="19" fillId="0" borderId="48" xfId="0" applyFont="1" applyBorder="1" applyAlignment="1">
      <alignment horizontal="left" vertical="top"/>
    </xf>
    <xf numFmtId="0" fontId="19" fillId="0" borderId="51" xfId="0" applyFont="1" applyBorder="1" applyAlignment="1">
      <alignment horizontal="left" vertical="top"/>
    </xf>
    <xf numFmtId="0" fontId="23" fillId="0" borderId="38" xfId="0" applyFont="1" applyBorder="1" applyAlignment="1">
      <alignment horizontal="left" vertical="top" wrapText="1"/>
    </xf>
    <xf numFmtId="0" fontId="23" fillId="0" borderId="38" xfId="0" applyFont="1" applyBorder="1" applyAlignment="1">
      <alignment horizontal="left" vertical="top"/>
    </xf>
    <xf numFmtId="0" fontId="23" fillId="0" borderId="27" xfId="0" applyFont="1" applyBorder="1" applyAlignment="1">
      <alignment horizontal="left" vertical="top"/>
    </xf>
    <xf numFmtId="0" fontId="19" fillId="0" borderId="52" xfId="0" applyFont="1" applyBorder="1" applyAlignment="1">
      <alignment horizontal="center" vertical="top"/>
    </xf>
    <xf numFmtId="0" fontId="19" fillId="0" borderId="28" xfId="0" applyFont="1" applyBorder="1" applyAlignment="1">
      <alignment horizontal="center" vertical="top"/>
    </xf>
    <xf numFmtId="0" fontId="20" fillId="0" borderId="38" xfId="0" applyFont="1" applyBorder="1" applyAlignment="1">
      <alignment horizontal="left" vertical="top" wrapText="1"/>
    </xf>
    <xf numFmtId="0" fontId="20" fillId="0" borderId="38" xfId="0" applyFont="1" applyBorder="1" applyAlignment="1">
      <alignment horizontal="left" vertical="top"/>
    </xf>
    <xf numFmtId="0" fontId="20" fillId="0" borderId="27" xfId="0" applyFont="1" applyBorder="1" applyAlignment="1">
      <alignment horizontal="left" vertical="top"/>
    </xf>
    <xf numFmtId="0" fontId="18"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19" fillId="0" borderId="48" xfId="0" applyFont="1" applyBorder="1" applyAlignment="1">
      <alignment horizontal="left" vertical="top" wrapText="1"/>
    </xf>
    <xf numFmtId="0" fontId="19" fillId="0" borderId="33" xfId="0" applyFont="1" applyBorder="1" applyAlignment="1">
      <alignment horizontal="right" vertical="top"/>
    </xf>
    <xf numFmtId="0" fontId="19" fillId="0" borderId="47" xfId="0" applyFont="1" applyBorder="1" applyAlignment="1">
      <alignment horizontal="left" vertical="top" wrapText="1"/>
    </xf>
    <xf numFmtId="0" fontId="19" fillId="0" borderId="37" xfId="0" applyFont="1" applyBorder="1" applyAlignment="1">
      <alignment horizontal="left" vertical="top" wrapText="1"/>
    </xf>
    <xf numFmtId="0" fontId="19" fillId="0" borderId="26" xfId="0" applyFont="1" applyBorder="1" applyAlignment="1">
      <alignment horizontal="left" vertical="top" wrapText="1"/>
    </xf>
    <xf numFmtId="0" fontId="20" fillId="0" borderId="27" xfId="0" applyFont="1" applyBorder="1" applyAlignment="1">
      <alignment horizontal="left" vertical="top" wrapText="1"/>
    </xf>
    <xf numFmtId="0" fontId="9" fillId="0" borderId="0" xfId="0" applyFont="1" applyBorder="1" applyAlignment="1">
      <alignment horizontal="center"/>
    </xf>
    <xf numFmtId="0" fontId="20" fillId="0" borderId="38" xfId="0" applyFont="1" applyBorder="1" applyAlignment="1">
      <alignment vertical="center" wrapText="1"/>
    </xf>
    <xf numFmtId="0" fontId="20" fillId="0" borderId="27" xfId="0" applyFont="1" applyBorder="1" applyAlignment="1">
      <alignment vertical="center" wrapText="1"/>
    </xf>
    <xf numFmtId="0" fontId="33" fillId="0" borderId="93" xfId="0" applyFont="1" applyBorder="1" applyAlignment="1">
      <alignment horizontal="left" vertical="top" wrapText="1"/>
    </xf>
    <xf numFmtId="0" fontId="33" fillId="0" borderId="94" xfId="0" applyFont="1" applyBorder="1" applyAlignment="1">
      <alignment horizontal="left" vertical="top" wrapText="1"/>
    </xf>
    <xf numFmtId="0" fontId="35" fillId="0" borderId="48" xfId="0" applyFont="1" applyBorder="1" applyAlignment="1">
      <alignment horizontal="left" vertical="top" wrapText="1"/>
    </xf>
    <xf numFmtId="0" fontId="35" fillId="0" borderId="51" xfId="0" applyFont="1" applyBorder="1" applyAlignment="1">
      <alignment horizontal="left" vertical="top" wrapText="1"/>
    </xf>
    <xf numFmtId="0" fontId="15" fillId="0" borderId="58" xfId="0" applyFont="1" applyBorder="1" applyAlignment="1">
      <alignment horizontal="center" vertical="center" wrapText="1"/>
    </xf>
    <xf numFmtId="0" fontId="15" fillId="0" borderId="92" xfId="0" applyFont="1" applyBorder="1" applyAlignment="1">
      <alignment horizontal="center" vertical="center" wrapText="1"/>
    </xf>
    <xf numFmtId="0" fontId="9" fillId="0" borderId="0" xfId="0" applyFont="1" applyAlignment="1">
      <alignment horizontal="center" wrapText="1"/>
    </xf>
    <xf numFmtId="0" fontId="15" fillId="0" borderId="57"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72" xfId="0" applyFont="1" applyBorder="1" applyAlignment="1">
      <alignment horizontal="left" indent="2"/>
    </xf>
    <xf numFmtId="0" fontId="15" fillId="0" borderId="31" xfId="0" applyFont="1" applyBorder="1" applyAlignment="1">
      <alignment horizontal="left" indent="2"/>
    </xf>
    <xf numFmtId="0" fontId="15" fillId="0" borderId="74" xfId="0" applyFont="1" applyBorder="1" applyAlignment="1">
      <alignment horizontal="center" vertical="center"/>
    </xf>
    <xf numFmtId="0" fontId="15" fillId="0" borderId="36" xfId="0" applyFont="1" applyBorder="1" applyAlignment="1">
      <alignment horizontal="center" vertical="center"/>
    </xf>
    <xf numFmtId="0" fontId="15" fillId="0" borderId="24" xfId="0" applyFont="1" applyBorder="1" applyAlignment="1">
      <alignment horizontal="center" vertical="center"/>
    </xf>
    <xf numFmtId="0" fontId="15" fillId="0" borderId="71" xfId="0" applyFont="1" applyBorder="1" applyAlignment="1">
      <alignment horizontal="center" vertical="center"/>
    </xf>
    <xf numFmtId="0" fontId="15" fillId="0" borderId="75" xfId="0" applyFont="1" applyBorder="1" applyAlignment="1">
      <alignment horizontal="center" vertical="center"/>
    </xf>
    <xf numFmtId="0" fontId="15" fillId="0" borderId="25" xfId="0" applyFont="1" applyBorder="1" applyAlignment="1">
      <alignment horizontal="center" vertical="center"/>
    </xf>
    <xf numFmtId="0" fontId="15" fillId="0" borderId="9" xfId="0" applyFont="1" applyBorder="1" applyAlignment="1">
      <alignment horizontal="center"/>
    </xf>
    <xf numFmtId="0" fontId="15" fillId="0" borderId="66" xfId="0" applyFont="1" applyBorder="1" applyAlignment="1">
      <alignment horizontal="center"/>
    </xf>
    <xf numFmtId="0" fontId="15" fillId="0" borderId="59" xfId="0" applyFont="1" applyBorder="1" applyAlignment="1">
      <alignment horizontal="center"/>
    </xf>
    <xf numFmtId="0" fontId="15" fillId="0" borderId="76" xfId="0" applyFont="1" applyBorder="1" applyAlignment="1">
      <alignment horizontal="left" indent="2"/>
    </xf>
    <xf numFmtId="0" fontId="15" fillId="0" borderId="77" xfId="0" applyFont="1" applyBorder="1" applyAlignment="1">
      <alignment horizontal="left" indent="2"/>
    </xf>
    <xf numFmtId="0" fontId="15" fillId="0" borderId="81" xfId="0" applyFont="1" applyBorder="1" applyAlignment="1">
      <alignment horizontal="left" indent="2"/>
    </xf>
    <xf numFmtId="0" fontId="15" fillId="0" borderId="82" xfId="0" applyFont="1" applyBorder="1" applyAlignment="1">
      <alignment horizontal="left" indent="2"/>
    </xf>
  </cellXfs>
  <cellStyles count="21">
    <cellStyle name="Comma" xfId="1" builtinId="3"/>
    <cellStyle name="Comma 2" xfId="3"/>
    <cellStyle name="Comma 2 2" xfId="4"/>
    <cellStyle name="Comma 3" xfId="5"/>
    <cellStyle name="Comma 4" xfId="6"/>
    <cellStyle name="Comma 4 2" xfId="7"/>
    <cellStyle name="Currency" xfId="2" builtinId="4"/>
    <cellStyle name="Currency 2" xfId="8"/>
    <cellStyle name="Currency 2 2" xfId="9"/>
    <cellStyle name="Currency 3" xfId="10"/>
    <cellStyle name="Currency 4" xfId="11"/>
    <cellStyle name="Currency 4 2" xfId="12"/>
    <cellStyle name="Normal" xfId="0" builtinId="0"/>
    <cellStyle name="Normal 2" xfId="13"/>
    <cellStyle name="Normal 3" xfId="14"/>
    <cellStyle name="Normal 4" xfId="15"/>
    <cellStyle name="Normal 5" xfId="20"/>
    <cellStyle name="Percent 2" xfId="16"/>
    <cellStyle name="Percent 2 2" xfId="17"/>
    <cellStyle name="Percent 3" xfId="18"/>
    <cellStyle name="Percent 3 2" xfId="1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16</xdr:col>
      <xdr:colOff>304800</xdr:colOff>
      <xdr:row>44</xdr:row>
      <xdr:rowOff>181399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48640"/>
          <a:ext cx="10058400" cy="7679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dget\FY%202014\FY%202014%20Budget%20Formulation\_PB\FY%202014%20BY\FY%202014%20and%2013%20Schedule%200%202013.0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3 Payroll Calculation"/>
      <sheetName val="Schedule O"/>
      <sheetName val="L. Summary by OC"/>
      <sheetName val="External Summary"/>
      <sheetName val="1221 FTE Summary"/>
      <sheetName val="FY 2014 Payroll"/>
      <sheetName val="FY 2013 Payroll"/>
      <sheetName val="FY13 Q1 Op Plan"/>
      <sheetName val="FTE Calculation"/>
      <sheetName val="FY 2013 Op Plan"/>
      <sheetName val="Summary"/>
      <sheetName val="11.0 Salary Compensation"/>
      <sheetName val="12.0 Personnel Benefits"/>
      <sheetName val="13.0 Benefits for Former Emp. "/>
      <sheetName val="21.0 Travel of Persons"/>
      <sheetName val="22.0 Transportation of Things"/>
      <sheetName val="Sheet1"/>
      <sheetName val="Object Class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E6">
            <v>1822.5137699999996</v>
          </cell>
        </row>
      </sheetData>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
  <sheetViews>
    <sheetView view="pageBreakPreview" zoomScaleNormal="100" zoomScaleSheetLayoutView="100" workbookViewId="0">
      <selection activeCell="S37" sqref="S37"/>
    </sheetView>
  </sheetViews>
  <sheetFormatPr defaultRowHeight="14.4" x14ac:dyDescent="0.3"/>
  <sheetData>
    <row r="1" spans="1:5" ht="15.6" x14ac:dyDescent="0.3">
      <c r="A1" s="180" t="s">
        <v>171</v>
      </c>
      <c r="B1" s="180"/>
      <c r="C1" s="180"/>
      <c r="D1" s="180"/>
      <c r="E1" s="180"/>
    </row>
  </sheetData>
  <pageMargins left="0.7" right="0.7" top="0.75" bottom="0.75" header="0.3" footer="0.3"/>
  <pageSetup scale="76" orientation="landscape" r:id="rId1"/>
  <headerFooter>
    <oddFooter>&amp;C&amp;"Arial,Regular"Exhibit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view="pageBreakPreview" zoomScale="80" zoomScaleNormal="100" zoomScaleSheetLayoutView="80" workbookViewId="0">
      <selection activeCell="K38" sqref="K38"/>
    </sheetView>
  </sheetViews>
  <sheetFormatPr defaultColWidth="9.109375" defaultRowHeight="13.8" x14ac:dyDescent="0.25"/>
  <cols>
    <col min="1" max="1" width="9.44140625" style="12" customWidth="1"/>
    <col min="2" max="2" width="13.5546875" style="12" customWidth="1"/>
    <col min="3" max="3" width="3.6640625" style="12" customWidth="1"/>
    <col min="4" max="4" width="10.6640625" style="12" bestFit="1" customWidth="1"/>
    <col min="5" max="5" width="8.33203125" style="12" customWidth="1"/>
    <col min="6" max="6" width="12.6640625" style="12" customWidth="1"/>
    <col min="7" max="7" width="8.33203125" style="12" customWidth="1"/>
    <col min="8" max="8" width="12.6640625" style="12" customWidth="1"/>
    <col min="9" max="9" width="8.33203125" style="12" customWidth="1"/>
    <col min="10" max="10" width="12.6640625" style="12" customWidth="1"/>
    <col min="11" max="11" width="8.33203125" style="12" customWidth="1"/>
    <col min="12" max="12" width="12.6640625" style="12" customWidth="1"/>
    <col min="13" max="13" width="14" style="7" bestFit="1" customWidth="1"/>
    <col min="14" max="14" width="4.5546875" style="12" customWidth="1"/>
    <col min="15" max="16" width="8.33203125" style="12" customWidth="1"/>
    <col min="17" max="17" width="12.6640625" style="12" customWidth="1"/>
    <col min="18" max="19" width="8.33203125" style="12" customWidth="1"/>
    <col min="20" max="20" width="12.6640625" style="12" customWidth="1"/>
    <col min="21" max="16384" width="9.109375" style="12"/>
  </cols>
  <sheetData>
    <row r="1" spans="1:20" ht="18" x14ac:dyDescent="0.25">
      <c r="A1" s="251" t="s">
        <v>139</v>
      </c>
      <c r="B1" s="251"/>
      <c r="C1" s="251"/>
      <c r="D1" s="251"/>
      <c r="E1" s="251"/>
      <c r="F1" s="251"/>
      <c r="G1" s="251"/>
      <c r="H1" s="251"/>
      <c r="I1" s="251"/>
      <c r="J1" s="251"/>
      <c r="K1" s="251"/>
      <c r="L1" s="251"/>
      <c r="M1" s="66" t="s">
        <v>15</v>
      </c>
      <c r="N1" s="9"/>
      <c r="O1" s="9"/>
      <c r="P1" s="9"/>
      <c r="Q1" s="9"/>
      <c r="R1" s="9"/>
      <c r="S1" s="9"/>
      <c r="T1" s="9"/>
    </row>
    <row r="2" spans="1:20" ht="15" x14ac:dyDescent="0.2">
      <c r="A2" s="252" t="s">
        <v>154</v>
      </c>
      <c r="B2" s="252"/>
      <c r="C2" s="252"/>
      <c r="D2" s="252"/>
      <c r="E2" s="252"/>
      <c r="F2" s="252"/>
      <c r="G2" s="252"/>
      <c r="H2" s="252"/>
      <c r="I2" s="252"/>
      <c r="J2" s="252"/>
      <c r="K2" s="252"/>
      <c r="L2" s="252"/>
      <c r="M2" s="66" t="s">
        <v>15</v>
      </c>
      <c r="N2" s="10"/>
      <c r="O2" s="10"/>
      <c r="P2" s="10"/>
      <c r="Q2" s="10"/>
      <c r="R2" s="10"/>
      <c r="S2" s="10"/>
      <c r="T2" s="10"/>
    </row>
    <row r="3" spans="1:20" ht="14.25" x14ac:dyDescent="0.2">
      <c r="A3" s="267" t="s">
        <v>1</v>
      </c>
      <c r="B3" s="267"/>
      <c r="C3" s="267"/>
      <c r="D3" s="267"/>
      <c r="E3" s="267"/>
      <c r="F3" s="267"/>
      <c r="G3" s="267"/>
      <c r="H3" s="267"/>
      <c r="I3" s="267"/>
      <c r="J3" s="267"/>
      <c r="K3" s="267"/>
      <c r="L3" s="267"/>
      <c r="M3" s="66" t="s">
        <v>15</v>
      </c>
      <c r="N3" s="13"/>
      <c r="O3" s="13"/>
      <c r="P3" s="13"/>
      <c r="Q3" s="13"/>
      <c r="R3" s="13"/>
      <c r="S3" s="13"/>
      <c r="T3" s="13"/>
    </row>
    <row r="4" spans="1:20" ht="14.25" x14ac:dyDescent="0.2">
      <c r="A4" s="254" t="s">
        <v>2</v>
      </c>
      <c r="B4" s="254"/>
      <c r="C4" s="254"/>
      <c r="D4" s="254"/>
      <c r="E4" s="254"/>
      <c r="F4" s="254"/>
      <c r="G4" s="254"/>
      <c r="H4" s="254"/>
      <c r="I4" s="254"/>
      <c r="J4" s="254"/>
      <c r="K4" s="254"/>
      <c r="L4" s="254"/>
      <c r="M4" s="66" t="s">
        <v>15</v>
      </c>
      <c r="N4" s="11"/>
      <c r="O4" s="11"/>
      <c r="P4" s="11"/>
      <c r="Q4" s="11"/>
      <c r="R4" s="11"/>
      <c r="S4" s="11"/>
      <c r="T4" s="11"/>
    </row>
    <row r="5" spans="1:20" ht="14.25" x14ac:dyDescent="0.2">
      <c r="A5" s="254"/>
      <c r="B5" s="254"/>
      <c r="C5" s="254"/>
      <c r="D5" s="254"/>
      <c r="E5" s="254"/>
      <c r="F5" s="254"/>
      <c r="G5" s="254"/>
      <c r="H5" s="254"/>
      <c r="I5" s="254"/>
      <c r="J5" s="254"/>
      <c r="K5" s="254"/>
      <c r="L5" s="254"/>
      <c r="M5" s="66" t="s">
        <v>15</v>
      </c>
      <c r="N5" s="11"/>
      <c r="O5" s="11"/>
      <c r="P5" s="11"/>
      <c r="Q5" s="11"/>
      <c r="R5" s="11"/>
      <c r="S5" s="11"/>
      <c r="T5" s="11"/>
    </row>
    <row r="6" spans="1:20" ht="15" thickBot="1" x14ac:dyDescent="0.25">
      <c r="A6" s="254"/>
      <c r="B6" s="254"/>
      <c r="C6" s="254"/>
      <c r="D6" s="254"/>
      <c r="E6" s="254"/>
      <c r="F6" s="254"/>
      <c r="G6" s="254"/>
      <c r="H6" s="254"/>
      <c r="I6" s="254"/>
      <c r="J6" s="254"/>
      <c r="K6" s="254"/>
      <c r="L6" s="254"/>
      <c r="M6" s="66" t="s">
        <v>15</v>
      </c>
      <c r="N6" s="11"/>
      <c r="O6" s="11"/>
      <c r="P6" s="11"/>
      <c r="Q6" s="11"/>
      <c r="R6" s="11"/>
      <c r="S6" s="11"/>
      <c r="T6" s="11"/>
    </row>
    <row r="7" spans="1:20" ht="30.75" customHeight="1" x14ac:dyDescent="0.25">
      <c r="A7" s="310" t="s">
        <v>110</v>
      </c>
      <c r="B7" s="311"/>
      <c r="C7" s="311"/>
      <c r="D7" s="312"/>
      <c r="E7" s="258" t="s">
        <v>6</v>
      </c>
      <c r="F7" s="258"/>
      <c r="G7" s="258" t="s">
        <v>7</v>
      </c>
      <c r="H7" s="258"/>
      <c r="I7" s="258" t="s">
        <v>19</v>
      </c>
      <c r="J7" s="258"/>
      <c r="K7" s="258" t="s">
        <v>51</v>
      </c>
      <c r="L7" s="259"/>
      <c r="M7" s="66" t="s">
        <v>15</v>
      </c>
    </row>
    <row r="8" spans="1:20" ht="27.6" x14ac:dyDescent="0.25">
      <c r="A8" s="313"/>
      <c r="B8" s="314"/>
      <c r="C8" s="314"/>
      <c r="D8" s="315"/>
      <c r="E8" s="14" t="s">
        <v>4</v>
      </c>
      <c r="F8" s="14" t="s">
        <v>5</v>
      </c>
      <c r="G8" s="14" t="s">
        <v>4</v>
      </c>
      <c r="H8" s="14" t="s">
        <v>5</v>
      </c>
      <c r="I8" s="14" t="s">
        <v>4</v>
      </c>
      <c r="J8" s="14" t="s">
        <v>5</v>
      </c>
      <c r="K8" s="14" t="s">
        <v>4</v>
      </c>
      <c r="L8" s="15" t="s">
        <v>5</v>
      </c>
      <c r="M8" s="66" t="s">
        <v>15</v>
      </c>
    </row>
    <row r="9" spans="1:20" ht="14.25" x14ac:dyDescent="0.2">
      <c r="A9" s="102" t="s">
        <v>111</v>
      </c>
      <c r="B9" s="103">
        <v>145700</v>
      </c>
      <c r="C9" s="104" t="s">
        <v>116</v>
      </c>
      <c r="D9" s="105">
        <v>199700</v>
      </c>
      <c r="E9" s="145">
        <v>4</v>
      </c>
      <c r="F9" s="147">
        <f>E9*132.7</f>
        <v>530.79999999999995</v>
      </c>
      <c r="G9" s="145">
        <v>4</v>
      </c>
      <c r="H9" s="147">
        <f>G9*132.7*1.005</f>
        <v>533.45399999999995</v>
      </c>
      <c r="I9" s="145">
        <v>4</v>
      </c>
      <c r="J9" s="147">
        <f>I9*132.7*1.015</f>
        <v>538.76199999999994</v>
      </c>
      <c r="K9" s="147">
        <f>I9-G9</f>
        <v>0</v>
      </c>
      <c r="L9" s="148">
        <f>J9-H9</f>
        <v>5.3079999999999927</v>
      </c>
      <c r="M9" s="66" t="s">
        <v>15</v>
      </c>
    </row>
    <row r="10" spans="1:20" ht="16.5" x14ac:dyDescent="0.2">
      <c r="A10" s="176" t="s">
        <v>181</v>
      </c>
      <c r="B10" s="107">
        <v>113700</v>
      </c>
      <c r="C10" s="108" t="s">
        <v>116</v>
      </c>
      <c r="D10" s="109">
        <v>153000</v>
      </c>
      <c r="E10" s="146">
        <v>118</v>
      </c>
      <c r="F10" s="149">
        <f>E10*133.3</f>
        <v>15729.400000000001</v>
      </c>
      <c r="G10" s="146">
        <v>118</v>
      </c>
      <c r="H10" s="149">
        <f>G10*133.3*1.005</f>
        <v>15808.047</v>
      </c>
      <c r="I10" s="146">
        <v>118</v>
      </c>
      <c r="J10" s="149">
        <f>I10*133.3*1.015</f>
        <v>15965.341</v>
      </c>
      <c r="K10" s="149">
        <f t="shared" ref="K10:K25" si="0">I10-G10</f>
        <v>0</v>
      </c>
      <c r="L10" s="150">
        <f t="shared" ref="L10:L25" si="1">J10-H10</f>
        <v>157.29399999999987</v>
      </c>
      <c r="M10" s="66" t="s">
        <v>15</v>
      </c>
    </row>
    <row r="11" spans="1:20" ht="14.25" x14ac:dyDescent="0.2">
      <c r="A11" s="106" t="s">
        <v>99</v>
      </c>
      <c r="B11" s="107">
        <v>123758</v>
      </c>
      <c r="C11" s="108" t="s">
        <v>116</v>
      </c>
      <c r="D11" s="109">
        <v>155500</v>
      </c>
      <c r="E11" s="146">
        <v>278</v>
      </c>
      <c r="F11" s="149">
        <f>E11*139.6</f>
        <v>38808.799999999996</v>
      </c>
      <c r="G11" s="146">
        <v>278</v>
      </c>
      <c r="H11" s="149">
        <f>G11*139.6*1.005</f>
        <v>39002.84399999999</v>
      </c>
      <c r="I11" s="146">
        <v>278</v>
      </c>
      <c r="J11" s="149">
        <f>I11*139.6*1.015</f>
        <v>39390.931999999993</v>
      </c>
      <c r="K11" s="149">
        <f t="shared" si="0"/>
        <v>0</v>
      </c>
      <c r="L11" s="150">
        <f t="shared" si="1"/>
        <v>388.08800000000338</v>
      </c>
      <c r="M11" s="66" t="s">
        <v>15</v>
      </c>
    </row>
    <row r="12" spans="1:20" ht="14.25" x14ac:dyDescent="0.2">
      <c r="A12" s="106" t="s">
        <v>100</v>
      </c>
      <c r="B12" s="107">
        <v>105211</v>
      </c>
      <c r="C12" s="108" t="s">
        <v>116</v>
      </c>
      <c r="D12" s="109">
        <v>136771</v>
      </c>
      <c r="E12" s="146">
        <v>253</v>
      </c>
      <c r="F12" s="149">
        <f>E12*121</f>
        <v>30613</v>
      </c>
      <c r="G12" s="146">
        <v>253</v>
      </c>
      <c r="H12" s="149">
        <f>G12*121*1.005</f>
        <v>30766.064999999995</v>
      </c>
      <c r="I12" s="146">
        <v>253</v>
      </c>
      <c r="J12" s="149">
        <f>I12*121*1.015</f>
        <v>31072.194999999996</v>
      </c>
      <c r="K12" s="149">
        <f t="shared" si="0"/>
        <v>0</v>
      </c>
      <c r="L12" s="150">
        <f t="shared" si="1"/>
        <v>306.13000000000102</v>
      </c>
      <c r="M12" s="66" t="s">
        <v>15</v>
      </c>
    </row>
    <row r="13" spans="1:20" ht="14.25" x14ac:dyDescent="0.2">
      <c r="A13" s="106" t="s">
        <v>101</v>
      </c>
      <c r="B13" s="107">
        <v>89033</v>
      </c>
      <c r="C13" s="108" t="s">
        <v>116</v>
      </c>
      <c r="D13" s="109">
        <v>115742</v>
      </c>
      <c r="E13" s="146">
        <v>77</v>
      </c>
      <c r="F13" s="149">
        <f>E13*102.4</f>
        <v>7884.8</v>
      </c>
      <c r="G13" s="146">
        <v>77</v>
      </c>
      <c r="H13" s="149">
        <f>G13*102.4*1.005</f>
        <v>7924.2239999999993</v>
      </c>
      <c r="I13" s="146">
        <v>77</v>
      </c>
      <c r="J13" s="149">
        <f>I13*102.4*1.015</f>
        <v>8003.0719999999992</v>
      </c>
      <c r="K13" s="149">
        <f t="shared" si="0"/>
        <v>0</v>
      </c>
      <c r="L13" s="150">
        <f t="shared" si="1"/>
        <v>78.847999999999956</v>
      </c>
      <c r="M13" s="66" t="s">
        <v>15</v>
      </c>
    </row>
    <row r="14" spans="1:20" ht="14.25" x14ac:dyDescent="0.2">
      <c r="A14" s="106" t="s">
        <v>102</v>
      </c>
      <c r="B14" s="107">
        <v>74872</v>
      </c>
      <c r="C14" s="108" t="s">
        <v>116</v>
      </c>
      <c r="D14" s="109">
        <v>97333</v>
      </c>
      <c r="E14" s="146">
        <v>52</v>
      </c>
      <c r="F14" s="149">
        <f>E14*86.1</f>
        <v>4477.2</v>
      </c>
      <c r="G14" s="146">
        <v>52</v>
      </c>
      <c r="H14" s="149">
        <f>G14*86.1*1.005</f>
        <v>4499.5859999999993</v>
      </c>
      <c r="I14" s="146">
        <v>52</v>
      </c>
      <c r="J14" s="149">
        <f>I14*86.1*1.015</f>
        <v>4544.3579999999993</v>
      </c>
      <c r="K14" s="149">
        <f t="shared" si="0"/>
        <v>0</v>
      </c>
      <c r="L14" s="150">
        <f t="shared" si="1"/>
        <v>44.771999999999935</v>
      </c>
      <c r="M14" s="66" t="s">
        <v>15</v>
      </c>
    </row>
    <row r="15" spans="1:20" ht="14.25" x14ac:dyDescent="0.2">
      <c r="A15" s="106" t="s">
        <v>103</v>
      </c>
      <c r="B15" s="107">
        <v>62467</v>
      </c>
      <c r="C15" s="108" t="s">
        <v>116</v>
      </c>
      <c r="D15" s="109">
        <v>81204</v>
      </c>
      <c r="E15" s="146">
        <v>243</v>
      </c>
      <c r="F15" s="149">
        <f>E15*71.8</f>
        <v>17447.399999999998</v>
      </c>
      <c r="G15" s="146">
        <v>243</v>
      </c>
      <c r="H15" s="149">
        <f>G15*71.8*1.005</f>
        <v>17534.636999999995</v>
      </c>
      <c r="I15" s="146">
        <v>243</v>
      </c>
      <c r="J15" s="149">
        <f>I15*71.8*1.015</f>
        <v>17709.110999999997</v>
      </c>
      <c r="K15" s="149">
        <f t="shared" si="0"/>
        <v>0</v>
      </c>
      <c r="L15" s="150">
        <f t="shared" si="1"/>
        <v>174.47400000000198</v>
      </c>
      <c r="M15" s="66" t="s">
        <v>15</v>
      </c>
    </row>
    <row r="16" spans="1:20" ht="14.25" hidden="1" x14ac:dyDescent="0.2">
      <c r="A16" s="106" t="s">
        <v>104</v>
      </c>
      <c r="B16" s="107">
        <v>56857</v>
      </c>
      <c r="C16" s="108" t="s">
        <v>116</v>
      </c>
      <c r="D16" s="109">
        <v>73917</v>
      </c>
      <c r="E16" s="146">
        <v>0</v>
      </c>
      <c r="F16" s="149">
        <f>E16*65.4</f>
        <v>0</v>
      </c>
      <c r="G16" s="146">
        <v>0</v>
      </c>
      <c r="H16" s="149">
        <f>G16*65.4*1.005</f>
        <v>0</v>
      </c>
      <c r="I16" s="146">
        <v>0</v>
      </c>
      <c r="J16" s="149">
        <f>I16*65.4*1.015</f>
        <v>0</v>
      </c>
      <c r="K16" s="149">
        <f t="shared" si="0"/>
        <v>0</v>
      </c>
      <c r="L16" s="150">
        <f t="shared" si="1"/>
        <v>0</v>
      </c>
      <c r="M16" s="66" t="s">
        <v>15</v>
      </c>
    </row>
    <row r="17" spans="1:13" ht="14.25" x14ac:dyDescent="0.2">
      <c r="A17" s="106" t="s">
        <v>105</v>
      </c>
      <c r="B17" s="110">
        <v>51630</v>
      </c>
      <c r="C17" s="111" t="s">
        <v>116</v>
      </c>
      <c r="D17" s="112">
        <v>67114</v>
      </c>
      <c r="E17" s="146">
        <v>60</v>
      </c>
      <c r="F17" s="149">
        <f>E17*59.3</f>
        <v>3558</v>
      </c>
      <c r="G17" s="146">
        <v>60</v>
      </c>
      <c r="H17" s="149">
        <f>G17*59.3*1.005</f>
        <v>3575.7899999999995</v>
      </c>
      <c r="I17" s="146">
        <v>60</v>
      </c>
      <c r="J17" s="149">
        <f>I17*59.3*1.015</f>
        <v>3611.3699999999994</v>
      </c>
      <c r="K17" s="149">
        <f t="shared" si="0"/>
        <v>0</v>
      </c>
      <c r="L17" s="150">
        <f t="shared" si="1"/>
        <v>35.579999999999927</v>
      </c>
      <c r="M17" s="66" t="s">
        <v>15</v>
      </c>
    </row>
    <row r="18" spans="1:13" ht="14.25" x14ac:dyDescent="0.2">
      <c r="A18" s="106" t="s">
        <v>106</v>
      </c>
      <c r="B18" s="110">
        <v>46745</v>
      </c>
      <c r="C18" s="111" t="s">
        <v>116</v>
      </c>
      <c r="D18" s="112">
        <v>60765</v>
      </c>
      <c r="E18" s="146">
        <v>19</v>
      </c>
      <c r="F18" s="149">
        <f>E18*53.8</f>
        <v>1022.1999999999999</v>
      </c>
      <c r="G18" s="146">
        <v>19</v>
      </c>
      <c r="H18" s="149">
        <f>G18*53.8*1.005</f>
        <v>1027.3109999999999</v>
      </c>
      <c r="I18" s="146">
        <v>19</v>
      </c>
      <c r="J18" s="149">
        <f>I18*53.8*1.015</f>
        <v>1037.5329999999999</v>
      </c>
      <c r="K18" s="149">
        <f t="shared" si="0"/>
        <v>0</v>
      </c>
      <c r="L18" s="150">
        <f t="shared" si="1"/>
        <v>10.22199999999998</v>
      </c>
      <c r="M18" s="66" t="s">
        <v>15</v>
      </c>
    </row>
    <row r="19" spans="1:13" ht="14.25" x14ac:dyDescent="0.2">
      <c r="A19" s="106" t="s">
        <v>107</v>
      </c>
      <c r="B19" s="110">
        <v>42209</v>
      </c>
      <c r="C19" s="111" t="s">
        <v>116</v>
      </c>
      <c r="D19" s="112">
        <v>54875</v>
      </c>
      <c r="E19" s="146">
        <v>196</v>
      </c>
      <c r="F19" s="149">
        <f>E19*48.5</f>
        <v>9506</v>
      </c>
      <c r="G19" s="146">
        <v>196</v>
      </c>
      <c r="H19" s="149">
        <f>G19*48.5*1.005</f>
        <v>9553.5299999999988</v>
      </c>
      <c r="I19" s="146">
        <v>196</v>
      </c>
      <c r="J19" s="149">
        <f>I19*48.5*1.015</f>
        <v>9648.5899999999983</v>
      </c>
      <c r="K19" s="149">
        <f t="shared" si="0"/>
        <v>0</v>
      </c>
      <c r="L19" s="150">
        <f t="shared" si="1"/>
        <v>95.059999999999491</v>
      </c>
      <c r="M19" s="66" t="s">
        <v>15</v>
      </c>
    </row>
    <row r="20" spans="1:13" ht="14.25" x14ac:dyDescent="0.2">
      <c r="A20" s="106" t="s">
        <v>108</v>
      </c>
      <c r="B20" s="110">
        <v>37983</v>
      </c>
      <c r="C20" s="111" t="s">
        <v>116</v>
      </c>
      <c r="D20" s="112">
        <v>49375</v>
      </c>
      <c r="E20" s="149">
        <v>12</v>
      </c>
      <c r="F20" s="149">
        <f>E20*43.7</f>
        <v>524.40000000000009</v>
      </c>
      <c r="G20" s="149">
        <v>12</v>
      </c>
      <c r="H20" s="149">
        <f>G20*43.7*1.005</f>
        <v>527.02200000000005</v>
      </c>
      <c r="I20" s="149">
        <v>12</v>
      </c>
      <c r="J20" s="149">
        <f>I20*43.7*1.015</f>
        <v>532.26600000000008</v>
      </c>
      <c r="K20" s="149">
        <f t="shared" si="0"/>
        <v>0</v>
      </c>
      <c r="L20" s="150">
        <f t="shared" si="1"/>
        <v>5.2440000000000282</v>
      </c>
      <c r="M20" s="66" t="s">
        <v>15</v>
      </c>
    </row>
    <row r="21" spans="1:13" ht="14.25" hidden="1" x14ac:dyDescent="0.2">
      <c r="A21" s="106" t="s">
        <v>109</v>
      </c>
      <c r="B21" s="110">
        <v>37075</v>
      </c>
      <c r="C21" s="111" t="s">
        <v>116</v>
      </c>
      <c r="D21" s="112">
        <v>44293</v>
      </c>
      <c r="E21" s="149">
        <v>0</v>
      </c>
      <c r="F21" s="149">
        <f>E21*40.7</f>
        <v>0</v>
      </c>
      <c r="G21" s="149">
        <v>0</v>
      </c>
      <c r="H21" s="149">
        <f>G21*40.7*1.005</f>
        <v>0</v>
      </c>
      <c r="I21" s="149">
        <v>0</v>
      </c>
      <c r="J21" s="149">
        <f>I21*40.7*1.015</f>
        <v>0</v>
      </c>
      <c r="K21" s="149">
        <f t="shared" si="0"/>
        <v>0</v>
      </c>
      <c r="L21" s="150">
        <f t="shared" si="1"/>
        <v>0</v>
      </c>
      <c r="M21" s="66" t="s">
        <v>15</v>
      </c>
    </row>
    <row r="22" spans="1:13" ht="14.25" x14ac:dyDescent="0.2">
      <c r="A22" s="106" t="s">
        <v>112</v>
      </c>
      <c r="B22" s="110">
        <v>30456</v>
      </c>
      <c r="C22" s="111" t="s">
        <v>116</v>
      </c>
      <c r="D22" s="112">
        <v>39590</v>
      </c>
      <c r="E22" s="149">
        <v>1</v>
      </c>
      <c r="F22" s="149">
        <f>E22*35</f>
        <v>35</v>
      </c>
      <c r="G22" s="149">
        <v>1</v>
      </c>
      <c r="H22" s="149">
        <f>G22*35*1.005</f>
        <v>35.174999999999997</v>
      </c>
      <c r="I22" s="149">
        <v>1</v>
      </c>
      <c r="J22" s="149">
        <f>I22*35*1.015</f>
        <v>35.524999999999999</v>
      </c>
      <c r="K22" s="149">
        <f t="shared" si="0"/>
        <v>0</v>
      </c>
      <c r="L22" s="150">
        <f t="shared" si="1"/>
        <v>0.35000000000000142</v>
      </c>
      <c r="M22" s="66" t="s">
        <v>15</v>
      </c>
    </row>
    <row r="23" spans="1:13" ht="14.25" x14ac:dyDescent="0.2">
      <c r="A23" s="106" t="s">
        <v>113</v>
      </c>
      <c r="B23" s="110">
        <v>27130</v>
      </c>
      <c r="C23" s="111" t="s">
        <v>116</v>
      </c>
      <c r="D23" s="112">
        <v>35269</v>
      </c>
      <c r="E23" s="149">
        <v>1</v>
      </c>
      <c r="F23" s="149">
        <f>E23*31.2</f>
        <v>31.2</v>
      </c>
      <c r="G23" s="149">
        <v>1</v>
      </c>
      <c r="H23" s="149">
        <f>G23*31.2*1.005</f>
        <v>31.355999999999995</v>
      </c>
      <c r="I23" s="149">
        <v>1</v>
      </c>
      <c r="J23" s="149">
        <f>I23*31.2*1.015</f>
        <v>31.667999999999996</v>
      </c>
      <c r="K23" s="149">
        <f t="shared" si="0"/>
        <v>0</v>
      </c>
      <c r="L23" s="150">
        <f t="shared" si="1"/>
        <v>0.31200000000000117</v>
      </c>
      <c r="M23" s="66" t="s">
        <v>15</v>
      </c>
    </row>
    <row r="24" spans="1:13" ht="14.25" hidden="1" x14ac:dyDescent="0.2">
      <c r="A24" s="106" t="s">
        <v>114</v>
      </c>
      <c r="B24" s="110">
        <v>24865</v>
      </c>
      <c r="C24" s="111" t="s">
        <v>116</v>
      </c>
      <c r="D24" s="112">
        <v>31292</v>
      </c>
      <c r="E24" s="149">
        <v>0</v>
      </c>
      <c r="F24" s="149">
        <f>E24*28.1</f>
        <v>0</v>
      </c>
      <c r="G24" s="149">
        <v>0</v>
      </c>
      <c r="H24" s="149">
        <f>G24*28.1*1.005</f>
        <v>0</v>
      </c>
      <c r="I24" s="149">
        <v>0</v>
      </c>
      <c r="J24" s="149">
        <f>I24*28.1*1.015</f>
        <v>0</v>
      </c>
      <c r="K24" s="149">
        <f t="shared" si="0"/>
        <v>0</v>
      </c>
      <c r="L24" s="150">
        <f t="shared" si="1"/>
        <v>0</v>
      </c>
      <c r="M24" s="66" t="s">
        <v>15</v>
      </c>
    </row>
    <row r="25" spans="1:13" ht="14.25" hidden="1" x14ac:dyDescent="0.2">
      <c r="A25" s="101" t="s">
        <v>115</v>
      </c>
      <c r="B25" s="97">
        <v>22115</v>
      </c>
      <c r="C25" s="98" t="s">
        <v>116</v>
      </c>
      <c r="D25" s="99">
        <v>27663</v>
      </c>
      <c r="E25" s="134">
        <v>0</v>
      </c>
      <c r="F25" s="134">
        <f>E25*24.9</f>
        <v>0</v>
      </c>
      <c r="G25" s="134">
        <v>0</v>
      </c>
      <c r="H25" s="134">
        <f>G25*24.9*1.005</f>
        <v>0</v>
      </c>
      <c r="I25" s="134">
        <v>0</v>
      </c>
      <c r="J25" s="134">
        <f>I25*24.9*1.015</f>
        <v>0</v>
      </c>
      <c r="K25" s="134">
        <f t="shared" si="0"/>
        <v>0</v>
      </c>
      <c r="L25" s="151">
        <f t="shared" si="1"/>
        <v>0</v>
      </c>
      <c r="M25" s="66" t="s">
        <v>15</v>
      </c>
    </row>
    <row r="26" spans="1:13" ht="15" x14ac:dyDescent="0.25">
      <c r="A26" s="316" t="s">
        <v>117</v>
      </c>
      <c r="B26" s="317"/>
      <c r="C26" s="317"/>
      <c r="D26" s="318"/>
      <c r="E26" s="135">
        <f t="shared" ref="E26:L26" si="2">SUM(E9:E25)</f>
        <v>1314</v>
      </c>
      <c r="F26" s="135">
        <f t="shared" si="2"/>
        <v>130168.19999999998</v>
      </c>
      <c r="G26" s="135">
        <f t="shared" si="2"/>
        <v>1314</v>
      </c>
      <c r="H26" s="135">
        <f t="shared" si="2"/>
        <v>130819.04099999995</v>
      </c>
      <c r="I26" s="135">
        <f t="shared" si="2"/>
        <v>1314</v>
      </c>
      <c r="J26" s="135">
        <f t="shared" si="2"/>
        <v>132120.72299999997</v>
      </c>
      <c r="K26" s="135">
        <f t="shared" si="2"/>
        <v>0</v>
      </c>
      <c r="L26" s="136">
        <f t="shared" si="2"/>
        <v>1301.6820000000052</v>
      </c>
      <c r="M26" s="66" t="s">
        <v>15</v>
      </c>
    </row>
    <row r="27" spans="1:13" ht="15" x14ac:dyDescent="0.25">
      <c r="A27" s="319" t="s">
        <v>118</v>
      </c>
      <c r="B27" s="320"/>
      <c r="C27" s="320"/>
      <c r="D27" s="320"/>
      <c r="E27" s="147"/>
      <c r="F27" s="152">
        <v>169533</v>
      </c>
      <c r="G27" s="147"/>
      <c r="H27" s="152">
        <v>170380</v>
      </c>
      <c r="I27" s="147"/>
      <c r="J27" s="152">
        <v>173276</v>
      </c>
      <c r="K27" s="147"/>
      <c r="L27" s="153"/>
      <c r="M27" s="66" t="s">
        <v>15</v>
      </c>
    </row>
    <row r="28" spans="1:13" ht="15" x14ac:dyDescent="0.25">
      <c r="A28" s="321" t="s">
        <v>119</v>
      </c>
      <c r="B28" s="322"/>
      <c r="C28" s="322"/>
      <c r="D28" s="322"/>
      <c r="E28" s="149"/>
      <c r="F28" s="154">
        <v>100904</v>
      </c>
      <c r="G28" s="149"/>
      <c r="H28" s="154">
        <v>101156</v>
      </c>
      <c r="I28" s="149"/>
      <c r="J28" s="154">
        <v>102169</v>
      </c>
      <c r="K28" s="149"/>
      <c r="L28" s="155"/>
      <c r="M28" s="66" t="s">
        <v>15</v>
      </c>
    </row>
    <row r="29" spans="1:13" ht="15.75" thickBot="1" x14ac:dyDescent="0.3">
      <c r="A29" s="308" t="s">
        <v>120</v>
      </c>
      <c r="B29" s="309"/>
      <c r="C29" s="309"/>
      <c r="D29" s="309"/>
      <c r="E29" s="156"/>
      <c r="F29" s="157">
        <v>13</v>
      </c>
      <c r="G29" s="156"/>
      <c r="H29" s="157">
        <v>13</v>
      </c>
      <c r="I29" s="156"/>
      <c r="J29" s="157">
        <v>13</v>
      </c>
      <c r="K29" s="156"/>
      <c r="L29" s="158"/>
      <c r="M29" s="66" t="s">
        <v>15</v>
      </c>
    </row>
    <row r="30" spans="1:13" ht="15" x14ac:dyDescent="0.25">
      <c r="A30" s="193"/>
      <c r="B30" s="193"/>
      <c r="C30" s="193"/>
      <c r="D30" s="193"/>
      <c r="E30" s="194"/>
      <c r="F30" s="195"/>
      <c r="G30" s="194"/>
      <c r="H30" s="195"/>
      <c r="I30" s="194"/>
      <c r="J30" s="195"/>
      <c r="K30" s="194"/>
      <c r="L30" s="194"/>
      <c r="M30" s="241" t="s">
        <v>15</v>
      </c>
    </row>
    <row r="31" spans="1:13" ht="16.5" x14ac:dyDescent="0.2">
      <c r="A31" s="196" t="s">
        <v>182</v>
      </c>
      <c r="M31" s="66" t="s">
        <v>16</v>
      </c>
    </row>
    <row r="33" spans="13:13" ht="14.25" x14ac:dyDescent="0.2">
      <c r="M33" s="66"/>
    </row>
    <row r="34" spans="13:13" ht="14.25" x14ac:dyDescent="0.2">
      <c r="M34" s="66"/>
    </row>
  </sheetData>
  <mergeCells count="15">
    <mergeCell ref="A29:D29"/>
    <mergeCell ref="A7:D8"/>
    <mergeCell ref="A26:D26"/>
    <mergeCell ref="A27:D27"/>
    <mergeCell ref="A28:D28"/>
    <mergeCell ref="E7:F7"/>
    <mergeCell ref="G7:H7"/>
    <mergeCell ref="I7:J7"/>
    <mergeCell ref="K7:L7"/>
    <mergeCell ref="A1:L1"/>
    <mergeCell ref="A2:L2"/>
    <mergeCell ref="A3:L3"/>
    <mergeCell ref="A4:L4"/>
    <mergeCell ref="A5:L5"/>
    <mergeCell ref="A6:L6"/>
  </mergeCells>
  <printOptions horizontalCentered="1"/>
  <pageMargins left="0.7" right="0.7" top="0.75" bottom="0.75" header="0.3" footer="0.3"/>
  <pageSetup fitToHeight="9999" orientation="landscape" r:id="rId1"/>
  <headerFooter>
    <oddHeader>&amp;L&amp;"Arial,Bold"&amp;12K. Summary of Requirements by Grade</oddHeader>
    <oddFooter>&amp;C&amp;"Arial,Regular"Exhibit K - Summary of Requirements by Grade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tabSelected="1" view="pageBreakPreview" zoomScale="90" zoomScaleNormal="100" zoomScaleSheetLayoutView="90" workbookViewId="0">
      <pane xSplit="1" ySplit="7" topLeftCell="B17" activePane="bottomRight" state="frozen"/>
      <selection activeCell="S37" sqref="S37"/>
      <selection pane="topRight" activeCell="S37" sqref="S37"/>
      <selection pane="bottomLeft" activeCell="S37" sqref="S37"/>
      <selection pane="bottomRight" activeCell="A36" sqref="A36"/>
    </sheetView>
  </sheetViews>
  <sheetFormatPr defaultColWidth="9.109375" defaultRowHeight="13.8" x14ac:dyDescent="0.25"/>
  <cols>
    <col min="1" max="1" width="86.5546875" style="12" customWidth="1"/>
    <col min="2" max="2" width="8.33203125" style="12" customWidth="1"/>
    <col min="3" max="3" width="12.6640625" style="12" customWidth="1"/>
    <col min="4" max="4" width="8.33203125" style="12" customWidth="1"/>
    <col min="5" max="5" width="12.6640625" style="12" customWidth="1"/>
    <col min="6" max="6" width="8.33203125" style="12" customWidth="1"/>
    <col min="7" max="7" width="12.6640625" style="12" customWidth="1"/>
    <col min="8" max="8" width="8.33203125" style="12" customWidth="1"/>
    <col min="9" max="9" width="12.6640625" style="12" customWidth="1"/>
    <col min="10" max="10" width="14" style="7" bestFit="1" customWidth="1"/>
    <col min="11" max="11" width="4.5546875" style="12" customWidth="1"/>
    <col min="12" max="13" width="8.33203125" style="12" customWidth="1"/>
    <col min="14" max="14" width="12.6640625" style="12" customWidth="1"/>
    <col min="15" max="16" width="8.33203125" style="12" customWidth="1"/>
    <col min="17" max="17" width="12.6640625" style="12" customWidth="1"/>
    <col min="18" max="16384" width="9.109375" style="12"/>
  </cols>
  <sheetData>
    <row r="1" spans="1:17" ht="18" x14ac:dyDescent="0.25">
      <c r="A1" s="251" t="s">
        <v>69</v>
      </c>
      <c r="B1" s="251"/>
      <c r="C1" s="251"/>
      <c r="D1" s="251"/>
      <c r="E1" s="251"/>
      <c r="F1" s="251"/>
      <c r="G1" s="251"/>
      <c r="H1" s="251"/>
      <c r="I1" s="251"/>
      <c r="J1" s="66" t="s">
        <v>15</v>
      </c>
      <c r="K1" s="9"/>
      <c r="L1" s="9"/>
      <c r="M1" s="9"/>
      <c r="N1" s="9"/>
      <c r="O1" s="9"/>
      <c r="P1" s="9"/>
      <c r="Q1" s="9"/>
    </row>
    <row r="2" spans="1:17" ht="15" x14ac:dyDescent="0.2">
      <c r="A2" s="252" t="s">
        <v>154</v>
      </c>
      <c r="B2" s="252"/>
      <c r="C2" s="252"/>
      <c r="D2" s="252"/>
      <c r="E2" s="252"/>
      <c r="F2" s="252"/>
      <c r="G2" s="252"/>
      <c r="H2" s="252"/>
      <c r="I2" s="252"/>
      <c r="J2" s="66" t="s">
        <v>15</v>
      </c>
      <c r="K2" s="10"/>
      <c r="L2" s="10"/>
      <c r="M2" s="10"/>
      <c r="N2" s="10"/>
      <c r="O2" s="10"/>
      <c r="P2" s="10"/>
      <c r="Q2" s="10"/>
    </row>
    <row r="3" spans="1:17" ht="14.25" x14ac:dyDescent="0.2">
      <c r="A3" s="267" t="s">
        <v>1</v>
      </c>
      <c r="B3" s="267"/>
      <c r="C3" s="267"/>
      <c r="D3" s="267"/>
      <c r="E3" s="267"/>
      <c r="F3" s="267"/>
      <c r="G3" s="267"/>
      <c r="H3" s="267"/>
      <c r="I3" s="267"/>
      <c r="J3" s="66" t="s">
        <v>15</v>
      </c>
      <c r="K3" s="13"/>
      <c r="L3" s="13"/>
      <c r="M3" s="13"/>
      <c r="N3" s="13"/>
      <c r="O3" s="13"/>
      <c r="P3" s="13"/>
      <c r="Q3" s="13"/>
    </row>
    <row r="4" spans="1:17" ht="14.25" x14ac:dyDescent="0.2">
      <c r="A4" s="254" t="s">
        <v>2</v>
      </c>
      <c r="B4" s="254"/>
      <c r="C4" s="254"/>
      <c r="D4" s="254"/>
      <c r="E4" s="254"/>
      <c r="F4" s="254"/>
      <c r="G4" s="254"/>
      <c r="H4" s="254"/>
      <c r="I4" s="254"/>
      <c r="J4" s="66" t="s">
        <v>15</v>
      </c>
      <c r="K4" s="11"/>
      <c r="L4" s="11"/>
      <c r="M4" s="11"/>
      <c r="N4" s="11"/>
      <c r="O4" s="11"/>
      <c r="P4" s="11"/>
      <c r="Q4" s="11"/>
    </row>
    <row r="5" spans="1:17" ht="15" thickBot="1" x14ac:dyDescent="0.25">
      <c r="A5" s="254"/>
      <c r="B5" s="254"/>
      <c r="C5" s="254"/>
      <c r="D5" s="254"/>
      <c r="E5" s="254"/>
      <c r="F5" s="254"/>
      <c r="G5" s="254"/>
      <c r="H5" s="254"/>
      <c r="I5" s="254"/>
      <c r="J5" s="66" t="s">
        <v>15</v>
      </c>
      <c r="K5" s="11"/>
      <c r="L5" s="11"/>
      <c r="M5" s="11"/>
      <c r="N5" s="11"/>
      <c r="O5" s="11"/>
      <c r="P5" s="11"/>
      <c r="Q5" s="11"/>
    </row>
    <row r="6" spans="1:17" x14ac:dyDescent="0.25">
      <c r="A6" s="256" t="s">
        <v>70</v>
      </c>
      <c r="B6" s="258" t="s">
        <v>50</v>
      </c>
      <c r="C6" s="258"/>
      <c r="D6" s="258" t="s">
        <v>48</v>
      </c>
      <c r="E6" s="258"/>
      <c r="F6" s="258" t="s">
        <v>19</v>
      </c>
      <c r="G6" s="258"/>
      <c r="H6" s="258" t="s">
        <v>51</v>
      </c>
      <c r="I6" s="259"/>
      <c r="J6" s="66" t="s">
        <v>15</v>
      </c>
    </row>
    <row r="7" spans="1:17" ht="27.6" x14ac:dyDescent="0.25">
      <c r="A7" s="257"/>
      <c r="B7" s="67" t="s">
        <v>25</v>
      </c>
      <c r="C7" s="14" t="s">
        <v>5</v>
      </c>
      <c r="D7" s="14" t="s">
        <v>25</v>
      </c>
      <c r="E7" s="14" t="s">
        <v>5</v>
      </c>
      <c r="F7" s="14" t="s">
        <v>25</v>
      </c>
      <c r="G7" s="14" t="s">
        <v>5</v>
      </c>
      <c r="H7" s="14" t="s">
        <v>25</v>
      </c>
      <c r="I7" s="15" t="s">
        <v>5</v>
      </c>
      <c r="J7" s="66" t="s">
        <v>15</v>
      </c>
    </row>
    <row r="8" spans="1:17" ht="14.25" x14ac:dyDescent="0.2">
      <c r="A8" s="73" t="s">
        <v>71</v>
      </c>
      <c r="B8" s="131">
        <v>1216</v>
      </c>
      <c r="C8" s="178">
        <v>121715</v>
      </c>
      <c r="D8" s="131">
        <v>1202</v>
      </c>
      <c r="E8" s="178">
        <v>121914</v>
      </c>
      <c r="F8" s="131">
        <v>1202</v>
      </c>
      <c r="G8" s="131">
        <v>123901</v>
      </c>
      <c r="H8" s="131">
        <f>F8-D8</f>
        <v>0</v>
      </c>
      <c r="I8" s="132">
        <f>G8-E8</f>
        <v>1987</v>
      </c>
      <c r="J8" s="66" t="s">
        <v>15</v>
      </c>
    </row>
    <row r="9" spans="1:17" ht="14.25" x14ac:dyDescent="0.2">
      <c r="A9" s="74" t="s">
        <v>72</v>
      </c>
      <c r="B9" s="25">
        <v>0</v>
      </c>
      <c r="C9" s="25">
        <f>+[1]Sheet1!$E$6</f>
        <v>1822.5137699999996</v>
      </c>
      <c r="D9" s="25">
        <v>0</v>
      </c>
      <c r="E9" s="25">
        <v>1823</v>
      </c>
      <c r="F9" s="25">
        <v>0</v>
      </c>
      <c r="G9" s="25">
        <v>1823</v>
      </c>
      <c r="H9" s="25">
        <f t="shared" ref="H9:H13" si="0">F9-D9</f>
        <v>0</v>
      </c>
      <c r="I9" s="133">
        <f t="shared" ref="I9:I13" si="1">G9-E9</f>
        <v>0</v>
      </c>
      <c r="J9" s="66" t="s">
        <v>15</v>
      </c>
    </row>
    <row r="10" spans="1:17" ht="14.25" x14ac:dyDescent="0.2">
      <c r="A10" s="116" t="s">
        <v>140</v>
      </c>
      <c r="B10" s="25">
        <f>SUM(B11:B12)</f>
        <v>0</v>
      </c>
      <c r="C10" s="25">
        <v>1065</v>
      </c>
      <c r="D10" s="25">
        <f t="shared" ref="D10:F10" si="2">SUM(D11:D12)</f>
        <v>0</v>
      </c>
      <c r="E10" s="25">
        <v>1250</v>
      </c>
      <c r="F10" s="25">
        <f t="shared" si="2"/>
        <v>0</v>
      </c>
      <c r="G10" s="25">
        <v>1250</v>
      </c>
      <c r="H10" s="25">
        <f t="shared" si="0"/>
        <v>0</v>
      </c>
      <c r="I10" s="133">
        <f t="shared" si="1"/>
        <v>0</v>
      </c>
      <c r="J10" s="66" t="s">
        <v>15</v>
      </c>
    </row>
    <row r="11" spans="1:17" ht="14.25" x14ac:dyDescent="0.2">
      <c r="A11" s="75" t="s">
        <v>24</v>
      </c>
      <c r="B11" s="25">
        <v>0</v>
      </c>
      <c r="C11" s="25">
        <v>0</v>
      </c>
      <c r="D11" s="177">
        <v>0</v>
      </c>
      <c r="E11" s="25">
        <v>0</v>
      </c>
      <c r="F11" s="25">
        <v>0</v>
      </c>
      <c r="G11" s="25">
        <v>0</v>
      </c>
      <c r="H11" s="25">
        <f t="shared" si="0"/>
        <v>0</v>
      </c>
      <c r="I11" s="133">
        <f t="shared" si="1"/>
        <v>0</v>
      </c>
      <c r="J11" s="66" t="s">
        <v>15</v>
      </c>
    </row>
    <row r="12" spans="1:17" ht="14.25" x14ac:dyDescent="0.2">
      <c r="A12" s="75" t="s">
        <v>73</v>
      </c>
      <c r="B12" s="25">
        <v>0</v>
      </c>
      <c r="C12" s="25">
        <v>0</v>
      </c>
      <c r="D12" s="177">
        <v>0</v>
      </c>
      <c r="E12" s="25">
        <v>0</v>
      </c>
      <c r="F12" s="25">
        <v>0</v>
      </c>
      <c r="G12" s="25">
        <v>0</v>
      </c>
      <c r="H12" s="25">
        <f t="shared" si="0"/>
        <v>0</v>
      </c>
      <c r="I12" s="133">
        <f t="shared" si="1"/>
        <v>0</v>
      </c>
      <c r="J12" s="66" t="s">
        <v>15</v>
      </c>
    </row>
    <row r="13" spans="1:17" ht="14.25" x14ac:dyDescent="0.2">
      <c r="A13" s="74" t="s">
        <v>74</v>
      </c>
      <c r="B13" s="143">
        <v>0</v>
      </c>
      <c r="C13" s="143">
        <v>0</v>
      </c>
      <c r="D13" s="143">
        <v>0</v>
      </c>
      <c r="E13" s="143">
        <v>0</v>
      </c>
      <c r="F13" s="143">
        <v>0</v>
      </c>
      <c r="G13" s="143">
        <v>0</v>
      </c>
      <c r="H13" s="143">
        <f t="shared" si="0"/>
        <v>0</v>
      </c>
      <c r="I13" s="144">
        <f t="shared" si="1"/>
        <v>0</v>
      </c>
      <c r="J13" s="66" t="s">
        <v>15</v>
      </c>
    </row>
    <row r="14" spans="1:17" ht="15" x14ac:dyDescent="0.25">
      <c r="A14" s="77" t="s">
        <v>20</v>
      </c>
      <c r="B14" s="123">
        <f>SUM(B8:B10,B13)</f>
        <v>1216</v>
      </c>
      <c r="C14" s="123">
        <f t="shared" ref="C14:I14" si="3">SUM(C8:C10,C13)</f>
        <v>124602.51377000001</v>
      </c>
      <c r="D14" s="123">
        <f t="shared" si="3"/>
        <v>1202</v>
      </c>
      <c r="E14" s="123">
        <f t="shared" si="3"/>
        <v>124987</v>
      </c>
      <c r="F14" s="123">
        <f t="shared" si="3"/>
        <v>1202</v>
      </c>
      <c r="G14" s="123">
        <f t="shared" si="3"/>
        <v>126974</v>
      </c>
      <c r="H14" s="123">
        <f t="shared" si="3"/>
        <v>0</v>
      </c>
      <c r="I14" s="128">
        <f t="shared" si="3"/>
        <v>1987</v>
      </c>
      <c r="J14" s="66" t="s">
        <v>15</v>
      </c>
    </row>
    <row r="15" spans="1:17" ht="15" x14ac:dyDescent="0.25">
      <c r="A15" s="76" t="s">
        <v>75</v>
      </c>
      <c r="B15" s="25"/>
      <c r="C15" s="25"/>
      <c r="D15" s="25"/>
      <c r="E15" s="25"/>
      <c r="F15" s="25"/>
      <c r="G15" s="25"/>
      <c r="H15" s="25"/>
      <c r="I15" s="133"/>
      <c r="J15" s="66" t="s">
        <v>15</v>
      </c>
    </row>
    <row r="16" spans="1:17" ht="14.25" x14ac:dyDescent="0.2">
      <c r="A16" s="74" t="s">
        <v>76</v>
      </c>
      <c r="B16" s="25"/>
      <c r="C16" s="25">
        <v>37238</v>
      </c>
      <c r="D16" s="25"/>
      <c r="E16" s="239">
        <f>38124+549</f>
        <v>38673</v>
      </c>
      <c r="F16" s="25"/>
      <c r="G16" s="25">
        <v>38781</v>
      </c>
      <c r="H16" s="25"/>
      <c r="I16" s="133">
        <f t="shared" ref="I16:I34" si="4">G16-E16</f>
        <v>108</v>
      </c>
      <c r="J16" s="66" t="s">
        <v>15</v>
      </c>
    </row>
    <row r="17" spans="1:10" ht="14.25" x14ac:dyDescent="0.2">
      <c r="A17" s="74" t="s">
        <v>77</v>
      </c>
      <c r="B17" s="25"/>
      <c r="C17" s="25">
        <v>0</v>
      </c>
      <c r="D17" s="25"/>
      <c r="E17" s="25">
        <v>0</v>
      </c>
      <c r="F17" s="25"/>
      <c r="G17" s="25">
        <v>0</v>
      </c>
      <c r="H17" s="25"/>
      <c r="I17" s="133">
        <f t="shared" si="4"/>
        <v>0</v>
      </c>
      <c r="J17" s="66" t="s">
        <v>15</v>
      </c>
    </row>
    <row r="18" spans="1:10" ht="14.25" x14ac:dyDescent="0.2">
      <c r="A18" s="74" t="s">
        <v>78</v>
      </c>
      <c r="B18" s="25"/>
      <c r="C18" s="25">
        <v>1753</v>
      </c>
      <c r="D18" s="25"/>
      <c r="E18" s="25">
        <v>2400</v>
      </c>
      <c r="F18" s="25"/>
      <c r="G18" s="25">
        <v>2450</v>
      </c>
      <c r="H18" s="25"/>
      <c r="I18" s="133">
        <f t="shared" si="4"/>
        <v>50</v>
      </c>
      <c r="J18" s="66" t="s">
        <v>15</v>
      </c>
    </row>
    <row r="19" spans="1:10" ht="14.25" x14ac:dyDescent="0.2">
      <c r="A19" s="116" t="s">
        <v>141</v>
      </c>
      <c r="B19" s="25"/>
      <c r="C19" s="25">
        <v>577</v>
      </c>
      <c r="D19" s="25"/>
      <c r="E19" s="25">
        <v>650</v>
      </c>
      <c r="F19" s="25"/>
      <c r="G19" s="25">
        <v>650</v>
      </c>
      <c r="H19" s="25"/>
      <c r="I19" s="133">
        <f t="shared" si="4"/>
        <v>0</v>
      </c>
      <c r="J19" s="66" t="s">
        <v>15</v>
      </c>
    </row>
    <row r="20" spans="1:10" ht="14.25" x14ac:dyDescent="0.2">
      <c r="A20" s="74" t="s">
        <v>79</v>
      </c>
      <c r="B20" s="25"/>
      <c r="C20" s="25">
        <v>27008</v>
      </c>
      <c r="D20" s="25"/>
      <c r="E20" s="25">
        <v>27450</v>
      </c>
      <c r="F20" s="25"/>
      <c r="G20" s="25">
        <v>26450</v>
      </c>
      <c r="H20" s="25"/>
      <c r="I20" s="133">
        <f t="shared" si="4"/>
        <v>-1000</v>
      </c>
      <c r="J20" s="66" t="s">
        <v>15</v>
      </c>
    </row>
    <row r="21" spans="1:10" ht="14.25" x14ac:dyDescent="0.2">
      <c r="A21" s="74" t="s">
        <v>80</v>
      </c>
      <c r="B21" s="25"/>
      <c r="C21" s="25">
        <v>256</v>
      </c>
      <c r="D21" s="25"/>
      <c r="E21" s="25">
        <v>256</v>
      </c>
      <c r="F21" s="25"/>
      <c r="G21" s="25">
        <v>330</v>
      </c>
      <c r="H21" s="25"/>
      <c r="I21" s="133">
        <f t="shared" si="4"/>
        <v>74</v>
      </c>
      <c r="J21" s="66" t="s">
        <v>15</v>
      </c>
    </row>
    <row r="22" spans="1:10" ht="14.25" x14ac:dyDescent="0.2">
      <c r="A22" s="74" t="s">
        <v>81</v>
      </c>
      <c r="B22" s="25"/>
      <c r="C22" s="25">
        <v>3925</v>
      </c>
      <c r="D22" s="25"/>
      <c r="E22" s="25">
        <v>3925</v>
      </c>
      <c r="F22" s="25"/>
      <c r="G22" s="25">
        <v>3925</v>
      </c>
      <c r="H22" s="25"/>
      <c r="I22" s="133">
        <f t="shared" si="4"/>
        <v>0</v>
      </c>
      <c r="J22" s="66" t="s">
        <v>15</v>
      </c>
    </row>
    <row r="23" spans="1:10" ht="14.25" x14ac:dyDescent="0.2">
      <c r="A23" s="74" t="s">
        <v>82</v>
      </c>
      <c r="B23" s="25"/>
      <c r="C23" s="25">
        <v>0</v>
      </c>
      <c r="D23" s="25"/>
      <c r="E23" s="25">
        <v>0</v>
      </c>
      <c r="F23" s="25"/>
      <c r="G23" s="25">
        <v>0</v>
      </c>
      <c r="H23" s="25"/>
      <c r="I23" s="133">
        <f t="shared" si="4"/>
        <v>0</v>
      </c>
      <c r="J23" s="66" t="s">
        <v>15</v>
      </c>
    </row>
    <row r="24" spans="1:10" ht="14.25" x14ac:dyDescent="0.2">
      <c r="A24" s="74" t="s">
        <v>83</v>
      </c>
      <c r="B24" s="25"/>
      <c r="C24" s="25">
        <v>2640</v>
      </c>
      <c r="D24" s="25"/>
      <c r="E24" s="25">
        <v>2640</v>
      </c>
      <c r="F24" s="25"/>
      <c r="G24" s="25">
        <v>2640</v>
      </c>
      <c r="H24" s="25"/>
      <c r="I24" s="133">
        <f t="shared" si="4"/>
        <v>0</v>
      </c>
      <c r="J24" s="66" t="s">
        <v>15</v>
      </c>
    </row>
    <row r="25" spans="1:10" ht="14.25" x14ac:dyDescent="0.2">
      <c r="A25" s="74" t="s">
        <v>84</v>
      </c>
      <c r="B25" s="25"/>
      <c r="C25" s="25">
        <v>2624</v>
      </c>
      <c r="D25" s="25"/>
      <c r="E25" s="25">
        <v>3624</v>
      </c>
      <c r="F25" s="25"/>
      <c r="G25" s="25">
        <v>3049</v>
      </c>
      <c r="H25" s="25"/>
      <c r="I25" s="133">
        <f t="shared" si="4"/>
        <v>-575</v>
      </c>
      <c r="J25" s="66" t="s">
        <v>15</v>
      </c>
    </row>
    <row r="26" spans="1:10" ht="14.25" x14ac:dyDescent="0.2">
      <c r="A26" s="74" t="s">
        <v>85</v>
      </c>
      <c r="B26" s="25"/>
      <c r="C26" s="25">
        <v>15429</v>
      </c>
      <c r="D26" s="25"/>
      <c r="E26" s="25">
        <v>16533</v>
      </c>
      <c r="F26" s="25"/>
      <c r="G26" s="25">
        <v>15529</v>
      </c>
      <c r="H26" s="25"/>
      <c r="I26" s="133">
        <f t="shared" si="4"/>
        <v>-1004</v>
      </c>
      <c r="J26" s="66" t="s">
        <v>15</v>
      </c>
    </row>
    <row r="27" spans="1:10" ht="14.25" x14ac:dyDescent="0.2">
      <c r="A27" s="74" t="s">
        <v>86</v>
      </c>
      <c r="B27" s="25"/>
      <c r="C27" s="25">
        <v>0</v>
      </c>
      <c r="D27" s="25"/>
      <c r="E27" s="25">
        <v>0</v>
      </c>
      <c r="F27" s="25"/>
      <c r="G27" s="25">
        <v>0</v>
      </c>
      <c r="H27" s="25"/>
      <c r="I27" s="133">
        <f t="shared" si="4"/>
        <v>0</v>
      </c>
      <c r="J27" s="66" t="s">
        <v>15</v>
      </c>
    </row>
    <row r="28" spans="1:10" ht="14.25" x14ac:dyDescent="0.2">
      <c r="A28" s="74" t="s">
        <v>87</v>
      </c>
      <c r="B28" s="25"/>
      <c r="C28" s="25">
        <v>0</v>
      </c>
      <c r="D28" s="25"/>
      <c r="E28" s="25">
        <v>0</v>
      </c>
      <c r="F28" s="25"/>
      <c r="G28" s="25">
        <v>0</v>
      </c>
      <c r="H28" s="25"/>
      <c r="I28" s="133">
        <f t="shared" si="4"/>
        <v>0</v>
      </c>
      <c r="J28" s="66" t="s">
        <v>15</v>
      </c>
    </row>
    <row r="29" spans="1:10" ht="14.25" x14ac:dyDescent="0.2">
      <c r="A29" s="74" t="s">
        <v>40</v>
      </c>
      <c r="B29" s="25"/>
      <c r="C29" s="25">
        <v>0</v>
      </c>
      <c r="D29" s="25"/>
      <c r="E29" s="25">
        <v>0</v>
      </c>
      <c r="F29" s="25"/>
      <c r="G29" s="25">
        <v>0</v>
      </c>
      <c r="H29" s="25"/>
      <c r="I29" s="133">
        <f t="shared" si="4"/>
        <v>0</v>
      </c>
      <c r="J29" s="66" t="s">
        <v>15</v>
      </c>
    </row>
    <row r="30" spans="1:10" ht="14.25" x14ac:dyDescent="0.2">
      <c r="A30" s="74" t="s">
        <v>88</v>
      </c>
      <c r="B30" s="25"/>
      <c r="C30" s="25">
        <v>535</v>
      </c>
      <c r="D30" s="25"/>
      <c r="E30" s="25">
        <v>535</v>
      </c>
      <c r="F30" s="25"/>
      <c r="G30" s="25">
        <v>550</v>
      </c>
      <c r="H30" s="25"/>
      <c r="I30" s="133">
        <f t="shared" si="4"/>
        <v>15</v>
      </c>
      <c r="J30" s="66" t="s">
        <v>15</v>
      </c>
    </row>
    <row r="31" spans="1:10" ht="14.25" x14ac:dyDescent="0.2">
      <c r="A31" s="74" t="s">
        <v>89</v>
      </c>
      <c r="B31" s="25"/>
      <c r="C31" s="25">
        <v>0</v>
      </c>
      <c r="D31" s="25"/>
      <c r="E31" s="25">
        <v>0</v>
      </c>
      <c r="F31" s="25"/>
      <c r="G31" s="25">
        <v>0</v>
      </c>
      <c r="H31" s="25"/>
      <c r="I31" s="133">
        <f t="shared" si="4"/>
        <v>0</v>
      </c>
      <c r="J31" s="66" t="s">
        <v>15</v>
      </c>
    </row>
    <row r="32" spans="1:10" ht="14.25" x14ac:dyDescent="0.2">
      <c r="A32" s="74" t="s">
        <v>90</v>
      </c>
      <c r="B32" s="25"/>
      <c r="C32" s="25">
        <v>1064</v>
      </c>
      <c r="D32" s="25"/>
      <c r="E32" s="25">
        <v>1100</v>
      </c>
      <c r="F32" s="25"/>
      <c r="G32" s="25">
        <v>1100</v>
      </c>
      <c r="H32" s="25"/>
      <c r="I32" s="133">
        <f t="shared" si="4"/>
        <v>0</v>
      </c>
      <c r="J32" s="66" t="s">
        <v>15</v>
      </c>
    </row>
    <row r="33" spans="1:10" ht="14.25" x14ac:dyDescent="0.2">
      <c r="A33" s="74" t="s">
        <v>91</v>
      </c>
      <c r="B33" s="25"/>
      <c r="C33" s="25">
        <v>4393</v>
      </c>
      <c r="D33" s="25"/>
      <c r="E33" s="25">
        <v>2400</v>
      </c>
      <c r="F33" s="25"/>
      <c r="G33" s="25">
        <v>2300</v>
      </c>
      <c r="H33" s="25"/>
      <c r="I33" s="133">
        <f t="shared" si="4"/>
        <v>-100</v>
      </c>
      <c r="J33" s="66" t="s">
        <v>15</v>
      </c>
    </row>
    <row r="34" spans="1:10" ht="14.25" x14ac:dyDescent="0.2">
      <c r="A34" s="74" t="s">
        <v>92</v>
      </c>
      <c r="B34" s="25"/>
      <c r="C34" s="25">
        <v>4145</v>
      </c>
      <c r="D34" s="25"/>
      <c r="E34" s="25">
        <v>0</v>
      </c>
      <c r="F34" s="25"/>
      <c r="G34" s="25">
        <v>1000</v>
      </c>
      <c r="H34" s="25"/>
      <c r="I34" s="133">
        <f t="shared" si="4"/>
        <v>1000</v>
      </c>
      <c r="J34" s="66" t="s">
        <v>15</v>
      </c>
    </row>
    <row r="35" spans="1:10" ht="15" x14ac:dyDescent="0.25">
      <c r="A35" s="77" t="s">
        <v>93</v>
      </c>
      <c r="B35" s="82"/>
      <c r="C35" s="82">
        <f>SUM(C14:C34)</f>
        <v>226189.51377000002</v>
      </c>
      <c r="D35" s="82"/>
      <c r="E35" s="82">
        <f>SUM(E14:E34)</f>
        <v>225173</v>
      </c>
      <c r="F35" s="82"/>
      <c r="G35" s="82">
        <f>SUM(G14:G34)</f>
        <v>225728</v>
      </c>
      <c r="H35" s="82"/>
      <c r="I35" s="85">
        <f>SUM(I14:I34)</f>
        <v>555</v>
      </c>
      <c r="J35" s="66" t="s">
        <v>15</v>
      </c>
    </row>
    <row r="36" spans="1:10" ht="14.25" x14ac:dyDescent="0.2">
      <c r="A36" s="116" t="s">
        <v>142</v>
      </c>
      <c r="B36" s="25"/>
      <c r="C36" s="239">
        <v>-3330</v>
      </c>
      <c r="D36" s="25"/>
      <c r="E36" s="239">
        <v>-549</v>
      </c>
      <c r="F36" s="25"/>
      <c r="G36" s="25">
        <v>0</v>
      </c>
      <c r="H36" s="25"/>
      <c r="I36" s="133">
        <f>G36-E36</f>
        <v>549</v>
      </c>
      <c r="J36" s="66" t="s">
        <v>15</v>
      </c>
    </row>
    <row r="37" spans="1:10" ht="14.25" x14ac:dyDescent="0.2">
      <c r="A37" s="167" t="s">
        <v>150</v>
      </c>
      <c r="B37" s="25"/>
      <c r="C37" s="25">
        <v>0</v>
      </c>
      <c r="D37" s="25"/>
      <c r="E37" s="25">
        <v>0</v>
      </c>
      <c r="F37" s="25"/>
      <c r="G37" s="25">
        <v>0</v>
      </c>
      <c r="H37" s="25"/>
      <c r="I37" s="133">
        <f t="shared" ref="I37:I40" si="5">G37-E37</f>
        <v>0</v>
      </c>
      <c r="J37" s="66" t="s">
        <v>15</v>
      </c>
    </row>
    <row r="38" spans="1:10" ht="14.25" x14ac:dyDescent="0.2">
      <c r="A38" s="167" t="s">
        <v>151</v>
      </c>
      <c r="B38" s="25"/>
      <c r="C38" s="239">
        <v>-151</v>
      </c>
      <c r="D38" s="25"/>
      <c r="E38" s="25">
        <v>0</v>
      </c>
      <c r="F38" s="25"/>
      <c r="G38" s="25">
        <v>0</v>
      </c>
      <c r="H38" s="25"/>
      <c r="I38" s="133">
        <f t="shared" si="5"/>
        <v>0</v>
      </c>
      <c r="J38" s="66" t="s">
        <v>15</v>
      </c>
    </row>
    <row r="39" spans="1:10" ht="14.25" x14ac:dyDescent="0.2">
      <c r="A39" s="74" t="s">
        <v>94</v>
      </c>
      <c r="B39" s="25"/>
      <c r="C39" s="239">
        <v>549</v>
      </c>
      <c r="D39" s="25"/>
      <c r="E39" s="25">
        <v>0</v>
      </c>
      <c r="F39" s="25"/>
      <c r="G39" s="25">
        <v>0</v>
      </c>
      <c r="H39" s="25"/>
      <c r="I39" s="133">
        <f t="shared" si="5"/>
        <v>0</v>
      </c>
      <c r="J39" s="66" t="s">
        <v>15</v>
      </c>
    </row>
    <row r="40" spans="1:10" ht="14.25" x14ac:dyDescent="0.2">
      <c r="A40" s="121" t="s">
        <v>145</v>
      </c>
      <c r="B40" s="25"/>
      <c r="C40" s="25">
        <v>0</v>
      </c>
      <c r="D40" s="25"/>
      <c r="E40" s="25">
        <v>0</v>
      </c>
      <c r="F40" s="25"/>
      <c r="G40" s="25">
        <v>0</v>
      </c>
      <c r="H40" s="25"/>
      <c r="I40" s="133">
        <f t="shared" si="5"/>
        <v>0</v>
      </c>
      <c r="J40" s="66" t="s">
        <v>15</v>
      </c>
    </row>
    <row r="41" spans="1:10" ht="15.75" thickBot="1" x14ac:dyDescent="0.3">
      <c r="A41" s="78" t="s">
        <v>95</v>
      </c>
      <c r="B41" s="159">
        <f t="shared" ref="B41:I41" si="6">SUM(B35:B40)</f>
        <v>0</v>
      </c>
      <c r="C41" s="238">
        <f>SUM(C35:C40)</f>
        <v>223257.51377000002</v>
      </c>
      <c r="D41" s="159">
        <f t="shared" si="6"/>
        <v>0</v>
      </c>
      <c r="E41" s="159">
        <f t="shared" si="6"/>
        <v>224624</v>
      </c>
      <c r="F41" s="159">
        <f t="shared" si="6"/>
        <v>0</v>
      </c>
      <c r="G41" s="159">
        <f t="shared" si="6"/>
        <v>225728</v>
      </c>
      <c r="H41" s="159">
        <f t="shared" si="6"/>
        <v>0</v>
      </c>
      <c r="I41" s="160">
        <f t="shared" si="6"/>
        <v>1104</v>
      </c>
      <c r="J41" s="66" t="s">
        <v>15</v>
      </c>
    </row>
    <row r="42" spans="1:10" ht="14.25" x14ac:dyDescent="0.2">
      <c r="A42" s="79" t="s">
        <v>21</v>
      </c>
      <c r="B42" s="161"/>
      <c r="C42" s="161"/>
      <c r="D42" s="161"/>
      <c r="E42" s="161"/>
      <c r="F42" s="161"/>
      <c r="G42" s="161"/>
      <c r="H42" s="161"/>
      <c r="I42" s="162"/>
      <c r="J42" s="66" t="s">
        <v>15</v>
      </c>
    </row>
    <row r="43" spans="1:10" ht="14.25" x14ac:dyDescent="0.2">
      <c r="A43" s="74" t="s">
        <v>96</v>
      </c>
      <c r="B43" s="25">
        <v>0</v>
      </c>
      <c r="C43" s="25"/>
      <c r="D43" s="25">
        <v>0</v>
      </c>
      <c r="E43" s="25"/>
      <c r="F43" s="25">
        <v>0</v>
      </c>
      <c r="G43" s="25"/>
      <c r="H43" s="25">
        <f>F43-D43</f>
        <v>0</v>
      </c>
      <c r="I43" s="133"/>
      <c r="J43" s="66" t="s">
        <v>15</v>
      </c>
    </row>
    <row r="44" spans="1:10" ht="14.25" x14ac:dyDescent="0.2">
      <c r="A44" s="74"/>
      <c r="B44" s="25"/>
      <c r="C44" s="25"/>
      <c r="D44" s="25"/>
      <c r="E44" s="25"/>
      <c r="F44" s="25"/>
      <c r="G44" s="25"/>
      <c r="H44" s="25"/>
      <c r="I44" s="133"/>
      <c r="J44" s="66" t="s">
        <v>15</v>
      </c>
    </row>
    <row r="45" spans="1:10" ht="14.25" x14ac:dyDescent="0.2">
      <c r="A45" s="74" t="s">
        <v>97</v>
      </c>
      <c r="B45" s="25"/>
      <c r="C45" s="25">
        <v>0</v>
      </c>
      <c r="D45" s="25"/>
      <c r="E45" s="25">
        <v>0</v>
      </c>
      <c r="F45" s="25"/>
      <c r="G45" s="25">
        <v>0</v>
      </c>
      <c r="H45" s="25"/>
      <c r="I45" s="133">
        <f t="shared" ref="I45" si="7">G45-E45</f>
        <v>0</v>
      </c>
      <c r="J45" s="66" t="s">
        <v>15</v>
      </c>
    </row>
    <row r="46" spans="1:10" ht="15" thickBot="1" x14ac:dyDescent="0.25">
      <c r="A46" s="242" t="s">
        <v>98</v>
      </c>
      <c r="B46" s="163"/>
      <c r="C46" s="163">
        <v>0</v>
      </c>
      <c r="D46" s="163"/>
      <c r="E46" s="163">
        <v>0</v>
      </c>
      <c r="F46" s="163"/>
      <c r="G46" s="163">
        <v>0</v>
      </c>
      <c r="H46" s="163"/>
      <c r="I46" s="164">
        <v>0</v>
      </c>
      <c r="J46" s="231" t="s">
        <v>15</v>
      </c>
    </row>
    <row r="47" spans="1:10" ht="14.25" x14ac:dyDescent="0.2">
      <c r="A47" s="245"/>
      <c r="B47" s="246"/>
      <c r="C47" s="246"/>
      <c r="D47" s="246"/>
      <c r="E47" s="246"/>
      <c r="F47" s="246"/>
      <c r="G47" s="246"/>
      <c r="H47" s="246"/>
      <c r="I47" s="246"/>
      <c r="J47" s="231" t="s">
        <v>15</v>
      </c>
    </row>
    <row r="48" spans="1:10" ht="14.25" x14ac:dyDescent="0.2">
      <c r="A48" s="243" t="s">
        <v>174</v>
      </c>
      <c r="B48" s="194"/>
      <c r="C48" s="194"/>
      <c r="D48" s="194"/>
      <c r="E48" s="194"/>
      <c r="F48" s="194"/>
      <c r="G48" s="194"/>
      <c r="H48" s="194"/>
      <c r="I48" s="194"/>
      <c r="J48" s="7" t="s">
        <v>16</v>
      </c>
    </row>
    <row r="49" spans="1:8" ht="14.25" x14ac:dyDescent="0.2">
      <c r="A49" s="244"/>
      <c r="B49" s="244"/>
      <c r="C49" s="244"/>
      <c r="D49" s="244"/>
      <c r="E49" s="244"/>
      <c r="F49" s="244"/>
      <c r="G49" s="244"/>
      <c r="H49" s="244"/>
    </row>
    <row r="50" spans="1:8" ht="14.25" x14ac:dyDescent="0.2">
      <c r="A50" s="244"/>
      <c r="B50" s="244"/>
      <c r="C50" s="244"/>
      <c r="D50" s="244"/>
      <c r="E50" s="244"/>
      <c r="F50" s="244"/>
      <c r="G50" s="244"/>
      <c r="H50" s="244"/>
    </row>
    <row r="51" spans="1:8" ht="14.25" x14ac:dyDescent="0.2">
      <c r="A51" s="244"/>
      <c r="B51" s="244"/>
      <c r="D51" s="244"/>
      <c r="E51" s="244"/>
      <c r="G51" s="244"/>
      <c r="H51" s="244"/>
    </row>
    <row r="52" spans="1:8" ht="14.25" x14ac:dyDescent="0.2">
      <c r="D52" s="244"/>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3" fitToHeight="9999" orientation="landscape" r:id="rId1"/>
  <headerFooter>
    <oddHeader>&amp;L&amp;"Arial,Bold"&amp;12L. Summary of Requirements by Object Class</oddHeader>
    <oddFooter>&amp;C&amp;"Arial,Regular"Exhibit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view="pageBreakPreview" zoomScale="90" zoomScaleNormal="100" zoomScaleSheetLayoutView="90" workbookViewId="0">
      <selection activeCell="D28" sqref="D28"/>
    </sheetView>
  </sheetViews>
  <sheetFormatPr defaultColWidth="9.109375" defaultRowHeight="13.8" x14ac:dyDescent="0.25"/>
  <cols>
    <col min="1" max="1" width="113.5546875" style="1" customWidth="1"/>
    <col min="2" max="3" width="14.5546875" style="2" customWidth="1"/>
    <col min="4" max="4" width="14.5546875" style="3" customWidth="1"/>
    <col min="5" max="5" width="11.5546875" style="7" bestFit="1" customWidth="1"/>
    <col min="6" max="6" width="4.88671875" style="1" customWidth="1"/>
    <col min="7" max="16384" width="9.109375" style="1"/>
  </cols>
  <sheetData>
    <row r="1" spans="1:5" ht="18" x14ac:dyDescent="0.25">
      <c r="A1" s="251" t="s">
        <v>0</v>
      </c>
      <c r="B1" s="251"/>
      <c r="C1" s="251"/>
      <c r="D1" s="251"/>
      <c r="E1" s="7" t="s">
        <v>15</v>
      </c>
    </row>
    <row r="2" spans="1:5" ht="15" x14ac:dyDescent="0.2">
      <c r="A2" s="252" t="s">
        <v>154</v>
      </c>
      <c r="B2" s="252"/>
      <c r="C2" s="252"/>
      <c r="D2" s="252"/>
      <c r="E2" s="7" t="s">
        <v>15</v>
      </c>
    </row>
    <row r="3" spans="1:5" ht="14.25" x14ac:dyDescent="0.2">
      <c r="A3" s="253" t="s">
        <v>1</v>
      </c>
      <c r="B3" s="253"/>
      <c r="C3" s="253"/>
      <c r="D3" s="253"/>
      <c r="E3" s="7" t="s">
        <v>15</v>
      </c>
    </row>
    <row r="4" spans="1:5" ht="14.25" x14ac:dyDescent="0.2">
      <c r="A4" s="254" t="s">
        <v>2</v>
      </c>
      <c r="B4" s="254"/>
      <c r="C4" s="254"/>
      <c r="D4" s="254"/>
      <c r="E4" s="7" t="s">
        <v>15</v>
      </c>
    </row>
    <row r="5" spans="1:5" ht="15" thickBot="1" x14ac:dyDescent="0.25">
      <c r="E5" s="7" t="s">
        <v>15</v>
      </c>
    </row>
    <row r="6" spans="1:5" ht="15" x14ac:dyDescent="0.25">
      <c r="B6" s="248" t="s">
        <v>3</v>
      </c>
      <c r="C6" s="249"/>
      <c r="D6" s="250"/>
      <c r="E6" s="7" t="s">
        <v>15</v>
      </c>
    </row>
    <row r="7" spans="1:5" ht="15.75" thickBot="1" x14ac:dyDescent="0.25">
      <c r="B7" s="4" t="s">
        <v>4</v>
      </c>
      <c r="C7" s="5" t="s">
        <v>124</v>
      </c>
      <c r="D7" s="6" t="s">
        <v>5</v>
      </c>
      <c r="E7" s="7" t="s">
        <v>15</v>
      </c>
    </row>
    <row r="8" spans="1:5" ht="17.25" x14ac:dyDescent="0.25">
      <c r="A8" s="95" t="s">
        <v>6</v>
      </c>
      <c r="B8" s="197">
        <v>1314</v>
      </c>
      <c r="C8" s="198">
        <v>1216</v>
      </c>
      <c r="D8" s="199">
        <v>223258</v>
      </c>
      <c r="E8" s="7" t="s">
        <v>15</v>
      </c>
    </row>
    <row r="9" spans="1:5" ht="15" x14ac:dyDescent="0.25">
      <c r="A9" s="94"/>
      <c r="B9" s="122"/>
      <c r="C9" s="123"/>
      <c r="D9" s="124"/>
      <c r="E9" s="230" t="s">
        <v>15</v>
      </c>
    </row>
    <row r="10" spans="1:5" ht="15" x14ac:dyDescent="0.25">
      <c r="A10" s="80" t="s">
        <v>7</v>
      </c>
      <c r="B10" s="200"/>
      <c r="C10" s="201"/>
      <c r="D10" s="202"/>
      <c r="E10" s="230" t="s">
        <v>15</v>
      </c>
    </row>
    <row r="11" spans="1:5" ht="15" x14ac:dyDescent="0.25">
      <c r="A11" s="165" t="s">
        <v>147</v>
      </c>
      <c r="B11" s="125"/>
      <c r="C11" s="28"/>
      <c r="D11" s="126">
        <v>1366</v>
      </c>
      <c r="E11" s="230" t="s">
        <v>15</v>
      </c>
    </row>
    <row r="12" spans="1:5" ht="15" x14ac:dyDescent="0.25">
      <c r="A12" s="84" t="s">
        <v>190</v>
      </c>
      <c r="B12" s="127">
        <v>1314</v>
      </c>
      <c r="C12" s="123">
        <v>1202</v>
      </c>
      <c r="D12" s="128">
        <f>D8+D11</f>
        <v>224624</v>
      </c>
      <c r="E12" s="230" t="s">
        <v>15</v>
      </c>
    </row>
    <row r="13" spans="1:5" ht="15" x14ac:dyDescent="0.25">
      <c r="A13" s="84"/>
      <c r="B13" s="81"/>
      <c r="C13" s="82"/>
      <c r="D13" s="85"/>
      <c r="E13" s="230" t="s">
        <v>15</v>
      </c>
    </row>
    <row r="14" spans="1:5" ht="15" x14ac:dyDescent="0.25">
      <c r="A14" s="86" t="s">
        <v>8</v>
      </c>
      <c r="B14" s="81"/>
      <c r="C14" s="82"/>
      <c r="D14" s="85"/>
      <c r="E14" s="230" t="s">
        <v>15</v>
      </c>
    </row>
    <row r="15" spans="1:5" ht="14.25" x14ac:dyDescent="0.2">
      <c r="A15" s="166" t="s">
        <v>148</v>
      </c>
      <c r="B15" s="234"/>
      <c r="C15" s="235"/>
      <c r="D15" s="236">
        <v>-1366</v>
      </c>
      <c r="E15" s="230" t="s">
        <v>15</v>
      </c>
    </row>
    <row r="16" spans="1:5" ht="15" x14ac:dyDescent="0.25">
      <c r="A16" s="90" t="s">
        <v>146</v>
      </c>
      <c r="B16" s="127">
        <f>SUM(B15:B15)</f>
        <v>0</v>
      </c>
      <c r="C16" s="123">
        <f>SUM(C15:C15)</f>
        <v>0</v>
      </c>
      <c r="D16" s="128">
        <f>SUM(D15:D15)</f>
        <v>-1366</v>
      </c>
      <c r="E16" s="230" t="s">
        <v>15</v>
      </c>
    </row>
    <row r="17" spans="1:5" ht="15" x14ac:dyDescent="0.25">
      <c r="A17" s="86" t="s">
        <v>121</v>
      </c>
      <c r="B17" s="81"/>
      <c r="C17" s="82"/>
      <c r="D17" s="85"/>
      <c r="E17" s="230" t="s">
        <v>15</v>
      </c>
    </row>
    <row r="18" spans="1:5" ht="15" x14ac:dyDescent="0.25">
      <c r="A18" s="89" t="s">
        <v>9</v>
      </c>
      <c r="B18" s="81"/>
      <c r="C18" s="82"/>
      <c r="D18" s="85"/>
      <c r="E18" s="230" t="s">
        <v>15</v>
      </c>
    </row>
    <row r="19" spans="1:5" ht="14.25" x14ac:dyDescent="0.2">
      <c r="A19" s="171" t="s">
        <v>155</v>
      </c>
      <c r="B19" s="87">
        <v>0</v>
      </c>
      <c r="C19" s="88">
        <v>0</v>
      </c>
      <c r="D19" s="83">
        <v>575</v>
      </c>
      <c r="E19" s="230" t="s">
        <v>15</v>
      </c>
    </row>
    <row r="20" spans="1:5" ht="14.25" x14ac:dyDescent="0.2">
      <c r="A20" s="171" t="s">
        <v>156</v>
      </c>
      <c r="B20" s="87"/>
      <c r="C20" s="88"/>
      <c r="D20" s="83">
        <v>-14</v>
      </c>
      <c r="E20" s="230" t="s">
        <v>15</v>
      </c>
    </row>
    <row r="21" spans="1:5" ht="14.25" x14ac:dyDescent="0.2">
      <c r="A21" s="171" t="s">
        <v>157</v>
      </c>
      <c r="B21" s="87"/>
      <c r="C21" s="88"/>
      <c r="D21" s="83">
        <v>-107</v>
      </c>
      <c r="E21" s="230" t="s">
        <v>15</v>
      </c>
    </row>
    <row r="22" spans="1:5" ht="14.25" x14ac:dyDescent="0.2">
      <c r="A22" s="89" t="s">
        <v>10</v>
      </c>
      <c r="B22" s="87">
        <v>0</v>
      </c>
      <c r="C22" s="88">
        <v>0</v>
      </c>
      <c r="D22" s="83">
        <v>1920</v>
      </c>
      <c r="E22" s="230" t="s">
        <v>15</v>
      </c>
    </row>
    <row r="23" spans="1:5" ht="14.25" x14ac:dyDescent="0.2">
      <c r="A23" s="89" t="s">
        <v>11</v>
      </c>
      <c r="B23" s="87">
        <v>0</v>
      </c>
      <c r="C23" s="88">
        <v>0</v>
      </c>
      <c r="D23" s="83">
        <v>96</v>
      </c>
      <c r="E23" s="230" t="s">
        <v>15</v>
      </c>
    </row>
    <row r="24" spans="1:5" ht="15" x14ac:dyDescent="0.25">
      <c r="A24" s="90" t="s">
        <v>122</v>
      </c>
      <c r="B24" s="81">
        <f>SUM(B19:B23)</f>
        <v>0</v>
      </c>
      <c r="C24" s="82">
        <f>SUM(C19:C23)</f>
        <v>0</v>
      </c>
      <c r="D24" s="85">
        <f>SUM(D19:D23)</f>
        <v>2470</v>
      </c>
      <c r="E24" s="230" t="s">
        <v>15</v>
      </c>
    </row>
    <row r="25" spans="1:5" ht="15" x14ac:dyDescent="0.25">
      <c r="A25" s="84" t="s">
        <v>123</v>
      </c>
      <c r="B25" s="129">
        <f>B24+B16</f>
        <v>0</v>
      </c>
      <c r="C25" s="28">
        <f>C24+C16</f>
        <v>0</v>
      </c>
      <c r="D25" s="29">
        <f>+D24+D16</f>
        <v>1104</v>
      </c>
      <c r="E25" s="230" t="s">
        <v>15</v>
      </c>
    </row>
    <row r="26" spans="1:5" ht="15" x14ac:dyDescent="0.25">
      <c r="A26" s="91" t="s">
        <v>12</v>
      </c>
      <c r="B26" s="127">
        <f>B12+B25</f>
        <v>1314</v>
      </c>
      <c r="C26" s="123">
        <f>C12+C25</f>
        <v>1202</v>
      </c>
      <c r="D26" s="128">
        <f>D12+D25</f>
        <v>225728</v>
      </c>
      <c r="E26" s="230" t="s">
        <v>15</v>
      </c>
    </row>
    <row r="27" spans="1:5" ht="15" x14ac:dyDescent="0.25">
      <c r="A27" s="91" t="s">
        <v>13</v>
      </c>
      <c r="B27" s="129">
        <v>0</v>
      </c>
      <c r="C27" s="28">
        <v>0</v>
      </c>
      <c r="D27" s="29">
        <v>0</v>
      </c>
      <c r="E27" s="230" t="s">
        <v>15</v>
      </c>
    </row>
    <row r="28" spans="1:5" ht="15" x14ac:dyDescent="0.25">
      <c r="A28" s="92" t="s">
        <v>14</v>
      </c>
      <c r="B28" s="122">
        <v>1314</v>
      </c>
      <c r="C28" s="123">
        <v>1202</v>
      </c>
      <c r="D28" s="124">
        <v>225728</v>
      </c>
      <c r="E28" s="230" t="s">
        <v>15</v>
      </c>
    </row>
    <row r="29" spans="1:5" ht="15" thickBot="1" x14ac:dyDescent="0.25">
      <c r="A29" s="203" t="s">
        <v>191</v>
      </c>
      <c r="B29" s="232">
        <f>B28-B8</f>
        <v>0</v>
      </c>
      <c r="C29" s="93">
        <f>C28-C8</f>
        <v>-14</v>
      </c>
      <c r="D29" s="233">
        <f>D28-D8</f>
        <v>2470</v>
      </c>
      <c r="E29" s="230" t="s">
        <v>15</v>
      </c>
    </row>
    <row r="30" spans="1:5" ht="14.25" x14ac:dyDescent="0.2">
      <c r="A30" s="7"/>
      <c r="E30" s="230" t="s">
        <v>15</v>
      </c>
    </row>
    <row r="31" spans="1:5" ht="17.25" x14ac:dyDescent="0.2">
      <c r="A31" s="255" t="s">
        <v>192</v>
      </c>
      <c r="B31" s="247"/>
      <c r="C31" s="247"/>
      <c r="D31" s="247"/>
      <c r="E31" s="7" t="s">
        <v>16</v>
      </c>
    </row>
    <row r="32" spans="1:5" ht="17.25" x14ac:dyDescent="0.2">
      <c r="A32" s="247"/>
      <c r="B32" s="247"/>
      <c r="C32" s="247"/>
      <c r="D32" s="247"/>
    </row>
  </sheetData>
  <mergeCells count="7">
    <mergeCell ref="A32:D32"/>
    <mergeCell ref="B6:D6"/>
    <mergeCell ref="A1:D1"/>
    <mergeCell ref="A2:D2"/>
    <mergeCell ref="A3:D3"/>
    <mergeCell ref="A4:D4"/>
    <mergeCell ref="A31:D31"/>
  </mergeCells>
  <printOptions horizontalCentered="1"/>
  <pageMargins left="0.7" right="0.7" top="0.63" bottom="0.63" header="0.3" footer="0.3"/>
  <pageSetup scale="77" fitToHeight="9999"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view="pageBreakPreview" zoomScale="80" zoomScaleNormal="100" zoomScaleSheetLayoutView="80" workbookViewId="0">
      <selection activeCell="J46" sqref="J46"/>
    </sheetView>
  </sheetViews>
  <sheetFormatPr defaultColWidth="9.109375" defaultRowHeight="13.8" x14ac:dyDescent="0.25"/>
  <cols>
    <col min="1" max="1" width="37.109375" style="187" customWidth="1"/>
    <col min="2" max="3" width="8.33203125" style="187" customWidth="1"/>
    <col min="4" max="4" width="12.6640625" style="187" customWidth="1"/>
    <col min="5" max="6" width="8.33203125" style="187" customWidth="1"/>
    <col min="7" max="7" width="12.6640625" style="187" customWidth="1"/>
    <col min="8" max="9" width="8.33203125" style="187" customWidth="1"/>
    <col min="10" max="10" width="12.6640625" style="187" customWidth="1"/>
    <col min="11" max="12" width="8.33203125" style="187" customWidth="1"/>
    <col min="13" max="13" width="12.6640625" style="187" customWidth="1"/>
    <col min="14" max="14" width="14" style="186" bestFit="1" customWidth="1"/>
    <col min="15" max="15" width="4.5546875" style="187" customWidth="1"/>
    <col min="16" max="17" width="8.33203125" style="187" customWidth="1"/>
    <col min="18" max="18" width="12.6640625" style="187" customWidth="1"/>
    <col min="19" max="20" width="8.33203125" style="187" customWidth="1"/>
    <col min="21" max="21" width="12.6640625" style="187" customWidth="1"/>
    <col min="22" max="16384" width="9.109375" style="187"/>
  </cols>
  <sheetData>
    <row r="1" spans="1:21" ht="18" x14ac:dyDescent="0.25">
      <c r="A1" s="251" t="s">
        <v>0</v>
      </c>
      <c r="B1" s="251"/>
      <c r="C1" s="251"/>
      <c r="D1" s="251"/>
      <c r="E1" s="251"/>
      <c r="F1" s="251"/>
      <c r="G1" s="251"/>
      <c r="H1" s="251"/>
      <c r="I1" s="251"/>
      <c r="J1" s="251"/>
      <c r="K1" s="251"/>
      <c r="L1" s="251"/>
      <c r="M1" s="251"/>
      <c r="N1" s="185" t="s">
        <v>15</v>
      </c>
      <c r="O1" s="9"/>
      <c r="P1" s="9"/>
      <c r="Q1" s="9"/>
      <c r="R1" s="9"/>
      <c r="S1" s="9"/>
      <c r="T1" s="9"/>
      <c r="U1" s="9"/>
    </row>
    <row r="2" spans="1:21" ht="15" x14ac:dyDescent="0.2">
      <c r="A2" s="252" t="str">
        <f>'B. Summ of Req.'!A2:D2</f>
        <v>U.S. Trustee Program</v>
      </c>
      <c r="B2" s="252"/>
      <c r="C2" s="252"/>
      <c r="D2" s="252"/>
      <c r="E2" s="252"/>
      <c r="F2" s="252"/>
      <c r="G2" s="252"/>
      <c r="H2" s="252"/>
      <c r="I2" s="252"/>
      <c r="J2" s="252"/>
      <c r="K2" s="252"/>
      <c r="L2" s="252"/>
      <c r="M2" s="252"/>
      <c r="N2" s="185" t="s">
        <v>15</v>
      </c>
      <c r="O2" s="10"/>
      <c r="P2" s="10"/>
      <c r="Q2" s="10"/>
      <c r="R2" s="10"/>
      <c r="S2" s="10"/>
      <c r="T2" s="10"/>
      <c r="U2" s="10"/>
    </row>
    <row r="3" spans="1:21" ht="14.25" x14ac:dyDescent="0.2">
      <c r="A3" s="260" t="s">
        <v>1</v>
      </c>
      <c r="B3" s="260"/>
      <c r="C3" s="260"/>
      <c r="D3" s="260"/>
      <c r="E3" s="260"/>
      <c r="F3" s="260"/>
      <c r="G3" s="260"/>
      <c r="H3" s="260"/>
      <c r="I3" s="260"/>
      <c r="J3" s="260"/>
      <c r="K3" s="260"/>
      <c r="L3" s="260"/>
      <c r="M3" s="260"/>
      <c r="N3" s="185" t="s">
        <v>15</v>
      </c>
      <c r="O3" s="204"/>
      <c r="P3" s="204"/>
      <c r="Q3" s="204"/>
      <c r="R3" s="204"/>
      <c r="S3" s="204"/>
      <c r="T3" s="204"/>
      <c r="U3" s="204"/>
    </row>
    <row r="4" spans="1:21" ht="14.25" x14ac:dyDescent="0.2">
      <c r="A4" s="254" t="s">
        <v>2</v>
      </c>
      <c r="B4" s="254"/>
      <c r="C4" s="254"/>
      <c r="D4" s="254"/>
      <c r="E4" s="254"/>
      <c r="F4" s="254"/>
      <c r="G4" s="254"/>
      <c r="H4" s="254"/>
      <c r="I4" s="254"/>
      <c r="J4" s="254"/>
      <c r="K4" s="254"/>
      <c r="L4" s="254"/>
      <c r="M4" s="254"/>
      <c r="N4" s="185" t="s">
        <v>15</v>
      </c>
      <c r="O4" s="11"/>
      <c r="P4" s="11"/>
      <c r="Q4" s="11"/>
      <c r="R4" s="11"/>
      <c r="S4" s="11"/>
      <c r="T4" s="11"/>
      <c r="U4" s="11"/>
    </row>
    <row r="5" spans="1:21" ht="14.25" x14ac:dyDescent="0.2">
      <c r="A5" s="254"/>
      <c r="B5" s="254"/>
      <c r="C5" s="254"/>
      <c r="D5" s="254"/>
      <c r="E5" s="254"/>
      <c r="F5" s="254"/>
      <c r="G5" s="254"/>
      <c r="H5" s="254"/>
      <c r="I5" s="254"/>
      <c r="J5" s="254"/>
      <c r="K5" s="254"/>
      <c r="L5" s="254"/>
      <c r="M5" s="254"/>
      <c r="N5" s="185" t="s">
        <v>15</v>
      </c>
      <c r="O5" s="11"/>
      <c r="P5" s="11"/>
      <c r="Q5" s="11"/>
      <c r="R5" s="11"/>
      <c r="S5" s="11"/>
      <c r="T5" s="11"/>
      <c r="U5" s="11"/>
    </row>
    <row r="6" spans="1:21" ht="15" thickBot="1" x14ac:dyDescent="0.25">
      <c r="A6" s="254"/>
      <c r="B6" s="254"/>
      <c r="C6" s="254"/>
      <c r="D6" s="254"/>
      <c r="E6" s="254"/>
      <c r="F6" s="254"/>
      <c r="G6" s="254"/>
      <c r="H6" s="254"/>
      <c r="I6" s="254"/>
      <c r="J6" s="254"/>
      <c r="K6" s="254"/>
      <c r="L6" s="254"/>
      <c r="M6" s="254"/>
      <c r="N6" s="185" t="s">
        <v>15</v>
      </c>
      <c r="O6" s="11"/>
      <c r="P6" s="11"/>
      <c r="Q6" s="11"/>
      <c r="R6" s="11"/>
      <c r="S6" s="11"/>
      <c r="T6" s="11"/>
      <c r="U6" s="11"/>
    </row>
    <row r="7" spans="1:21" ht="45.75" customHeight="1" x14ac:dyDescent="0.25">
      <c r="A7" s="256" t="s">
        <v>131</v>
      </c>
      <c r="B7" s="258" t="s">
        <v>183</v>
      </c>
      <c r="C7" s="258"/>
      <c r="D7" s="258"/>
      <c r="E7" s="258" t="s">
        <v>184</v>
      </c>
      <c r="F7" s="258"/>
      <c r="G7" s="258"/>
      <c r="H7" s="258" t="s">
        <v>185</v>
      </c>
      <c r="I7" s="258"/>
      <c r="J7" s="258"/>
      <c r="K7" s="258" t="s">
        <v>12</v>
      </c>
      <c r="L7" s="258"/>
      <c r="M7" s="259"/>
      <c r="N7" s="185" t="s">
        <v>15</v>
      </c>
    </row>
    <row r="8" spans="1:21" ht="27.6" x14ac:dyDescent="0.25">
      <c r="A8" s="257"/>
      <c r="B8" s="205" t="s">
        <v>4</v>
      </c>
      <c r="C8" s="205" t="s">
        <v>125</v>
      </c>
      <c r="D8" s="205" t="s">
        <v>5</v>
      </c>
      <c r="E8" s="205" t="s">
        <v>4</v>
      </c>
      <c r="F8" s="205" t="s">
        <v>186</v>
      </c>
      <c r="G8" s="205" t="s">
        <v>5</v>
      </c>
      <c r="H8" s="205" t="s">
        <v>4</v>
      </c>
      <c r="I8" s="205" t="s">
        <v>186</v>
      </c>
      <c r="J8" s="205" t="s">
        <v>5</v>
      </c>
      <c r="K8" s="205" t="s">
        <v>4</v>
      </c>
      <c r="L8" s="205" t="s">
        <v>186</v>
      </c>
      <c r="M8" s="206" t="s">
        <v>5</v>
      </c>
      <c r="N8" s="185" t="s">
        <v>15</v>
      </c>
    </row>
    <row r="9" spans="1:21" ht="14.25" x14ac:dyDescent="0.2">
      <c r="A9" s="172" t="s">
        <v>154</v>
      </c>
      <c r="B9" s="178">
        <v>1314</v>
      </c>
      <c r="C9" s="178">
        <v>1216</v>
      </c>
      <c r="D9" s="178">
        <v>223258</v>
      </c>
      <c r="E9" s="178">
        <v>1314</v>
      </c>
      <c r="F9" s="178">
        <v>1202</v>
      </c>
      <c r="G9" s="178">
        <v>224624</v>
      </c>
      <c r="H9" s="178">
        <v>0</v>
      </c>
      <c r="I9" s="178">
        <v>0</v>
      </c>
      <c r="J9" s="178">
        <v>1104</v>
      </c>
      <c r="K9" s="178">
        <f>E9+H9</f>
        <v>1314</v>
      </c>
      <c r="L9" s="178">
        <f t="shared" ref="L9:M13" si="0">F9+I9</f>
        <v>1202</v>
      </c>
      <c r="M9" s="207">
        <f t="shared" si="0"/>
        <v>225728</v>
      </c>
      <c r="N9" s="185" t="s">
        <v>15</v>
      </c>
    </row>
    <row r="10" spans="1:21" ht="14.25" x14ac:dyDescent="0.2">
      <c r="A10" s="208"/>
      <c r="B10" s="209"/>
      <c r="C10" s="209"/>
      <c r="D10" s="209"/>
      <c r="E10" s="209"/>
      <c r="F10" s="209"/>
      <c r="G10" s="209"/>
      <c r="H10" s="209"/>
      <c r="I10" s="209"/>
      <c r="J10" s="209"/>
      <c r="K10" s="209"/>
      <c r="L10" s="209"/>
      <c r="M10" s="210"/>
      <c r="N10" s="185" t="s">
        <v>15</v>
      </c>
    </row>
    <row r="11" spans="1:21" ht="15" x14ac:dyDescent="0.25">
      <c r="A11" s="16" t="s">
        <v>128</v>
      </c>
      <c r="B11" s="135">
        <f t="shared" ref="B11:M11" si="1">SUM(B9:B10)</f>
        <v>1314</v>
      </c>
      <c r="C11" s="135">
        <f t="shared" si="1"/>
        <v>1216</v>
      </c>
      <c r="D11" s="135">
        <f t="shared" si="1"/>
        <v>223258</v>
      </c>
      <c r="E11" s="135">
        <f t="shared" si="1"/>
        <v>1314</v>
      </c>
      <c r="F11" s="135">
        <f t="shared" si="1"/>
        <v>1202</v>
      </c>
      <c r="G11" s="135">
        <f t="shared" si="1"/>
        <v>224624</v>
      </c>
      <c r="H11" s="135">
        <f t="shared" si="1"/>
        <v>0</v>
      </c>
      <c r="I11" s="135">
        <f t="shared" si="1"/>
        <v>0</v>
      </c>
      <c r="J11" s="135">
        <f t="shared" si="1"/>
        <v>1104</v>
      </c>
      <c r="K11" s="135">
        <f t="shared" si="1"/>
        <v>1314</v>
      </c>
      <c r="L11" s="135">
        <f t="shared" si="1"/>
        <v>1202</v>
      </c>
      <c r="M11" s="136">
        <f t="shared" si="1"/>
        <v>225728</v>
      </c>
      <c r="N11" s="185" t="s">
        <v>15</v>
      </c>
    </row>
    <row r="12" spans="1:21" ht="15" x14ac:dyDescent="0.25">
      <c r="A12" s="211" t="s">
        <v>127</v>
      </c>
      <c r="B12" s="212"/>
      <c r="C12" s="212"/>
      <c r="D12" s="178">
        <v>0</v>
      </c>
      <c r="E12" s="212"/>
      <c r="F12" s="212"/>
      <c r="G12" s="178">
        <v>0</v>
      </c>
      <c r="H12" s="212"/>
      <c r="I12" s="212"/>
      <c r="J12" s="178">
        <v>0</v>
      </c>
      <c r="K12" s="212"/>
      <c r="L12" s="212"/>
      <c r="M12" s="207">
        <f t="shared" si="0"/>
        <v>0</v>
      </c>
      <c r="N12" s="185" t="s">
        <v>15</v>
      </c>
    </row>
    <row r="13" spans="1:21" ht="15" x14ac:dyDescent="0.25">
      <c r="A13" s="213" t="s">
        <v>144</v>
      </c>
      <c r="B13" s="28"/>
      <c r="C13" s="28"/>
      <c r="D13" s="214">
        <f>SUM(D11:D12)</f>
        <v>223258</v>
      </c>
      <c r="E13" s="28"/>
      <c r="F13" s="28"/>
      <c r="G13" s="214">
        <f>SUM(G11:G12)</f>
        <v>224624</v>
      </c>
      <c r="H13" s="28"/>
      <c r="I13" s="28"/>
      <c r="J13" s="214">
        <f>SUM(J11:J12)</f>
        <v>1104</v>
      </c>
      <c r="K13" s="28"/>
      <c r="L13" s="28"/>
      <c r="M13" s="215">
        <f t="shared" si="0"/>
        <v>225728</v>
      </c>
      <c r="N13" s="185" t="s">
        <v>15</v>
      </c>
    </row>
    <row r="14" spans="1:21" ht="14.25" x14ac:dyDescent="0.2">
      <c r="A14" s="216" t="s">
        <v>21</v>
      </c>
      <c r="B14" s="217"/>
      <c r="C14" s="217">
        <v>0</v>
      </c>
      <c r="D14" s="217"/>
      <c r="E14" s="217"/>
      <c r="F14" s="217">
        <v>0</v>
      </c>
      <c r="G14" s="217"/>
      <c r="H14" s="217"/>
      <c r="I14" s="217">
        <v>0</v>
      </c>
      <c r="J14" s="217"/>
      <c r="K14" s="217"/>
      <c r="L14" s="217">
        <f t="shared" ref="L14:L15" si="2">F14+I14</f>
        <v>0</v>
      </c>
      <c r="M14" s="218"/>
      <c r="N14" s="185" t="s">
        <v>15</v>
      </c>
    </row>
    <row r="15" spans="1:21" ht="14.25" x14ac:dyDescent="0.2">
      <c r="A15" s="173" t="s">
        <v>129</v>
      </c>
      <c r="B15" s="177"/>
      <c r="C15" s="177">
        <f>C11+C14</f>
        <v>1216</v>
      </c>
      <c r="D15" s="177"/>
      <c r="E15" s="177"/>
      <c r="F15" s="177">
        <f>F11+F14</f>
        <v>1202</v>
      </c>
      <c r="G15" s="177"/>
      <c r="H15" s="177"/>
      <c r="I15" s="177">
        <f>I11+I14</f>
        <v>0</v>
      </c>
      <c r="J15" s="177"/>
      <c r="K15" s="177"/>
      <c r="L15" s="177">
        <f t="shared" si="2"/>
        <v>1202</v>
      </c>
      <c r="M15" s="219"/>
      <c r="N15" s="185" t="s">
        <v>15</v>
      </c>
    </row>
    <row r="16" spans="1:21" ht="14.25" x14ac:dyDescent="0.2">
      <c r="A16" s="173"/>
      <c r="B16" s="177"/>
      <c r="C16" s="177"/>
      <c r="D16" s="177"/>
      <c r="E16" s="177"/>
      <c r="F16" s="177"/>
      <c r="G16" s="177"/>
      <c r="H16" s="177"/>
      <c r="I16" s="177"/>
      <c r="J16" s="177"/>
      <c r="K16" s="177"/>
      <c r="L16" s="177"/>
      <c r="M16" s="219"/>
      <c r="N16" s="185" t="s">
        <v>15</v>
      </c>
    </row>
    <row r="17" spans="1:14" ht="14.25" x14ac:dyDescent="0.2">
      <c r="A17" s="173" t="s">
        <v>22</v>
      </c>
      <c r="B17" s="177"/>
      <c r="C17" s="177"/>
      <c r="D17" s="177"/>
      <c r="E17" s="177"/>
      <c r="F17" s="177"/>
      <c r="G17" s="177"/>
      <c r="H17" s="177"/>
      <c r="I17" s="177"/>
      <c r="J17" s="177"/>
      <c r="K17" s="177"/>
      <c r="L17" s="177"/>
      <c r="M17" s="219"/>
      <c r="N17" s="185" t="s">
        <v>15</v>
      </c>
    </row>
    <row r="18" spans="1:14" ht="14.25" x14ac:dyDescent="0.2">
      <c r="A18" s="220" t="s">
        <v>23</v>
      </c>
      <c r="B18" s="177"/>
      <c r="C18" s="177">
        <v>0</v>
      </c>
      <c r="D18" s="177"/>
      <c r="E18" s="177"/>
      <c r="F18" s="177">
        <v>0</v>
      </c>
      <c r="G18" s="177"/>
      <c r="H18" s="177"/>
      <c r="I18" s="177">
        <v>0</v>
      </c>
      <c r="J18" s="177"/>
      <c r="K18" s="177"/>
      <c r="L18" s="177">
        <f t="shared" ref="L18:L20" si="3">F18+I18</f>
        <v>0</v>
      </c>
      <c r="M18" s="219"/>
      <c r="N18" s="185" t="s">
        <v>15</v>
      </c>
    </row>
    <row r="19" spans="1:14" ht="14.25" x14ac:dyDescent="0.2">
      <c r="A19" s="221" t="s">
        <v>24</v>
      </c>
      <c r="B19" s="222"/>
      <c r="C19" s="223">
        <v>0</v>
      </c>
      <c r="D19" s="222"/>
      <c r="E19" s="222"/>
      <c r="F19" s="223">
        <v>0</v>
      </c>
      <c r="G19" s="222"/>
      <c r="H19" s="222"/>
      <c r="I19" s="222">
        <v>0</v>
      </c>
      <c r="J19" s="222"/>
      <c r="K19" s="222"/>
      <c r="L19" s="223" t="s">
        <v>187</v>
      </c>
      <c r="M19" s="224"/>
      <c r="N19" s="185" t="s">
        <v>15</v>
      </c>
    </row>
    <row r="20" spans="1:14" ht="15" thickBot="1" x14ac:dyDescent="0.25">
      <c r="A20" s="225" t="s">
        <v>130</v>
      </c>
      <c r="B20" s="226"/>
      <c r="C20" s="226">
        <f>C15+C18</f>
        <v>1216</v>
      </c>
      <c r="D20" s="226"/>
      <c r="E20" s="226"/>
      <c r="F20" s="226">
        <f>F15+F18</f>
        <v>1202</v>
      </c>
      <c r="G20" s="226"/>
      <c r="H20" s="226"/>
      <c r="I20" s="226">
        <f>I15+I18+I19</f>
        <v>0</v>
      </c>
      <c r="J20" s="226"/>
      <c r="K20" s="226"/>
      <c r="L20" s="226">
        <f t="shared" si="3"/>
        <v>1202</v>
      </c>
      <c r="M20" s="227"/>
      <c r="N20" s="185" t="s">
        <v>15</v>
      </c>
    </row>
    <row r="21" spans="1:14" ht="15" thickBot="1" x14ac:dyDescent="0.25">
      <c r="N21" s="185" t="s">
        <v>15</v>
      </c>
    </row>
    <row r="22" spans="1:14" x14ac:dyDescent="0.25">
      <c r="A22" s="256" t="s">
        <v>131</v>
      </c>
      <c r="B22" s="258" t="s">
        <v>17</v>
      </c>
      <c r="C22" s="258"/>
      <c r="D22" s="258"/>
      <c r="E22" s="258" t="s">
        <v>18</v>
      </c>
      <c r="F22" s="258"/>
      <c r="G22" s="258"/>
      <c r="H22" s="258" t="s">
        <v>19</v>
      </c>
      <c r="I22" s="258"/>
      <c r="J22" s="259"/>
      <c r="N22" s="185" t="s">
        <v>15</v>
      </c>
    </row>
    <row r="23" spans="1:14" ht="27.6" x14ac:dyDescent="0.25">
      <c r="A23" s="257"/>
      <c r="B23" s="205" t="s">
        <v>4</v>
      </c>
      <c r="C23" s="205" t="s">
        <v>186</v>
      </c>
      <c r="D23" s="205" t="s">
        <v>5</v>
      </c>
      <c r="E23" s="205" t="s">
        <v>4</v>
      </c>
      <c r="F23" s="205" t="s">
        <v>186</v>
      </c>
      <c r="G23" s="205" t="s">
        <v>5</v>
      </c>
      <c r="H23" s="205" t="s">
        <v>4</v>
      </c>
      <c r="I23" s="205" t="s">
        <v>186</v>
      </c>
      <c r="J23" s="206" t="s">
        <v>5</v>
      </c>
      <c r="N23" s="185" t="s">
        <v>15</v>
      </c>
    </row>
    <row r="24" spans="1:14" ht="14.25" x14ac:dyDescent="0.2">
      <c r="A24" s="172" t="str">
        <f>A9</f>
        <v>U.S. Trustee Program</v>
      </c>
      <c r="B24" s="178">
        <v>0</v>
      </c>
      <c r="C24" s="178">
        <v>0</v>
      </c>
      <c r="D24" s="178">
        <v>0</v>
      </c>
      <c r="E24" s="178">
        <v>0</v>
      </c>
      <c r="F24" s="178">
        <v>0</v>
      </c>
      <c r="G24" s="178">
        <v>0</v>
      </c>
      <c r="H24" s="178">
        <f>K9+B24+E24</f>
        <v>1314</v>
      </c>
      <c r="I24" s="178">
        <f>L9+C24+F24</f>
        <v>1202</v>
      </c>
      <c r="J24" s="207">
        <f>M9+D24+G24</f>
        <v>225728</v>
      </c>
      <c r="N24" s="185" t="s">
        <v>15</v>
      </c>
    </row>
    <row r="25" spans="1:14" ht="14.25" x14ac:dyDescent="0.2">
      <c r="A25" s="228"/>
      <c r="B25" s="214"/>
      <c r="C25" s="214"/>
      <c r="D25" s="214"/>
      <c r="E25" s="214"/>
      <c r="F25" s="214"/>
      <c r="G25" s="214"/>
      <c r="H25" s="214"/>
      <c r="I25" s="214"/>
      <c r="J25" s="215"/>
      <c r="N25" s="185" t="s">
        <v>15</v>
      </c>
    </row>
    <row r="26" spans="1:14" ht="15" x14ac:dyDescent="0.25">
      <c r="A26" s="16" t="s">
        <v>128</v>
      </c>
      <c r="B26" s="135">
        <f t="shared" ref="B26:J26" si="4">SUM(B24:B25)</f>
        <v>0</v>
      </c>
      <c r="C26" s="135">
        <f t="shared" si="4"/>
        <v>0</v>
      </c>
      <c r="D26" s="135">
        <f t="shared" si="4"/>
        <v>0</v>
      </c>
      <c r="E26" s="135">
        <f t="shared" si="4"/>
        <v>0</v>
      </c>
      <c r="F26" s="135">
        <f t="shared" si="4"/>
        <v>0</v>
      </c>
      <c r="G26" s="135">
        <f t="shared" si="4"/>
        <v>0</v>
      </c>
      <c r="H26" s="135">
        <f t="shared" si="4"/>
        <v>1314</v>
      </c>
      <c r="I26" s="135">
        <f t="shared" si="4"/>
        <v>1202</v>
      </c>
      <c r="J26" s="136">
        <f t="shared" si="4"/>
        <v>225728</v>
      </c>
      <c r="N26" s="185" t="s">
        <v>15</v>
      </c>
    </row>
    <row r="27" spans="1:14" ht="15" x14ac:dyDescent="0.25">
      <c r="A27" s="211" t="s">
        <v>127</v>
      </c>
      <c r="B27" s="212"/>
      <c r="C27" s="212"/>
      <c r="D27" s="178">
        <v>0</v>
      </c>
      <c r="E27" s="212"/>
      <c r="F27" s="212"/>
      <c r="G27" s="178">
        <v>0</v>
      </c>
      <c r="H27" s="212"/>
      <c r="I27" s="212"/>
      <c r="J27" s="207">
        <f>M12+D27+G27</f>
        <v>0</v>
      </c>
      <c r="N27" s="185" t="s">
        <v>15</v>
      </c>
    </row>
    <row r="28" spans="1:14" ht="15" x14ac:dyDescent="0.25">
      <c r="A28" s="213" t="s">
        <v>144</v>
      </c>
      <c r="B28" s="28"/>
      <c r="C28" s="28"/>
      <c r="D28" s="214">
        <f>SUM(D26:D27)</f>
        <v>0</v>
      </c>
      <c r="E28" s="28"/>
      <c r="F28" s="28"/>
      <c r="G28" s="214">
        <f>SUM(G26:G27)</f>
        <v>0</v>
      </c>
      <c r="H28" s="28"/>
      <c r="I28" s="28"/>
      <c r="J28" s="215">
        <f>M13+D28+G28</f>
        <v>225728</v>
      </c>
      <c r="N28" s="185" t="s">
        <v>15</v>
      </c>
    </row>
    <row r="29" spans="1:14" ht="14.25" x14ac:dyDescent="0.2">
      <c r="A29" s="216" t="s">
        <v>21</v>
      </c>
      <c r="B29" s="217"/>
      <c r="C29" s="217">
        <v>0</v>
      </c>
      <c r="D29" s="217"/>
      <c r="E29" s="217"/>
      <c r="F29" s="217">
        <v>0</v>
      </c>
      <c r="G29" s="217"/>
      <c r="H29" s="217"/>
      <c r="I29" s="217">
        <f>L14+C29+F29</f>
        <v>0</v>
      </c>
      <c r="J29" s="218"/>
      <c r="N29" s="185" t="s">
        <v>15</v>
      </c>
    </row>
    <row r="30" spans="1:14" ht="14.25" x14ac:dyDescent="0.2">
      <c r="A30" s="173" t="s">
        <v>129</v>
      </c>
      <c r="B30" s="177"/>
      <c r="C30" s="177">
        <f>C26+C29</f>
        <v>0</v>
      </c>
      <c r="D30" s="177"/>
      <c r="E30" s="177"/>
      <c r="F30" s="177">
        <f>F26+F29</f>
        <v>0</v>
      </c>
      <c r="G30" s="177"/>
      <c r="H30" s="177"/>
      <c r="I30" s="177">
        <f>L15+C30+F30</f>
        <v>1202</v>
      </c>
      <c r="J30" s="219"/>
      <c r="N30" s="185" t="s">
        <v>15</v>
      </c>
    </row>
    <row r="31" spans="1:14" ht="14.25" x14ac:dyDescent="0.2">
      <c r="A31" s="173"/>
      <c r="B31" s="177"/>
      <c r="C31" s="177"/>
      <c r="D31" s="177"/>
      <c r="E31" s="177"/>
      <c r="F31" s="177"/>
      <c r="G31" s="177"/>
      <c r="H31" s="177"/>
      <c r="I31" s="177">
        <f>L16+C31+F31</f>
        <v>0</v>
      </c>
      <c r="J31" s="219"/>
      <c r="N31" s="185" t="s">
        <v>15</v>
      </c>
    </row>
    <row r="32" spans="1:14" ht="14.25" x14ac:dyDescent="0.2">
      <c r="A32" s="173" t="s">
        <v>22</v>
      </c>
      <c r="B32" s="177"/>
      <c r="C32" s="177"/>
      <c r="D32" s="177"/>
      <c r="E32" s="177"/>
      <c r="F32" s="177"/>
      <c r="G32" s="177"/>
      <c r="H32" s="177"/>
      <c r="I32" s="177">
        <f>L17+C32+F32</f>
        <v>0</v>
      </c>
      <c r="J32" s="219"/>
      <c r="N32" s="185" t="s">
        <v>15</v>
      </c>
    </row>
    <row r="33" spans="1:14" ht="14.25" x14ac:dyDescent="0.2">
      <c r="A33" s="220" t="s">
        <v>23</v>
      </c>
      <c r="B33" s="177"/>
      <c r="C33" s="177">
        <v>0</v>
      </c>
      <c r="D33" s="177"/>
      <c r="E33" s="177"/>
      <c r="F33" s="177">
        <v>0</v>
      </c>
      <c r="G33" s="177"/>
      <c r="H33" s="177"/>
      <c r="I33" s="177">
        <f>L18+C33+F33</f>
        <v>0</v>
      </c>
      <c r="J33" s="219"/>
      <c r="N33" s="185" t="s">
        <v>15</v>
      </c>
    </row>
    <row r="34" spans="1:14" ht="14.25" x14ac:dyDescent="0.2">
      <c r="A34" s="221" t="s">
        <v>24</v>
      </c>
      <c r="B34" s="222"/>
      <c r="C34" s="222">
        <v>0</v>
      </c>
      <c r="D34" s="222"/>
      <c r="E34" s="222"/>
      <c r="F34" s="222">
        <v>0</v>
      </c>
      <c r="G34" s="222"/>
      <c r="H34" s="222"/>
      <c r="I34" s="223">
        <v>0</v>
      </c>
      <c r="J34" s="224"/>
      <c r="N34" s="185" t="s">
        <v>15</v>
      </c>
    </row>
    <row r="35" spans="1:14" ht="15" thickBot="1" x14ac:dyDescent="0.25">
      <c r="A35" s="225" t="s">
        <v>130</v>
      </c>
      <c r="B35" s="226"/>
      <c r="C35" s="226">
        <f>C30+C33+C34</f>
        <v>0</v>
      </c>
      <c r="D35" s="226"/>
      <c r="E35" s="226"/>
      <c r="F35" s="226">
        <f>F30+F33+F34</f>
        <v>0</v>
      </c>
      <c r="G35" s="226"/>
      <c r="H35" s="226"/>
      <c r="I35" s="226">
        <f>L20+C35+F35</f>
        <v>1202</v>
      </c>
      <c r="J35" s="227"/>
      <c r="N35" s="185" t="s">
        <v>15</v>
      </c>
    </row>
    <row r="36" spans="1:14" ht="14.25" x14ac:dyDescent="0.2">
      <c r="N36" s="185" t="s">
        <v>15</v>
      </c>
    </row>
    <row r="37" spans="1:14" x14ac:dyDescent="0.25">
      <c r="A37" s="188" t="s">
        <v>175</v>
      </c>
      <c r="N37" s="186" t="s">
        <v>16</v>
      </c>
    </row>
    <row r="38" spans="1:14" x14ac:dyDescent="0.25">
      <c r="A38" s="229"/>
    </row>
  </sheetData>
  <mergeCells count="15">
    <mergeCell ref="A22:A23"/>
    <mergeCell ref="B22:D22"/>
    <mergeCell ref="E22:G22"/>
    <mergeCell ref="H22:J22"/>
    <mergeCell ref="A1:M1"/>
    <mergeCell ref="A2:M2"/>
    <mergeCell ref="A3:M3"/>
    <mergeCell ref="A4:M4"/>
    <mergeCell ref="A5:M5"/>
    <mergeCell ref="A6:M6"/>
    <mergeCell ref="A7:A8"/>
    <mergeCell ref="B7:D7"/>
    <mergeCell ref="E7:G7"/>
    <mergeCell ref="H7:J7"/>
    <mergeCell ref="K7:M7"/>
  </mergeCells>
  <printOptions horizontalCentered="1"/>
  <pageMargins left="0.7" right="0.7" top="0.75" bottom="0.75" header="0.3" footer="0.3"/>
  <pageSetup scale="79" fitToHeight="9999"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6"/>
  <sheetViews>
    <sheetView view="pageBreakPreview" zoomScale="80" zoomScaleNormal="100" zoomScaleSheetLayoutView="80" workbookViewId="0">
      <selection activeCell="B29" sqref="B29"/>
    </sheetView>
  </sheetViews>
  <sheetFormatPr defaultColWidth="9.109375" defaultRowHeight="13.8" x14ac:dyDescent="0.25"/>
  <cols>
    <col min="1" max="1" width="7.44140625" style="12" bestFit="1" customWidth="1"/>
    <col min="2" max="2" width="58.109375" style="12" customWidth="1"/>
    <col min="3" max="3" width="8.6640625" style="12" customWidth="1"/>
    <col min="4" max="4" width="12.6640625" style="12" customWidth="1"/>
    <col min="5" max="5" width="8.6640625" style="12" customWidth="1"/>
    <col min="6" max="6" width="12.6640625" style="12" customWidth="1"/>
    <col min="7" max="7" width="8.6640625" style="12" customWidth="1"/>
    <col min="8" max="8" width="12.6640625" style="12" customWidth="1"/>
    <col min="9" max="9" width="8.6640625" style="12" customWidth="1"/>
    <col min="10" max="10" width="12.6640625" style="12" customWidth="1"/>
    <col min="11" max="11" width="8.6640625" style="12" customWidth="1"/>
    <col min="12" max="12" width="12.6640625" style="12" customWidth="1"/>
    <col min="13" max="13" width="8.6640625" style="12" customWidth="1"/>
    <col min="14" max="14" width="12.6640625" style="12" customWidth="1"/>
    <col min="15" max="15" width="14" style="7" bestFit="1" customWidth="1"/>
    <col min="16" max="16" width="4.5546875" style="12" customWidth="1"/>
    <col min="17" max="18" width="8.33203125" style="12" customWidth="1"/>
    <col min="19" max="19" width="12.6640625" style="12" customWidth="1"/>
    <col min="20" max="21" width="8.33203125" style="12" customWidth="1"/>
    <col min="22" max="22" width="12.6640625" style="12" customWidth="1"/>
    <col min="23" max="16384" width="9.109375" style="12"/>
  </cols>
  <sheetData>
    <row r="1" spans="1:22" ht="18" x14ac:dyDescent="0.25">
      <c r="A1" s="251" t="s">
        <v>28</v>
      </c>
      <c r="B1" s="251"/>
      <c r="C1" s="251"/>
      <c r="D1" s="251"/>
      <c r="E1" s="251"/>
      <c r="F1" s="251"/>
      <c r="G1" s="251"/>
      <c r="H1" s="251"/>
      <c r="I1" s="251"/>
      <c r="J1" s="251"/>
      <c r="K1" s="251"/>
      <c r="L1" s="251"/>
      <c r="M1" s="251"/>
      <c r="N1" s="251"/>
      <c r="O1" s="66" t="s">
        <v>15</v>
      </c>
      <c r="P1" s="9"/>
      <c r="Q1" s="9"/>
      <c r="R1" s="9"/>
      <c r="S1" s="9"/>
      <c r="T1" s="9"/>
      <c r="U1" s="9"/>
      <c r="V1" s="9"/>
    </row>
    <row r="2" spans="1:22" ht="15" x14ac:dyDescent="0.2">
      <c r="A2" s="252" t="s">
        <v>154</v>
      </c>
      <c r="B2" s="252"/>
      <c r="C2" s="252"/>
      <c r="D2" s="252"/>
      <c r="E2" s="252"/>
      <c r="F2" s="252"/>
      <c r="G2" s="252"/>
      <c r="H2" s="252"/>
      <c r="I2" s="252"/>
      <c r="J2" s="252"/>
      <c r="K2" s="252"/>
      <c r="L2" s="252"/>
      <c r="M2" s="252"/>
      <c r="N2" s="252"/>
      <c r="O2" s="66" t="s">
        <v>15</v>
      </c>
      <c r="P2" s="10"/>
      <c r="Q2" s="10"/>
      <c r="R2" s="10"/>
      <c r="S2" s="10"/>
      <c r="T2" s="10"/>
      <c r="U2" s="10"/>
      <c r="V2" s="10"/>
    </row>
    <row r="3" spans="1:22" ht="14.25" x14ac:dyDescent="0.2">
      <c r="A3" s="266" t="s">
        <v>1</v>
      </c>
      <c r="B3" s="266"/>
      <c r="C3" s="266"/>
      <c r="D3" s="266"/>
      <c r="E3" s="266"/>
      <c r="F3" s="266"/>
      <c r="G3" s="266"/>
      <c r="H3" s="266"/>
      <c r="I3" s="266"/>
      <c r="J3" s="266"/>
      <c r="K3" s="266"/>
      <c r="L3" s="266"/>
      <c r="M3" s="266"/>
      <c r="N3" s="266"/>
      <c r="O3" s="66" t="s">
        <v>15</v>
      </c>
      <c r="P3" s="13"/>
      <c r="Q3" s="13"/>
      <c r="R3" s="13"/>
      <c r="S3" s="13"/>
      <c r="T3" s="13"/>
      <c r="U3" s="13"/>
      <c r="V3" s="13"/>
    </row>
    <row r="4" spans="1:22" ht="14.25" x14ac:dyDescent="0.2">
      <c r="A4" s="254" t="s">
        <v>2</v>
      </c>
      <c r="B4" s="254"/>
      <c r="C4" s="254"/>
      <c r="D4" s="254"/>
      <c r="E4" s="254"/>
      <c r="F4" s="254"/>
      <c r="G4" s="254"/>
      <c r="H4" s="254"/>
      <c r="I4" s="254"/>
      <c r="J4" s="254"/>
      <c r="K4" s="254"/>
      <c r="L4" s="254"/>
      <c r="M4" s="254"/>
      <c r="N4" s="254"/>
      <c r="O4" s="66" t="s">
        <v>15</v>
      </c>
      <c r="P4" s="11"/>
      <c r="Q4" s="11"/>
      <c r="R4" s="11"/>
      <c r="S4" s="11"/>
      <c r="T4" s="11"/>
      <c r="U4" s="11"/>
      <c r="V4" s="11"/>
    </row>
    <row r="5" spans="1:22" ht="14.25" x14ac:dyDescent="0.2">
      <c r="A5" s="267"/>
      <c r="B5" s="267"/>
      <c r="C5" s="267"/>
      <c r="D5" s="267"/>
      <c r="E5" s="267"/>
      <c r="F5" s="267"/>
      <c r="G5" s="267"/>
      <c r="H5" s="267"/>
      <c r="I5" s="267"/>
      <c r="J5" s="267"/>
      <c r="K5" s="267"/>
      <c r="L5" s="267"/>
      <c r="M5" s="267"/>
      <c r="N5" s="267"/>
      <c r="O5" s="66" t="s">
        <v>15</v>
      </c>
      <c r="P5" s="11"/>
      <c r="Q5" s="11"/>
      <c r="R5" s="11"/>
      <c r="S5" s="11"/>
      <c r="T5" s="11"/>
      <c r="U5" s="11"/>
      <c r="V5" s="11"/>
    </row>
    <row r="6" spans="1:22" ht="15" thickBot="1" x14ac:dyDescent="0.25">
      <c r="A6" s="268"/>
      <c r="B6" s="268"/>
      <c r="C6" s="268"/>
      <c r="D6" s="268"/>
      <c r="E6" s="268"/>
      <c r="F6" s="268"/>
      <c r="G6" s="268"/>
      <c r="H6" s="268"/>
      <c r="I6" s="268"/>
      <c r="J6" s="268"/>
      <c r="K6" s="268"/>
      <c r="L6" s="268"/>
      <c r="M6" s="268"/>
      <c r="N6" s="268"/>
      <c r="O6" s="66" t="s">
        <v>15</v>
      </c>
      <c r="P6" s="11"/>
      <c r="Q6" s="11"/>
      <c r="R6" s="11"/>
      <c r="S6" s="11"/>
      <c r="T6" s="11"/>
      <c r="U6" s="11"/>
      <c r="V6" s="11"/>
    </row>
    <row r="7" spans="1:22" s="23" customFormat="1" ht="33.75" customHeight="1" x14ac:dyDescent="0.25">
      <c r="A7" s="262" t="s">
        <v>29</v>
      </c>
      <c r="B7" s="263"/>
      <c r="C7" s="258" t="s">
        <v>132</v>
      </c>
      <c r="D7" s="258"/>
      <c r="E7" s="258" t="s">
        <v>7</v>
      </c>
      <c r="F7" s="258"/>
      <c r="G7" s="258" t="s">
        <v>12</v>
      </c>
      <c r="H7" s="258"/>
      <c r="I7" s="258" t="s">
        <v>17</v>
      </c>
      <c r="J7" s="258"/>
      <c r="K7" s="258" t="s">
        <v>18</v>
      </c>
      <c r="L7" s="258"/>
      <c r="M7" s="258" t="s">
        <v>14</v>
      </c>
      <c r="N7" s="259"/>
      <c r="O7" s="185" t="s">
        <v>15</v>
      </c>
    </row>
    <row r="8" spans="1:22" s="23" customFormat="1" ht="41.4" x14ac:dyDescent="0.25">
      <c r="A8" s="264"/>
      <c r="B8" s="265"/>
      <c r="C8" s="22" t="s">
        <v>32</v>
      </c>
      <c r="D8" s="113" t="s">
        <v>30</v>
      </c>
      <c r="E8" s="22" t="s">
        <v>32</v>
      </c>
      <c r="F8" s="113" t="s">
        <v>30</v>
      </c>
      <c r="G8" s="22" t="s">
        <v>32</v>
      </c>
      <c r="H8" s="22" t="s">
        <v>30</v>
      </c>
      <c r="I8" s="22" t="s">
        <v>32</v>
      </c>
      <c r="J8" s="22" t="s">
        <v>30</v>
      </c>
      <c r="K8" s="22" t="s">
        <v>32</v>
      </c>
      <c r="L8" s="22" t="s">
        <v>30</v>
      </c>
      <c r="M8" s="22" t="s">
        <v>32</v>
      </c>
      <c r="N8" s="24" t="s">
        <v>30</v>
      </c>
      <c r="O8" s="185" t="s">
        <v>15</v>
      </c>
    </row>
    <row r="9" spans="1:22" ht="33.75" customHeight="1" x14ac:dyDescent="0.2">
      <c r="A9" s="30" t="s">
        <v>33</v>
      </c>
      <c r="B9" s="36" t="s">
        <v>34</v>
      </c>
      <c r="C9" s="17"/>
      <c r="D9" s="17"/>
      <c r="E9" s="17"/>
      <c r="F9" s="17"/>
      <c r="G9" s="17"/>
      <c r="H9" s="17"/>
      <c r="I9" s="17"/>
      <c r="J9" s="17"/>
      <c r="K9" s="17"/>
      <c r="L9" s="17"/>
      <c r="M9" s="17"/>
      <c r="N9" s="18"/>
      <c r="O9" s="185" t="s">
        <v>15</v>
      </c>
    </row>
    <row r="10" spans="1:22" ht="28.5" x14ac:dyDescent="0.2">
      <c r="A10" s="31">
        <v>2.6</v>
      </c>
      <c r="B10" s="192" t="s">
        <v>36</v>
      </c>
      <c r="C10" s="25">
        <v>1216</v>
      </c>
      <c r="D10" s="25">
        <v>223258</v>
      </c>
      <c r="E10" s="25">
        <v>1202</v>
      </c>
      <c r="F10" s="25">
        <v>224624</v>
      </c>
      <c r="G10" s="25">
        <v>1202</v>
      </c>
      <c r="H10" s="25">
        <v>225728</v>
      </c>
      <c r="I10" s="25">
        <v>0</v>
      </c>
      <c r="J10" s="25">
        <v>0</v>
      </c>
      <c r="K10" s="25">
        <v>0</v>
      </c>
      <c r="L10" s="25">
        <v>0</v>
      </c>
      <c r="M10" s="26">
        <f t="shared" ref="M10" si="0">G10+I10+K10</f>
        <v>1202</v>
      </c>
      <c r="N10" s="27">
        <f t="shared" ref="N10" si="1">H10+J10+L10</f>
        <v>225728</v>
      </c>
      <c r="O10" s="185" t="s">
        <v>15</v>
      </c>
    </row>
    <row r="11" spans="1:22" ht="15" x14ac:dyDescent="0.25">
      <c r="A11" s="32"/>
      <c r="B11" s="37" t="s">
        <v>35</v>
      </c>
      <c r="C11" s="28">
        <f t="shared" ref="C11:N11" si="2">SUM(C10:C10)</f>
        <v>1216</v>
      </c>
      <c r="D11" s="28">
        <f t="shared" si="2"/>
        <v>223258</v>
      </c>
      <c r="E11" s="28">
        <f t="shared" si="2"/>
        <v>1202</v>
      </c>
      <c r="F11" s="28">
        <f t="shared" si="2"/>
        <v>224624</v>
      </c>
      <c r="G11" s="28">
        <f t="shared" si="2"/>
        <v>1202</v>
      </c>
      <c r="H11" s="28">
        <f t="shared" si="2"/>
        <v>225728</v>
      </c>
      <c r="I11" s="28">
        <f t="shared" si="2"/>
        <v>0</v>
      </c>
      <c r="J11" s="28">
        <f t="shared" si="2"/>
        <v>0</v>
      </c>
      <c r="K11" s="28">
        <f t="shared" si="2"/>
        <v>0</v>
      </c>
      <c r="L11" s="28">
        <f t="shared" si="2"/>
        <v>0</v>
      </c>
      <c r="M11" s="28">
        <f t="shared" si="2"/>
        <v>1202</v>
      </c>
      <c r="N11" s="29">
        <f t="shared" si="2"/>
        <v>225728</v>
      </c>
      <c r="O11" s="185" t="s">
        <v>15</v>
      </c>
    </row>
    <row r="12" spans="1:22" ht="15.75" thickBot="1" x14ac:dyDescent="0.3">
      <c r="A12" s="33"/>
      <c r="B12" s="34" t="s">
        <v>37</v>
      </c>
      <c r="C12" s="35">
        <f>+C11</f>
        <v>1216</v>
      </c>
      <c r="D12" s="35">
        <f t="shared" ref="D12:N12" si="3">+D11</f>
        <v>223258</v>
      </c>
      <c r="E12" s="35">
        <f t="shared" si="3"/>
        <v>1202</v>
      </c>
      <c r="F12" s="35">
        <f t="shared" si="3"/>
        <v>224624</v>
      </c>
      <c r="G12" s="35">
        <f t="shared" si="3"/>
        <v>1202</v>
      </c>
      <c r="H12" s="35">
        <f t="shared" si="3"/>
        <v>225728</v>
      </c>
      <c r="I12" s="35">
        <f t="shared" si="3"/>
        <v>0</v>
      </c>
      <c r="J12" s="35">
        <f t="shared" si="3"/>
        <v>0</v>
      </c>
      <c r="K12" s="35">
        <f t="shared" si="3"/>
        <v>0</v>
      </c>
      <c r="L12" s="35">
        <f t="shared" si="3"/>
        <v>0</v>
      </c>
      <c r="M12" s="35">
        <f t="shared" si="3"/>
        <v>1202</v>
      </c>
      <c r="N12" s="35">
        <f t="shared" si="3"/>
        <v>225728</v>
      </c>
      <c r="O12" s="185" t="s">
        <v>15</v>
      </c>
    </row>
    <row r="13" spans="1:22" ht="14.25" x14ac:dyDescent="0.2">
      <c r="O13" s="185" t="s">
        <v>15</v>
      </c>
    </row>
    <row r="14" spans="1:22" ht="15" x14ac:dyDescent="0.2">
      <c r="A14" s="261" t="s">
        <v>133</v>
      </c>
      <c r="B14" s="261"/>
      <c r="C14" s="261"/>
      <c r="D14" s="261"/>
      <c r="E14" s="261"/>
      <c r="F14" s="261"/>
      <c r="G14" s="261"/>
      <c r="H14" s="261"/>
      <c r="I14" s="261"/>
      <c r="J14" s="261"/>
      <c r="K14" s="261"/>
      <c r="L14" s="261"/>
      <c r="M14" s="261"/>
      <c r="N14" s="261"/>
      <c r="O14" s="185" t="s">
        <v>15</v>
      </c>
    </row>
    <row r="15" spans="1:22" ht="15" x14ac:dyDescent="0.2">
      <c r="A15" s="179"/>
      <c r="B15" s="179"/>
      <c r="C15" s="179"/>
      <c r="D15" s="179"/>
      <c r="E15" s="179"/>
      <c r="F15" s="179"/>
      <c r="G15" s="179"/>
      <c r="H15" s="179"/>
      <c r="I15" s="179"/>
      <c r="J15" s="179"/>
      <c r="K15" s="179"/>
      <c r="L15" s="179"/>
      <c r="M15" s="179"/>
      <c r="N15" s="179"/>
      <c r="O15" s="185" t="s">
        <v>15</v>
      </c>
    </row>
    <row r="16" spans="1:22" ht="15" x14ac:dyDescent="0.25">
      <c r="A16" s="184" t="s">
        <v>172</v>
      </c>
      <c r="B16" s="183"/>
      <c r="C16" s="183"/>
      <c r="D16" s="183"/>
      <c r="E16" s="183"/>
      <c r="F16" s="183"/>
      <c r="G16" s="183"/>
      <c r="H16" s="183"/>
      <c r="O16" s="66" t="s">
        <v>16</v>
      </c>
    </row>
  </sheetData>
  <mergeCells count="14">
    <mergeCell ref="A14:N14"/>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3" fitToHeight="9999"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Normal="100" zoomScaleSheetLayoutView="100" workbookViewId="0">
      <pane xSplit="4" ySplit="6" topLeftCell="E7" activePane="bottomRight" state="frozen"/>
      <selection activeCell="S37" sqref="S37"/>
      <selection pane="topRight" activeCell="S37" sqref="S37"/>
      <selection pane="bottomLeft" activeCell="S37" sqref="S37"/>
      <selection pane="bottomRight" activeCell="J16" sqref="J16"/>
    </sheetView>
  </sheetViews>
  <sheetFormatPr defaultColWidth="9.109375" defaultRowHeight="13.8" x14ac:dyDescent="0.25"/>
  <cols>
    <col min="1" max="1" width="3.6640625" style="12" customWidth="1"/>
    <col min="2" max="2" width="71.109375" style="12" customWidth="1"/>
    <col min="3" max="4" width="14.6640625" style="12" customWidth="1"/>
    <col min="5" max="6" width="8.6640625" style="12" customWidth="1"/>
    <col min="7" max="7" width="12.6640625" style="12" customWidth="1"/>
    <col min="8" max="8" width="14" style="45" bestFit="1" customWidth="1"/>
    <col min="9" max="9" width="4.5546875" style="12" customWidth="1"/>
    <col min="10" max="11" width="8.33203125" style="12" customWidth="1"/>
    <col min="12" max="12" width="12.6640625" style="12" customWidth="1"/>
    <col min="13" max="14" width="8.33203125" style="12" customWidth="1"/>
    <col min="15" max="15" width="12.6640625" style="12" customWidth="1"/>
    <col min="16" max="16384" width="9.109375" style="12"/>
  </cols>
  <sheetData>
    <row r="1" spans="1:15" ht="18" x14ac:dyDescent="0.25">
      <c r="A1" s="285" t="s">
        <v>134</v>
      </c>
      <c r="B1" s="285"/>
      <c r="C1" s="285"/>
      <c r="D1" s="285"/>
      <c r="E1" s="285"/>
      <c r="F1" s="285"/>
      <c r="G1" s="285"/>
      <c r="H1" s="39" t="s">
        <v>15</v>
      </c>
      <c r="I1" s="9"/>
      <c r="J1" s="9"/>
      <c r="K1" s="9"/>
      <c r="L1" s="9"/>
      <c r="M1" s="9"/>
      <c r="N1" s="9"/>
      <c r="O1" s="9"/>
    </row>
    <row r="2" spans="1:15" ht="15" x14ac:dyDescent="0.2">
      <c r="A2" s="254" t="s">
        <v>154</v>
      </c>
      <c r="B2" s="254"/>
      <c r="C2" s="254"/>
      <c r="D2" s="254"/>
      <c r="E2" s="254"/>
      <c r="F2" s="254"/>
      <c r="G2" s="254"/>
      <c r="H2" s="39" t="s">
        <v>15</v>
      </c>
      <c r="I2" s="10"/>
      <c r="J2" s="10"/>
      <c r="K2" s="10"/>
      <c r="L2" s="10"/>
      <c r="M2" s="10"/>
      <c r="N2" s="10"/>
      <c r="O2" s="10"/>
    </row>
    <row r="3" spans="1:15" ht="14.25" x14ac:dyDescent="0.2">
      <c r="A3" s="286" t="s">
        <v>1</v>
      </c>
      <c r="B3" s="286"/>
      <c r="C3" s="286"/>
      <c r="D3" s="286"/>
      <c r="E3" s="286"/>
      <c r="F3" s="286"/>
      <c r="G3" s="286"/>
      <c r="H3" s="39" t="s">
        <v>15</v>
      </c>
      <c r="I3" s="13"/>
      <c r="J3" s="13"/>
      <c r="K3" s="13"/>
      <c r="L3" s="13"/>
      <c r="M3" s="13"/>
      <c r="N3" s="13"/>
      <c r="O3" s="13"/>
    </row>
    <row r="4" spans="1:15" ht="14.25" x14ac:dyDescent="0.2">
      <c r="A4" s="287" t="s">
        <v>2</v>
      </c>
      <c r="B4" s="287"/>
      <c r="C4" s="287"/>
      <c r="D4" s="287"/>
      <c r="E4" s="287"/>
      <c r="F4" s="287"/>
      <c r="G4" s="287"/>
      <c r="H4" s="39" t="s">
        <v>15</v>
      </c>
      <c r="I4" s="11"/>
      <c r="J4" s="11"/>
      <c r="K4" s="11"/>
      <c r="L4" s="11"/>
      <c r="M4" s="11"/>
      <c r="N4" s="11"/>
      <c r="O4" s="11"/>
    </row>
    <row r="5" spans="1:15" ht="15" thickBot="1" x14ac:dyDescent="0.25">
      <c r="A5" s="294"/>
      <c r="B5" s="294"/>
      <c r="C5" s="294"/>
      <c r="D5" s="294"/>
      <c r="E5" s="268"/>
      <c r="F5" s="268"/>
      <c r="G5" s="268"/>
      <c r="H5" s="39" t="s">
        <v>15</v>
      </c>
      <c r="I5" s="11"/>
      <c r="J5" s="11"/>
      <c r="K5" s="11"/>
      <c r="L5" s="11"/>
      <c r="M5" s="11"/>
      <c r="N5" s="11"/>
      <c r="O5" s="11"/>
    </row>
    <row r="6" spans="1:15" s="40" customFormat="1" ht="29.25" customHeight="1" thickBot="1" x14ac:dyDescent="0.25">
      <c r="A6" s="38"/>
      <c r="B6" s="38"/>
      <c r="C6" s="38"/>
      <c r="D6" s="38"/>
      <c r="E6" s="58" t="s">
        <v>4</v>
      </c>
      <c r="F6" s="47" t="s">
        <v>124</v>
      </c>
      <c r="G6" s="46" t="s">
        <v>5</v>
      </c>
      <c r="H6" s="39" t="s">
        <v>15</v>
      </c>
    </row>
    <row r="7" spans="1:15" s="40" customFormat="1" ht="12" x14ac:dyDescent="0.2">
      <c r="A7" s="41"/>
      <c r="B7" s="290" t="s">
        <v>8</v>
      </c>
      <c r="C7" s="290"/>
      <c r="D7" s="290"/>
      <c r="E7" s="48"/>
      <c r="F7" s="48"/>
      <c r="G7" s="59"/>
      <c r="H7" s="39" t="s">
        <v>15</v>
      </c>
    </row>
    <row r="8" spans="1:15" s="40" customFormat="1" ht="11.4" x14ac:dyDescent="0.2">
      <c r="A8" s="42">
        <v>1</v>
      </c>
      <c r="B8" s="297" t="s">
        <v>193</v>
      </c>
      <c r="C8" s="297"/>
      <c r="D8" s="298"/>
      <c r="E8" s="49"/>
      <c r="F8" s="49"/>
      <c r="G8" s="60">
        <v>0</v>
      </c>
      <c r="H8" s="39" t="s">
        <v>15</v>
      </c>
    </row>
    <row r="9" spans="1:15" s="40" customFormat="1" ht="24" customHeight="1" x14ac:dyDescent="0.2">
      <c r="A9" s="42"/>
      <c r="B9" s="299"/>
      <c r="C9" s="299"/>
      <c r="D9" s="300"/>
      <c r="E9" s="49"/>
      <c r="F9" s="49"/>
      <c r="G9" s="60">
        <v>-1366</v>
      </c>
      <c r="H9" s="39" t="s">
        <v>15</v>
      </c>
    </row>
    <row r="10" spans="1:15" s="40" customFormat="1" ht="12" x14ac:dyDescent="0.2">
      <c r="A10" s="43"/>
      <c r="B10" s="274"/>
      <c r="C10" s="274"/>
      <c r="D10" s="274"/>
      <c r="E10" s="50">
        <f>SUM(E8:E9)</f>
        <v>0</v>
      </c>
      <c r="F10" s="50">
        <f>SUM(F8:F9)</f>
        <v>0</v>
      </c>
      <c r="G10" s="61">
        <f>SUM(G8:G9)</f>
        <v>-1366</v>
      </c>
      <c r="H10" s="39" t="s">
        <v>15</v>
      </c>
    </row>
    <row r="11" spans="1:15" s="40" customFormat="1" ht="12.75" customHeight="1" x14ac:dyDescent="0.2">
      <c r="A11" s="44"/>
      <c r="B11" s="291" t="s">
        <v>38</v>
      </c>
      <c r="C11" s="291"/>
      <c r="D11" s="292"/>
      <c r="E11" s="49"/>
      <c r="F11" s="49"/>
      <c r="G11" s="60">
        <v>0</v>
      </c>
      <c r="H11" s="39" t="s">
        <v>15</v>
      </c>
    </row>
    <row r="12" spans="1:15" s="40" customFormat="1" ht="40.950000000000003" customHeight="1" x14ac:dyDescent="0.2">
      <c r="A12" s="42">
        <v>1</v>
      </c>
      <c r="B12" s="282" t="s">
        <v>196</v>
      </c>
      <c r="C12" s="282"/>
      <c r="D12" s="293"/>
      <c r="E12" s="49"/>
      <c r="F12" s="49"/>
      <c r="G12" s="60">
        <v>575</v>
      </c>
      <c r="H12" s="39" t="s">
        <v>15</v>
      </c>
    </row>
    <row r="13" spans="1:15" s="188" customFormat="1" ht="60.6" customHeight="1" x14ac:dyDescent="0.2">
      <c r="A13" s="189">
        <v>2</v>
      </c>
      <c r="B13" s="295" t="s">
        <v>188</v>
      </c>
      <c r="C13" s="295"/>
      <c r="D13" s="296"/>
      <c r="E13" s="190"/>
      <c r="F13" s="190"/>
      <c r="G13" s="191">
        <v>-14</v>
      </c>
      <c r="H13" s="39"/>
    </row>
    <row r="14" spans="1:15" s="188" customFormat="1" ht="54" customHeight="1" x14ac:dyDescent="0.2">
      <c r="A14" s="189">
        <v>3</v>
      </c>
      <c r="B14" s="282" t="s">
        <v>189</v>
      </c>
      <c r="C14" s="282"/>
      <c r="D14" s="293"/>
      <c r="E14" s="190"/>
      <c r="F14" s="190"/>
      <c r="G14" s="191">
        <v>-107</v>
      </c>
      <c r="H14" s="39"/>
    </row>
    <row r="15" spans="1:15" s="40" customFormat="1" ht="12" x14ac:dyDescent="0.2">
      <c r="A15" s="43"/>
      <c r="B15" s="274" t="s">
        <v>39</v>
      </c>
      <c r="C15" s="274"/>
      <c r="D15" s="289"/>
      <c r="E15" s="50">
        <f>SUM(E12:E12)</f>
        <v>0</v>
      </c>
      <c r="F15" s="50">
        <f>SUM(F12:F12)</f>
        <v>0</v>
      </c>
      <c r="G15" s="61">
        <f>SUM(G12:G14)</f>
        <v>454</v>
      </c>
      <c r="H15" s="39" t="s">
        <v>15</v>
      </c>
    </row>
    <row r="16" spans="1:15" s="40" customFormat="1" ht="12" x14ac:dyDescent="0.2">
      <c r="A16" s="52"/>
      <c r="B16" s="288" t="s">
        <v>10</v>
      </c>
      <c r="C16" s="288"/>
      <c r="D16" s="288"/>
      <c r="E16" s="51"/>
      <c r="F16" s="51"/>
      <c r="G16" s="62"/>
      <c r="H16" s="39" t="s">
        <v>15</v>
      </c>
    </row>
    <row r="17" spans="1:8" s="40" customFormat="1" ht="11.4" x14ac:dyDescent="0.2">
      <c r="A17" s="168">
        <v>1</v>
      </c>
      <c r="B17" s="269" t="s">
        <v>180</v>
      </c>
      <c r="C17" s="270"/>
      <c r="D17" s="271"/>
      <c r="E17" s="169"/>
      <c r="F17" s="169"/>
      <c r="G17" s="170"/>
      <c r="H17" s="39"/>
    </row>
    <row r="18" spans="1:8" s="40" customFormat="1" ht="34.950000000000003" customHeight="1" x14ac:dyDescent="0.2">
      <c r="A18" s="168"/>
      <c r="B18" s="272"/>
      <c r="C18" s="272"/>
      <c r="D18" s="273"/>
      <c r="E18" s="169"/>
      <c r="F18" s="169"/>
      <c r="G18" s="170">
        <v>1154</v>
      </c>
      <c r="H18" s="39"/>
    </row>
    <row r="19" spans="1:8" s="40" customFormat="1" ht="40.950000000000003" customHeight="1" x14ac:dyDescent="0.2">
      <c r="A19" s="168">
        <v>2</v>
      </c>
      <c r="B19" s="269" t="s">
        <v>179</v>
      </c>
      <c r="C19" s="270"/>
      <c r="D19" s="271"/>
      <c r="E19" s="169"/>
      <c r="F19" s="169"/>
      <c r="G19" s="170">
        <v>194</v>
      </c>
      <c r="H19" s="39"/>
    </row>
    <row r="20" spans="1:8" s="40" customFormat="1" ht="36.75" customHeight="1" x14ac:dyDescent="0.2">
      <c r="A20" s="42">
        <v>4</v>
      </c>
      <c r="B20" s="282" t="s">
        <v>176</v>
      </c>
      <c r="C20" s="283"/>
      <c r="D20" s="284"/>
      <c r="E20" s="53"/>
      <c r="F20" s="53"/>
      <c r="G20" s="60">
        <v>25</v>
      </c>
      <c r="H20" s="39" t="s">
        <v>15</v>
      </c>
    </row>
    <row r="21" spans="1:8" s="40" customFormat="1" ht="38.25" customHeight="1" x14ac:dyDescent="0.2">
      <c r="A21" s="42">
        <v>5</v>
      </c>
      <c r="B21" s="277" t="s">
        <v>170</v>
      </c>
      <c r="C21" s="278"/>
      <c r="D21" s="279"/>
      <c r="E21" s="53"/>
      <c r="F21" s="53"/>
      <c r="G21" s="60">
        <v>316</v>
      </c>
      <c r="H21" s="39" t="s">
        <v>15</v>
      </c>
    </row>
    <row r="22" spans="1:8" s="40" customFormat="1" ht="63" customHeight="1" x14ac:dyDescent="0.2">
      <c r="A22" s="42">
        <v>6</v>
      </c>
      <c r="B22" s="277" t="s">
        <v>169</v>
      </c>
      <c r="C22" s="278"/>
      <c r="D22" s="279"/>
      <c r="E22" s="53" t="s">
        <v>168</v>
      </c>
      <c r="F22" s="53"/>
      <c r="G22" s="60">
        <v>231</v>
      </c>
      <c r="H22" s="39" t="s">
        <v>15</v>
      </c>
    </row>
    <row r="23" spans="1:8" s="40" customFormat="1" ht="12" x14ac:dyDescent="0.25">
      <c r="A23" s="43"/>
      <c r="B23" s="274" t="s">
        <v>41</v>
      </c>
      <c r="C23" s="274"/>
      <c r="D23" s="274"/>
      <c r="E23" s="50">
        <f>SUM(E18:E19)</f>
        <v>0</v>
      </c>
      <c r="F23" s="50">
        <f>SUM(F18:F19)</f>
        <v>0</v>
      </c>
      <c r="G23" s="61">
        <f>SUM(G18:G22)</f>
        <v>1920</v>
      </c>
      <c r="H23" s="39" t="s">
        <v>15</v>
      </c>
    </row>
    <row r="24" spans="1:8" s="40" customFormat="1" ht="12" x14ac:dyDescent="0.25">
      <c r="A24" s="55"/>
      <c r="B24" s="275" t="s">
        <v>11</v>
      </c>
      <c r="C24" s="275"/>
      <c r="D24" s="276"/>
      <c r="E24" s="54"/>
      <c r="F24" s="54"/>
      <c r="G24" s="63"/>
      <c r="H24" s="39" t="s">
        <v>15</v>
      </c>
    </row>
    <row r="25" spans="1:8" s="40" customFormat="1" ht="44.4" customHeight="1" x14ac:dyDescent="0.25">
      <c r="A25" s="42">
        <v>1</v>
      </c>
      <c r="B25" s="277" t="s">
        <v>178</v>
      </c>
      <c r="C25" s="278"/>
      <c r="D25" s="279"/>
      <c r="E25" s="53"/>
      <c r="F25" s="53"/>
      <c r="G25" s="60">
        <v>2080</v>
      </c>
      <c r="H25" s="39" t="s">
        <v>15</v>
      </c>
    </row>
    <row r="26" spans="1:8" s="40" customFormat="1" ht="39" customHeight="1" x14ac:dyDescent="0.25">
      <c r="A26" s="42">
        <v>2</v>
      </c>
      <c r="B26" s="277" t="s">
        <v>167</v>
      </c>
      <c r="C26" s="278"/>
      <c r="D26" s="279"/>
      <c r="E26" s="53"/>
      <c r="F26" s="53"/>
      <c r="G26" s="60">
        <v>-371</v>
      </c>
      <c r="H26" s="39" t="s">
        <v>15</v>
      </c>
    </row>
    <row r="27" spans="1:8" s="40" customFormat="1" ht="42.6" customHeight="1" x14ac:dyDescent="0.25">
      <c r="A27" s="42">
        <v>3</v>
      </c>
      <c r="B27" s="277" t="s">
        <v>42</v>
      </c>
      <c r="C27" s="278"/>
      <c r="D27" s="279"/>
      <c r="E27" s="53"/>
      <c r="F27" s="53"/>
      <c r="G27" s="60">
        <v>1224</v>
      </c>
      <c r="H27" s="39" t="s">
        <v>15</v>
      </c>
    </row>
    <row r="28" spans="1:8" s="188" customFormat="1" ht="81" customHeight="1" x14ac:dyDescent="0.25">
      <c r="A28" s="42">
        <v>4</v>
      </c>
      <c r="B28" s="277" t="s">
        <v>177</v>
      </c>
      <c r="C28" s="278"/>
      <c r="D28" s="279"/>
      <c r="E28" s="53"/>
      <c r="F28" s="53"/>
      <c r="G28" s="60">
        <v>-2837</v>
      </c>
      <c r="H28" s="39" t="s">
        <v>15</v>
      </c>
    </row>
    <row r="29" spans="1:8" s="40" customFormat="1" ht="12" x14ac:dyDescent="0.25">
      <c r="A29" s="43"/>
      <c r="B29" s="274" t="s">
        <v>43</v>
      </c>
      <c r="C29" s="274"/>
      <c r="D29" s="274"/>
      <c r="E29" s="50">
        <f>SUM(E25:E27)</f>
        <v>0</v>
      </c>
      <c r="F29" s="50">
        <f>SUM(F25:F27)</f>
        <v>0</v>
      </c>
      <c r="G29" s="61">
        <f>SUM(G25:G28)</f>
        <v>96</v>
      </c>
      <c r="H29" s="39" t="s">
        <v>15</v>
      </c>
    </row>
    <row r="30" spans="1:8" ht="14.4" thickBot="1" x14ac:dyDescent="0.3">
      <c r="A30" s="56"/>
      <c r="B30" s="280" t="s">
        <v>135</v>
      </c>
      <c r="C30" s="280"/>
      <c r="D30" s="281"/>
      <c r="E30" s="57">
        <v>0</v>
      </c>
      <c r="F30" s="57">
        <v>0</v>
      </c>
      <c r="G30" s="64">
        <f>+G29+G23+G15+G10</f>
        <v>1104</v>
      </c>
      <c r="H30" s="39" t="s">
        <v>16</v>
      </c>
    </row>
  </sheetData>
  <mergeCells count="27">
    <mergeCell ref="A1:G1"/>
    <mergeCell ref="A2:G2"/>
    <mergeCell ref="A3:G3"/>
    <mergeCell ref="A4:G4"/>
    <mergeCell ref="B16:D16"/>
    <mergeCell ref="B15:D15"/>
    <mergeCell ref="B7:D7"/>
    <mergeCell ref="B11:D11"/>
    <mergeCell ref="B10:D10"/>
    <mergeCell ref="B12:D12"/>
    <mergeCell ref="A5:G5"/>
    <mergeCell ref="B13:D13"/>
    <mergeCell ref="B14:D14"/>
    <mergeCell ref="B8:D9"/>
    <mergeCell ref="B26:D26"/>
    <mergeCell ref="B27:D27"/>
    <mergeCell ref="B29:D29"/>
    <mergeCell ref="B30:D30"/>
    <mergeCell ref="B20:D20"/>
    <mergeCell ref="B21:D21"/>
    <mergeCell ref="B28:D28"/>
    <mergeCell ref="B22:D22"/>
    <mergeCell ref="B17:D18"/>
    <mergeCell ref="B19:D19"/>
    <mergeCell ref="B23:D23"/>
    <mergeCell ref="B24:D24"/>
    <mergeCell ref="B25:D25"/>
  </mergeCells>
  <printOptions horizontalCentered="1"/>
  <pageMargins left="0.7" right="0.7" top="0.65" bottom="0.46" header="0.3" footer="0.21"/>
  <pageSetup scale="91" fitToHeight="9999" orientation="landscape" r:id="rId1"/>
  <headerFooter>
    <oddHeader>&amp;L&amp;"Arial,Bold"&amp;12E. Justification for Technical and Base Adjustments</oddHeader>
    <oddFooter>&amp;C&amp;"Arial,Regular"Exhibit E - Justification for Technical and Base Adjustments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view="pageBreakPreview" zoomScale="80" zoomScaleNormal="100" zoomScaleSheetLayoutView="80" workbookViewId="0">
      <selection activeCell="P50" sqref="P50"/>
    </sheetView>
  </sheetViews>
  <sheetFormatPr defaultColWidth="9.109375" defaultRowHeight="13.8" x14ac:dyDescent="0.25"/>
  <cols>
    <col min="1" max="1" width="37.109375" style="12" customWidth="1"/>
    <col min="2" max="3" width="8.33203125" style="12" customWidth="1"/>
    <col min="4" max="4" width="12.6640625" style="12" customWidth="1"/>
    <col min="5" max="5" width="7.109375" style="12" customWidth="1"/>
    <col min="6" max="6" width="8.6640625" style="12" customWidth="1"/>
    <col min="7" max="7" width="12.6640625" style="12" customWidth="1"/>
    <col min="8" max="9" width="8.33203125" style="12" customWidth="1"/>
    <col min="10" max="12" width="12.6640625" style="12" customWidth="1"/>
    <col min="13" max="14" width="8.33203125" style="12" customWidth="1"/>
    <col min="15" max="15" width="12.6640625" style="12" customWidth="1"/>
    <col min="16" max="16" width="14" style="7" bestFit="1" customWidth="1"/>
    <col min="17" max="17" width="4.5546875" style="12" customWidth="1"/>
    <col min="18" max="19" width="8.33203125" style="12" customWidth="1"/>
    <col min="20" max="20" width="12.6640625" style="12" customWidth="1"/>
    <col min="21" max="22" width="8.33203125" style="12" customWidth="1"/>
    <col min="23" max="23" width="12.6640625" style="12" customWidth="1"/>
    <col min="24" max="16384" width="9.109375" style="12"/>
  </cols>
  <sheetData>
    <row r="1" spans="1:23" ht="18" x14ac:dyDescent="0.25">
      <c r="A1" s="251" t="s">
        <v>44</v>
      </c>
      <c r="B1" s="251"/>
      <c r="C1" s="251"/>
      <c r="D1" s="251"/>
      <c r="E1" s="251"/>
      <c r="F1" s="251"/>
      <c r="G1" s="251"/>
      <c r="H1" s="251"/>
      <c r="I1" s="251"/>
      <c r="J1" s="251"/>
      <c r="K1" s="251"/>
      <c r="L1" s="251"/>
      <c r="M1" s="251"/>
      <c r="N1" s="251"/>
      <c r="O1" s="251"/>
      <c r="P1" s="66" t="s">
        <v>15</v>
      </c>
      <c r="Q1" s="9"/>
      <c r="R1" s="9"/>
      <c r="S1" s="9"/>
      <c r="T1" s="9"/>
      <c r="U1" s="9"/>
      <c r="V1" s="9"/>
      <c r="W1" s="9"/>
    </row>
    <row r="2" spans="1:23" ht="15" x14ac:dyDescent="0.2">
      <c r="A2" s="252" t="s">
        <v>154</v>
      </c>
      <c r="B2" s="252"/>
      <c r="C2" s="252"/>
      <c r="D2" s="252"/>
      <c r="E2" s="252"/>
      <c r="F2" s="252"/>
      <c r="G2" s="252"/>
      <c r="H2" s="252"/>
      <c r="I2" s="252"/>
      <c r="J2" s="252"/>
      <c r="K2" s="252"/>
      <c r="L2" s="252"/>
      <c r="M2" s="252"/>
      <c r="N2" s="252"/>
      <c r="O2" s="252"/>
      <c r="P2" s="66" t="s">
        <v>15</v>
      </c>
      <c r="Q2" s="10"/>
      <c r="R2" s="10"/>
      <c r="S2" s="10"/>
      <c r="T2" s="10"/>
      <c r="U2" s="10"/>
      <c r="V2" s="10"/>
      <c r="W2" s="10"/>
    </row>
    <row r="3" spans="1:23" ht="14.25" x14ac:dyDescent="0.2">
      <c r="A3" s="267" t="s">
        <v>1</v>
      </c>
      <c r="B3" s="267"/>
      <c r="C3" s="267"/>
      <c r="D3" s="267"/>
      <c r="E3" s="267"/>
      <c r="F3" s="267"/>
      <c r="G3" s="267"/>
      <c r="H3" s="267"/>
      <c r="I3" s="267"/>
      <c r="J3" s="267"/>
      <c r="K3" s="267"/>
      <c r="L3" s="267"/>
      <c r="M3" s="267"/>
      <c r="N3" s="267"/>
      <c r="O3" s="267"/>
      <c r="P3" s="66" t="s">
        <v>15</v>
      </c>
      <c r="Q3" s="13"/>
      <c r="R3" s="13"/>
      <c r="S3" s="13"/>
      <c r="T3" s="13"/>
      <c r="U3" s="13"/>
      <c r="V3" s="13"/>
      <c r="W3" s="13"/>
    </row>
    <row r="4" spans="1:23" ht="14.25" x14ac:dyDescent="0.2">
      <c r="A4" s="254" t="s">
        <v>2</v>
      </c>
      <c r="B4" s="254"/>
      <c r="C4" s="254"/>
      <c r="D4" s="254"/>
      <c r="E4" s="254"/>
      <c r="F4" s="254"/>
      <c r="G4" s="254"/>
      <c r="H4" s="254"/>
      <c r="I4" s="254"/>
      <c r="J4" s="254"/>
      <c r="K4" s="254"/>
      <c r="L4" s="254"/>
      <c r="M4" s="254"/>
      <c r="N4" s="254"/>
      <c r="O4" s="254"/>
      <c r="P4" s="66" t="s">
        <v>15</v>
      </c>
      <c r="Q4" s="11"/>
      <c r="R4" s="11"/>
      <c r="S4" s="11"/>
      <c r="T4" s="11"/>
      <c r="U4" s="11"/>
      <c r="V4" s="11"/>
      <c r="W4" s="11"/>
    </row>
    <row r="5" spans="1:23" ht="14.25" x14ac:dyDescent="0.2">
      <c r="A5" s="11"/>
      <c r="B5" s="11"/>
      <c r="C5" s="11"/>
      <c r="D5" s="11"/>
      <c r="E5" s="11"/>
      <c r="F5" s="11"/>
      <c r="G5" s="11"/>
      <c r="H5" s="11"/>
      <c r="I5" s="11"/>
      <c r="J5" s="11"/>
      <c r="K5" s="11"/>
      <c r="L5" s="11"/>
      <c r="M5" s="11"/>
      <c r="N5" s="11"/>
      <c r="O5" s="11"/>
      <c r="P5" s="66" t="s">
        <v>15</v>
      </c>
      <c r="Q5" s="11"/>
      <c r="R5" s="11"/>
      <c r="S5" s="11"/>
      <c r="T5" s="11"/>
      <c r="U5" s="11"/>
      <c r="V5" s="11"/>
      <c r="W5" s="11"/>
    </row>
    <row r="6" spans="1:23" ht="15" thickBot="1" x14ac:dyDescent="0.25">
      <c r="A6" s="65"/>
      <c r="B6" s="65"/>
      <c r="C6" s="65"/>
      <c r="D6" s="65"/>
      <c r="E6" s="65"/>
      <c r="F6" s="65"/>
      <c r="G6" s="65"/>
      <c r="H6" s="65"/>
      <c r="I6" s="65"/>
      <c r="J6" s="65"/>
      <c r="K6" s="65"/>
      <c r="L6" s="65"/>
      <c r="M6" s="65"/>
      <c r="N6" s="65"/>
      <c r="O6" s="65"/>
      <c r="P6" s="66" t="s">
        <v>15</v>
      </c>
      <c r="Q6" s="11"/>
      <c r="R6" s="11"/>
      <c r="S6" s="11"/>
      <c r="T6" s="11"/>
      <c r="U6" s="11"/>
      <c r="V6" s="11"/>
      <c r="W6" s="11"/>
    </row>
    <row r="7" spans="1:23" ht="33.75" customHeight="1" x14ac:dyDescent="0.25">
      <c r="A7" s="256" t="s">
        <v>131</v>
      </c>
      <c r="B7" s="258" t="s">
        <v>153</v>
      </c>
      <c r="C7" s="258"/>
      <c r="D7" s="258"/>
      <c r="E7" s="258" t="s">
        <v>127</v>
      </c>
      <c r="F7" s="301"/>
      <c r="G7" s="302"/>
      <c r="H7" s="258" t="s">
        <v>45</v>
      </c>
      <c r="I7" s="258"/>
      <c r="J7" s="258"/>
      <c r="K7" s="117" t="s">
        <v>46</v>
      </c>
      <c r="L7" s="117" t="s">
        <v>137</v>
      </c>
      <c r="M7" s="258" t="s">
        <v>50</v>
      </c>
      <c r="N7" s="258"/>
      <c r="O7" s="259"/>
      <c r="P7" s="66" t="s">
        <v>15</v>
      </c>
    </row>
    <row r="8" spans="1:23" ht="27.6" x14ac:dyDescent="0.25">
      <c r="A8" s="257"/>
      <c r="B8" s="14" t="s">
        <v>4</v>
      </c>
      <c r="C8" s="113" t="s">
        <v>125</v>
      </c>
      <c r="D8" s="14" t="s">
        <v>5</v>
      </c>
      <c r="E8" s="14" t="s">
        <v>4</v>
      </c>
      <c r="F8" s="113" t="s">
        <v>125</v>
      </c>
      <c r="G8" s="14" t="s">
        <v>5</v>
      </c>
      <c r="H8" s="14" t="s">
        <v>4</v>
      </c>
      <c r="I8" s="14" t="s">
        <v>125</v>
      </c>
      <c r="J8" s="14" t="s">
        <v>5</v>
      </c>
      <c r="K8" s="22" t="s">
        <v>5</v>
      </c>
      <c r="L8" s="14" t="s">
        <v>5</v>
      </c>
      <c r="M8" s="14" t="s">
        <v>4</v>
      </c>
      <c r="N8" s="14" t="s">
        <v>125</v>
      </c>
      <c r="O8" s="15" t="s">
        <v>5</v>
      </c>
      <c r="P8" s="66" t="s">
        <v>15</v>
      </c>
    </row>
    <row r="9" spans="1:23" ht="14.25" x14ac:dyDescent="0.2">
      <c r="A9" s="172" t="s">
        <v>158</v>
      </c>
      <c r="B9" s="131">
        <v>1314</v>
      </c>
      <c r="C9" s="131">
        <v>1216</v>
      </c>
      <c r="D9" s="131">
        <v>223258</v>
      </c>
      <c r="E9" s="131">
        <v>0</v>
      </c>
      <c r="F9" s="131">
        <v>0</v>
      </c>
      <c r="G9" s="131">
        <v>0</v>
      </c>
      <c r="H9" s="131">
        <v>0</v>
      </c>
      <c r="I9" s="131">
        <v>0</v>
      </c>
      <c r="J9" s="131">
        <v>0</v>
      </c>
      <c r="K9" s="131">
        <v>3330</v>
      </c>
      <c r="L9" s="131">
        <v>151</v>
      </c>
      <c r="M9" s="131">
        <f t="shared" ref="M9" si="0">B9+H9</f>
        <v>1314</v>
      </c>
      <c r="N9" s="131">
        <v>1216</v>
      </c>
      <c r="O9" s="132">
        <f>D9+J9+K9+L9+G9</f>
        <v>226739</v>
      </c>
      <c r="P9" s="66" t="s">
        <v>15</v>
      </c>
    </row>
    <row r="10" spans="1:23" ht="15" x14ac:dyDescent="0.25">
      <c r="A10" s="16" t="s">
        <v>128</v>
      </c>
      <c r="B10" s="135">
        <f t="shared" ref="B10:O10" si="1">SUM(B9:B9)</f>
        <v>1314</v>
      </c>
      <c r="C10" s="135">
        <f t="shared" si="1"/>
        <v>1216</v>
      </c>
      <c r="D10" s="135">
        <f t="shared" si="1"/>
        <v>223258</v>
      </c>
      <c r="E10" s="135">
        <f t="shared" si="1"/>
        <v>0</v>
      </c>
      <c r="F10" s="135">
        <f t="shared" si="1"/>
        <v>0</v>
      </c>
      <c r="G10" s="135">
        <f t="shared" si="1"/>
        <v>0</v>
      </c>
      <c r="H10" s="135">
        <f t="shared" si="1"/>
        <v>0</v>
      </c>
      <c r="I10" s="135">
        <f t="shared" si="1"/>
        <v>0</v>
      </c>
      <c r="J10" s="135">
        <f t="shared" si="1"/>
        <v>0</v>
      </c>
      <c r="K10" s="135">
        <f t="shared" si="1"/>
        <v>3330</v>
      </c>
      <c r="L10" s="135">
        <f t="shared" si="1"/>
        <v>151</v>
      </c>
      <c r="M10" s="135">
        <f t="shared" si="1"/>
        <v>1314</v>
      </c>
      <c r="N10" s="135">
        <f t="shared" si="1"/>
        <v>1216</v>
      </c>
      <c r="O10" s="136">
        <f t="shared" si="1"/>
        <v>226739</v>
      </c>
      <c r="P10" s="66" t="s">
        <v>15</v>
      </c>
    </row>
    <row r="11" spans="1:23" ht="14.25" x14ac:dyDescent="0.2">
      <c r="A11" s="100" t="s">
        <v>21</v>
      </c>
      <c r="B11" s="137"/>
      <c r="C11" s="137">
        <v>0</v>
      </c>
      <c r="D11" s="137"/>
      <c r="E11" s="137"/>
      <c r="F11" s="137">
        <v>0</v>
      </c>
      <c r="G11" s="137"/>
      <c r="H11" s="137"/>
      <c r="I11" s="137">
        <v>0</v>
      </c>
      <c r="J11" s="137"/>
      <c r="K11" s="137"/>
      <c r="L11" s="137"/>
      <c r="M11" s="137"/>
      <c r="N11" s="137">
        <f>C11+I11+F11</f>
        <v>0</v>
      </c>
      <c r="O11" s="138"/>
      <c r="P11" s="66" t="s">
        <v>15</v>
      </c>
    </row>
    <row r="12" spans="1:23" ht="14.25" x14ac:dyDescent="0.2">
      <c r="A12" s="114" t="s">
        <v>129</v>
      </c>
      <c r="B12" s="25"/>
      <c r="C12" s="25">
        <f>C10+C11</f>
        <v>1216</v>
      </c>
      <c r="D12" s="25"/>
      <c r="E12" s="25"/>
      <c r="F12" s="25">
        <f>F10+F11</f>
        <v>0</v>
      </c>
      <c r="G12" s="25"/>
      <c r="H12" s="25"/>
      <c r="I12" s="25">
        <f>I10+I11</f>
        <v>0</v>
      </c>
      <c r="J12" s="25"/>
      <c r="K12" s="25"/>
      <c r="L12" s="25"/>
      <c r="M12" s="25"/>
      <c r="N12" s="137">
        <f>N10+N11</f>
        <v>1216</v>
      </c>
      <c r="O12" s="133"/>
      <c r="P12" s="66" t="s">
        <v>15</v>
      </c>
    </row>
    <row r="13" spans="1:23" ht="14.25" x14ac:dyDescent="0.2">
      <c r="A13" s="19"/>
      <c r="B13" s="25"/>
      <c r="C13" s="25"/>
      <c r="D13" s="25"/>
      <c r="E13" s="25"/>
      <c r="F13" s="25"/>
      <c r="G13" s="25"/>
      <c r="H13" s="25"/>
      <c r="I13" s="25"/>
      <c r="J13" s="25"/>
      <c r="K13" s="25"/>
      <c r="L13" s="25"/>
      <c r="M13" s="25"/>
      <c r="N13" s="25"/>
      <c r="O13" s="133"/>
      <c r="P13" s="66" t="s">
        <v>15</v>
      </c>
    </row>
    <row r="14" spans="1:23" ht="14.25" x14ac:dyDescent="0.2">
      <c r="A14" s="19" t="s">
        <v>22</v>
      </c>
      <c r="B14" s="25"/>
      <c r="C14" s="25"/>
      <c r="D14" s="25"/>
      <c r="E14" s="25"/>
      <c r="F14" s="25"/>
      <c r="G14" s="25"/>
      <c r="H14" s="25"/>
      <c r="I14" s="25"/>
      <c r="J14" s="25"/>
      <c r="K14" s="25"/>
      <c r="L14" s="25"/>
      <c r="M14" s="25"/>
      <c r="N14" s="25"/>
      <c r="O14" s="133"/>
      <c r="P14" s="66" t="s">
        <v>15</v>
      </c>
    </row>
    <row r="15" spans="1:23" ht="14.25" x14ac:dyDescent="0.2">
      <c r="A15" s="20" t="s">
        <v>23</v>
      </c>
      <c r="B15" s="25"/>
      <c r="C15" s="25">
        <v>0</v>
      </c>
      <c r="D15" s="25"/>
      <c r="E15" s="25"/>
      <c r="F15" s="25">
        <v>0</v>
      </c>
      <c r="G15" s="25"/>
      <c r="H15" s="25"/>
      <c r="I15" s="25">
        <v>0</v>
      </c>
      <c r="J15" s="25"/>
      <c r="K15" s="25"/>
      <c r="L15" s="25"/>
      <c r="M15" s="25"/>
      <c r="N15" s="25">
        <f>C15+I15+F15</f>
        <v>0</v>
      </c>
      <c r="O15" s="133"/>
      <c r="P15" s="66" t="s">
        <v>15</v>
      </c>
    </row>
    <row r="16" spans="1:23" ht="14.25" x14ac:dyDescent="0.2">
      <c r="A16" s="21" t="s">
        <v>24</v>
      </c>
      <c r="B16" s="139"/>
      <c r="C16" s="139">
        <v>0</v>
      </c>
      <c r="D16" s="139"/>
      <c r="E16" s="139"/>
      <c r="F16" s="139">
        <v>0</v>
      </c>
      <c r="G16" s="139"/>
      <c r="H16" s="139"/>
      <c r="I16" s="139">
        <v>0</v>
      </c>
      <c r="J16" s="139"/>
      <c r="K16" s="139"/>
      <c r="L16" s="139"/>
      <c r="M16" s="139"/>
      <c r="N16" s="25">
        <f>C16+I16+F15</f>
        <v>0</v>
      </c>
      <c r="O16" s="140"/>
      <c r="P16" s="66" t="s">
        <v>15</v>
      </c>
    </row>
    <row r="17" spans="1:16" ht="15" thickBot="1" x14ac:dyDescent="0.25">
      <c r="A17" s="115" t="s">
        <v>130</v>
      </c>
      <c r="B17" s="141"/>
      <c r="C17" s="141">
        <f>C12+C15+C16</f>
        <v>1216</v>
      </c>
      <c r="D17" s="141"/>
      <c r="E17" s="141"/>
      <c r="F17" s="141">
        <f>F12+F15+F16</f>
        <v>0</v>
      </c>
      <c r="G17" s="141"/>
      <c r="H17" s="141"/>
      <c r="I17" s="141">
        <f>I12+I15+I16</f>
        <v>0</v>
      </c>
      <c r="J17" s="141"/>
      <c r="K17" s="141"/>
      <c r="L17" s="141"/>
      <c r="M17" s="141"/>
      <c r="N17" s="141">
        <f>SUM(N12,N15:N16)</f>
        <v>1216</v>
      </c>
      <c r="O17" s="142"/>
      <c r="P17" s="66" t="s">
        <v>15</v>
      </c>
    </row>
    <row r="18" spans="1:16" ht="14.25" x14ac:dyDescent="0.2">
      <c r="P18" s="66" t="s">
        <v>15</v>
      </c>
    </row>
    <row r="19" spans="1:16" ht="15" x14ac:dyDescent="0.25">
      <c r="A19" s="8" t="s">
        <v>45</v>
      </c>
      <c r="P19" s="66" t="s">
        <v>15</v>
      </c>
    </row>
    <row r="20" spans="1:16" ht="14.25" x14ac:dyDescent="0.2">
      <c r="A20" s="303"/>
      <c r="B20" s="303"/>
      <c r="C20" s="303"/>
      <c r="D20" s="303"/>
      <c r="E20" s="303"/>
      <c r="F20" s="303"/>
      <c r="G20" s="303"/>
      <c r="H20" s="303"/>
      <c r="I20" s="303"/>
      <c r="J20" s="303"/>
      <c r="K20" s="303"/>
      <c r="L20" s="303"/>
      <c r="M20" s="303"/>
      <c r="N20" s="303"/>
      <c r="O20" s="303"/>
      <c r="P20" s="66" t="s">
        <v>15</v>
      </c>
    </row>
    <row r="21" spans="1:16" ht="14.25" x14ac:dyDescent="0.2">
      <c r="A21" s="303"/>
      <c r="B21" s="303"/>
      <c r="C21" s="303"/>
      <c r="D21" s="303"/>
      <c r="E21" s="303"/>
      <c r="F21" s="303"/>
      <c r="G21" s="303"/>
      <c r="H21" s="303"/>
      <c r="I21" s="303"/>
      <c r="J21" s="303"/>
      <c r="K21" s="303"/>
      <c r="L21" s="303"/>
      <c r="M21" s="303"/>
      <c r="N21" s="303"/>
      <c r="O21" s="303"/>
      <c r="P21" s="66" t="s">
        <v>15</v>
      </c>
    </row>
    <row r="22" spans="1:16" ht="15" x14ac:dyDescent="0.25">
      <c r="A22" s="8" t="s">
        <v>194</v>
      </c>
      <c r="P22" s="66" t="s">
        <v>15</v>
      </c>
    </row>
    <row r="23" spans="1:16" ht="14.25" x14ac:dyDescent="0.2">
      <c r="A23" s="303"/>
      <c r="B23" s="303"/>
      <c r="C23" s="303"/>
      <c r="D23" s="303"/>
      <c r="E23" s="303"/>
      <c r="F23" s="303"/>
      <c r="G23" s="303"/>
      <c r="H23" s="303"/>
      <c r="I23" s="303"/>
      <c r="J23" s="303"/>
      <c r="K23" s="303"/>
      <c r="L23" s="303"/>
      <c r="M23" s="303"/>
      <c r="N23" s="303"/>
      <c r="O23" s="303"/>
      <c r="P23" s="66" t="s">
        <v>15</v>
      </c>
    </row>
    <row r="24" spans="1:16" ht="14.25" x14ac:dyDescent="0.2">
      <c r="A24" s="303"/>
      <c r="B24" s="303"/>
      <c r="C24" s="303"/>
      <c r="D24" s="303"/>
      <c r="E24" s="303"/>
      <c r="F24" s="303"/>
      <c r="G24" s="303"/>
      <c r="H24" s="303"/>
      <c r="I24" s="303"/>
      <c r="J24" s="303"/>
      <c r="K24" s="303"/>
      <c r="L24" s="303"/>
      <c r="M24" s="303"/>
      <c r="N24" s="303"/>
      <c r="O24" s="303"/>
      <c r="P24" s="66" t="s">
        <v>15</v>
      </c>
    </row>
    <row r="25" spans="1:16" ht="14.25" x14ac:dyDescent="0.2">
      <c r="P25" s="66" t="s">
        <v>15</v>
      </c>
    </row>
    <row r="26" spans="1:16" ht="14.25" x14ac:dyDescent="0.2">
      <c r="P26" s="7" t="s">
        <v>16</v>
      </c>
    </row>
  </sheetData>
  <mergeCells count="13">
    <mergeCell ref="A20:O20"/>
    <mergeCell ref="A21:O21"/>
    <mergeCell ref="A23:O23"/>
    <mergeCell ref="A24:O24"/>
    <mergeCell ref="A7:A8"/>
    <mergeCell ref="B7:D7"/>
    <mergeCell ref="H7:J7"/>
    <mergeCell ref="M7:O7"/>
    <mergeCell ref="A1:O1"/>
    <mergeCell ref="A2:O2"/>
    <mergeCell ref="A3:O3"/>
    <mergeCell ref="A4:O4"/>
    <mergeCell ref="E7:G7"/>
  </mergeCells>
  <printOptions horizontalCentered="1"/>
  <pageMargins left="0.7" right="0.7" top="0.64" bottom="0.61" header="0.3" footer="0.3"/>
  <pageSetup scale="68" fitToHeight="9999" orientation="landscape" r:id="rId1"/>
  <headerFooter>
    <oddHeader>&amp;L&amp;"Arial,Bold"&amp;12F. Crosswalk of 2012 Availability</oddHeader>
    <oddFooter>&amp;C&amp;"Arial,Regular"Exhibit F - Crosswalk of 2012 Availability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view="pageBreakPreview" zoomScale="80" zoomScaleNormal="100" zoomScaleSheetLayoutView="80" workbookViewId="0">
      <selection activeCell="P1" sqref="P1:P1048576"/>
    </sheetView>
  </sheetViews>
  <sheetFormatPr defaultColWidth="9.109375" defaultRowHeight="13.8" x14ac:dyDescent="0.25"/>
  <cols>
    <col min="1" max="1" width="37.109375" style="12" customWidth="1"/>
    <col min="2" max="3" width="8.33203125" style="12" customWidth="1"/>
    <col min="4" max="4" width="12.6640625" style="12" customWidth="1"/>
    <col min="5" max="5" width="15" style="12" customWidth="1"/>
    <col min="6" max="7" width="8.33203125" style="12" customWidth="1"/>
    <col min="8" max="10" width="12.6640625" style="12" customWidth="1"/>
    <col min="11" max="12" width="8.33203125" style="12" customWidth="1"/>
    <col min="13" max="13" width="12.6640625" style="12" customWidth="1"/>
    <col min="14" max="14" width="14" style="7" bestFit="1" customWidth="1"/>
    <col min="15" max="15" width="4.5546875" style="12" customWidth="1"/>
    <col min="16" max="17" width="8.33203125" style="12" customWidth="1"/>
    <col min="18" max="18" width="12.6640625" style="12" customWidth="1"/>
    <col min="19" max="20" width="8.33203125" style="12" customWidth="1"/>
    <col min="21" max="21" width="12.6640625" style="12" customWidth="1"/>
    <col min="22" max="16384" width="9.109375" style="12"/>
  </cols>
  <sheetData>
    <row r="1" spans="1:21" ht="18" x14ac:dyDescent="0.25">
      <c r="A1" s="251" t="s">
        <v>47</v>
      </c>
      <c r="B1" s="251"/>
      <c r="C1" s="251"/>
      <c r="D1" s="251"/>
      <c r="E1" s="251"/>
      <c r="F1" s="251"/>
      <c r="G1" s="251"/>
      <c r="H1" s="251"/>
      <c r="I1" s="251"/>
      <c r="J1" s="251"/>
      <c r="K1" s="251"/>
      <c r="L1" s="251"/>
      <c r="M1" s="251"/>
      <c r="N1" s="66" t="s">
        <v>15</v>
      </c>
      <c r="O1" s="9"/>
      <c r="P1" s="9"/>
      <c r="Q1" s="9"/>
      <c r="R1" s="9"/>
      <c r="S1" s="9"/>
      <c r="T1" s="9"/>
      <c r="U1" s="9"/>
    </row>
    <row r="2" spans="1:21" ht="15" x14ac:dyDescent="0.2">
      <c r="A2" s="252" t="s">
        <v>154</v>
      </c>
      <c r="B2" s="252"/>
      <c r="C2" s="252"/>
      <c r="D2" s="252"/>
      <c r="E2" s="252"/>
      <c r="F2" s="252"/>
      <c r="G2" s="252"/>
      <c r="H2" s="252"/>
      <c r="I2" s="252"/>
      <c r="J2" s="252"/>
      <c r="K2" s="252"/>
      <c r="L2" s="252"/>
      <c r="M2" s="252"/>
      <c r="N2" s="66" t="s">
        <v>15</v>
      </c>
      <c r="O2" s="10"/>
      <c r="P2" s="10"/>
      <c r="Q2" s="10"/>
      <c r="R2" s="10"/>
      <c r="S2" s="10"/>
      <c r="T2" s="10"/>
      <c r="U2" s="10"/>
    </row>
    <row r="3" spans="1:21" ht="14.25" x14ac:dyDescent="0.2">
      <c r="A3" s="267" t="s">
        <v>1</v>
      </c>
      <c r="B3" s="267"/>
      <c r="C3" s="267"/>
      <c r="D3" s="267"/>
      <c r="E3" s="267"/>
      <c r="F3" s="267"/>
      <c r="G3" s="267"/>
      <c r="H3" s="267"/>
      <c r="I3" s="267"/>
      <c r="J3" s="267"/>
      <c r="K3" s="267"/>
      <c r="L3" s="267"/>
      <c r="M3" s="267"/>
      <c r="N3" s="66" t="s">
        <v>15</v>
      </c>
      <c r="O3" s="13"/>
      <c r="P3" s="13"/>
      <c r="Q3" s="13"/>
      <c r="R3" s="13"/>
      <c r="S3" s="13"/>
      <c r="T3" s="13"/>
      <c r="U3" s="13"/>
    </row>
    <row r="4" spans="1:21" ht="14.25" x14ac:dyDescent="0.2">
      <c r="A4" s="254" t="s">
        <v>2</v>
      </c>
      <c r="B4" s="254"/>
      <c r="C4" s="254"/>
      <c r="D4" s="254"/>
      <c r="E4" s="254"/>
      <c r="F4" s="254"/>
      <c r="G4" s="254"/>
      <c r="H4" s="254"/>
      <c r="I4" s="254"/>
      <c r="J4" s="254"/>
      <c r="K4" s="254"/>
      <c r="L4" s="254"/>
      <c r="M4" s="254"/>
      <c r="N4" s="66" t="s">
        <v>15</v>
      </c>
      <c r="O4" s="11"/>
      <c r="P4" s="11"/>
      <c r="Q4" s="11"/>
      <c r="R4" s="11"/>
      <c r="S4" s="11"/>
      <c r="T4" s="11"/>
      <c r="U4" s="11"/>
    </row>
    <row r="5" spans="1:21" ht="14.25" x14ac:dyDescent="0.2">
      <c r="A5" s="11"/>
      <c r="B5" s="11"/>
      <c r="C5" s="11"/>
      <c r="D5" s="11"/>
      <c r="E5" s="11"/>
      <c r="F5" s="11"/>
      <c r="G5" s="11"/>
      <c r="H5" s="11"/>
      <c r="I5" s="11"/>
      <c r="J5" s="11"/>
      <c r="K5" s="11"/>
      <c r="L5" s="11"/>
      <c r="M5" s="11"/>
      <c r="N5" s="66" t="s">
        <v>15</v>
      </c>
      <c r="O5" s="11"/>
      <c r="P5" s="11"/>
      <c r="Q5" s="11"/>
      <c r="R5" s="11"/>
      <c r="S5" s="11"/>
      <c r="T5" s="11"/>
      <c r="U5" s="11"/>
    </row>
    <row r="6" spans="1:21" ht="15" thickBot="1" x14ac:dyDescent="0.25">
      <c r="A6" s="65"/>
      <c r="B6" s="65"/>
      <c r="C6" s="65"/>
      <c r="D6" s="65"/>
      <c r="E6" s="65"/>
      <c r="F6" s="65"/>
      <c r="G6" s="65"/>
      <c r="H6" s="65"/>
      <c r="I6" s="65"/>
      <c r="J6" s="65"/>
      <c r="K6" s="65"/>
      <c r="L6" s="65"/>
      <c r="M6" s="65"/>
      <c r="N6" s="66" t="s">
        <v>15</v>
      </c>
      <c r="O6" s="11"/>
      <c r="P6" s="11"/>
      <c r="Q6" s="11"/>
      <c r="R6" s="11"/>
      <c r="S6" s="11"/>
      <c r="T6" s="11"/>
      <c r="U6" s="11"/>
    </row>
    <row r="7" spans="1:21" ht="33.75" customHeight="1" x14ac:dyDescent="0.25">
      <c r="A7" s="256" t="s">
        <v>131</v>
      </c>
      <c r="B7" s="258" t="s">
        <v>173</v>
      </c>
      <c r="C7" s="258"/>
      <c r="D7" s="258"/>
      <c r="E7" s="96" t="s">
        <v>136</v>
      </c>
      <c r="F7" s="258" t="s">
        <v>45</v>
      </c>
      <c r="G7" s="258"/>
      <c r="H7" s="258"/>
      <c r="I7" s="117" t="s">
        <v>46</v>
      </c>
      <c r="J7" s="96" t="s">
        <v>137</v>
      </c>
      <c r="K7" s="258" t="s">
        <v>48</v>
      </c>
      <c r="L7" s="258"/>
      <c r="M7" s="259"/>
      <c r="N7" s="66" t="s">
        <v>15</v>
      </c>
    </row>
    <row r="8" spans="1:21" ht="27.6" x14ac:dyDescent="0.25">
      <c r="A8" s="257"/>
      <c r="B8" s="14" t="s">
        <v>4</v>
      </c>
      <c r="C8" s="22" t="s">
        <v>126</v>
      </c>
      <c r="D8" s="14" t="s">
        <v>5</v>
      </c>
      <c r="E8" s="22" t="s">
        <v>5</v>
      </c>
      <c r="F8" s="14" t="s">
        <v>4</v>
      </c>
      <c r="G8" s="14" t="s">
        <v>126</v>
      </c>
      <c r="H8" s="14" t="s">
        <v>5</v>
      </c>
      <c r="I8" s="22" t="s">
        <v>5</v>
      </c>
      <c r="J8" s="14" t="s">
        <v>5</v>
      </c>
      <c r="K8" s="14" t="s">
        <v>4</v>
      </c>
      <c r="L8" s="14" t="s">
        <v>126</v>
      </c>
      <c r="M8" s="15" t="s">
        <v>5</v>
      </c>
      <c r="N8" s="66" t="s">
        <v>15</v>
      </c>
    </row>
    <row r="9" spans="1:21" ht="14.25" x14ac:dyDescent="0.2">
      <c r="A9" s="172" t="s">
        <v>158</v>
      </c>
      <c r="B9" s="131">
        <v>1314</v>
      </c>
      <c r="C9" s="131">
        <v>1202</v>
      </c>
      <c r="D9" s="131">
        <v>224624</v>
      </c>
      <c r="E9" s="131">
        <v>0</v>
      </c>
      <c r="F9" s="131">
        <v>0</v>
      </c>
      <c r="G9" s="131">
        <v>0</v>
      </c>
      <c r="H9" s="131">
        <v>0</v>
      </c>
      <c r="I9" s="240">
        <v>549</v>
      </c>
      <c r="J9" s="240">
        <v>50</v>
      </c>
      <c r="K9" s="131">
        <f>B9+F9</f>
        <v>1314</v>
      </c>
      <c r="L9" s="131">
        <f>C9+G9</f>
        <v>1202</v>
      </c>
      <c r="M9" s="132">
        <f>D9+E9+H9+I9+J9</f>
        <v>225223</v>
      </c>
      <c r="N9" s="66" t="s">
        <v>15</v>
      </c>
    </row>
    <row r="10" spans="1:21" ht="15" x14ac:dyDescent="0.25">
      <c r="A10" s="16" t="s">
        <v>128</v>
      </c>
      <c r="B10" s="135">
        <f t="shared" ref="B10:M10" si="0">SUM(B9:B9)</f>
        <v>1314</v>
      </c>
      <c r="C10" s="135">
        <f t="shared" si="0"/>
        <v>1202</v>
      </c>
      <c r="D10" s="135">
        <f t="shared" si="0"/>
        <v>224624</v>
      </c>
      <c r="E10" s="135">
        <f t="shared" si="0"/>
        <v>0</v>
      </c>
      <c r="F10" s="135">
        <f t="shared" si="0"/>
        <v>0</v>
      </c>
      <c r="G10" s="135">
        <f t="shared" si="0"/>
        <v>0</v>
      </c>
      <c r="H10" s="135">
        <f t="shared" si="0"/>
        <v>0</v>
      </c>
      <c r="I10" s="135">
        <f t="shared" si="0"/>
        <v>549</v>
      </c>
      <c r="J10" s="135">
        <f t="shared" si="0"/>
        <v>50</v>
      </c>
      <c r="K10" s="135">
        <f t="shared" si="0"/>
        <v>1314</v>
      </c>
      <c r="L10" s="135">
        <f t="shared" si="0"/>
        <v>1202</v>
      </c>
      <c r="M10" s="136">
        <f t="shared" si="0"/>
        <v>225223</v>
      </c>
      <c r="N10" s="66" t="s">
        <v>15</v>
      </c>
    </row>
    <row r="11" spans="1:21" ht="14.25" x14ac:dyDescent="0.2">
      <c r="A11" s="119" t="s">
        <v>127</v>
      </c>
      <c r="B11" s="131"/>
      <c r="C11" s="131"/>
      <c r="D11" s="131">
        <v>0</v>
      </c>
      <c r="E11" s="131"/>
      <c r="F11" s="131"/>
      <c r="G11" s="131"/>
      <c r="H11" s="131"/>
      <c r="I11" s="131"/>
      <c r="J11" s="131"/>
      <c r="K11" s="131"/>
      <c r="L11" s="131"/>
      <c r="M11" s="132">
        <f>D11+E11+H11+I11+J11</f>
        <v>0</v>
      </c>
      <c r="N11" s="66" t="s">
        <v>15</v>
      </c>
    </row>
    <row r="12" spans="1:21" ht="14.25" x14ac:dyDescent="0.2">
      <c r="A12" s="120" t="s">
        <v>144</v>
      </c>
      <c r="B12" s="143"/>
      <c r="C12" s="143"/>
      <c r="D12" s="143">
        <f>SUM(D10:D11)</f>
        <v>224624</v>
      </c>
      <c r="E12" s="143"/>
      <c r="F12" s="143"/>
      <c r="G12" s="143"/>
      <c r="H12" s="143"/>
      <c r="I12" s="143"/>
      <c r="J12" s="143"/>
      <c r="K12" s="143"/>
      <c r="L12" s="143"/>
      <c r="M12" s="144">
        <f>SUM(M10:M11)</f>
        <v>225223</v>
      </c>
      <c r="N12" s="66" t="s">
        <v>15</v>
      </c>
    </row>
    <row r="13" spans="1:21" ht="14.25" x14ac:dyDescent="0.2">
      <c r="A13" s="100" t="s">
        <v>21</v>
      </c>
      <c r="B13" s="137"/>
      <c r="C13" s="137">
        <v>0</v>
      </c>
      <c r="D13" s="137"/>
      <c r="E13" s="137"/>
      <c r="F13" s="137"/>
      <c r="G13" s="137">
        <v>0</v>
      </c>
      <c r="H13" s="137"/>
      <c r="I13" s="137">
        <v>0</v>
      </c>
      <c r="J13" s="137"/>
      <c r="K13" s="137"/>
      <c r="L13" s="137">
        <f t="shared" ref="L13" si="1">C13+G13</f>
        <v>0</v>
      </c>
      <c r="M13" s="138"/>
      <c r="N13" s="66" t="s">
        <v>15</v>
      </c>
    </row>
    <row r="14" spans="1:21" ht="14.25" x14ac:dyDescent="0.2">
      <c r="A14" s="114" t="s">
        <v>129</v>
      </c>
      <c r="B14" s="25"/>
      <c r="C14" s="25">
        <f>C10+C13</f>
        <v>1202</v>
      </c>
      <c r="D14" s="25"/>
      <c r="E14" s="25"/>
      <c r="F14" s="25"/>
      <c r="G14" s="25">
        <f>G10+G13</f>
        <v>0</v>
      </c>
      <c r="H14" s="25"/>
      <c r="I14" s="25">
        <f>I10+I13</f>
        <v>549</v>
      </c>
      <c r="J14" s="25"/>
      <c r="K14" s="25"/>
      <c r="L14" s="25">
        <f>L10+L13</f>
        <v>1202</v>
      </c>
      <c r="M14" s="133"/>
      <c r="N14" s="66" t="s">
        <v>15</v>
      </c>
    </row>
    <row r="15" spans="1:21" ht="14.25" x14ac:dyDescent="0.2">
      <c r="A15" s="19"/>
      <c r="B15" s="25"/>
      <c r="C15" s="25"/>
      <c r="D15" s="25"/>
      <c r="E15" s="25"/>
      <c r="F15" s="25"/>
      <c r="G15" s="25"/>
      <c r="H15" s="25"/>
      <c r="I15" s="25"/>
      <c r="J15" s="25"/>
      <c r="K15" s="25"/>
      <c r="L15" s="25"/>
      <c r="M15" s="133"/>
      <c r="N15" s="66" t="s">
        <v>15</v>
      </c>
    </row>
    <row r="16" spans="1:21" ht="14.25" x14ac:dyDescent="0.2">
      <c r="A16" s="19" t="s">
        <v>22</v>
      </c>
      <c r="B16" s="25"/>
      <c r="C16" s="25"/>
      <c r="D16" s="25"/>
      <c r="E16" s="25"/>
      <c r="F16" s="25"/>
      <c r="G16" s="25"/>
      <c r="H16" s="25"/>
      <c r="I16" s="25"/>
      <c r="J16" s="25"/>
      <c r="K16" s="25"/>
      <c r="L16" s="25"/>
      <c r="M16" s="133"/>
      <c r="N16" s="66" t="s">
        <v>15</v>
      </c>
    </row>
    <row r="17" spans="1:14" ht="14.25" x14ac:dyDescent="0.2">
      <c r="A17" s="20" t="s">
        <v>23</v>
      </c>
      <c r="B17" s="25"/>
      <c r="C17" s="25">
        <v>0</v>
      </c>
      <c r="D17" s="25"/>
      <c r="E17" s="25"/>
      <c r="F17" s="25"/>
      <c r="G17" s="25">
        <v>0</v>
      </c>
      <c r="H17" s="25"/>
      <c r="I17" s="25">
        <v>0</v>
      </c>
      <c r="J17" s="25"/>
      <c r="K17" s="25"/>
      <c r="L17" s="25">
        <f t="shared" ref="L17:L18" si="2">C17+G17</f>
        <v>0</v>
      </c>
      <c r="M17" s="133"/>
      <c r="N17" s="66" t="s">
        <v>15</v>
      </c>
    </row>
    <row r="18" spans="1:14" ht="14.25" x14ac:dyDescent="0.2">
      <c r="A18" s="21" t="s">
        <v>24</v>
      </c>
      <c r="B18" s="139"/>
      <c r="C18" s="139">
        <v>0</v>
      </c>
      <c r="D18" s="139"/>
      <c r="E18" s="139"/>
      <c r="F18" s="139"/>
      <c r="G18" s="139">
        <v>0</v>
      </c>
      <c r="H18" s="139"/>
      <c r="I18" s="139">
        <v>0</v>
      </c>
      <c r="J18" s="139"/>
      <c r="K18" s="139"/>
      <c r="L18" s="139">
        <f t="shared" si="2"/>
        <v>0</v>
      </c>
      <c r="M18" s="140"/>
      <c r="N18" s="66" t="s">
        <v>15</v>
      </c>
    </row>
    <row r="19" spans="1:14" ht="15" thickBot="1" x14ac:dyDescent="0.25">
      <c r="A19" s="115" t="s">
        <v>130</v>
      </c>
      <c r="B19" s="141"/>
      <c r="C19" s="141">
        <f>C14+C17+C18</f>
        <v>1202</v>
      </c>
      <c r="D19" s="141"/>
      <c r="E19" s="141"/>
      <c r="F19" s="141"/>
      <c r="G19" s="141">
        <f>G14+G17+G18</f>
        <v>0</v>
      </c>
      <c r="H19" s="141"/>
      <c r="I19" s="141">
        <f>I14+I17+I18</f>
        <v>549</v>
      </c>
      <c r="J19" s="141"/>
      <c r="K19" s="141"/>
      <c r="L19" s="141">
        <f>SUM(L14,L17:L18)</f>
        <v>1202</v>
      </c>
      <c r="M19" s="142"/>
      <c r="N19" s="66" t="s">
        <v>15</v>
      </c>
    </row>
    <row r="20" spans="1:14" ht="14.25" x14ac:dyDescent="0.2">
      <c r="N20" s="66" t="s">
        <v>15</v>
      </c>
    </row>
    <row r="21" spans="1:14" ht="14.25" x14ac:dyDescent="0.2">
      <c r="B21" s="182"/>
      <c r="C21" s="182"/>
      <c r="D21" s="182"/>
      <c r="E21" s="182"/>
      <c r="F21" s="182"/>
      <c r="G21" s="182"/>
      <c r="H21" s="182"/>
      <c r="I21" s="182"/>
      <c r="J21" s="182"/>
      <c r="N21" s="231" t="s">
        <v>15</v>
      </c>
    </row>
    <row r="22" spans="1:14" ht="14.25" x14ac:dyDescent="0.2">
      <c r="N22" s="231" t="s">
        <v>15</v>
      </c>
    </row>
    <row r="23" spans="1:14" ht="15" x14ac:dyDescent="0.25">
      <c r="A23" s="8" t="s">
        <v>45</v>
      </c>
      <c r="N23" s="66" t="s">
        <v>15</v>
      </c>
    </row>
    <row r="24" spans="1:14" ht="14.25" x14ac:dyDescent="0.2">
      <c r="A24" s="303"/>
      <c r="B24" s="303"/>
      <c r="C24" s="303"/>
      <c r="D24" s="303"/>
      <c r="E24" s="303"/>
      <c r="F24" s="303"/>
      <c r="G24" s="303"/>
      <c r="H24" s="303"/>
      <c r="I24" s="303"/>
      <c r="J24" s="303"/>
      <c r="K24" s="303"/>
      <c r="L24" s="303"/>
      <c r="M24" s="303"/>
      <c r="N24" s="66" t="s">
        <v>15</v>
      </c>
    </row>
    <row r="25" spans="1:14" ht="14.25" x14ac:dyDescent="0.2">
      <c r="A25" s="303"/>
      <c r="B25" s="303"/>
      <c r="C25" s="303"/>
      <c r="D25" s="303"/>
      <c r="E25" s="303"/>
      <c r="F25" s="303"/>
      <c r="G25" s="303"/>
      <c r="H25" s="303"/>
      <c r="I25" s="303"/>
      <c r="J25" s="303"/>
      <c r="K25" s="303"/>
      <c r="L25" s="303"/>
      <c r="M25" s="303"/>
      <c r="N25" s="66" t="s">
        <v>15</v>
      </c>
    </row>
    <row r="26" spans="1:14" ht="15" x14ac:dyDescent="0.25">
      <c r="A26" s="8" t="s">
        <v>195</v>
      </c>
      <c r="N26" s="66" t="s">
        <v>15</v>
      </c>
    </row>
    <row r="27" spans="1:14" ht="14.25" x14ac:dyDescent="0.2">
      <c r="A27" s="303"/>
      <c r="B27" s="303"/>
      <c r="C27" s="303"/>
      <c r="D27" s="303"/>
      <c r="E27" s="303"/>
      <c r="F27" s="303"/>
      <c r="G27" s="303"/>
      <c r="H27" s="303"/>
      <c r="I27" s="303"/>
      <c r="J27" s="303"/>
      <c r="K27" s="303"/>
      <c r="L27" s="303"/>
      <c r="M27" s="303"/>
      <c r="N27" s="66" t="s">
        <v>15</v>
      </c>
    </row>
    <row r="28" spans="1:14" ht="14.25" x14ac:dyDescent="0.2">
      <c r="A28" s="303"/>
      <c r="B28" s="303"/>
      <c r="C28" s="303"/>
      <c r="D28" s="303"/>
      <c r="E28" s="303"/>
      <c r="F28" s="303"/>
      <c r="G28" s="303"/>
      <c r="H28" s="303"/>
      <c r="I28" s="303"/>
      <c r="J28" s="303"/>
      <c r="K28" s="303"/>
      <c r="L28" s="303"/>
      <c r="M28" s="303"/>
      <c r="N28" s="66" t="s">
        <v>15</v>
      </c>
    </row>
    <row r="29" spans="1:14" ht="14.25" x14ac:dyDescent="0.2">
      <c r="N29" s="66" t="s">
        <v>15</v>
      </c>
    </row>
    <row r="30" spans="1:14" ht="14.25" x14ac:dyDescent="0.2">
      <c r="N30" s="231" t="s">
        <v>15</v>
      </c>
    </row>
    <row r="31" spans="1:14" ht="14.25" x14ac:dyDescent="0.2">
      <c r="A31" s="181" t="s">
        <v>172</v>
      </c>
      <c r="N31" s="7" t="s">
        <v>16</v>
      </c>
    </row>
  </sheetData>
  <mergeCells count="12">
    <mergeCell ref="A28:M28"/>
    <mergeCell ref="A27:M27"/>
    <mergeCell ref="A25:M25"/>
    <mergeCell ref="A24:M24"/>
    <mergeCell ref="A1:M1"/>
    <mergeCell ref="A2:M2"/>
    <mergeCell ref="A3:M3"/>
    <mergeCell ref="A4:M4"/>
    <mergeCell ref="A7:A8"/>
    <mergeCell ref="B7:D7"/>
    <mergeCell ref="F7:H7"/>
    <mergeCell ref="K7:M7"/>
  </mergeCells>
  <printOptions horizontalCentered="1"/>
  <pageMargins left="0.7" right="0.7" top="0.66" bottom="0.66" header="0.3" footer="0.3"/>
  <pageSetup scale="73" fitToHeight="9999" orientation="landscape" r:id="rId1"/>
  <headerFooter>
    <oddHeader>&amp;L&amp;"Arial,Bold"&amp;12G. Crosswalk of 2013 Availability</oddHeader>
    <oddFooter>&amp;C&amp;"Arial,Regular"Exhibit G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view="pageBreakPreview" zoomScale="80" zoomScaleNormal="100" zoomScaleSheetLayoutView="80" workbookViewId="0">
      <selection activeCell="P1" sqref="P1:P1048576"/>
    </sheetView>
  </sheetViews>
  <sheetFormatPr defaultColWidth="9.109375" defaultRowHeight="13.8" x14ac:dyDescent="0.25"/>
  <cols>
    <col min="1" max="1" width="37.109375" style="12" customWidth="1"/>
    <col min="2" max="3" width="8.33203125" style="12" customWidth="1"/>
    <col min="4" max="4" width="12.6640625" style="12" customWidth="1"/>
    <col min="5" max="6" width="8.33203125" style="12" customWidth="1"/>
    <col min="7" max="7" width="12.6640625" style="12" customWidth="1"/>
    <col min="8" max="9" width="8.33203125" style="12" customWidth="1"/>
    <col min="10" max="10" width="12.6640625" style="12" customWidth="1"/>
    <col min="11" max="12" width="8.33203125" style="12" customWidth="1"/>
    <col min="13" max="13" width="12.6640625" style="12" customWidth="1"/>
    <col min="14" max="14" width="14" style="7" bestFit="1" customWidth="1"/>
    <col min="15" max="15" width="4.5546875" style="12" customWidth="1"/>
    <col min="16" max="17" width="8.33203125" style="12" customWidth="1"/>
    <col min="18" max="18" width="12.6640625" style="12" customWidth="1"/>
    <col min="19" max="20" width="8.33203125" style="12" customWidth="1"/>
    <col min="21" max="21" width="12.6640625" style="12" customWidth="1"/>
    <col min="22" max="16384" width="9.109375" style="12"/>
  </cols>
  <sheetData>
    <row r="1" spans="1:21" ht="18" x14ac:dyDescent="0.25">
      <c r="A1" s="251" t="s">
        <v>49</v>
      </c>
      <c r="B1" s="251"/>
      <c r="C1" s="251"/>
      <c r="D1" s="251"/>
      <c r="E1" s="251"/>
      <c r="F1" s="251"/>
      <c r="G1" s="251"/>
      <c r="H1" s="251"/>
      <c r="I1" s="251"/>
      <c r="J1" s="251"/>
      <c r="K1" s="251"/>
      <c r="L1" s="251"/>
      <c r="M1" s="251"/>
      <c r="N1" s="66" t="s">
        <v>15</v>
      </c>
      <c r="O1" s="9"/>
      <c r="P1" s="9"/>
      <c r="Q1" s="9"/>
      <c r="R1" s="9"/>
      <c r="S1" s="9"/>
      <c r="T1" s="9"/>
      <c r="U1" s="9"/>
    </row>
    <row r="2" spans="1:21" ht="15" x14ac:dyDescent="0.2">
      <c r="A2" s="252" t="s">
        <v>154</v>
      </c>
      <c r="B2" s="252"/>
      <c r="C2" s="252"/>
      <c r="D2" s="252"/>
      <c r="E2" s="252"/>
      <c r="F2" s="252"/>
      <c r="G2" s="252"/>
      <c r="H2" s="252"/>
      <c r="I2" s="252"/>
      <c r="J2" s="252"/>
      <c r="K2" s="252"/>
      <c r="L2" s="252"/>
      <c r="M2" s="252"/>
      <c r="N2" s="66" t="s">
        <v>15</v>
      </c>
      <c r="O2" s="10"/>
      <c r="P2" s="10"/>
      <c r="Q2" s="10"/>
      <c r="R2" s="10"/>
      <c r="S2" s="10"/>
      <c r="T2" s="10"/>
      <c r="U2" s="10"/>
    </row>
    <row r="3" spans="1:21" ht="14.25" x14ac:dyDescent="0.2">
      <c r="A3" s="267" t="s">
        <v>1</v>
      </c>
      <c r="B3" s="267"/>
      <c r="C3" s="267"/>
      <c r="D3" s="267"/>
      <c r="E3" s="267"/>
      <c r="F3" s="267"/>
      <c r="G3" s="267"/>
      <c r="H3" s="267"/>
      <c r="I3" s="267"/>
      <c r="J3" s="267"/>
      <c r="K3" s="267"/>
      <c r="L3" s="267"/>
      <c r="M3" s="267"/>
      <c r="N3" s="66" t="s">
        <v>15</v>
      </c>
      <c r="O3" s="13"/>
      <c r="P3" s="13"/>
      <c r="Q3" s="13"/>
      <c r="R3" s="13"/>
      <c r="S3" s="13"/>
      <c r="T3" s="13"/>
      <c r="U3" s="13"/>
    </row>
    <row r="4" spans="1:21" ht="14.25" x14ac:dyDescent="0.2">
      <c r="A4" s="254" t="s">
        <v>2</v>
      </c>
      <c r="B4" s="254"/>
      <c r="C4" s="254"/>
      <c r="D4" s="254"/>
      <c r="E4" s="254"/>
      <c r="F4" s="254"/>
      <c r="G4" s="254"/>
      <c r="H4" s="254"/>
      <c r="I4" s="254"/>
      <c r="J4" s="254"/>
      <c r="K4" s="254"/>
      <c r="L4" s="254"/>
      <c r="M4" s="254"/>
      <c r="N4" s="66" t="s">
        <v>15</v>
      </c>
      <c r="O4" s="11"/>
      <c r="P4" s="11"/>
      <c r="Q4" s="11"/>
      <c r="R4" s="11"/>
      <c r="S4" s="11"/>
      <c r="T4" s="11"/>
      <c r="U4" s="11"/>
    </row>
    <row r="5" spans="1:21" ht="14.25" x14ac:dyDescent="0.2">
      <c r="A5" s="254"/>
      <c r="B5" s="254"/>
      <c r="C5" s="254"/>
      <c r="D5" s="254"/>
      <c r="E5" s="254"/>
      <c r="F5" s="254"/>
      <c r="G5" s="254"/>
      <c r="H5" s="254"/>
      <c r="I5" s="254"/>
      <c r="J5" s="254"/>
      <c r="K5" s="254"/>
      <c r="L5" s="254"/>
      <c r="M5" s="254"/>
      <c r="N5" s="66" t="s">
        <v>15</v>
      </c>
      <c r="O5" s="11"/>
      <c r="P5" s="11"/>
      <c r="Q5" s="11"/>
      <c r="R5" s="11"/>
      <c r="S5" s="11"/>
      <c r="T5" s="11"/>
      <c r="U5" s="11"/>
    </row>
    <row r="6" spans="1:21" ht="15" thickBot="1" x14ac:dyDescent="0.25">
      <c r="A6" s="254"/>
      <c r="B6" s="254"/>
      <c r="C6" s="254"/>
      <c r="D6" s="254"/>
      <c r="E6" s="254"/>
      <c r="F6" s="254"/>
      <c r="G6" s="254"/>
      <c r="H6" s="254"/>
      <c r="I6" s="254"/>
      <c r="J6" s="254"/>
      <c r="K6" s="254"/>
      <c r="L6" s="254"/>
      <c r="M6" s="254"/>
      <c r="N6" s="66" t="s">
        <v>15</v>
      </c>
      <c r="O6" s="11"/>
      <c r="P6" s="11"/>
      <c r="Q6" s="11"/>
      <c r="R6" s="11"/>
      <c r="S6" s="11"/>
      <c r="T6" s="11"/>
      <c r="U6" s="11"/>
    </row>
    <row r="7" spans="1:21" x14ac:dyDescent="0.25">
      <c r="A7" s="256" t="s">
        <v>149</v>
      </c>
      <c r="B7" s="258" t="s">
        <v>50</v>
      </c>
      <c r="C7" s="258"/>
      <c r="D7" s="258"/>
      <c r="E7" s="258" t="s">
        <v>152</v>
      </c>
      <c r="F7" s="258"/>
      <c r="G7" s="258"/>
      <c r="H7" s="258" t="s">
        <v>19</v>
      </c>
      <c r="I7" s="258"/>
      <c r="J7" s="258"/>
      <c r="K7" s="258" t="s">
        <v>51</v>
      </c>
      <c r="L7" s="258"/>
      <c r="M7" s="259"/>
      <c r="N7" s="66" t="s">
        <v>15</v>
      </c>
    </row>
    <row r="8" spans="1:21" ht="27.6" x14ac:dyDescent="0.25">
      <c r="A8" s="257"/>
      <c r="B8" s="14" t="s">
        <v>52</v>
      </c>
      <c r="C8" s="22" t="s">
        <v>53</v>
      </c>
      <c r="D8" s="14" t="s">
        <v>5</v>
      </c>
      <c r="E8" s="14" t="s">
        <v>52</v>
      </c>
      <c r="F8" s="14" t="s">
        <v>53</v>
      </c>
      <c r="G8" s="14" t="s">
        <v>5</v>
      </c>
      <c r="H8" s="14" t="s">
        <v>52</v>
      </c>
      <c r="I8" s="14" t="s">
        <v>53</v>
      </c>
      <c r="J8" s="14" t="s">
        <v>5</v>
      </c>
      <c r="K8" s="14" t="s">
        <v>52</v>
      </c>
      <c r="L8" s="14" t="s">
        <v>53</v>
      </c>
      <c r="M8" s="15" t="s">
        <v>5</v>
      </c>
      <c r="N8" s="231" t="s">
        <v>15</v>
      </c>
    </row>
    <row r="9" spans="1:21" ht="14.25" x14ac:dyDescent="0.2">
      <c r="A9" s="172" t="s">
        <v>159</v>
      </c>
      <c r="B9" s="131">
        <v>0</v>
      </c>
      <c r="C9" s="131">
        <v>0</v>
      </c>
      <c r="D9" s="131">
        <v>6</v>
      </c>
      <c r="E9" s="131">
        <v>0</v>
      </c>
      <c r="F9" s="131">
        <v>0</v>
      </c>
      <c r="G9" s="131">
        <v>17</v>
      </c>
      <c r="H9" s="131">
        <v>0</v>
      </c>
      <c r="I9" s="131">
        <v>0</v>
      </c>
      <c r="J9" s="131">
        <v>17</v>
      </c>
      <c r="K9" s="131">
        <f>H9-E9</f>
        <v>0</v>
      </c>
      <c r="L9" s="131">
        <f t="shared" ref="L9:M9" si="0">I9-F9</f>
        <v>0</v>
      </c>
      <c r="M9" s="132">
        <f t="shared" si="0"/>
        <v>0</v>
      </c>
      <c r="N9" s="231" t="s">
        <v>15</v>
      </c>
    </row>
    <row r="10" spans="1:21" ht="14.25" x14ac:dyDescent="0.2">
      <c r="A10" s="173" t="s">
        <v>160</v>
      </c>
      <c r="B10" s="25">
        <v>0</v>
      </c>
      <c r="C10" s="25">
        <v>0</v>
      </c>
      <c r="D10" s="25">
        <v>90</v>
      </c>
      <c r="E10" s="25">
        <v>0</v>
      </c>
      <c r="F10" s="25">
        <v>0</v>
      </c>
      <c r="G10" s="25">
        <v>0</v>
      </c>
      <c r="H10" s="25">
        <v>0</v>
      </c>
      <c r="I10" s="25">
        <v>0</v>
      </c>
      <c r="J10" s="25">
        <v>0</v>
      </c>
      <c r="K10" s="25">
        <f t="shared" ref="K10" si="1">H10-E10</f>
        <v>0</v>
      </c>
      <c r="L10" s="25">
        <f t="shared" ref="L10" si="2">I10-F10</f>
        <v>0</v>
      </c>
      <c r="M10" s="133">
        <f t="shared" ref="M10" si="3">J10-G10</f>
        <v>0</v>
      </c>
      <c r="N10" s="231" t="s">
        <v>15</v>
      </c>
    </row>
    <row r="11" spans="1:21" ht="15" x14ac:dyDescent="0.25">
      <c r="A11" s="16" t="s">
        <v>143</v>
      </c>
      <c r="B11" s="135">
        <f t="shared" ref="B11:M11" si="4">SUM(B9:B10)</f>
        <v>0</v>
      </c>
      <c r="C11" s="135">
        <f t="shared" si="4"/>
        <v>0</v>
      </c>
      <c r="D11" s="135">
        <f t="shared" si="4"/>
        <v>96</v>
      </c>
      <c r="E11" s="135">
        <f t="shared" si="4"/>
        <v>0</v>
      </c>
      <c r="F11" s="135">
        <f t="shared" si="4"/>
        <v>0</v>
      </c>
      <c r="G11" s="135">
        <f t="shared" si="4"/>
        <v>17</v>
      </c>
      <c r="H11" s="135">
        <f t="shared" si="4"/>
        <v>0</v>
      </c>
      <c r="I11" s="135">
        <f t="shared" si="4"/>
        <v>0</v>
      </c>
      <c r="J11" s="135">
        <f t="shared" si="4"/>
        <v>17</v>
      </c>
      <c r="K11" s="135">
        <f t="shared" si="4"/>
        <v>0</v>
      </c>
      <c r="L11" s="135">
        <f t="shared" si="4"/>
        <v>0</v>
      </c>
      <c r="M11" s="136">
        <f t="shared" si="4"/>
        <v>0</v>
      </c>
      <c r="N11" s="231" t="s">
        <v>15</v>
      </c>
    </row>
    <row r="12" spans="1:21" ht="15" thickBot="1" x14ac:dyDescent="0.25">
      <c r="N12" s="231" t="s">
        <v>15</v>
      </c>
    </row>
    <row r="13" spans="1:21" ht="18" customHeight="1" x14ac:dyDescent="0.25">
      <c r="A13" s="256" t="s">
        <v>138</v>
      </c>
      <c r="B13" s="258" t="s">
        <v>50</v>
      </c>
      <c r="C13" s="258"/>
      <c r="D13" s="258"/>
      <c r="E13" s="258" t="s">
        <v>152</v>
      </c>
      <c r="F13" s="258"/>
      <c r="G13" s="258"/>
      <c r="H13" s="258" t="s">
        <v>19</v>
      </c>
      <c r="I13" s="258"/>
      <c r="J13" s="258"/>
      <c r="K13" s="258" t="s">
        <v>51</v>
      </c>
      <c r="L13" s="258"/>
      <c r="M13" s="259"/>
      <c r="N13" s="231" t="s">
        <v>15</v>
      </c>
    </row>
    <row r="14" spans="1:21" ht="27.6" x14ac:dyDescent="0.25">
      <c r="A14" s="257"/>
      <c r="B14" s="14" t="s">
        <v>52</v>
      </c>
      <c r="C14" s="22" t="s">
        <v>53</v>
      </c>
      <c r="D14" s="14" t="s">
        <v>5</v>
      </c>
      <c r="E14" s="14" t="s">
        <v>52</v>
      </c>
      <c r="F14" s="14" t="s">
        <v>53</v>
      </c>
      <c r="G14" s="14" t="s">
        <v>5</v>
      </c>
      <c r="H14" s="14" t="s">
        <v>52</v>
      </c>
      <c r="I14" s="14" t="s">
        <v>53</v>
      </c>
      <c r="J14" s="14" t="s">
        <v>5</v>
      </c>
      <c r="K14" s="14" t="s">
        <v>52</v>
      </c>
      <c r="L14" s="14" t="s">
        <v>53</v>
      </c>
      <c r="M14" s="15" t="s">
        <v>5</v>
      </c>
      <c r="N14" s="231" t="s">
        <v>15</v>
      </c>
    </row>
    <row r="15" spans="1:21" ht="14.25" x14ac:dyDescent="0.2">
      <c r="A15" s="172" t="s">
        <v>158</v>
      </c>
      <c r="B15" s="131">
        <v>0</v>
      </c>
      <c r="C15" s="131">
        <v>0</v>
      </c>
      <c r="D15" s="131">
        <v>96</v>
      </c>
      <c r="E15" s="131">
        <v>0</v>
      </c>
      <c r="F15" s="131">
        <v>0</v>
      </c>
      <c r="G15" s="131">
        <v>17</v>
      </c>
      <c r="H15" s="131">
        <v>0</v>
      </c>
      <c r="I15" s="131">
        <v>0</v>
      </c>
      <c r="J15" s="131">
        <v>17</v>
      </c>
      <c r="K15" s="131">
        <f>H15-E15</f>
        <v>0</v>
      </c>
      <c r="L15" s="131">
        <f t="shared" ref="L15" si="5">I15-F15</f>
        <v>0</v>
      </c>
      <c r="M15" s="132">
        <f t="shared" ref="M15" si="6">J15-G15</f>
        <v>0</v>
      </c>
      <c r="N15" s="231" t="s">
        <v>15</v>
      </c>
    </row>
    <row r="16" spans="1:21" ht="15" x14ac:dyDescent="0.25">
      <c r="A16" s="16" t="s">
        <v>143</v>
      </c>
      <c r="B16" s="135">
        <f t="shared" ref="B16:M16" si="7">SUM(B15:B15)</f>
        <v>0</v>
      </c>
      <c r="C16" s="135">
        <f t="shared" si="7"/>
        <v>0</v>
      </c>
      <c r="D16" s="135">
        <f t="shared" si="7"/>
        <v>96</v>
      </c>
      <c r="E16" s="135">
        <f t="shared" si="7"/>
        <v>0</v>
      </c>
      <c r="F16" s="135">
        <f t="shared" si="7"/>
        <v>0</v>
      </c>
      <c r="G16" s="135">
        <f t="shared" si="7"/>
        <v>17</v>
      </c>
      <c r="H16" s="135">
        <f t="shared" si="7"/>
        <v>0</v>
      </c>
      <c r="I16" s="135">
        <f t="shared" si="7"/>
        <v>0</v>
      </c>
      <c r="J16" s="135">
        <f t="shared" si="7"/>
        <v>17</v>
      </c>
      <c r="K16" s="135">
        <f t="shared" si="7"/>
        <v>0</v>
      </c>
      <c r="L16" s="135">
        <f t="shared" si="7"/>
        <v>0</v>
      </c>
      <c r="M16" s="136">
        <f t="shared" si="7"/>
        <v>0</v>
      </c>
      <c r="N16" s="231" t="s">
        <v>15</v>
      </c>
    </row>
    <row r="17" spans="14:14" ht="14.25" x14ac:dyDescent="0.2">
      <c r="N17" s="66" t="s">
        <v>16</v>
      </c>
    </row>
  </sheetData>
  <mergeCells count="16">
    <mergeCell ref="A13:A14"/>
    <mergeCell ref="B13:D13"/>
    <mergeCell ref="E13:G13"/>
    <mergeCell ref="H13:J13"/>
    <mergeCell ref="K13:M13"/>
    <mergeCell ref="A7:A8"/>
    <mergeCell ref="B7:D7"/>
    <mergeCell ref="E7:G7"/>
    <mergeCell ref="H7:J7"/>
    <mergeCell ref="K7:M7"/>
    <mergeCell ref="A6:M6"/>
    <mergeCell ref="A1:M1"/>
    <mergeCell ref="A2:M2"/>
    <mergeCell ref="A3:M3"/>
    <mergeCell ref="A4:M4"/>
    <mergeCell ref="A5:M5"/>
  </mergeCells>
  <printOptions horizontalCentered="1"/>
  <pageMargins left="0.7" right="0.7" top="0.75" bottom="0.75" header="0.3" footer="0.3"/>
  <pageSetup scale="79" fitToHeight="9999" orientation="landscape" r:id="rId1"/>
  <headerFooter>
    <oddHeader>&amp;L&amp;"Arial,Bold"&amp;12H. Summary of Reimbursable Resources</oddHeader>
    <oddFooter>&amp;C&amp;"Arial,Regular"Exhibit H - Summary of Reimbursable Resources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zoomScale="80" zoomScaleNormal="100" zoomScaleSheetLayoutView="80" workbookViewId="0">
      <selection activeCell="A33" sqref="A33"/>
    </sheetView>
  </sheetViews>
  <sheetFormatPr defaultColWidth="9.109375" defaultRowHeight="13.8" x14ac:dyDescent="0.25"/>
  <cols>
    <col min="1" max="1" width="45.88671875" style="12" customWidth="1"/>
    <col min="2" max="9" width="13.6640625" style="12" customWidth="1"/>
    <col min="10" max="10" width="15" style="12" customWidth="1"/>
    <col min="11" max="11" width="14" style="7" bestFit="1" customWidth="1"/>
    <col min="12" max="12" width="4.5546875" style="12" customWidth="1"/>
    <col min="13" max="14" width="8.33203125" style="12" customWidth="1"/>
    <col min="15" max="15" width="12.6640625" style="12" customWidth="1"/>
    <col min="16" max="17" width="8.33203125" style="12" customWidth="1"/>
    <col min="18" max="18" width="12.6640625" style="12" customWidth="1"/>
    <col min="19" max="16384" width="9.109375" style="12"/>
  </cols>
  <sheetData>
    <row r="1" spans="1:18" ht="18" x14ac:dyDescent="0.25">
      <c r="A1" s="251" t="s">
        <v>54</v>
      </c>
      <c r="B1" s="251"/>
      <c r="C1" s="251"/>
      <c r="D1" s="251"/>
      <c r="E1" s="251"/>
      <c r="F1" s="251"/>
      <c r="G1" s="251"/>
      <c r="H1" s="251"/>
      <c r="I1" s="251"/>
      <c r="J1" s="251"/>
      <c r="K1" s="66" t="s">
        <v>15</v>
      </c>
      <c r="L1" s="9"/>
      <c r="M1" s="9"/>
      <c r="N1" s="9"/>
      <c r="O1" s="9"/>
      <c r="P1" s="9"/>
      <c r="Q1" s="9"/>
      <c r="R1" s="9"/>
    </row>
    <row r="2" spans="1:18" ht="15" x14ac:dyDescent="0.2">
      <c r="A2" s="252" t="s">
        <v>154</v>
      </c>
      <c r="B2" s="252"/>
      <c r="C2" s="252"/>
      <c r="D2" s="252"/>
      <c r="E2" s="252"/>
      <c r="F2" s="252"/>
      <c r="G2" s="252"/>
      <c r="H2" s="252"/>
      <c r="I2" s="252"/>
      <c r="J2" s="252"/>
      <c r="K2" s="66" t="s">
        <v>15</v>
      </c>
      <c r="L2" s="10"/>
      <c r="M2" s="10"/>
      <c r="N2" s="10"/>
      <c r="O2" s="10"/>
      <c r="P2" s="10"/>
      <c r="Q2" s="10"/>
      <c r="R2" s="10"/>
    </row>
    <row r="3" spans="1:18" ht="14.25" x14ac:dyDescent="0.2">
      <c r="A3" s="266" t="s">
        <v>1</v>
      </c>
      <c r="B3" s="266"/>
      <c r="C3" s="266"/>
      <c r="D3" s="266"/>
      <c r="E3" s="266"/>
      <c r="F3" s="266"/>
      <c r="G3" s="266"/>
      <c r="H3" s="266"/>
      <c r="I3" s="266"/>
      <c r="J3" s="266"/>
      <c r="K3" s="66" t="s">
        <v>15</v>
      </c>
      <c r="L3" s="13"/>
      <c r="M3" s="13"/>
      <c r="N3" s="13"/>
      <c r="O3" s="13"/>
      <c r="P3" s="13"/>
      <c r="Q3" s="13"/>
      <c r="R3" s="13"/>
    </row>
    <row r="4" spans="1:18" ht="14.25" x14ac:dyDescent="0.2">
      <c r="A4" s="254" t="s">
        <v>2</v>
      </c>
      <c r="B4" s="254"/>
      <c r="C4" s="254"/>
      <c r="D4" s="254"/>
      <c r="E4" s="254"/>
      <c r="F4" s="254"/>
      <c r="G4" s="254"/>
      <c r="H4" s="254"/>
      <c r="I4" s="254"/>
      <c r="J4" s="254"/>
      <c r="K4" s="66" t="s">
        <v>15</v>
      </c>
      <c r="L4" s="11"/>
      <c r="M4" s="11"/>
      <c r="N4" s="11"/>
      <c r="O4" s="11"/>
      <c r="P4" s="11"/>
      <c r="Q4" s="11"/>
      <c r="R4" s="11"/>
    </row>
    <row r="5" spans="1:18" ht="14.25" x14ac:dyDescent="0.2">
      <c r="A5" s="254"/>
      <c r="B5" s="254"/>
      <c r="C5" s="254"/>
      <c r="D5" s="254"/>
      <c r="E5" s="254"/>
      <c r="F5" s="254"/>
      <c r="G5" s="254"/>
      <c r="H5" s="254"/>
      <c r="I5" s="254"/>
      <c r="J5" s="254"/>
      <c r="K5" s="66" t="s">
        <v>15</v>
      </c>
      <c r="L5" s="11"/>
      <c r="M5" s="11"/>
      <c r="N5" s="11"/>
      <c r="O5" s="11"/>
      <c r="P5" s="11"/>
      <c r="Q5" s="11"/>
      <c r="R5" s="11"/>
    </row>
    <row r="6" spans="1:18" ht="15" thickBot="1" x14ac:dyDescent="0.25">
      <c r="A6" s="254"/>
      <c r="B6" s="254"/>
      <c r="C6" s="254"/>
      <c r="D6" s="254"/>
      <c r="E6" s="254"/>
      <c r="F6" s="254"/>
      <c r="G6" s="254"/>
      <c r="H6" s="254"/>
      <c r="I6" s="254"/>
      <c r="J6" s="254"/>
      <c r="K6" s="66" t="s">
        <v>15</v>
      </c>
      <c r="L6" s="11"/>
      <c r="M6" s="11"/>
      <c r="N6" s="11"/>
      <c r="O6" s="11"/>
      <c r="P6" s="11"/>
      <c r="Q6" s="11"/>
      <c r="R6" s="11"/>
    </row>
    <row r="7" spans="1:18" s="23" customFormat="1" x14ac:dyDescent="0.25">
      <c r="A7" s="262" t="s">
        <v>56</v>
      </c>
      <c r="B7" s="304" t="s">
        <v>31</v>
      </c>
      <c r="C7" s="305"/>
      <c r="D7" s="304" t="s">
        <v>7</v>
      </c>
      <c r="E7" s="305"/>
      <c r="F7" s="306" t="s">
        <v>19</v>
      </c>
      <c r="G7" s="301"/>
      <c r="H7" s="301"/>
      <c r="I7" s="301"/>
      <c r="J7" s="307"/>
      <c r="K7" s="66" t="s">
        <v>15</v>
      </c>
    </row>
    <row r="8" spans="1:18" s="23" customFormat="1" ht="27.6" x14ac:dyDescent="0.25">
      <c r="A8" s="264"/>
      <c r="B8" s="67" t="s">
        <v>4</v>
      </c>
      <c r="C8" s="67" t="s">
        <v>52</v>
      </c>
      <c r="D8" s="67" t="s">
        <v>4</v>
      </c>
      <c r="E8" s="67" t="s">
        <v>52</v>
      </c>
      <c r="F8" s="67" t="s">
        <v>55</v>
      </c>
      <c r="G8" s="67" t="s">
        <v>26</v>
      </c>
      <c r="H8" s="130" t="s">
        <v>27</v>
      </c>
      <c r="I8" s="67" t="s">
        <v>64</v>
      </c>
      <c r="J8" s="68" t="s">
        <v>65</v>
      </c>
      <c r="K8" s="231" t="s">
        <v>15</v>
      </c>
    </row>
    <row r="9" spans="1:18" ht="14.25" x14ac:dyDescent="0.2">
      <c r="A9" s="174" t="s">
        <v>161</v>
      </c>
      <c r="B9" s="131">
        <v>118</v>
      </c>
      <c r="C9" s="131">
        <v>0</v>
      </c>
      <c r="D9" s="131">
        <v>118</v>
      </c>
      <c r="E9" s="131">
        <v>0</v>
      </c>
      <c r="F9" s="131">
        <v>0</v>
      </c>
      <c r="G9" s="131">
        <v>0</v>
      </c>
      <c r="H9" s="131">
        <v>0</v>
      </c>
      <c r="I9" s="131">
        <f>D9+F9+G9+H9</f>
        <v>118</v>
      </c>
      <c r="J9" s="132">
        <v>0</v>
      </c>
      <c r="K9" s="231" t="s">
        <v>15</v>
      </c>
    </row>
    <row r="10" spans="1:18" ht="14.25" x14ac:dyDescent="0.2">
      <c r="A10" s="69" t="s">
        <v>57</v>
      </c>
      <c r="B10" s="25">
        <v>10</v>
      </c>
      <c r="C10" s="25">
        <v>0</v>
      </c>
      <c r="D10" s="25">
        <v>10</v>
      </c>
      <c r="E10" s="25">
        <v>0</v>
      </c>
      <c r="F10" s="25">
        <v>0</v>
      </c>
      <c r="G10" s="25">
        <v>0</v>
      </c>
      <c r="H10" s="25">
        <v>0</v>
      </c>
      <c r="I10" s="25">
        <f t="shared" ref="I10:I25" si="0">D10+F10+G10+H10</f>
        <v>10</v>
      </c>
      <c r="J10" s="133">
        <v>0</v>
      </c>
      <c r="K10" s="231" t="s">
        <v>15</v>
      </c>
    </row>
    <row r="11" spans="1:18" ht="14.25" x14ac:dyDescent="0.2">
      <c r="A11" s="69" t="s">
        <v>58</v>
      </c>
      <c r="B11" s="25">
        <v>95</v>
      </c>
      <c r="C11" s="25">
        <v>0</v>
      </c>
      <c r="D11" s="25">
        <v>95</v>
      </c>
      <c r="E11" s="25">
        <v>0</v>
      </c>
      <c r="F11" s="25">
        <v>0</v>
      </c>
      <c r="G11" s="25">
        <v>0</v>
      </c>
      <c r="H11" s="25">
        <v>0</v>
      </c>
      <c r="I11" s="25">
        <f t="shared" si="0"/>
        <v>95</v>
      </c>
      <c r="J11" s="133">
        <v>0</v>
      </c>
      <c r="K11" s="231" t="s">
        <v>15</v>
      </c>
    </row>
    <row r="12" spans="1:18" ht="14.25" x14ac:dyDescent="0.2">
      <c r="A12" s="175" t="s">
        <v>162</v>
      </c>
      <c r="B12" s="25">
        <v>245</v>
      </c>
      <c r="C12" s="25">
        <v>0</v>
      </c>
      <c r="D12" s="25">
        <v>245</v>
      </c>
      <c r="E12" s="239">
        <v>0</v>
      </c>
      <c r="F12" s="239">
        <v>0</v>
      </c>
      <c r="G12" s="239">
        <v>0</v>
      </c>
      <c r="H12" s="239">
        <v>0</v>
      </c>
      <c r="I12" s="25">
        <v>245</v>
      </c>
      <c r="J12" s="237">
        <v>0</v>
      </c>
      <c r="K12" s="231" t="s">
        <v>15</v>
      </c>
    </row>
    <row r="13" spans="1:18" ht="14.25" x14ac:dyDescent="0.2">
      <c r="A13" s="69" t="s">
        <v>59</v>
      </c>
      <c r="B13" s="25">
        <v>19</v>
      </c>
      <c r="C13" s="25">
        <v>0</v>
      </c>
      <c r="D13" s="25">
        <v>19</v>
      </c>
      <c r="E13" s="25">
        <v>0</v>
      </c>
      <c r="F13" s="25">
        <v>0</v>
      </c>
      <c r="G13" s="25">
        <v>0</v>
      </c>
      <c r="H13" s="25">
        <v>0</v>
      </c>
      <c r="I13" s="25">
        <f t="shared" si="0"/>
        <v>19</v>
      </c>
      <c r="J13" s="133">
        <v>0</v>
      </c>
      <c r="K13" s="231" t="s">
        <v>15</v>
      </c>
    </row>
    <row r="14" spans="1:18" ht="14.25" x14ac:dyDescent="0.2">
      <c r="A14" s="69" t="s">
        <v>60</v>
      </c>
      <c r="B14" s="25">
        <v>318</v>
      </c>
      <c r="C14" s="25">
        <v>0</v>
      </c>
      <c r="D14" s="25">
        <v>318</v>
      </c>
      <c r="E14" s="25">
        <v>0</v>
      </c>
      <c r="F14" s="25">
        <v>0</v>
      </c>
      <c r="G14" s="25">
        <v>0</v>
      </c>
      <c r="H14" s="25">
        <v>0</v>
      </c>
      <c r="I14" s="25">
        <f t="shared" si="0"/>
        <v>318</v>
      </c>
      <c r="J14" s="133">
        <v>0</v>
      </c>
      <c r="K14" s="231" t="s">
        <v>15</v>
      </c>
    </row>
    <row r="15" spans="1:18" ht="14.25" x14ac:dyDescent="0.2">
      <c r="A15" s="69" t="s">
        <v>61</v>
      </c>
      <c r="B15" s="25">
        <v>290</v>
      </c>
      <c r="C15" s="25">
        <v>0</v>
      </c>
      <c r="D15" s="25">
        <v>290</v>
      </c>
      <c r="E15" s="25">
        <v>0</v>
      </c>
      <c r="F15" s="25">
        <v>0</v>
      </c>
      <c r="G15" s="25">
        <v>0</v>
      </c>
      <c r="H15" s="25">
        <v>0</v>
      </c>
      <c r="I15" s="25">
        <f t="shared" si="0"/>
        <v>290</v>
      </c>
      <c r="J15" s="133">
        <v>0</v>
      </c>
      <c r="K15" s="231" t="s">
        <v>15</v>
      </c>
    </row>
    <row r="16" spans="1:18" ht="14.25" x14ac:dyDescent="0.2">
      <c r="A16" s="175" t="s">
        <v>164</v>
      </c>
      <c r="B16" s="25">
        <v>170</v>
      </c>
      <c r="C16" s="25">
        <v>0</v>
      </c>
      <c r="D16" s="25">
        <v>170</v>
      </c>
      <c r="E16" s="25">
        <v>0</v>
      </c>
      <c r="F16" s="25">
        <v>0</v>
      </c>
      <c r="G16" s="25">
        <v>0</v>
      </c>
      <c r="H16" s="25">
        <v>0</v>
      </c>
      <c r="I16" s="25">
        <f t="shared" si="0"/>
        <v>170</v>
      </c>
      <c r="J16" s="133">
        <v>0</v>
      </c>
      <c r="K16" s="231" t="s">
        <v>15</v>
      </c>
    </row>
    <row r="17" spans="1:11" ht="14.25" x14ac:dyDescent="0.2">
      <c r="A17" s="175" t="s">
        <v>163</v>
      </c>
      <c r="B17" s="25">
        <v>4</v>
      </c>
      <c r="C17" s="25">
        <v>0</v>
      </c>
      <c r="D17" s="25">
        <v>4</v>
      </c>
      <c r="E17" s="25">
        <v>0</v>
      </c>
      <c r="F17" s="25">
        <v>0</v>
      </c>
      <c r="G17" s="25">
        <v>0</v>
      </c>
      <c r="H17" s="25">
        <v>0</v>
      </c>
      <c r="I17" s="25">
        <f t="shared" si="0"/>
        <v>4</v>
      </c>
      <c r="J17" s="133">
        <v>0</v>
      </c>
      <c r="K17" s="231" t="s">
        <v>15</v>
      </c>
    </row>
    <row r="18" spans="1:11" ht="14.25" x14ac:dyDescent="0.2">
      <c r="A18" s="69" t="s">
        <v>62</v>
      </c>
      <c r="B18" s="25">
        <v>37</v>
      </c>
      <c r="C18" s="25">
        <v>0</v>
      </c>
      <c r="D18" s="25">
        <v>37</v>
      </c>
      <c r="E18" s="25">
        <v>0</v>
      </c>
      <c r="F18" s="25">
        <v>0</v>
      </c>
      <c r="G18" s="25">
        <v>0</v>
      </c>
      <c r="H18" s="25">
        <v>0</v>
      </c>
      <c r="I18" s="25">
        <f t="shared" si="0"/>
        <v>37</v>
      </c>
      <c r="J18" s="133">
        <v>0</v>
      </c>
      <c r="K18" s="231" t="s">
        <v>15</v>
      </c>
    </row>
    <row r="19" spans="1:11" ht="14.25" x14ac:dyDescent="0.2">
      <c r="A19" s="175" t="s">
        <v>63</v>
      </c>
      <c r="B19" s="25">
        <v>2</v>
      </c>
      <c r="C19" s="118">
        <v>0</v>
      </c>
      <c r="D19" s="25">
        <v>2</v>
      </c>
      <c r="E19" s="25">
        <v>0</v>
      </c>
      <c r="F19" s="25">
        <v>0</v>
      </c>
      <c r="G19" s="25">
        <v>0</v>
      </c>
      <c r="H19" s="25">
        <v>0</v>
      </c>
      <c r="I19" s="25">
        <v>2</v>
      </c>
      <c r="J19" s="133">
        <v>0</v>
      </c>
      <c r="K19" s="231" t="s">
        <v>15</v>
      </c>
    </row>
    <row r="20" spans="1:11" ht="14.25" x14ac:dyDescent="0.2">
      <c r="A20" s="175" t="s">
        <v>165</v>
      </c>
      <c r="B20" s="25">
        <v>2</v>
      </c>
      <c r="C20" s="239">
        <v>0</v>
      </c>
      <c r="D20" s="25">
        <v>2</v>
      </c>
      <c r="E20" s="25">
        <v>0</v>
      </c>
      <c r="F20" s="25">
        <v>0</v>
      </c>
      <c r="G20" s="25">
        <v>0</v>
      </c>
      <c r="H20" s="25">
        <v>0</v>
      </c>
      <c r="I20" s="25">
        <v>2</v>
      </c>
      <c r="J20" s="133">
        <v>0</v>
      </c>
      <c r="K20" s="231" t="s">
        <v>15</v>
      </c>
    </row>
    <row r="21" spans="1:11" ht="14.25" x14ac:dyDescent="0.2">
      <c r="A21" s="175" t="s">
        <v>166</v>
      </c>
      <c r="B21" s="25">
        <v>4</v>
      </c>
      <c r="C21" s="25">
        <v>0</v>
      </c>
      <c r="D21" s="25">
        <v>4</v>
      </c>
      <c r="E21" s="25">
        <v>0</v>
      </c>
      <c r="F21" s="25">
        <v>0</v>
      </c>
      <c r="G21" s="25">
        <v>0</v>
      </c>
      <c r="H21" s="25">
        <v>0</v>
      </c>
      <c r="I21" s="25">
        <f t="shared" si="0"/>
        <v>4</v>
      </c>
      <c r="J21" s="133">
        <v>0</v>
      </c>
      <c r="K21" s="231" t="s">
        <v>15</v>
      </c>
    </row>
    <row r="22" spans="1:11" ht="15" x14ac:dyDescent="0.25">
      <c r="A22" s="72" t="s">
        <v>20</v>
      </c>
      <c r="B22" s="135">
        <f t="shared" ref="B22:J22" si="1">SUM(B9:B21)</f>
        <v>1314</v>
      </c>
      <c r="C22" s="135">
        <f t="shared" si="1"/>
        <v>0</v>
      </c>
      <c r="D22" s="135">
        <f t="shared" si="1"/>
        <v>1314</v>
      </c>
      <c r="E22" s="135">
        <f t="shared" si="1"/>
        <v>0</v>
      </c>
      <c r="F22" s="135">
        <f t="shared" si="1"/>
        <v>0</v>
      </c>
      <c r="G22" s="135">
        <f t="shared" si="1"/>
        <v>0</v>
      </c>
      <c r="H22" s="135">
        <f t="shared" si="1"/>
        <v>0</v>
      </c>
      <c r="I22" s="135">
        <f t="shared" si="1"/>
        <v>1314</v>
      </c>
      <c r="J22" s="136">
        <f t="shared" si="1"/>
        <v>0</v>
      </c>
      <c r="K22" s="231" t="s">
        <v>15</v>
      </c>
    </row>
    <row r="23" spans="1:11" ht="14.25" x14ac:dyDescent="0.2">
      <c r="A23" s="70" t="s">
        <v>66</v>
      </c>
      <c r="B23" s="137">
        <v>125</v>
      </c>
      <c r="C23" s="137">
        <v>0</v>
      </c>
      <c r="D23" s="137">
        <v>125</v>
      </c>
      <c r="E23" s="137">
        <v>0</v>
      </c>
      <c r="F23" s="137">
        <v>0</v>
      </c>
      <c r="G23" s="137">
        <v>0</v>
      </c>
      <c r="H23" s="137">
        <f>SUM(H10:H22)</f>
        <v>0</v>
      </c>
      <c r="I23" s="137">
        <f t="shared" si="0"/>
        <v>125</v>
      </c>
      <c r="J23" s="138">
        <v>0</v>
      </c>
      <c r="K23" s="66" t="s">
        <v>15</v>
      </c>
    </row>
    <row r="24" spans="1:11" ht="14.25" x14ac:dyDescent="0.2">
      <c r="A24" s="71" t="s">
        <v>67</v>
      </c>
      <c r="B24" s="25">
        <v>1189</v>
      </c>
      <c r="C24" s="25">
        <v>0</v>
      </c>
      <c r="D24" s="25">
        <v>1189</v>
      </c>
      <c r="E24" s="25">
        <v>0</v>
      </c>
      <c r="F24" s="25">
        <v>0</v>
      </c>
      <c r="G24" s="25">
        <v>0</v>
      </c>
      <c r="H24" s="25">
        <f>SUM(H10:H23)</f>
        <v>0</v>
      </c>
      <c r="I24" s="25">
        <f t="shared" si="0"/>
        <v>1189</v>
      </c>
      <c r="J24" s="133">
        <v>0</v>
      </c>
      <c r="K24" s="66" t="s">
        <v>15</v>
      </c>
    </row>
    <row r="25" spans="1:11" ht="14.25" x14ac:dyDescent="0.2">
      <c r="A25" s="71" t="s">
        <v>68</v>
      </c>
      <c r="B25" s="25">
        <v>0</v>
      </c>
      <c r="C25" s="25">
        <v>0</v>
      </c>
      <c r="D25" s="25">
        <v>0</v>
      </c>
      <c r="E25" s="25">
        <v>0</v>
      </c>
      <c r="F25" s="25">
        <v>0</v>
      </c>
      <c r="G25" s="25">
        <v>0</v>
      </c>
      <c r="H25" s="25">
        <f>SUM(H11:H24)</f>
        <v>0</v>
      </c>
      <c r="I25" s="25">
        <f t="shared" si="0"/>
        <v>0</v>
      </c>
      <c r="J25" s="133">
        <v>0</v>
      </c>
      <c r="K25" s="66" t="s">
        <v>15</v>
      </c>
    </row>
    <row r="26" spans="1:11" ht="15" x14ac:dyDescent="0.25">
      <c r="A26" s="72" t="s">
        <v>20</v>
      </c>
      <c r="B26" s="135">
        <f>SUM(B23:B25)</f>
        <v>1314</v>
      </c>
      <c r="C26" s="135">
        <f t="shared" ref="C26:J26" si="2">SUM(C23:C25)</f>
        <v>0</v>
      </c>
      <c r="D26" s="135">
        <f t="shared" si="2"/>
        <v>1314</v>
      </c>
      <c r="E26" s="135">
        <f t="shared" si="2"/>
        <v>0</v>
      </c>
      <c r="F26" s="135">
        <f t="shared" si="2"/>
        <v>0</v>
      </c>
      <c r="G26" s="135">
        <f t="shared" si="2"/>
        <v>0</v>
      </c>
      <c r="H26" s="135">
        <f t="shared" si="2"/>
        <v>0</v>
      </c>
      <c r="I26" s="135">
        <f t="shared" si="2"/>
        <v>1314</v>
      </c>
      <c r="J26" s="136">
        <f t="shared" si="2"/>
        <v>0</v>
      </c>
      <c r="K26" s="66" t="s">
        <v>16</v>
      </c>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fitToHeight="9999" orientation="landscape" r:id="rId1"/>
  <headerFooter>
    <oddHeader>&amp;L&amp;"Arial,Bold"&amp;12I. Detail of Permanent Positions by Category</oddHeader>
    <oddFooter>&amp;C&amp;"Arial,Regular"Exhibit I - Details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 Organizational Chart</vt:lpstr>
      <vt:lpstr>B. Summ of Req.</vt:lpstr>
      <vt:lpstr>B. Summ of Req. by DU</vt:lpstr>
      <vt:lpstr>D. Strategic Goals &amp; Objectives</vt:lpstr>
      <vt:lpstr>E. ATB Justification</vt:lpstr>
      <vt:lpstr>F. 2012 Crosswalk</vt:lpstr>
      <vt:lpstr>G. 2013 Crosswalk</vt:lpstr>
      <vt:lpstr>H. Reimbursable Resources</vt:lpstr>
      <vt:lpstr>I. Permanent Positions</vt:lpstr>
      <vt:lpstr>K. Summary by Grade</vt:lpstr>
      <vt:lpstr>L. Summary by OC</vt:lpstr>
      <vt:lpstr>'B. Summ of Req.'!Print_Area</vt:lpstr>
      <vt:lpstr>'B. Summ of Req. by DU'!Print_Area</vt:lpstr>
      <vt:lpstr>'D. Strategic Goals &amp; Objectives'!Print_Area</vt:lpstr>
      <vt:lpstr>'E. ATB Justification'!Print_Area</vt:lpstr>
      <vt:lpstr>'F. 2012 Crosswalk'!Print_Area</vt:lpstr>
      <vt:lpstr>'G. 2013 Crosswalk'!Print_Area</vt:lpstr>
      <vt:lpstr>'H. Reimbursable Resources'!Print_Area</vt:lpstr>
      <vt:lpstr>'I. Permanent Positions'!Print_Area</vt:lpstr>
      <vt:lpstr>'K. Summary by Grade'!Print_Area</vt:lpstr>
      <vt:lpstr>'L. Summary by OC'!Print_Area</vt:lpstr>
      <vt:lpstr>'E. ATB Justification'!Print_Titles</vt:lpstr>
    </vt:vector>
  </TitlesOfParts>
  <Company>JMD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US Trustee Program</cp:lastModifiedBy>
  <cp:lastPrinted>2013-03-25T20:41:38Z</cp:lastPrinted>
  <dcterms:created xsi:type="dcterms:W3CDTF">2012-12-06T16:08:32Z</dcterms:created>
  <dcterms:modified xsi:type="dcterms:W3CDTF">2013-03-26T15:08:00Z</dcterms:modified>
</cp:coreProperties>
</file>