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Office of Information Technology - Applications Services\Intranet &amp; Internet\depository\internet\"/>
    </mc:Choice>
  </mc:AlternateContent>
  <xr:revisionPtr revIDLastSave="0" documentId="13_ncr:1_{870770B9-1320-4D6F-85A1-C48C532A7328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A126" i="1" l="1"/>
  <c r="AV126" i="1"/>
  <c r="AQ126" i="1"/>
  <c r="Z126" i="1"/>
  <c r="BJ57" i="1"/>
  <c r="BA57" i="1"/>
  <c r="AV57" i="1"/>
  <c r="AQ57" i="1"/>
  <c r="Z57" i="1"/>
  <c r="X57" i="1"/>
  <c r="I57" i="1"/>
  <c r="BA12" i="1" l="1"/>
  <c r="AV12" i="1"/>
  <c r="AQ12" i="1"/>
  <c r="Z12" i="1"/>
  <c r="X12" i="1"/>
  <c r="BA10" i="1" l="1"/>
  <c r="AV10" i="1"/>
  <c r="AQ10" i="1"/>
  <c r="Z10" i="1" l="1"/>
  <c r="X10" i="1"/>
  <c r="BJ127" i="1"/>
  <c r="AY127" i="1"/>
  <c r="AF127" i="1"/>
  <c r="BJ125" i="1"/>
  <c r="AY125" i="1"/>
  <c r="AF125" i="1"/>
  <c r="BJ56" i="1"/>
  <c r="AY56" i="1"/>
  <c r="AF56" i="1"/>
  <c r="BJ55" i="1"/>
  <c r="AY55" i="1"/>
  <c r="AF55" i="1"/>
  <c r="BJ54" i="1"/>
  <c r="AY54" i="1"/>
  <c r="AF54" i="1"/>
  <c r="BJ53" i="1"/>
  <c r="AY53" i="1"/>
  <c r="AF53" i="1"/>
  <c r="BJ52" i="1"/>
  <c r="AY52" i="1"/>
  <c r="AF52" i="1"/>
  <c r="BJ51" i="1"/>
  <c r="AY51" i="1"/>
  <c r="AF51" i="1"/>
  <c r="BJ50" i="1"/>
  <c r="AY50" i="1"/>
  <c r="AF50" i="1"/>
  <c r="BJ49" i="1"/>
  <c r="AY49" i="1"/>
  <c r="AF49" i="1"/>
  <c r="BJ48" i="1"/>
  <c r="AY48" i="1"/>
  <c r="AF48" i="1"/>
  <c r="BJ47" i="1"/>
  <c r="AY47" i="1"/>
  <c r="AF47" i="1"/>
  <c r="BJ46" i="1"/>
  <c r="AY46" i="1"/>
  <c r="AF46" i="1"/>
  <c r="BJ13" i="1"/>
  <c r="AY13" i="1"/>
  <c r="AF13" i="1"/>
  <c r="BJ11" i="1"/>
  <c r="AY11" i="1"/>
  <c r="AF11" i="1"/>
  <c r="BJ9" i="1"/>
  <c r="AY9" i="1"/>
  <c r="AF9" i="1"/>
  <c r="BJ95" i="1" l="1"/>
  <c r="AY95" i="1"/>
  <c r="AF95" i="1"/>
  <c r="BJ94" i="1"/>
  <c r="AY94" i="1"/>
  <c r="AF94" i="1"/>
  <c r="BJ93" i="1"/>
  <c r="AY93" i="1"/>
  <c r="AF93" i="1"/>
  <c r="BJ92" i="1"/>
  <c r="AY92" i="1"/>
  <c r="AF92" i="1"/>
  <c r="BJ91" i="1"/>
  <c r="AY91" i="1"/>
  <c r="AF91" i="1"/>
  <c r="BJ90" i="1"/>
  <c r="AY90" i="1"/>
  <c r="AF90" i="1"/>
  <c r="BJ89" i="1"/>
  <c r="AY89" i="1"/>
  <c r="AF89" i="1"/>
  <c r="BJ88" i="1"/>
  <c r="AY88" i="1"/>
  <c r="AF88" i="1"/>
  <c r="BJ87" i="1"/>
  <c r="AY87" i="1"/>
  <c r="AF87" i="1"/>
  <c r="BJ86" i="1"/>
  <c r="AY86" i="1"/>
  <c r="AF86" i="1"/>
  <c r="BJ85" i="1"/>
  <c r="AY85" i="1"/>
  <c r="AF85" i="1"/>
  <c r="BJ84" i="1"/>
  <c r="AY84" i="1"/>
  <c r="AF84" i="1"/>
  <c r="BJ83" i="1"/>
  <c r="AY83" i="1"/>
  <c r="AF83" i="1"/>
  <c r="BJ82" i="1"/>
  <c r="AY82" i="1"/>
  <c r="AF82" i="1"/>
  <c r="BJ81" i="1"/>
  <c r="AY81" i="1"/>
  <c r="AF81" i="1"/>
  <c r="BJ80" i="1"/>
  <c r="AY80" i="1"/>
  <c r="AF80" i="1"/>
  <c r="BJ45" i="1" l="1"/>
  <c r="AY45" i="1"/>
  <c r="AF45" i="1"/>
  <c r="BJ44" i="1"/>
  <c r="AY44" i="1"/>
  <c r="AF44" i="1"/>
  <c r="BJ41" i="1"/>
  <c r="AY41" i="1"/>
  <c r="AF41" i="1"/>
  <c r="BJ40" i="1"/>
  <c r="AY40" i="1"/>
  <c r="AF40" i="1"/>
  <c r="BJ39" i="1"/>
  <c r="AY39" i="1"/>
  <c r="AF39" i="1"/>
  <c r="BJ38" i="1"/>
  <c r="AY38" i="1"/>
  <c r="AF38" i="1"/>
  <c r="BJ37" i="1"/>
  <c r="AY37" i="1"/>
  <c r="AF37" i="1"/>
  <c r="BJ36" i="1"/>
  <c r="AY36" i="1"/>
  <c r="AF36" i="1"/>
  <c r="BJ35" i="1"/>
  <c r="AY35" i="1"/>
  <c r="AF35" i="1"/>
  <c r="BJ34" i="1"/>
  <c r="AY34" i="1"/>
  <c r="AF34" i="1"/>
  <c r="BJ33" i="1"/>
  <c r="AY33" i="1"/>
  <c r="AF33" i="1"/>
  <c r="BJ32" i="1"/>
  <c r="AY32" i="1"/>
  <c r="AF32" i="1"/>
  <c r="BJ31" i="1"/>
  <c r="AY31" i="1"/>
  <c r="AF31" i="1"/>
  <c r="BA120" i="1" l="1"/>
  <c r="AQ120" i="1"/>
  <c r="AV120" i="1" s="1"/>
  <c r="Z120" i="1"/>
  <c r="X120" i="1"/>
  <c r="K120" i="1"/>
  <c r="BA64" i="1" l="1"/>
  <c r="AV64" i="1"/>
  <c r="AQ64" i="1"/>
  <c r="Z64" i="1"/>
  <c r="X64" i="1"/>
  <c r="I64" i="1"/>
  <c r="BJ43" i="1" l="1"/>
  <c r="BA43" i="1"/>
  <c r="AQ43" i="1"/>
  <c r="AV43" i="1" s="1"/>
  <c r="Z43" i="1"/>
  <c r="X43" i="1"/>
  <c r="BA25" i="1"/>
  <c r="AQ25" i="1"/>
  <c r="AV25" i="1" s="1"/>
  <c r="Z25" i="1"/>
  <c r="BJ107" i="1" l="1"/>
  <c r="AY107" i="1"/>
  <c r="AF107" i="1"/>
  <c r="BJ177" i="1" l="1"/>
  <c r="AY177" i="1"/>
  <c r="AF177" i="1"/>
  <c r="BJ176" i="1"/>
  <c r="AY176" i="1"/>
  <c r="AF176" i="1"/>
  <c r="BJ175" i="1"/>
  <c r="AY175" i="1"/>
  <c r="AF175" i="1"/>
  <c r="BJ174" i="1"/>
  <c r="AY174" i="1"/>
  <c r="AF174" i="1"/>
  <c r="BJ173" i="1"/>
  <c r="AY173" i="1"/>
  <c r="AF173" i="1"/>
  <c r="BJ172" i="1"/>
  <c r="AY172" i="1"/>
  <c r="AF172" i="1"/>
  <c r="BJ171" i="1"/>
  <c r="AY171" i="1"/>
  <c r="AF171" i="1"/>
  <c r="BJ170" i="1"/>
  <c r="AY170" i="1"/>
  <c r="AF170" i="1"/>
  <c r="BJ169" i="1"/>
  <c r="AY169" i="1"/>
  <c r="AF169" i="1"/>
  <c r="BJ168" i="1"/>
  <c r="AY168" i="1"/>
  <c r="AF168" i="1"/>
  <c r="BJ167" i="1"/>
  <c r="AY167" i="1"/>
  <c r="AF167" i="1"/>
  <c r="BJ166" i="1"/>
  <c r="AY166" i="1"/>
  <c r="AF166" i="1"/>
  <c r="BJ165" i="1"/>
  <c r="AY165" i="1"/>
  <c r="AF165" i="1"/>
  <c r="BJ164" i="1"/>
  <c r="AY164" i="1"/>
  <c r="AF164" i="1"/>
  <c r="BJ163" i="1"/>
  <c r="AY163" i="1"/>
  <c r="AF163" i="1"/>
  <c r="BJ162" i="1"/>
  <c r="AY162" i="1"/>
  <c r="AF162" i="1"/>
  <c r="BJ161" i="1"/>
  <c r="AY161" i="1"/>
  <c r="AF161" i="1"/>
  <c r="BJ160" i="1"/>
  <c r="AY160" i="1"/>
  <c r="AF160" i="1"/>
  <c r="BJ159" i="1"/>
  <c r="AY159" i="1"/>
  <c r="AF159" i="1"/>
  <c r="BJ158" i="1"/>
  <c r="AY158" i="1"/>
  <c r="AF158" i="1"/>
  <c r="BJ157" i="1"/>
  <c r="AY157" i="1"/>
  <c r="AF157" i="1"/>
  <c r="BJ156" i="1"/>
  <c r="AY156" i="1"/>
  <c r="AF156" i="1"/>
  <c r="BJ155" i="1"/>
  <c r="AY155" i="1"/>
  <c r="AF155" i="1"/>
  <c r="BJ154" i="1"/>
  <c r="AY154" i="1"/>
  <c r="AF154" i="1"/>
  <c r="BJ153" i="1"/>
  <c r="AY153" i="1"/>
  <c r="AF153" i="1"/>
  <c r="BJ152" i="1"/>
  <c r="AY152" i="1"/>
  <c r="AF152" i="1"/>
  <c r="BJ151" i="1"/>
  <c r="AY151" i="1"/>
  <c r="AF151" i="1"/>
  <c r="BJ150" i="1"/>
  <c r="AY150" i="1"/>
  <c r="AF150" i="1"/>
  <c r="BJ149" i="1"/>
  <c r="AY149" i="1"/>
  <c r="AF149" i="1"/>
  <c r="BJ148" i="1"/>
  <c r="AY148" i="1"/>
  <c r="AF148" i="1"/>
  <c r="BJ147" i="1"/>
  <c r="AY147" i="1"/>
  <c r="AF147" i="1"/>
  <c r="BJ146" i="1"/>
  <c r="AY146" i="1"/>
  <c r="AF146" i="1"/>
  <c r="BJ145" i="1"/>
  <c r="AY145" i="1"/>
  <c r="AF145" i="1"/>
  <c r="BJ144" i="1"/>
  <c r="AY144" i="1"/>
  <c r="AF144" i="1"/>
  <c r="BJ143" i="1"/>
  <c r="AY143" i="1"/>
  <c r="AF143" i="1"/>
  <c r="BJ142" i="1"/>
  <c r="AY142" i="1"/>
  <c r="AF142" i="1"/>
  <c r="BJ141" i="1"/>
  <c r="AY141" i="1"/>
  <c r="AF141" i="1"/>
  <c r="BJ140" i="1"/>
  <c r="AY140" i="1"/>
  <c r="AF140" i="1"/>
  <c r="BJ139" i="1"/>
  <c r="AY139" i="1"/>
  <c r="AF139" i="1"/>
  <c r="BJ138" i="1"/>
  <c r="AY138" i="1"/>
  <c r="AF138" i="1"/>
  <c r="BJ137" i="1"/>
  <c r="AY137" i="1"/>
  <c r="AF137" i="1"/>
  <c r="BJ136" i="1"/>
  <c r="AY136" i="1"/>
  <c r="AF136" i="1"/>
  <c r="BJ135" i="1"/>
  <c r="AY135" i="1"/>
  <c r="AF135" i="1"/>
  <c r="BJ134" i="1"/>
  <c r="AY134" i="1"/>
  <c r="AF134" i="1"/>
  <c r="BJ133" i="1"/>
  <c r="AY133" i="1"/>
  <c r="AF133" i="1"/>
  <c r="BJ132" i="1"/>
  <c r="AY132" i="1"/>
  <c r="AF132" i="1"/>
  <c r="BJ131" i="1"/>
  <c r="AY131" i="1"/>
  <c r="AF131" i="1"/>
  <c r="BJ130" i="1"/>
  <c r="AY130" i="1"/>
  <c r="AF130" i="1"/>
  <c r="BJ129" i="1"/>
  <c r="AY129" i="1"/>
  <c r="AF129" i="1"/>
  <c r="BJ128" i="1"/>
  <c r="AY128" i="1"/>
  <c r="AF128" i="1"/>
  <c r="BJ124" i="1"/>
  <c r="AY124" i="1"/>
  <c r="AF124" i="1"/>
  <c r="BJ123" i="1"/>
  <c r="AY123" i="1"/>
  <c r="AF123" i="1"/>
  <c r="BJ122" i="1"/>
  <c r="AY122" i="1"/>
  <c r="AF122" i="1"/>
  <c r="BJ121" i="1"/>
  <c r="AY121" i="1"/>
  <c r="AF121" i="1"/>
  <c r="BJ119" i="1"/>
  <c r="AY119" i="1"/>
  <c r="AF119" i="1"/>
  <c r="BJ118" i="1"/>
  <c r="AY118" i="1"/>
  <c r="AF118" i="1"/>
  <c r="BJ117" i="1"/>
  <c r="AY117" i="1"/>
  <c r="AF117" i="1"/>
  <c r="BJ116" i="1"/>
  <c r="AY116" i="1"/>
  <c r="AF116" i="1"/>
  <c r="BJ115" i="1"/>
  <c r="AY115" i="1"/>
  <c r="AF115" i="1"/>
  <c r="BJ114" i="1"/>
  <c r="AY114" i="1"/>
  <c r="AF114" i="1"/>
  <c r="BJ113" i="1"/>
  <c r="AY113" i="1"/>
  <c r="AF113" i="1"/>
  <c r="BJ112" i="1"/>
  <c r="AY112" i="1"/>
  <c r="AF112" i="1"/>
  <c r="BJ111" i="1"/>
  <c r="AY111" i="1"/>
  <c r="AF111" i="1"/>
  <c r="BJ110" i="1"/>
  <c r="AY110" i="1"/>
  <c r="AF110" i="1"/>
  <c r="BJ109" i="1"/>
  <c r="AY109" i="1"/>
  <c r="AF109" i="1"/>
  <c r="BJ108" i="1"/>
  <c r="AY108" i="1"/>
  <c r="AF108" i="1"/>
  <c r="BJ106" i="1" l="1"/>
  <c r="AY106" i="1"/>
  <c r="AF106" i="1"/>
  <c r="BJ105" i="1"/>
  <c r="AY105" i="1"/>
  <c r="AF105" i="1"/>
  <c r="BJ104" i="1"/>
  <c r="AY104" i="1"/>
  <c r="AF104" i="1"/>
  <c r="BJ103" i="1"/>
  <c r="AY103" i="1"/>
  <c r="AF103" i="1"/>
  <c r="BJ102" i="1"/>
  <c r="AY102" i="1"/>
  <c r="AF102" i="1"/>
  <c r="BJ101" i="1"/>
  <c r="AY101" i="1"/>
  <c r="AF101" i="1"/>
  <c r="BJ100" i="1"/>
  <c r="AY100" i="1"/>
  <c r="AF100" i="1"/>
  <c r="BJ99" i="1"/>
  <c r="AY99" i="1"/>
  <c r="AF99" i="1"/>
  <c r="BJ98" i="1"/>
  <c r="AY98" i="1"/>
  <c r="AF98" i="1"/>
  <c r="BJ97" i="1"/>
  <c r="AY97" i="1"/>
  <c r="AF97" i="1"/>
  <c r="BJ96" i="1"/>
  <c r="AY96" i="1"/>
  <c r="AF96" i="1"/>
  <c r="BJ71" i="1"/>
  <c r="AY71" i="1"/>
  <c r="AF71" i="1"/>
  <c r="BJ70" i="1"/>
  <c r="AY70" i="1"/>
  <c r="AF70" i="1"/>
  <c r="BJ69" i="1"/>
  <c r="AY69" i="1"/>
  <c r="AF69" i="1"/>
  <c r="BJ68" i="1"/>
  <c r="AY68" i="1"/>
  <c r="AF68" i="1"/>
  <c r="BJ67" i="1"/>
  <c r="AY67" i="1"/>
  <c r="AF67" i="1"/>
  <c r="BJ66" i="1"/>
  <c r="AY66" i="1"/>
  <c r="AF66" i="1"/>
  <c r="BJ65" i="1"/>
  <c r="AY65" i="1"/>
  <c r="AF65" i="1"/>
  <c r="BJ62" i="1"/>
  <c r="AY62" i="1"/>
  <c r="AF62" i="1"/>
  <c r="BJ61" i="1"/>
  <c r="AY61" i="1"/>
  <c r="AF61" i="1"/>
  <c r="BJ60" i="1"/>
  <c r="AY60" i="1"/>
  <c r="AF60" i="1"/>
  <c r="BJ59" i="1"/>
  <c r="AY59" i="1"/>
  <c r="AF59" i="1"/>
  <c r="BJ58" i="1"/>
  <c r="AY58" i="1"/>
  <c r="AF58" i="1"/>
  <c r="BJ30" i="1" l="1"/>
  <c r="AY30" i="1"/>
  <c r="AF30" i="1"/>
  <c r="BJ29" i="1"/>
  <c r="AY29" i="1"/>
  <c r="AF29" i="1"/>
  <c r="BJ28" i="1"/>
  <c r="AY28" i="1"/>
  <c r="AF28" i="1"/>
  <c r="BJ27" i="1"/>
  <c r="AY27" i="1"/>
  <c r="AF27" i="1"/>
  <c r="BJ26" i="1"/>
  <c r="AY26" i="1"/>
  <c r="AF26" i="1"/>
  <c r="BJ24" i="1"/>
  <c r="AY24" i="1"/>
  <c r="AF24" i="1"/>
  <c r="BJ23" i="1"/>
  <c r="AY23" i="1"/>
  <c r="AF23" i="1"/>
  <c r="BJ22" i="1"/>
  <c r="AY22" i="1"/>
  <c r="AF22" i="1"/>
  <c r="BJ21" i="1"/>
  <c r="AY21" i="1"/>
  <c r="AF21" i="1"/>
  <c r="BJ20" i="1"/>
  <c r="AY20" i="1"/>
  <c r="AF20" i="1"/>
  <c r="BJ19" i="1"/>
  <c r="AY19" i="1"/>
  <c r="AF19" i="1"/>
  <c r="BJ18" i="1"/>
  <c r="AY18" i="1"/>
  <c r="AF18" i="1"/>
  <c r="BJ17" i="1"/>
  <c r="AY17" i="1"/>
  <c r="AF17" i="1"/>
  <c r="BJ16" i="1"/>
  <c r="AY16" i="1"/>
  <c r="AF16" i="1"/>
  <c r="BJ15" i="1"/>
  <c r="AY15" i="1"/>
  <c r="AF15" i="1"/>
  <c r="BJ14" i="1"/>
  <c r="AY14" i="1"/>
  <c r="AF14" i="1"/>
  <c r="BJ79" i="1" l="1"/>
  <c r="AY79" i="1"/>
  <c r="AF79" i="1"/>
  <c r="BJ78" i="1"/>
  <c r="AY78" i="1"/>
  <c r="AF78" i="1"/>
  <c r="BJ77" i="1"/>
  <c r="AY77" i="1"/>
  <c r="AF77" i="1"/>
  <c r="BJ76" i="1"/>
  <c r="AY76" i="1"/>
  <c r="AF76" i="1"/>
  <c r="BJ75" i="1"/>
  <c r="AY75" i="1"/>
  <c r="AF75" i="1"/>
  <c r="BJ74" i="1"/>
  <c r="AY74" i="1"/>
  <c r="AF74" i="1"/>
  <c r="BJ73" i="1"/>
  <c r="AY73" i="1"/>
  <c r="AF73" i="1"/>
  <c r="BJ72" i="1"/>
  <c r="AY72" i="1"/>
  <c r="AF72" i="1"/>
  <c r="BA63" i="1"/>
  <c r="AV63" i="1"/>
  <c r="AQ63" i="1"/>
  <c r="Z63" i="1"/>
  <c r="X63" i="1"/>
  <c r="K63" i="1"/>
  <c r="BA42" i="1" l="1"/>
  <c r="AQ42" i="1"/>
  <c r="AV42" i="1" s="1"/>
  <c r="Z42" i="1"/>
  <c r="X42" i="1"/>
  <c r="I42" i="1"/>
  <c r="BJ42" i="1" l="1"/>
  <c r="AY42" i="1"/>
  <c r="AF42" i="1"/>
  <c r="BJ64" i="1" l="1"/>
  <c r="AY64" i="1"/>
  <c r="AF64" i="1"/>
  <c r="BJ120" i="1" l="1"/>
  <c r="AY120" i="1"/>
  <c r="AF120" i="1"/>
  <c r="BJ63" i="1" l="1"/>
  <c r="AY63" i="1"/>
  <c r="AF63" i="1"/>
  <c r="AY57" i="1"/>
  <c r="AF57" i="1"/>
  <c r="BJ25" i="1"/>
  <c r="AY25" i="1"/>
  <c r="AF25" i="1"/>
  <c r="BJ12" i="1"/>
  <c r="AY12" i="1"/>
  <c r="AF12" i="1"/>
  <c r="BJ10" i="1"/>
  <c r="AY10" i="1"/>
  <c r="AF10" i="1"/>
  <c r="AY43" i="1" l="1"/>
  <c r="AF43" i="1"/>
  <c r="BJ126" i="1" l="1"/>
  <c r="AY126" i="1"/>
  <c r="AF126" i="1"/>
  <c r="CA7" i="1" l="1"/>
  <c r="CA6" i="1"/>
  <c r="AA7" i="1" l="1"/>
  <c r="Q6" i="1"/>
  <c r="I7" i="1"/>
  <c r="AR7" i="1"/>
  <c r="AK7" i="1"/>
  <c r="AG6" i="1"/>
  <c r="S6" i="1"/>
  <c r="R6" i="1"/>
  <c r="BA7" i="1"/>
  <c r="AW7" i="1"/>
  <c r="AL7" i="1"/>
  <c r="AI7" i="1"/>
  <c r="AH7" i="1"/>
  <c r="X7" i="1"/>
  <c r="V7" i="1"/>
  <c r="T6" i="1"/>
  <c r="Z7" i="1"/>
  <c r="L7" i="1"/>
  <c r="B8" i="1"/>
  <c r="AU6" i="1"/>
  <c r="CF7" i="1"/>
  <c r="CE7" i="1"/>
  <c r="CD7" i="1"/>
  <c r="CC7" i="1"/>
  <c r="CB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I7" i="1"/>
  <c r="BH7" i="1"/>
  <c r="BG7" i="1"/>
  <c r="BF7" i="1"/>
  <c r="BE7" i="1"/>
  <c r="BD7" i="1"/>
  <c r="BC7" i="1"/>
  <c r="BB7" i="1"/>
  <c r="AZ7" i="1"/>
  <c r="AX7" i="1"/>
  <c r="AV7" i="1"/>
  <c r="AU7" i="1"/>
  <c r="AT7" i="1"/>
  <c r="AS7" i="1"/>
  <c r="AQ7" i="1"/>
  <c r="AP7" i="1"/>
  <c r="AO7" i="1"/>
  <c r="AN7" i="1"/>
  <c r="AM7" i="1"/>
  <c r="AJ7" i="1"/>
  <c r="AE7" i="1"/>
  <c r="AD7" i="1"/>
  <c r="AC7" i="1"/>
  <c r="AB7" i="1"/>
  <c r="Y7" i="1"/>
  <c r="W7" i="1"/>
  <c r="U7" i="1"/>
  <c r="P7" i="1"/>
  <c r="O7" i="1"/>
  <c r="N7" i="1"/>
  <c r="M7" i="1"/>
  <c r="K7" i="1"/>
  <c r="J7" i="1"/>
  <c r="H7" i="1"/>
  <c r="CF6" i="1"/>
  <c r="CE6" i="1"/>
  <c r="CD6" i="1"/>
  <c r="CC6" i="1"/>
  <c r="CB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I6" i="1"/>
  <c r="BH6" i="1"/>
  <c r="BG6" i="1"/>
  <c r="BF6" i="1"/>
  <c r="BE6" i="1"/>
  <c r="BD6" i="1"/>
  <c r="BC6" i="1"/>
  <c r="BB6" i="1"/>
  <c r="AZ6" i="1"/>
  <c r="AX6" i="1"/>
  <c r="AV6" i="1"/>
  <c r="AT6" i="1"/>
  <c r="AS6" i="1"/>
  <c r="AQ6" i="1"/>
  <c r="AP6" i="1"/>
  <c r="AO6" i="1"/>
  <c r="AN6" i="1"/>
  <c r="AM6" i="1"/>
  <c r="AK6" i="1"/>
  <c r="AJ6" i="1"/>
  <c r="AE6" i="1"/>
  <c r="AD6" i="1"/>
  <c r="AC6" i="1"/>
  <c r="AB6" i="1"/>
  <c r="Y6" i="1"/>
  <c r="X6" i="1"/>
  <c r="W6" i="1"/>
  <c r="U6" i="1"/>
  <c r="P6" i="1"/>
  <c r="O6" i="1"/>
  <c r="N6" i="1"/>
  <c r="M6" i="1"/>
  <c r="L6" i="1"/>
  <c r="K6" i="1"/>
  <c r="J6" i="1"/>
  <c r="H6" i="1"/>
  <c r="G7" i="1"/>
  <c r="AL6" i="1"/>
  <c r="G6" i="1"/>
  <c r="AW6" i="1"/>
  <c r="V6" i="1"/>
  <c r="Q7" i="1"/>
  <c r="I6" i="1"/>
  <c r="AH6" i="1"/>
  <c r="R7" i="1"/>
  <c r="AG7" i="1"/>
  <c r="AA6" i="1"/>
  <c r="AI6" i="1"/>
  <c r="S7" i="1"/>
  <c r="AR6" i="1"/>
  <c r="T7" i="1"/>
  <c r="AY7" i="1" l="1"/>
  <c r="AF7" i="1"/>
  <c r="AF6" i="1"/>
  <c r="BJ6" i="1"/>
  <c r="BJ7" i="1"/>
</calcChain>
</file>

<file path=xl/sharedStrings.xml><?xml version="1.0" encoding="utf-8"?>
<sst xmlns="http://schemas.openxmlformats.org/spreadsheetml/2006/main" count="935" uniqueCount="584">
  <si>
    <t>PAYOUT TO NONPRIORITY UNSECUREDS-COMPLETE</t>
  </si>
  <si>
    <t>REG</t>
  </si>
  <si>
    <t>TRUSTEE LAST NAME</t>
  </si>
  <si>
    <t>TRUSTEE FIRST NAME</t>
  </si>
  <si>
    <t>CITY</t>
  </si>
  <si>
    <t>DISTRICT APPT.</t>
  </si>
  <si>
    <t>STATE</t>
  </si>
  <si>
    <t>PLAN RECEIPTS- FEE TAKEN</t>
  </si>
  <si>
    <t>PLAN RECEIPTS- NO FEE TAKEN</t>
  </si>
  <si>
    <t>NON-PLAN RECEIPTS</t>
  </si>
  <si>
    <t>FEES ON DIRECT PYMTS TO TRUST</t>
  </si>
  <si>
    <t>ADDL RECEIPTS REC’D</t>
  </si>
  <si>
    <t>TOTAL TRUST FUND RECEIPTS</t>
  </si>
  <si>
    <t>AMOUNT OF DIRECT PYMTS- FEE TO TRUST</t>
  </si>
  <si>
    <t xml:space="preserve">ONGOING MORTGAGE PYMTS </t>
  </si>
  <si>
    <t xml:space="preserve">MORTGAGE ARREARAGES </t>
  </si>
  <si>
    <t xml:space="preserve">ALL OTHER SECURED DEBT </t>
  </si>
  <si>
    <t xml:space="preserve">ONGOING DOMESTIC SUPPORT PYMTS. </t>
  </si>
  <si>
    <t xml:space="preserve">ALL OTHER PRIORITY DEBT </t>
  </si>
  <si>
    <t>UNSECURED CREDITORS</t>
  </si>
  <si>
    <t>DEBTOR ATTY'S</t>
  </si>
  <si>
    <t>503(b) AWARDS</t>
  </si>
  <si>
    <t>OTHER ADMIN TO EXPENSE FUND</t>
  </si>
  <si>
    <t>DEBTOR REFUNDS</t>
  </si>
  <si>
    <t>ADDL TRUST DISBURSEMENTS</t>
  </si>
  <si>
    <t>TOTAL TRUST FUND DISBURS.</t>
  </si>
  <si>
    <t>CASH TO RECEIPTS RATIO</t>
  </si>
  <si>
    <t>$FEES TRANSFERRED</t>
  </si>
  <si>
    <t>FEES ON DIRECT PMTS TO EXPENSE ACCT</t>
  </si>
  <si>
    <t>AMOUNT OF DIRECT PYMTS-FEE TO EXP ACCT</t>
  </si>
  <si>
    <t>INTEREST REC. FROM TRUST FUNDS</t>
  </si>
  <si>
    <t>INTEREST REC. ON EXPENSE FUNDS</t>
  </si>
  <si>
    <t>TOTAL INTEREST</t>
  </si>
  <si>
    <t>EMPLOYEE SALARIES</t>
  </si>
  <si>
    <t>PAYROLL TAXES</t>
  </si>
  <si>
    <t>EMPLOYEE BENEFITS</t>
  </si>
  <si>
    <t>TEMP LABOR</t>
  </si>
  <si>
    <t>OFFICE RENT &amp; UTILS</t>
  </si>
  <si>
    <t>BOOKKEEP/ACCTG SVCS</t>
  </si>
  <si>
    <t>COMPUTER SVCS.</t>
  </si>
  <si>
    <t>AUDIT SVCS.</t>
  </si>
  <si>
    <t>CONSULTING SVCS.</t>
  </si>
  <si>
    <t>NOTICING EXPENSE</t>
  </si>
  <si>
    <t>TELEPH/POST/SUPPLIES</t>
  </si>
  <si>
    <t>TRAINING (NON-UST)</t>
  </si>
  <si>
    <t>DEBTOR EDUCATION</t>
  </si>
  <si>
    <t>EQUIP/FURN PURCHASES</t>
  </si>
  <si>
    <t>BANK CHARGES</t>
  </si>
  <si>
    <t>TOTAL OPERATING EXPENSES</t>
  </si>
  <si>
    <t>TOTAL ALLOC /RELATED</t>
  </si>
  <si>
    <t>RELATE/% EXP</t>
  </si>
  <si>
    <t>AVG. % FEE</t>
  </si>
  <si>
    <t>BALANCE PER BOOKS - PRE-CONFIRM ACCT.</t>
  </si>
  <si>
    <t>BALANCE PER BOOKS - CONFIRM ACCT.</t>
  </si>
  <si>
    <t>ACTUAL COMP'N</t>
  </si>
  <si>
    <t>EXCESS COMP'N</t>
  </si>
  <si>
    <t>ENDING EXP. FUND BALANCE</t>
  </si>
  <si>
    <t>EXP. FUND IN EXCESS OF 25%</t>
  </si>
  <si>
    <t>EXCESS 25% TO USTSF</t>
  </si>
  <si>
    <t>EXCESS COMP TO USTSF</t>
  </si>
  <si>
    <t>EXCESS PAYABLE TO USTSF</t>
  </si>
  <si>
    <t>ACCUM. OPER. DEFICIT</t>
  </si>
  <si>
    <t>NEW CASES FILED</t>
  </si>
  <si>
    <t>CASES REOPEN</t>
  </si>
  <si>
    <t>TRANS/CONV/DIS/CLOSURE OF REOPEN. CASES</t>
  </si>
  <si>
    <t>CONVERTED PRE-CONFIRM</t>
  </si>
  <si>
    <t>CONVERTED POST-CONFIRM</t>
  </si>
  <si>
    <t>DISMISS PRE-CONFIRM</t>
  </si>
  <si>
    <t>DISMISS POST-CONFIRM</t>
  </si>
  <si>
    <t>CASES TRANSFER IN</t>
  </si>
  <si>
    <t>CASES TRANSFER OUT</t>
  </si>
  <si>
    <t>OTHER ADJUSTS</t>
  </si>
  <si>
    <t>CLOSED COMPLETE PLAN</t>
  </si>
  <si>
    <t>CLOSED HARDSHIP DISCHARGE</t>
  </si>
  <si>
    <t>CASES &gt; 65 MOS.</t>
  </si>
  <si>
    <t>70% or MORE</t>
  </si>
  <si>
    <t>40%-69%</t>
  </si>
  <si>
    <t>1-39%</t>
  </si>
  <si>
    <t>NO USEC'D CLAIMS</t>
  </si>
  <si>
    <t>NATIONAL TOTALS</t>
  </si>
  <si>
    <t>N.A.</t>
  </si>
  <si>
    <t>NATIONAL AVG. PER OPERATION</t>
  </si>
  <si>
    <t>Bankowski</t>
  </si>
  <si>
    <t>Carolyn</t>
  </si>
  <si>
    <t>Boston</t>
  </si>
  <si>
    <t xml:space="preserve"> </t>
  </si>
  <si>
    <t>Massachusetts</t>
  </si>
  <si>
    <t>Boyajian</t>
  </si>
  <si>
    <t>John</t>
  </si>
  <si>
    <t>Providence</t>
  </si>
  <si>
    <t>Rhode Island</t>
  </si>
  <si>
    <t>Brunswick</t>
  </si>
  <si>
    <t>Maine</t>
  </si>
  <si>
    <t>Pappalardo</t>
  </si>
  <si>
    <t>Denise</t>
  </si>
  <si>
    <t>Worcester</t>
  </si>
  <si>
    <t>Sumski</t>
  </si>
  <si>
    <t>Lawrence</t>
  </si>
  <si>
    <t>Manchester</t>
  </si>
  <si>
    <t>New Hampshire</t>
  </si>
  <si>
    <t>Celli</t>
  </si>
  <si>
    <t>Andrea</t>
  </si>
  <si>
    <t>Albany</t>
  </si>
  <si>
    <t>Northern</t>
  </si>
  <si>
    <t>New York</t>
  </si>
  <si>
    <t>Jericho</t>
  </si>
  <si>
    <t>Eastern</t>
  </si>
  <si>
    <t>Macco</t>
  </si>
  <si>
    <t>Michael</t>
  </si>
  <si>
    <t>Melville</t>
  </si>
  <si>
    <t>Albert</t>
  </si>
  <si>
    <t>Buffalo</t>
  </si>
  <si>
    <t>Western</t>
  </si>
  <si>
    <t>Reiber</t>
  </si>
  <si>
    <t>George</t>
  </si>
  <si>
    <t>Rochester</t>
  </si>
  <si>
    <t>White Plains</t>
  </si>
  <si>
    <t>Southern</t>
  </si>
  <si>
    <t>Sensenich</t>
  </si>
  <si>
    <t>Jan</t>
  </si>
  <si>
    <t>Norwich</t>
  </si>
  <si>
    <t>Vermont</t>
  </si>
  <si>
    <t>Swimelar</t>
  </si>
  <si>
    <t>Mark</t>
  </si>
  <si>
    <t>Syracuse</t>
  </si>
  <si>
    <t>Hartford</t>
  </si>
  <si>
    <t>Connecticut</t>
  </si>
  <si>
    <t>Balboa</t>
  </si>
  <si>
    <t>Isabel</t>
  </si>
  <si>
    <t>Cherry Hill</t>
  </si>
  <si>
    <t>New Jersey</t>
  </si>
  <si>
    <t>Hummelstown</t>
  </si>
  <si>
    <t>Middle</t>
  </si>
  <si>
    <t>Pennsylvania</t>
  </si>
  <si>
    <t>Greenberg</t>
  </si>
  <si>
    <t>Marie-Ann</t>
  </si>
  <si>
    <t>Fairfield</t>
  </si>
  <si>
    <t>Joseph</t>
  </si>
  <si>
    <t>Wilmington</t>
  </si>
  <si>
    <t>Delaware</t>
  </si>
  <si>
    <t>Miller</t>
  </si>
  <si>
    <t>William</t>
  </si>
  <si>
    <t>Philadelphia</t>
  </si>
  <si>
    <t>Reading</t>
  </si>
  <si>
    <t>Russo</t>
  </si>
  <si>
    <t>Robbinsville</t>
  </si>
  <si>
    <t>Winnecour</t>
  </si>
  <si>
    <t>Ronda</t>
  </si>
  <si>
    <t>Pittsburgh</t>
  </si>
  <si>
    <t>Bates</t>
  </si>
  <si>
    <t>Carl</t>
  </si>
  <si>
    <t>Richmond</t>
  </si>
  <si>
    <t>Virginia</t>
  </si>
  <si>
    <t>Beskin</t>
  </si>
  <si>
    <t>Herbert</t>
  </si>
  <si>
    <t>Charlottesville</t>
  </si>
  <si>
    <t>Branigan</t>
  </si>
  <si>
    <t>Timothy</t>
  </si>
  <si>
    <t>Maryland</t>
  </si>
  <si>
    <t>Baltimore</t>
  </si>
  <si>
    <t>Cotter</t>
  </si>
  <si>
    <t>Chesapeake</t>
  </si>
  <si>
    <t>Columbia</t>
  </si>
  <si>
    <t>South Carolina</t>
  </si>
  <si>
    <t>Gorman</t>
  </si>
  <si>
    <t>Thomas</t>
  </si>
  <si>
    <t>Alexandria</t>
  </si>
  <si>
    <t>Nancy</t>
  </si>
  <si>
    <t>Bowie</t>
  </si>
  <si>
    <t>Holland</t>
  </si>
  <si>
    <t>Gretchen</t>
  </si>
  <si>
    <t>Greenville</t>
  </si>
  <si>
    <t>Micale</t>
  </si>
  <si>
    <t>Christopher</t>
  </si>
  <si>
    <t>Roanoke</t>
  </si>
  <si>
    <t>Morris</t>
  </si>
  <si>
    <t>Helen</t>
  </si>
  <si>
    <t>South Charleston</t>
  </si>
  <si>
    <t>Northern and Southern</t>
  </si>
  <si>
    <t>West Virginia</t>
  </si>
  <si>
    <t>Washington</t>
  </si>
  <si>
    <t>Wyman</t>
  </si>
  <si>
    <t>James</t>
  </si>
  <si>
    <t>Mt. Pleasant</t>
  </si>
  <si>
    <t>Barkley</t>
  </si>
  <si>
    <t>Locke</t>
  </si>
  <si>
    <t>Jackson</t>
  </si>
  <si>
    <t>Mississippi</t>
  </si>
  <si>
    <t>Barkley, Jr.</t>
  </si>
  <si>
    <t>Harold</t>
  </si>
  <si>
    <t>Beaulieu</t>
  </si>
  <si>
    <t>Sterling</t>
  </si>
  <si>
    <t>Metairie</t>
  </si>
  <si>
    <t>Louisiana</t>
  </si>
  <si>
    <t>Hattiesburg</t>
  </si>
  <si>
    <t>Crawford</t>
  </si>
  <si>
    <t>Annette</t>
  </si>
  <si>
    <t>Baton Rouge</t>
  </si>
  <si>
    <t>Cuntz</t>
  </si>
  <si>
    <t>Warren</t>
  </si>
  <si>
    <t>Gulfport</t>
  </si>
  <si>
    <t>Hastings</t>
  </si>
  <si>
    <t>E. Eugene</t>
  </si>
  <si>
    <t>Monroe</t>
  </si>
  <si>
    <t>Henley, Jr.</t>
  </si>
  <si>
    <t>Rodriguez</t>
  </si>
  <si>
    <t>Keith</t>
  </si>
  <si>
    <t>Lafayette</t>
  </si>
  <si>
    <t>Shreveport</t>
  </si>
  <si>
    <t>Thornburg</t>
  </si>
  <si>
    <t>Jon</t>
  </si>
  <si>
    <t>Vardaman</t>
  </si>
  <si>
    <t>M. Terre</t>
  </si>
  <si>
    <t>Brandon</t>
  </si>
  <si>
    <t>Bassel</t>
  </si>
  <si>
    <t>Pamela</t>
  </si>
  <si>
    <t>Fort Worth</t>
  </si>
  <si>
    <t>Texas</t>
  </si>
  <si>
    <t>Powers</t>
  </si>
  <si>
    <t>Irving</t>
  </si>
  <si>
    <t>Tyler</t>
  </si>
  <si>
    <t>Truman</t>
  </si>
  <si>
    <t>Tim</t>
  </si>
  <si>
    <t>N. Richland Hills</t>
  </si>
  <si>
    <t>Robert</t>
  </si>
  <si>
    <t>Lubbock</t>
  </si>
  <si>
    <t>Corpus Christi</t>
  </si>
  <si>
    <t>Cox</t>
  </si>
  <si>
    <t>Stuart</t>
  </si>
  <si>
    <t>El Paso</t>
  </si>
  <si>
    <t>Heitkamp</t>
  </si>
  <si>
    <t>Houston</t>
  </si>
  <si>
    <t>Hendren, Jr.</t>
  </si>
  <si>
    <t>Ray</t>
  </si>
  <si>
    <t>Austin</t>
  </si>
  <si>
    <t>Langehennig</t>
  </si>
  <si>
    <t>Deborah</t>
  </si>
  <si>
    <t>Norwood</t>
  </si>
  <si>
    <t>Gary</t>
  </si>
  <si>
    <t>Midland</t>
  </si>
  <si>
    <t>Peake</t>
  </si>
  <si>
    <t>David</t>
  </si>
  <si>
    <t>Viegelahn</t>
  </si>
  <si>
    <t>Mary</t>
  </si>
  <si>
    <t>San Antonio</t>
  </si>
  <si>
    <t>Brown</t>
  </si>
  <si>
    <t>Sylvia</t>
  </si>
  <si>
    <t>Memphis</t>
  </si>
  <si>
    <t>Tennessee</t>
  </si>
  <si>
    <t>Burden</t>
  </si>
  <si>
    <t>Beverly</t>
  </si>
  <si>
    <t>Lexington</t>
  </si>
  <si>
    <t>Kentucky</t>
  </si>
  <si>
    <t>Hildebrand, III</t>
  </si>
  <si>
    <t>Henry</t>
  </si>
  <si>
    <t>Nashville</t>
  </si>
  <si>
    <t>Ivy</t>
  </si>
  <si>
    <t>Kerney</t>
  </si>
  <si>
    <t>Gwendolyn</t>
  </si>
  <si>
    <t>Knoxville</t>
  </si>
  <si>
    <t>Louisville</t>
  </si>
  <si>
    <t>Stevenson</t>
  </si>
  <si>
    <t>Bekofske</t>
  </si>
  <si>
    <t>Flint</t>
  </si>
  <si>
    <t>Michigan</t>
  </si>
  <si>
    <t>Burks</t>
  </si>
  <si>
    <t>Margaret</t>
  </si>
  <si>
    <t>Cincinnati</t>
  </si>
  <si>
    <t>Ohio</t>
  </si>
  <si>
    <t>Carroll</t>
  </si>
  <si>
    <t>Krispen</t>
  </si>
  <si>
    <t>Detroit</t>
  </si>
  <si>
    <t>English</t>
  </si>
  <si>
    <t>Faye</t>
  </si>
  <si>
    <t>Columbus</t>
  </si>
  <si>
    <t>Foley</t>
  </si>
  <si>
    <t>Barbara</t>
  </si>
  <si>
    <t>Kalamazoo</t>
  </si>
  <si>
    <t>Gallo</t>
  </si>
  <si>
    <t>Youngstown</t>
  </si>
  <si>
    <t>Dayton</t>
  </si>
  <si>
    <t>McDonald, Jr.</t>
  </si>
  <si>
    <t>Saginaw</t>
  </si>
  <si>
    <t>Rodgers</t>
  </si>
  <si>
    <t>Brett</t>
  </si>
  <si>
    <t>Grand Rapids</t>
  </si>
  <si>
    <t>Canton</t>
  </si>
  <si>
    <t>Rucinski</t>
  </si>
  <si>
    <t>Akron</t>
  </si>
  <si>
    <t>Ruskin</t>
  </si>
  <si>
    <t>Southfield</t>
  </si>
  <si>
    <t>Cleveland</t>
  </si>
  <si>
    <t>Terry</t>
  </si>
  <si>
    <t>Tammy</t>
  </si>
  <si>
    <t>Vaughan</t>
  </si>
  <si>
    <t>Elizabeth</t>
  </si>
  <si>
    <t>Toledo</t>
  </si>
  <si>
    <t>Black, Jr.</t>
  </si>
  <si>
    <t>Seymour</t>
  </si>
  <si>
    <t>Indiana</t>
  </si>
  <si>
    <t>Indianapolis</t>
  </si>
  <si>
    <t>Chael</t>
  </si>
  <si>
    <t>Paul</t>
  </si>
  <si>
    <t>Merrillville</t>
  </si>
  <si>
    <t>Central</t>
  </si>
  <si>
    <t>Illinois</t>
  </si>
  <si>
    <t>Combs-Skinner</t>
  </si>
  <si>
    <t>Marsha</t>
  </si>
  <si>
    <t>Newman</t>
  </si>
  <si>
    <t>Decker</t>
  </si>
  <si>
    <t>Donald</t>
  </si>
  <si>
    <t>Terre Haute</t>
  </si>
  <si>
    <t>DeLaney</t>
  </si>
  <si>
    <t>Ann</t>
  </si>
  <si>
    <t>Debra</t>
  </si>
  <si>
    <t>South Bend</t>
  </si>
  <si>
    <t>Musgrave, II</t>
  </si>
  <si>
    <t>Evansville</t>
  </si>
  <si>
    <t>Simon</t>
  </si>
  <si>
    <t>Russell</t>
  </si>
  <si>
    <t>Swansea</t>
  </si>
  <si>
    <t>Wisconsin</t>
  </si>
  <si>
    <t>Milwaukee</t>
  </si>
  <si>
    <t>Harring</t>
  </si>
  <si>
    <t>Madison</t>
  </si>
  <si>
    <t>Marshall</t>
  </si>
  <si>
    <t>Marilyn</t>
  </si>
  <si>
    <t>Chicago</t>
  </si>
  <si>
    <t>Meyer</t>
  </si>
  <si>
    <t>Lydia</t>
  </si>
  <si>
    <t>Rockford</t>
  </si>
  <si>
    <t>Stearns</t>
  </si>
  <si>
    <t>Glenn</t>
  </si>
  <si>
    <t>Lisle</t>
  </si>
  <si>
    <t>Burrell</t>
  </si>
  <si>
    <t>Gregory</t>
  </si>
  <si>
    <t>Minneapolis</t>
  </si>
  <si>
    <t>Minnesota</t>
  </si>
  <si>
    <t>Carlson</t>
  </si>
  <si>
    <t>Kyle</t>
  </si>
  <si>
    <t>Barnesville</t>
  </si>
  <si>
    <t>Minnesota &amp; North Dakota</t>
  </si>
  <si>
    <t>Dunbar</t>
  </si>
  <si>
    <t>Carol</t>
  </si>
  <si>
    <t>Waterloo</t>
  </si>
  <si>
    <t>Iowa</t>
  </si>
  <si>
    <t>Wein</t>
  </si>
  <si>
    <t>Dale</t>
  </si>
  <si>
    <t>Aberdeen</t>
  </si>
  <si>
    <t>South Dakota</t>
  </si>
  <si>
    <t>Babin</t>
  </si>
  <si>
    <t>Joyce</t>
  </si>
  <si>
    <t>Little Rock</t>
  </si>
  <si>
    <t>Eastern and Western</t>
  </si>
  <si>
    <t>Arkansas</t>
  </si>
  <si>
    <t>Fink</t>
  </si>
  <si>
    <t>Richard</t>
  </si>
  <si>
    <t>Kansas City</t>
  </si>
  <si>
    <t>Missouri</t>
  </si>
  <si>
    <t>Gooding</t>
  </si>
  <si>
    <t>Jack</t>
  </si>
  <si>
    <t>St. Louis</t>
  </si>
  <si>
    <t>Kathleen</t>
  </si>
  <si>
    <t>Omaha</t>
  </si>
  <si>
    <t>Nebraska</t>
  </si>
  <si>
    <t>McCarty</t>
  </si>
  <si>
    <t>Phoenix</t>
  </si>
  <si>
    <t>Arizona</t>
  </si>
  <si>
    <t>Kerns</t>
  </si>
  <si>
    <t>Dianne</t>
  </si>
  <si>
    <t>Tucson</t>
  </si>
  <si>
    <t>Maney</t>
  </si>
  <si>
    <t>Edward</t>
  </si>
  <si>
    <t>Billingslea, Jr.</t>
  </si>
  <si>
    <t>San Diego</t>
  </si>
  <si>
    <t>California</t>
  </si>
  <si>
    <t>Honolulu</t>
  </si>
  <si>
    <t>Hawaii, Guam &amp; North. Mariana Isl</t>
  </si>
  <si>
    <t>Skelton</t>
  </si>
  <si>
    <t>Cohen</t>
  </si>
  <si>
    <t>Amrane</t>
  </si>
  <si>
    <t>Orange</t>
  </si>
  <si>
    <t>Curry</t>
  </si>
  <si>
    <t>Los Angeles</t>
  </si>
  <si>
    <t>Danielson</t>
  </si>
  <si>
    <t>Rodney</t>
  </si>
  <si>
    <t>Riverside</t>
  </si>
  <si>
    <t>Dockery</t>
  </si>
  <si>
    <t>Kathy</t>
  </si>
  <si>
    <t>Rojas</t>
  </si>
  <si>
    <t>Sherman Oaks</t>
  </si>
  <si>
    <t>Bronitsky</t>
  </si>
  <si>
    <t>Martha</t>
  </si>
  <si>
    <t>Hayward</t>
  </si>
  <si>
    <t>Burchard, Jr.</t>
  </si>
  <si>
    <t>Foster City</t>
  </si>
  <si>
    <t>Cusick</t>
  </si>
  <si>
    <t>Sacramento</t>
  </si>
  <si>
    <t>Derham-Burk</t>
  </si>
  <si>
    <t>Devin</t>
  </si>
  <si>
    <t>San Jose</t>
  </si>
  <si>
    <t>Greer</t>
  </si>
  <si>
    <t>Modesto</t>
  </si>
  <si>
    <t>Leavitt</t>
  </si>
  <si>
    <t>Las Vegas</t>
  </si>
  <si>
    <t>Nevada</t>
  </si>
  <si>
    <t>Fresno</t>
  </si>
  <si>
    <t>Van Meter</t>
  </si>
  <si>
    <t>Reno</t>
  </si>
  <si>
    <t>Yarnall</t>
  </si>
  <si>
    <t>Rick</t>
  </si>
  <si>
    <t>Brunner</t>
  </si>
  <si>
    <t>Daniel</t>
  </si>
  <si>
    <t>Spokane</t>
  </si>
  <si>
    <t>Anchorage</t>
  </si>
  <si>
    <t>Alaska</t>
  </si>
  <si>
    <t>Drummond</t>
  </si>
  <si>
    <t>Great Falls</t>
  </si>
  <si>
    <t>Montana</t>
  </si>
  <si>
    <t>Seattle</t>
  </si>
  <si>
    <t>Godare</t>
  </si>
  <si>
    <t>Wayne</t>
  </si>
  <si>
    <t>Portland</t>
  </si>
  <si>
    <t>Oregon</t>
  </si>
  <si>
    <t>McCallister</t>
  </si>
  <si>
    <t>Boise</t>
  </si>
  <si>
    <t>Idaho</t>
  </si>
  <si>
    <t>Zimmerman</t>
  </si>
  <si>
    <t>C. Barry</t>
  </si>
  <si>
    <t>Coeur d'Alene</t>
  </si>
  <si>
    <t>Salt Lake City</t>
  </si>
  <si>
    <t>Utah</t>
  </si>
  <si>
    <t>Kiel</t>
  </si>
  <si>
    <t>Douglas</t>
  </si>
  <si>
    <t>Denver</t>
  </si>
  <si>
    <t>Colorado</t>
  </si>
  <si>
    <t>Bonney</t>
  </si>
  <si>
    <t>Muskogee</t>
  </si>
  <si>
    <t>Oklahoma</t>
  </si>
  <si>
    <t>Eck</t>
  </si>
  <si>
    <t>Lonnie</t>
  </si>
  <si>
    <t>Tulsa</t>
  </si>
  <si>
    <t>Griffin</t>
  </si>
  <si>
    <t>Roeland Park</t>
  </si>
  <si>
    <t>Kansas</t>
  </si>
  <si>
    <t>Hamilton</t>
  </si>
  <si>
    <t>Topeka</t>
  </si>
  <si>
    <t>Hardeman</t>
  </si>
  <si>
    <t>Oklahoma City</t>
  </si>
  <si>
    <t>Albuquerque</t>
  </si>
  <si>
    <t>New Mexico</t>
  </si>
  <si>
    <t>Laurie</t>
  </si>
  <si>
    <t>Wichita</t>
  </si>
  <si>
    <t>Carrion</t>
  </si>
  <si>
    <t>Jose</t>
  </si>
  <si>
    <t>San Juan</t>
  </si>
  <si>
    <t>Puerto Rico &amp; Virgin Islands</t>
  </si>
  <si>
    <t>Goodman</t>
  </si>
  <si>
    <t>Adam</t>
  </si>
  <si>
    <t>Atlanta</t>
  </si>
  <si>
    <t>Georgia</t>
  </si>
  <si>
    <t>Leigh</t>
  </si>
  <si>
    <t>Tallahassee</t>
  </si>
  <si>
    <t>Florida</t>
  </si>
  <si>
    <t>Hope</t>
  </si>
  <si>
    <t>Camille</t>
  </si>
  <si>
    <t>Macon</t>
  </si>
  <si>
    <t>Le</t>
  </si>
  <si>
    <t>Huon</t>
  </si>
  <si>
    <t>Augusta</t>
  </si>
  <si>
    <t>Massey</t>
  </si>
  <si>
    <t>Elaina</t>
  </si>
  <si>
    <t>Meredith</t>
  </si>
  <si>
    <t>O. Byron</t>
  </si>
  <si>
    <t>Savannah</t>
  </si>
  <si>
    <t xml:space="preserve">Neidich </t>
  </si>
  <si>
    <t>Miramar</t>
  </si>
  <si>
    <t>Neway</t>
  </si>
  <si>
    <t>Jacksonville</t>
  </si>
  <si>
    <t>Oliveras Rivera</t>
  </si>
  <si>
    <t>Alejandro</t>
  </si>
  <si>
    <t xml:space="preserve">Puerto Rico </t>
  </si>
  <si>
    <t>Remick</t>
  </si>
  <si>
    <t>Kelly</t>
  </si>
  <si>
    <t>Waage</t>
  </si>
  <si>
    <t>Bradenton</t>
  </si>
  <si>
    <t>Weatherford</t>
  </si>
  <si>
    <t>Winter Park</t>
  </si>
  <si>
    <t>Weiner</t>
  </si>
  <si>
    <t>Robin</t>
  </si>
  <si>
    <t>Ft. Lauderdale</t>
  </si>
  <si>
    <t>Whaley</t>
  </si>
  <si>
    <t>Plano</t>
  </si>
  <si>
    <t>Chattanooga</t>
  </si>
  <si>
    <t>Oshkosh</t>
  </si>
  <si>
    <t>Tacoma</t>
  </si>
  <si>
    <t>Eugene</t>
  </si>
  <si>
    <t>Suffolk</t>
  </si>
  <si>
    <t>Wade</t>
  </si>
  <si>
    <t>West</t>
  </si>
  <si>
    <t>Hauber</t>
  </si>
  <si>
    <t>Garcia</t>
  </si>
  <si>
    <t>Jipping</t>
  </si>
  <si>
    <t>Malaier</t>
  </si>
  <si>
    <t>Markel</t>
  </si>
  <si>
    <t>Jenkins</t>
  </si>
  <si>
    <t>Nacole</t>
  </si>
  <si>
    <t>Naliko</t>
  </si>
  <si>
    <t>Kara</t>
  </si>
  <si>
    <t>Suzanne</t>
  </si>
  <si>
    <t>Carey</t>
  </si>
  <si>
    <t>Lon</t>
  </si>
  <si>
    <t>(1)  trustees who run ongoing mortgage payments through the plans on a regular basis-defined as disbursing ongoing mortgage payments totaling 10% or more of total disbursements OR</t>
  </si>
  <si>
    <t>disbursing ongoing mortgage payments totaling between 1%-10% of total disbursements where the region advises they routinely run them through the plans.</t>
  </si>
  <si>
    <t>Scott</t>
  </si>
  <si>
    <t>Diana</t>
  </si>
  <si>
    <t>Simmons-Beasley</t>
  </si>
  <si>
    <t>Johns</t>
  </si>
  <si>
    <t>Davis</t>
  </si>
  <si>
    <t>Todd</t>
  </si>
  <si>
    <t>Ebert</t>
  </si>
  <si>
    <t>Maryland &amp; DC</t>
  </si>
  <si>
    <t>Napolitano</t>
  </si>
  <si>
    <t>Helbling</t>
  </si>
  <si>
    <t>Krista</t>
  </si>
  <si>
    <t>Lauren</t>
  </si>
  <si>
    <t>Daugherty</t>
  </si>
  <si>
    <t>Tiffany</t>
  </si>
  <si>
    <t>Dudley</t>
  </si>
  <si>
    <t>Andrew</t>
  </si>
  <si>
    <t>Lieske</t>
  </si>
  <si>
    <t>Davey</t>
  </si>
  <si>
    <t>Melissa</t>
  </si>
  <si>
    <t>ERRONEOUS DISB</t>
  </si>
  <si>
    <t>Roberta</t>
  </si>
  <si>
    <t>Preuss</t>
  </si>
  <si>
    <t>Schinker-Kuharich</t>
  </si>
  <si>
    <t>Wilson-Aguilar</t>
  </si>
  <si>
    <t>Jason</t>
  </si>
  <si>
    <t>Dynele</t>
  </si>
  <si>
    <t xml:space="preserve">Cornejo </t>
  </si>
  <si>
    <t>Lloyd</t>
  </si>
  <si>
    <t>Colorado &amp; Wyoming</t>
  </si>
  <si>
    <t>CASES EXTEND 84 MOS.</t>
  </si>
  <si>
    <t>Waterman</t>
  </si>
  <si>
    <t>Rawlings</t>
  </si>
  <si>
    <t>Kraus</t>
  </si>
  <si>
    <t>Julie</t>
  </si>
  <si>
    <t>Herr</t>
  </si>
  <si>
    <t>Rebecca</t>
  </si>
  <si>
    <t>Jansing</t>
  </si>
  <si>
    <t>Tampa</t>
  </si>
  <si>
    <t>Philippi</t>
  </si>
  <si>
    <t>Bailey</t>
  </si>
  <si>
    <t>DeLoach</t>
  </si>
  <si>
    <t>Jonathan</t>
  </si>
  <si>
    <t>Westerville</t>
  </si>
  <si>
    <t xml:space="preserve">CHAPTER 13 STANDING TRUSTEE FY22 AUDITED ANNUAL REPORTS </t>
  </si>
  <si>
    <t>CASES ACTIVE START '22</t>
  </si>
  <si>
    <t># CASES END FY22</t>
  </si>
  <si>
    <t>Preuss Interim</t>
  </si>
  <si>
    <t>Joseph/Jaworski</t>
  </si>
  <si>
    <t>Michael/William</t>
  </si>
  <si>
    <t>Zaharopoulos</t>
  </si>
  <si>
    <t>Kenneth</t>
  </si>
  <si>
    <t>Stackhouse/Barnhart</t>
  </si>
  <si>
    <t>R. Clinton/Kelly</t>
  </si>
  <si>
    <t>Mathews</t>
  </si>
  <si>
    <t>Annemarie</t>
  </si>
  <si>
    <t>Vetter interim/Tucci</t>
  </si>
  <si>
    <t>Gerard/Brian</t>
  </si>
  <si>
    <t>Wilson/Davis</t>
  </si>
  <si>
    <t>Robert/Katherine</t>
  </si>
  <si>
    <t>Boudloche/Valdez</t>
  </si>
  <si>
    <t>Cindy/Yvonne</t>
  </si>
  <si>
    <t>Hooper</t>
  </si>
  <si>
    <t>Laughlin/McCartney</t>
  </si>
  <si>
    <t>Kathleen/Erin</t>
  </si>
  <si>
    <t>Ghazvini</t>
  </si>
  <si>
    <t>Nima</t>
  </si>
  <si>
    <t>Safir</t>
  </si>
  <si>
    <t>K. Edward</t>
  </si>
  <si>
    <r>
      <t xml:space="preserve">Duncan </t>
    </r>
    <r>
      <rPr>
        <sz val="10"/>
        <rFont val="Times New Roman"/>
        <family val="1"/>
      </rPr>
      <t>(formerly Glidewell)</t>
    </r>
  </si>
  <si>
    <t>ADDL OPERATING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</si>
</sst>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0"/>
      <color indexed="10"/>
      <name val="MS Sans Serif"/>
      <family val="2"/>
    </font>
    <font>
      <sz val="11"/>
      <color rgb="FF1F497D"/>
      <name val="Calibri"/>
      <family val="2"/>
      <scheme val="minor"/>
    </font>
    <font>
      <b/>
      <sz val="1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8"/>
      <name val="Times New Roman"/>
      <family val="1"/>
    </font>
    <font>
      <sz val="10"/>
      <name val="MS Sans Serif"/>
      <family val="2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Arial"/>
      <family val="2"/>
    </font>
    <font>
      <sz val="12"/>
      <color theme="1"/>
      <name val="Times New Roman"/>
      <family val="1"/>
    </font>
    <font>
      <sz val="10"/>
      <name val="MS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24994659260841701"/>
        <bgColor rgb="FFC0C0C0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5" fillId="0" borderId="0"/>
    <xf numFmtId="0" fontId="15" fillId="0" borderId="0"/>
    <xf numFmtId="0" fontId="15" fillId="0" borderId="0"/>
    <xf numFmtId="0" fontId="18" fillId="0" borderId="0"/>
    <xf numFmtId="0" fontId="18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20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/>
    <xf numFmtId="164" fontId="4" fillId="0" borderId="0" xfId="0" applyNumberFormat="1" applyFont="1"/>
    <xf numFmtId="0" fontId="4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10" fillId="2" borderId="0" xfId="1" applyFont="1" applyFill="1"/>
    <xf numFmtId="0" fontId="11" fillId="0" borderId="0" xfId="0" applyFont="1" applyBorder="1"/>
    <xf numFmtId="3" fontId="12" fillId="0" borderId="0" xfId="0" applyNumberFormat="1" applyFont="1" applyFill="1" applyAlignment="1">
      <alignment horizontal="left"/>
    </xf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14" fillId="2" borderId="0" xfId="1" applyFont="1" applyFill="1"/>
    <xf numFmtId="0" fontId="11" fillId="0" borderId="4" xfId="0" applyNumberFormat="1" applyFont="1" applyBorder="1"/>
    <xf numFmtId="0" fontId="11" fillId="0" borderId="4" xfId="0" applyNumberFormat="1" applyFont="1" applyBorder="1" applyAlignment="1">
      <alignment wrapText="1"/>
    </xf>
    <xf numFmtId="0" fontId="11" fillId="0" borderId="4" xfId="0" applyNumberFormat="1" applyFont="1" applyFill="1" applyBorder="1" applyAlignment="1">
      <alignment wrapText="1"/>
    </xf>
    <xf numFmtId="0" fontId="11" fillId="0" borderId="0" xfId="0" applyFont="1" applyAlignment="1">
      <alignment wrapText="1"/>
    </xf>
    <xf numFmtId="0" fontId="11" fillId="2" borderId="4" xfId="0" applyNumberFormat="1" applyFont="1" applyFill="1" applyBorder="1" applyAlignment="1">
      <alignment wrapText="1"/>
    </xf>
    <xf numFmtId="164" fontId="11" fillId="0" borderId="4" xfId="0" applyNumberFormat="1" applyFont="1" applyBorder="1" applyAlignment="1">
      <alignment wrapText="1"/>
    </xf>
    <xf numFmtId="0" fontId="11" fillId="0" borderId="4" xfId="0" quotePrefix="1" applyNumberFormat="1" applyFont="1" applyBorder="1" applyAlignment="1">
      <alignment wrapText="1"/>
    </xf>
    <xf numFmtId="0" fontId="11" fillId="2" borderId="5" xfId="2" quotePrefix="1" applyNumberFormat="1" applyFont="1" applyFill="1" applyBorder="1" applyAlignment="1">
      <alignment wrapText="1"/>
    </xf>
    <xf numFmtId="0" fontId="11" fillId="2" borderId="5" xfId="3" applyNumberFormat="1" applyFont="1" applyFill="1" applyBorder="1" applyAlignment="1">
      <alignment wrapText="1"/>
    </xf>
    <xf numFmtId="0" fontId="11" fillId="2" borderId="5" xfId="1" applyNumberFormat="1" applyFont="1" applyFill="1" applyBorder="1" applyAlignment="1">
      <alignment wrapText="1"/>
    </xf>
    <xf numFmtId="9" fontId="11" fillId="0" borderId="4" xfId="0" quotePrefix="1" applyNumberFormat="1" applyFont="1" applyBorder="1"/>
    <xf numFmtId="0" fontId="16" fillId="3" borderId="2" xfId="0" applyFont="1" applyFill="1" applyBorder="1" applyAlignment="1" applyProtection="1">
      <alignment horizontal="center" vertical="center"/>
    </xf>
    <xf numFmtId="0" fontId="3" fillId="4" borderId="1" xfId="0" applyNumberFormat="1" applyFont="1" applyFill="1" applyBorder="1" applyAlignment="1"/>
    <xf numFmtId="0" fontId="16" fillId="3" borderId="1" xfId="0" applyFont="1" applyFill="1" applyBorder="1" applyAlignment="1" applyProtection="1">
      <alignment horizontal="center" vertical="center"/>
    </xf>
    <xf numFmtId="0" fontId="16" fillId="3" borderId="6" xfId="0" applyFont="1" applyFill="1" applyBorder="1" applyAlignment="1" applyProtection="1">
      <alignment horizontal="center" vertical="center"/>
    </xf>
    <xf numFmtId="3" fontId="17" fillId="3" borderId="4" xfId="0" applyNumberFormat="1" applyFont="1" applyFill="1" applyBorder="1" applyAlignment="1" applyProtection="1">
      <alignment horizontal="right"/>
    </xf>
    <xf numFmtId="164" fontId="3" fillId="4" borderId="5" xfId="0" applyNumberFormat="1" applyFont="1" applyFill="1" applyBorder="1" applyAlignment="1">
      <alignment horizontal="right" wrapText="1"/>
    </xf>
    <xf numFmtId="37" fontId="17" fillId="3" borderId="4" xfId="0" applyNumberFormat="1" applyFont="1" applyFill="1" applyBorder="1" applyAlignment="1" applyProtection="1">
      <alignment horizontal="right"/>
    </xf>
    <xf numFmtId="0" fontId="3" fillId="4" borderId="3" xfId="0" applyNumberFormat="1" applyFont="1" applyFill="1" applyBorder="1" applyAlignment="1">
      <alignment wrapText="1"/>
    </xf>
    <xf numFmtId="0" fontId="16" fillId="3" borderId="3" xfId="0" applyFont="1" applyFill="1" applyBorder="1" applyAlignment="1" applyProtection="1">
      <alignment horizontal="center" vertical="center"/>
    </xf>
    <xf numFmtId="164" fontId="17" fillId="3" borderId="4" xfId="0" applyNumberFormat="1" applyFont="1" applyFill="1" applyBorder="1" applyAlignment="1" applyProtection="1">
      <alignment horizontal="right"/>
    </xf>
    <xf numFmtId="37" fontId="17" fillId="0" borderId="4" xfId="0" applyNumberFormat="1" applyFont="1" applyFill="1" applyBorder="1" applyAlignment="1" applyProtection="1">
      <alignment horizontal="right" vertical="center" wrapText="1"/>
    </xf>
    <xf numFmtId="37" fontId="17" fillId="0" borderId="4" xfId="0" applyNumberFormat="1" applyFont="1" applyFill="1" applyBorder="1" applyAlignment="1" applyProtection="1">
      <alignment vertical="center" wrapText="1"/>
    </xf>
    <xf numFmtId="0" fontId="3" fillId="0" borderId="4" xfId="0" quotePrefix="1" applyNumberFormat="1" applyFont="1" applyFill="1" applyBorder="1"/>
    <xf numFmtId="0" fontId="3" fillId="0" borderId="4" xfId="0" applyFont="1" applyFill="1" applyBorder="1"/>
    <xf numFmtId="0" fontId="3" fillId="2" borderId="4" xfId="0" applyFont="1" applyFill="1" applyBorder="1"/>
    <xf numFmtId="0" fontId="3" fillId="2" borderId="4" xfId="0" applyNumberFormat="1" applyFont="1" applyFill="1" applyBorder="1"/>
    <xf numFmtId="37" fontId="17" fillId="2" borderId="4" xfId="0" applyNumberFormat="1" applyFont="1" applyFill="1" applyBorder="1" applyAlignment="1" applyProtection="1">
      <alignment horizontal="right" vertical="center" wrapText="1"/>
    </xf>
    <xf numFmtId="3" fontId="3" fillId="2" borderId="4" xfId="0" applyNumberFormat="1" applyFont="1" applyFill="1" applyBorder="1"/>
    <xf numFmtId="0" fontId="0" fillId="0" borderId="4" xfId="0" applyBorder="1"/>
    <xf numFmtId="0" fontId="3" fillId="2" borderId="4" xfId="0" quotePrefix="1" applyNumberFormat="1" applyFont="1" applyFill="1" applyBorder="1"/>
    <xf numFmtId="37" fontId="17" fillId="5" borderId="4" xfId="0" applyNumberFormat="1" applyFont="1" applyFill="1" applyBorder="1" applyAlignment="1" applyProtection="1">
      <alignment horizontal="right" vertical="center" wrapText="1"/>
    </xf>
    <xf numFmtId="37" fontId="17" fillId="5" borderId="4" xfId="0" applyNumberFormat="1" applyFont="1" applyFill="1" applyBorder="1" applyAlignment="1" applyProtection="1">
      <alignment vertical="center" wrapText="1"/>
    </xf>
    <xf numFmtId="0" fontId="3" fillId="5" borderId="4" xfId="0" quotePrefix="1" applyNumberFormat="1" applyFont="1" applyFill="1" applyBorder="1"/>
    <xf numFmtId="0" fontId="3" fillId="5" borderId="4" xfId="0" applyFont="1" applyFill="1" applyBorder="1"/>
    <xf numFmtId="37" fontId="3" fillId="2" borderId="4" xfId="0" applyNumberFormat="1" applyFont="1" applyFill="1" applyBorder="1" applyAlignment="1" applyProtection="1">
      <alignment vertical="center" wrapText="1"/>
    </xf>
    <xf numFmtId="37" fontId="17" fillId="6" borderId="4" xfId="0" applyNumberFormat="1" applyFont="1" applyFill="1" applyBorder="1" applyAlignment="1" applyProtection="1">
      <alignment horizontal="right"/>
    </xf>
    <xf numFmtId="3" fontId="17" fillId="6" borderId="4" xfId="0" applyNumberFormat="1" applyFont="1" applyFill="1" applyBorder="1" applyAlignment="1" applyProtection="1">
      <alignment horizontal="right"/>
    </xf>
    <xf numFmtId="0" fontId="0" fillId="2" borderId="0" xfId="0" applyFill="1"/>
    <xf numFmtId="37" fontId="17" fillId="2" borderId="4" xfId="0" applyNumberFormat="1" applyFont="1" applyFill="1" applyBorder="1" applyAlignment="1" applyProtection="1">
      <alignment vertical="center" wrapText="1"/>
    </xf>
    <xf numFmtId="0" fontId="17" fillId="2" borderId="4" xfId="0" applyFont="1" applyFill="1" applyBorder="1" applyAlignment="1" applyProtection="1">
      <alignment horizontal="right" vertical="center" wrapText="1"/>
    </xf>
    <xf numFmtId="0" fontId="17" fillId="2" borderId="4" xfId="0" applyFont="1" applyFill="1" applyBorder="1" applyAlignment="1" applyProtection="1">
      <alignment vertical="center" wrapText="1"/>
    </xf>
    <xf numFmtId="3" fontId="3" fillId="2" borderId="4" xfId="6" applyNumberFormat="1" applyFont="1" applyFill="1" applyBorder="1"/>
    <xf numFmtId="0" fontId="3" fillId="0" borderId="4" xfId="6" quotePrefix="1" applyNumberFormat="1" applyFont="1" applyFill="1" applyBorder="1"/>
    <xf numFmtId="0" fontId="3" fillId="2" borderId="4" xfId="6" applyFont="1" applyFill="1" applyBorder="1"/>
    <xf numFmtId="0" fontId="3" fillId="2" borderId="4" xfId="6" quotePrefix="1" applyNumberFormat="1" applyFont="1" applyFill="1" applyBorder="1"/>
    <xf numFmtId="0" fontId="3" fillId="2" borderId="4" xfId="6" applyNumberFormat="1" applyFont="1" applyFill="1" applyBorder="1"/>
    <xf numFmtId="37" fontId="19" fillId="0" borderId="4" xfId="4" applyNumberFormat="1" applyFont="1" applyBorder="1"/>
    <xf numFmtId="37" fontId="19" fillId="2" borderId="4" xfId="4" applyNumberFormat="1" applyFont="1" applyFill="1" applyBorder="1"/>
    <xf numFmtId="164" fontId="19" fillId="2" borderId="4" xfId="4" applyNumberFormat="1" applyFont="1" applyFill="1" applyBorder="1"/>
    <xf numFmtId="0" fontId="0" fillId="0" borderId="0" xfId="0" applyBorder="1"/>
    <xf numFmtId="0" fontId="0" fillId="0" borderId="0" xfId="0" applyFill="1"/>
    <xf numFmtId="3" fontId="19" fillId="0" borderId="0" xfId="0" applyNumberFormat="1" applyFont="1" applyBorder="1" applyAlignment="1"/>
    <xf numFmtId="0" fontId="19" fillId="0" borderId="0" xfId="0" applyFont="1"/>
    <xf numFmtId="0" fontId="19" fillId="0" borderId="0" xfId="0" applyFont="1"/>
    <xf numFmtId="37" fontId="3" fillId="0" borderId="4" xfId="0" applyNumberFormat="1" applyFont="1" applyFill="1" applyBorder="1" applyAlignment="1" applyProtection="1">
      <alignment vertical="center" wrapText="1"/>
    </xf>
    <xf numFmtId="37" fontId="3" fillId="0" borderId="4" xfId="0" applyNumberFormat="1" applyFont="1" applyFill="1" applyBorder="1" applyAlignment="1" applyProtection="1">
      <alignment horizontal="right" vertical="center" wrapText="1"/>
    </xf>
    <xf numFmtId="0" fontId="3" fillId="2" borderId="4" xfId="0" quotePrefix="1" applyFont="1" applyFill="1" applyBorder="1"/>
    <xf numFmtId="3" fontId="19" fillId="0" borderId="4" xfId="4" applyNumberFormat="1" applyFont="1" applyBorder="1"/>
    <xf numFmtId="3" fontId="19" fillId="2" borderId="4" xfId="4" applyNumberFormat="1" applyFont="1" applyFill="1" applyBorder="1"/>
    <xf numFmtId="3" fontId="19" fillId="0" borderId="4" xfId="4" applyNumberFormat="1" applyFont="1" applyFill="1" applyBorder="1"/>
    <xf numFmtId="0" fontId="19" fillId="2" borderId="4" xfId="0" quotePrefix="1" applyNumberFormat="1" applyFont="1" applyFill="1" applyBorder="1"/>
    <xf numFmtId="14" fontId="11" fillId="0" borderId="0" xfId="0" applyNumberFormat="1" applyFont="1" applyFill="1" applyAlignment="1">
      <alignment horizontal="left"/>
    </xf>
    <xf numFmtId="0" fontId="6" fillId="0" borderId="0" xfId="0" applyFont="1" applyBorder="1"/>
    <xf numFmtId="164" fontId="11" fillId="0" borderId="1" xfId="0" applyNumberFormat="1" applyFont="1" applyBorder="1"/>
    <xf numFmtId="0" fontId="13" fillId="0" borderId="1" xfId="0" applyFont="1" applyBorder="1"/>
    <xf numFmtId="0" fontId="5" fillId="0" borderId="0" xfId="0" applyFont="1" applyBorder="1"/>
    <xf numFmtId="0" fontId="9" fillId="0" borderId="0" xfId="0" applyFont="1" applyBorder="1"/>
    <xf numFmtId="0" fontId="10" fillId="2" borderId="1" xfId="2" applyFont="1" applyFill="1" applyBorder="1"/>
    <xf numFmtId="0" fontId="10" fillId="2" borderId="1" xfId="3" applyFont="1" applyFill="1" applyBorder="1"/>
    <xf numFmtId="0" fontId="2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</cellXfs>
  <cellStyles count="44">
    <cellStyle name="Currency" xfId="4" builtinId="4"/>
    <cellStyle name="Currency 2" xfId="11" xr:uid="{00000000-0005-0000-0000-000001000000}"/>
    <cellStyle name="Currency 2 2" xfId="37" xr:uid="{00000000-0005-0000-0000-000002000000}"/>
    <cellStyle name="Currency 3" xfId="32" xr:uid="{00000000-0005-0000-0000-000003000000}"/>
    <cellStyle name="Currency 3 2" xfId="39" xr:uid="{00000000-0005-0000-0000-000004000000}"/>
    <cellStyle name="Currency 4" xfId="35" xr:uid="{00000000-0005-0000-0000-000005000000}"/>
    <cellStyle name="Currency 4 2" xfId="41" xr:uid="{00000000-0005-0000-0000-000006000000}"/>
    <cellStyle name="Currency 5" xfId="43" xr:uid="{00000000-0005-0000-0000-000007000000}"/>
    <cellStyle name="Normal" xfId="0" builtinId="0"/>
    <cellStyle name="Normal 10" xfId="15" xr:uid="{00000000-0005-0000-0000-000009000000}"/>
    <cellStyle name="Normal 11" xfId="16" xr:uid="{00000000-0005-0000-0000-00000A000000}"/>
    <cellStyle name="Normal 12" xfId="17" xr:uid="{00000000-0005-0000-0000-00000B000000}"/>
    <cellStyle name="Normal 13" xfId="18" xr:uid="{00000000-0005-0000-0000-00000C000000}"/>
    <cellStyle name="Normal 14" xfId="19" xr:uid="{00000000-0005-0000-0000-00000D000000}"/>
    <cellStyle name="Normal 15" xfId="20" xr:uid="{00000000-0005-0000-0000-00000E000000}"/>
    <cellStyle name="Normal 16" xfId="21" xr:uid="{00000000-0005-0000-0000-00000F000000}"/>
    <cellStyle name="Normal 17" xfId="22" xr:uid="{00000000-0005-0000-0000-000010000000}"/>
    <cellStyle name="Normal 18" xfId="14" xr:uid="{00000000-0005-0000-0000-000011000000}"/>
    <cellStyle name="Normal 19" xfId="23" xr:uid="{00000000-0005-0000-0000-000012000000}"/>
    <cellStyle name="Normal 2" xfId="6" xr:uid="{00000000-0005-0000-0000-000013000000}"/>
    <cellStyle name="Normal 20" xfId="24" xr:uid="{00000000-0005-0000-0000-000014000000}"/>
    <cellStyle name="Normal 21" xfId="25" xr:uid="{00000000-0005-0000-0000-000015000000}"/>
    <cellStyle name="Normal 22" xfId="26" xr:uid="{00000000-0005-0000-0000-000016000000}"/>
    <cellStyle name="Normal 23" xfId="27" xr:uid="{00000000-0005-0000-0000-000017000000}"/>
    <cellStyle name="Normal 24" xfId="2" xr:uid="{00000000-0005-0000-0000-000018000000}"/>
    <cellStyle name="Normal 25" xfId="3" xr:uid="{00000000-0005-0000-0000-000019000000}"/>
    <cellStyle name="Normal 26" xfId="1" xr:uid="{00000000-0005-0000-0000-00001A000000}"/>
    <cellStyle name="Normal 27" xfId="28" xr:uid="{00000000-0005-0000-0000-00001B000000}"/>
    <cellStyle name="Normal 28" xfId="29" xr:uid="{00000000-0005-0000-0000-00001C000000}"/>
    <cellStyle name="Normal 29" xfId="34" xr:uid="{00000000-0005-0000-0000-00001D000000}"/>
    <cellStyle name="Normal 3" xfId="7" xr:uid="{00000000-0005-0000-0000-00001E000000}"/>
    <cellStyle name="Normal 30" xfId="33" xr:uid="{00000000-0005-0000-0000-00001F000000}"/>
    <cellStyle name="Normal 4" xfId="8" xr:uid="{00000000-0005-0000-0000-000020000000}"/>
    <cellStyle name="Normal 5" xfId="9" xr:uid="{00000000-0005-0000-0000-000021000000}"/>
    <cellStyle name="Normal 5 2" xfId="30" xr:uid="{00000000-0005-0000-0000-000022000000}"/>
    <cellStyle name="Normal 5 3" xfId="36" xr:uid="{00000000-0005-0000-0000-000023000000}"/>
    <cellStyle name="Normal 6" xfId="10" xr:uid="{00000000-0005-0000-0000-000024000000}"/>
    <cellStyle name="Normal 6 2" xfId="31" xr:uid="{00000000-0005-0000-0000-000025000000}"/>
    <cellStyle name="Normal 6 3" xfId="38" xr:uid="{00000000-0005-0000-0000-000026000000}"/>
    <cellStyle name="Normal 7" xfId="5" xr:uid="{00000000-0005-0000-0000-000027000000}"/>
    <cellStyle name="Normal 7 2" xfId="40" xr:uid="{00000000-0005-0000-0000-000028000000}"/>
    <cellStyle name="Normal 8" xfId="12" xr:uid="{00000000-0005-0000-0000-000029000000}"/>
    <cellStyle name="Normal 8 2" xfId="42" xr:uid="{00000000-0005-0000-0000-00002A000000}"/>
    <cellStyle name="Normal 9" xfId="1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81"/>
  <sheetViews>
    <sheetView tabSelected="1" workbookViewId="0">
      <pane xSplit="2" ySplit="8" topLeftCell="C9" activePane="bottomRight" state="frozen"/>
      <selection pane="topRight" activeCell="D1" sqref="D1"/>
      <selection pane="bottomLeft" activeCell="A9" sqref="A9"/>
      <selection pane="bottomRight" activeCell="C3" sqref="C3"/>
    </sheetView>
  </sheetViews>
  <sheetFormatPr defaultRowHeight="15" x14ac:dyDescent="0.25"/>
  <cols>
    <col min="1" max="1" width="8.85546875" bestFit="1" customWidth="1"/>
    <col min="2" max="2" width="26.5703125" customWidth="1"/>
    <col min="3" max="3" width="19.5703125" customWidth="1"/>
    <col min="4" max="4" width="20.140625" customWidth="1"/>
    <col min="5" max="5" width="19.42578125" bestFit="1" customWidth="1"/>
    <col min="6" max="6" width="32.85546875" bestFit="1" customWidth="1"/>
    <col min="7" max="7" width="14.140625" customWidth="1"/>
    <col min="8" max="9" width="16.85546875" customWidth="1"/>
    <col min="10" max="11" width="14.140625" customWidth="1"/>
    <col min="12" max="13" width="17.140625" customWidth="1"/>
    <col min="14" max="14" width="14.42578125" customWidth="1"/>
    <col min="15" max="16" width="15.140625" customWidth="1"/>
    <col min="17" max="17" width="14.5703125" customWidth="1"/>
    <col min="18" max="18" width="12.85546875" customWidth="1"/>
    <col min="19" max="19" width="14.85546875" customWidth="1"/>
    <col min="20" max="20" width="12.42578125" bestFit="1" customWidth="1"/>
    <col min="21" max="21" width="10.85546875" customWidth="1"/>
    <col min="22" max="23" width="12.5703125" customWidth="1"/>
    <col min="24" max="24" width="21" customWidth="1"/>
    <col min="25" max="25" width="14.5703125" customWidth="1"/>
    <col min="26" max="26" width="18.85546875" customWidth="1"/>
    <col min="27" max="27" width="16.140625" customWidth="1"/>
    <col min="28" max="28" width="14.140625" customWidth="1"/>
    <col min="29" max="29" width="15.42578125" customWidth="1"/>
    <col min="30" max="30" width="14.140625" customWidth="1"/>
    <col min="31" max="32" width="15.85546875" customWidth="1"/>
    <col min="33" max="33" width="12.5703125" customWidth="1"/>
    <col min="34" max="34" width="16.140625" customWidth="1"/>
    <col min="35" max="35" width="14.42578125" customWidth="1"/>
    <col min="36" max="36" width="9.85546875" customWidth="1"/>
    <col min="37" max="37" width="11.140625" bestFit="1" customWidth="1"/>
    <col min="38" max="38" width="11.140625" customWidth="1"/>
    <col min="39" max="39" width="12" customWidth="1"/>
    <col min="40" max="40" width="10.140625" bestFit="1" customWidth="1"/>
    <col min="41" max="41" width="13.5703125" customWidth="1"/>
    <col min="42" max="42" width="12.140625" customWidth="1"/>
    <col min="43" max="43" width="12.85546875" customWidth="1"/>
    <col min="44" max="44" width="11.85546875" customWidth="1"/>
    <col min="45" max="45" width="12.140625" customWidth="1"/>
    <col min="46" max="47" width="13" customWidth="1"/>
    <col min="48" max="48" width="14" customWidth="1"/>
    <col min="49" max="52" width="13.140625" customWidth="1"/>
    <col min="53" max="53" width="11.28515625" customWidth="1"/>
    <col min="54" max="55" width="15.42578125" customWidth="1"/>
    <col min="56" max="57" width="10.85546875" customWidth="1"/>
    <col min="58" max="58" width="14.5703125" customWidth="1"/>
    <col min="59" max="59" width="13" customWidth="1"/>
    <col min="60" max="60" width="10.140625" customWidth="1"/>
    <col min="61" max="61" width="9" bestFit="1" customWidth="1"/>
    <col min="62" max="62" width="11" customWidth="1"/>
    <col min="63" max="63" width="13" customWidth="1"/>
    <col min="64" max="64" width="14.42578125" customWidth="1"/>
    <col min="65" max="66" width="9" bestFit="1" customWidth="1"/>
    <col min="67" max="67" width="16.140625" customWidth="1"/>
    <col min="68" max="68" width="12.5703125" customWidth="1"/>
    <col min="69" max="69" width="13" customWidth="1"/>
    <col min="70" max="70" width="11.85546875" customWidth="1"/>
    <col min="71" max="71" width="13.85546875" customWidth="1"/>
    <col min="72" max="72" width="13.140625" customWidth="1"/>
    <col min="73" max="73" width="14.140625" customWidth="1"/>
    <col min="74" max="74" width="12" customWidth="1"/>
    <col min="75" max="75" width="12.85546875" customWidth="1"/>
    <col min="76" max="76" width="14.140625" customWidth="1"/>
    <col min="77" max="77" width="11.140625" customWidth="1"/>
    <col min="78" max="79" width="9.140625" customWidth="1"/>
    <col min="80" max="80" width="13.85546875" customWidth="1"/>
    <col min="81" max="81" width="11.85546875" customWidth="1"/>
    <col min="82" max="83" width="9" bestFit="1" customWidth="1"/>
    <col min="84" max="84" width="10.5703125" customWidth="1"/>
  </cols>
  <sheetData>
    <row r="1" spans="1:84" ht="15.6" customHeight="1" x14ac:dyDescent="0.25">
      <c r="A1" s="1" t="s">
        <v>557</v>
      </c>
      <c r="Z1" s="2"/>
      <c r="AA1" s="78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82"/>
      <c r="BB1" s="3"/>
      <c r="BC1" s="3"/>
      <c r="BF1" s="3"/>
      <c r="BG1" s="3"/>
      <c r="BL1" s="3"/>
      <c r="BY1" s="3"/>
      <c r="BZ1" s="3"/>
      <c r="CA1" s="3"/>
      <c r="CB1" s="4"/>
      <c r="CC1" s="4"/>
      <c r="CD1" s="4"/>
      <c r="CE1" s="4"/>
      <c r="CF1" s="4"/>
    </row>
    <row r="2" spans="1:84" ht="15.75" x14ac:dyDescent="0.25">
      <c r="A2" s="8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3"/>
      <c r="CB2" s="5"/>
      <c r="CC2" s="5"/>
      <c r="CD2" s="5"/>
      <c r="CE2" s="5"/>
      <c r="CF2" s="5"/>
    </row>
    <row r="3" spans="1:84" x14ac:dyDescent="0.25">
      <c r="A3" s="8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7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79"/>
      <c r="AW3" s="5"/>
      <c r="AX3" s="5"/>
      <c r="AY3" s="5"/>
      <c r="AZ3" s="5"/>
      <c r="BA3" s="75"/>
      <c r="BB3" s="5"/>
      <c r="BC3" s="5"/>
      <c r="BD3" s="5"/>
      <c r="BE3" s="5"/>
      <c r="BF3" s="5"/>
      <c r="BG3" s="5"/>
      <c r="BH3" s="5"/>
      <c r="BI3" s="5"/>
      <c r="BJ3" s="6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7"/>
      <c r="CC3" s="7"/>
      <c r="CD3" s="7"/>
      <c r="CE3" s="7"/>
      <c r="CF3" s="7"/>
    </row>
    <row r="4" spans="1:84" x14ac:dyDescent="0.25">
      <c r="A4" s="74">
        <v>45002</v>
      </c>
      <c r="B4" s="8"/>
      <c r="C4" s="8"/>
      <c r="D4" s="8"/>
      <c r="E4" s="8"/>
      <c r="F4" s="8"/>
      <c r="G4" s="9"/>
      <c r="H4" s="9"/>
      <c r="I4" s="9"/>
      <c r="J4" s="9"/>
      <c r="K4" s="9"/>
      <c r="L4" s="9"/>
      <c r="M4" s="9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9"/>
      <c r="Z4" s="76"/>
      <c r="AA4" s="9"/>
      <c r="AB4" s="9"/>
      <c r="AC4" s="9"/>
      <c r="AD4" s="9"/>
      <c r="AE4" s="9"/>
      <c r="AF4" s="80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81"/>
      <c r="AZ4" s="9"/>
      <c r="BA4" s="77"/>
      <c r="BB4" s="9"/>
      <c r="BC4" s="9"/>
      <c r="BD4" s="9"/>
      <c r="BE4" s="9"/>
      <c r="BF4" s="9"/>
      <c r="BG4" s="9"/>
      <c r="BH4" s="9"/>
      <c r="BI4" s="9"/>
      <c r="BJ4" s="11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86" t="s">
        <v>0</v>
      </c>
      <c r="CC4" s="87"/>
      <c r="CD4" s="87"/>
      <c r="CE4" s="87"/>
      <c r="CF4" s="88"/>
    </row>
    <row r="5" spans="1:84" ht="51.75" x14ac:dyDescent="0.25">
      <c r="A5" s="12" t="s">
        <v>1</v>
      </c>
      <c r="B5" s="13" t="s">
        <v>2</v>
      </c>
      <c r="C5" s="13" t="s">
        <v>3</v>
      </c>
      <c r="D5" s="12" t="s">
        <v>4</v>
      </c>
      <c r="E5" s="13" t="s">
        <v>5</v>
      </c>
      <c r="F5" s="13" t="s">
        <v>6</v>
      </c>
      <c r="G5" s="14" t="s">
        <v>7</v>
      </c>
      <c r="H5" s="14" t="s">
        <v>8</v>
      </c>
      <c r="I5" s="14" t="s">
        <v>9</v>
      </c>
      <c r="J5" s="14" t="s">
        <v>10</v>
      </c>
      <c r="K5" s="15" t="s">
        <v>11</v>
      </c>
      <c r="L5" s="13" t="s">
        <v>12</v>
      </c>
      <c r="M5" s="14" t="s">
        <v>13</v>
      </c>
      <c r="N5" s="13" t="s">
        <v>14</v>
      </c>
      <c r="O5" s="13" t="s">
        <v>15</v>
      </c>
      <c r="P5" s="13" t="s">
        <v>16</v>
      </c>
      <c r="Q5" s="13" t="s">
        <v>17</v>
      </c>
      <c r="R5" s="13" t="s">
        <v>18</v>
      </c>
      <c r="S5" s="13" t="s">
        <v>19</v>
      </c>
      <c r="T5" s="13" t="s">
        <v>20</v>
      </c>
      <c r="U5" s="13" t="s">
        <v>21</v>
      </c>
      <c r="V5" s="13" t="s">
        <v>22</v>
      </c>
      <c r="W5" s="13" t="s">
        <v>23</v>
      </c>
      <c r="X5" s="15" t="s">
        <v>24</v>
      </c>
      <c r="Y5" s="16" t="s">
        <v>25</v>
      </c>
      <c r="Z5" s="17" t="s">
        <v>26</v>
      </c>
      <c r="AA5" s="13" t="s">
        <v>27</v>
      </c>
      <c r="AB5" s="13" t="s">
        <v>28</v>
      </c>
      <c r="AC5" s="13" t="s">
        <v>29</v>
      </c>
      <c r="AD5" s="18" t="s">
        <v>30</v>
      </c>
      <c r="AE5" s="18" t="s">
        <v>31</v>
      </c>
      <c r="AF5" s="19" t="s">
        <v>32</v>
      </c>
      <c r="AG5" s="13" t="s">
        <v>33</v>
      </c>
      <c r="AH5" s="13" t="s">
        <v>34</v>
      </c>
      <c r="AI5" s="13" t="s">
        <v>35</v>
      </c>
      <c r="AJ5" s="13" t="s">
        <v>36</v>
      </c>
      <c r="AK5" s="13" t="s">
        <v>37</v>
      </c>
      <c r="AL5" s="13" t="s">
        <v>38</v>
      </c>
      <c r="AM5" s="13" t="s">
        <v>39</v>
      </c>
      <c r="AN5" s="13" t="s">
        <v>40</v>
      </c>
      <c r="AO5" s="13" t="s">
        <v>41</v>
      </c>
      <c r="AP5" s="13" t="s">
        <v>42</v>
      </c>
      <c r="AQ5" s="13" t="s">
        <v>43</v>
      </c>
      <c r="AR5" s="13" t="s">
        <v>44</v>
      </c>
      <c r="AS5" s="13" t="s">
        <v>45</v>
      </c>
      <c r="AT5" s="13" t="s">
        <v>46</v>
      </c>
      <c r="AU5" s="13" t="s">
        <v>47</v>
      </c>
      <c r="AV5" s="15" t="s">
        <v>583</v>
      </c>
      <c r="AW5" s="16" t="s">
        <v>48</v>
      </c>
      <c r="AX5" s="13" t="s">
        <v>49</v>
      </c>
      <c r="AY5" s="20" t="s">
        <v>50</v>
      </c>
      <c r="AZ5" s="13" t="s">
        <v>533</v>
      </c>
      <c r="BA5" s="17" t="s">
        <v>51</v>
      </c>
      <c r="BB5" s="16" t="s">
        <v>52</v>
      </c>
      <c r="BC5" s="16" t="s">
        <v>53</v>
      </c>
      <c r="BD5" s="16" t="s">
        <v>54</v>
      </c>
      <c r="BE5" s="13" t="s">
        <v>55</v>
      </c>
      <c r="BF5" s="13" t="s">
        <v>56</v>
      </c>
      <c r="BG5" s="13" t="s">
        <v>57</v>
      </c>
      <c r="BH5" s="13" t="s">
        <v>58</v>
      </c>
      <c r="BI5" s="18" t="s">
        <v>59</v>
      </c>
      <c r="BJ5" s="21" t="s">
        <v>60</v>
      </c>
      <c r="BK5" s="13" t="s">
        <v>61</v>
      </c>
      <c r="BL5" s="13" t="s">
        <v>558</v>
      </c>
      <c r="BM5" s="13" t="s">
        <v>62</v>
      </c>
      <c r="BN5" s="13" t="s">
        <v>63</v>
      </c>
      <c r="BO5" s="13" t="s">
        <v>64</v>
      </c>
      <c r="BP5" s="13" t="s">
        <v>65</v>
      </c>
      <c r="BQ5" s="13" t="s">
        <v>66</v>
      </c>
      <c r="BR5" s="13" t="s">
        <v>67</v>
      </c>
      <c r="BS5" s="13" t="s">
        <v>68</v>
      </c>
      <c r="BT5" s="13" t="s">
        <v>69</v>
      </c>
      <c r="BU5" s="13" t="s">
        <v>70</v>
      </c>
      <c r="BV5" s="13" t="s">
        <v>71</v>
      </c>
      <c r="BW5" s="13" t="s">
        <v>72</v>
      </c>
      <c r="BX5" s="13" t="s">
        <v>73</v>
      </c>
      <c r="BY5" s="13" t="s">
        <v>559</v>
      </c>
      <c r="BZ5" s="13" t="s">
        <v>74</v>
      </c>
      <c r="CA5" s="13" t="s">
        <v>543</v>
      </c>
      <c r="CB5" s="12" t="s">
        <v>75</v>
      </c>
      <c r="CC5" s="12" t="s">
        <v>76</v>
      </c>
      <c r="CD5" s="12" t="s">
        <v>77</v>
      </c>
      <c r="CE5" s="22">
        <v>0</v>
      </c>
      <c r="CF5" s="13" t="s">
        <v>78</v>
      </c>
    </row>
    <row r="6" spans="1:84" ht="15.75" x14ac:dyDescent="0.25">
      <c r="A6" s="23"/>
      <c r="B6" s="24" t="s">
        <v>79</v>
      </c>
      <c r="C6" s="25"/>
      <c r="D6" s="25"/>
      <c r="E6" s="25"/>
      <c r="F6" s="26"/>
      <c r="G6" s="27">
        <f t="shared" ref="G6:Y6" si="0">SUM(G9:G177)</f>
        <v>4502174794.4200001</v>
      </c>
      <c r="H6" s="49">
        <f t="shared" si="0"/>
        <v>8425403.8199999984</v>
      </c>
      <c r="I6" s="49">
        <f t="shared" si="0"/>
        <v>150295204.33999997</v>
      </c>
      <c r="J6" s="27">
        <f t="shared" si="0"/>
        <v>981793.46400000004</v>
      </c>
      <c r="K6" s="27">
        <f t="shared" si="0"/>
        <v>787510.33000000019</v>
      </c>
      <c r="L6" s="27">
        <f t="shared" si="0"/>
        <v>4662664165.8440008</v>
      </c>
      <c r="M6" s="27">
        <f t="shared" si="0"/>
        <v>12958142.107466007</v>
      </c>
      <c r="N6" s="27">
        <f t="shared" si="0"/>
        <v>765233890.7099992</v>
      </c>
      <c r="O6" s="27">
        <f t="shared" si="0"/>
        <v>389668085.82000017</v>
      </c>
      <c r="P6" s="27">
        <f t="shared" si="0"/>
        <v>1119032388.9599998</v>
      </c>
      <c r="Q6" s="27">
        <f t="shared" si="0"/>
        <v>4846089.629999999</v>
      </c>
      <c r="R6" s="27">
        <f t="shared" si="0"/>
        <v>272808230.46999991</v>
      </c>
      <c r="S6" s="27">
        <f t="shared" si="0"/>
        <v>1263771204.1600006</v>
      </c>
      <c r="T6" s="27">
        <f t="shared" si="0"/>
        <v>349608616.57400006</v>
      </c>
      <c r="U6" s="27">
        <f t="shared" si="0"/>
        <v>22752.959999999999</v>
      </c>
      <c r="V6" s="27">
        <f t="shared" si="0"/>
        <v>649015.49</v>
      </c>
      <c r="W6" s="27">
        <f t="shared" si="0"/>
        <v>194108862.72999999</v>
      </c>
      <c r="X6" s="27">
        <f t="shared" si="0"/>
        <v>332401926.24699998</v>
      </c>
      <c r="Y6" s="27">
        <f t="shared" si="0"/>
        <v>4692151064.7609987</v>
      </c>
      <c r="Z6" s="28" t="s">
        <v>80</v>
      </c>
      <c r="AA6" s="27">
        <f t="shared" ref="AA6:AX6" si="1">SUM(AA9:AA177)</f>
        <v>323823122.87700003</v>
      </c>
      <c r="AB6" s="27">
        <f t="shared" si="1"/>
        <v>523.28</v>
      </c>
      <c r="AC6" s="27">
        <f t="shared" si="1"/>
        <v>10607.83</v>
      </c>
      <c r="AD6" s="27">
        <f t="shared" si="1"/>
        <v>35637.160000000003</v>
      </c>
      <c r="AE6" s="27">
        <f t="shared" si="1"/>
        <v>19741.472999999998</v>
      </c>
      <c r="AF6" s="27">
        <f t="shared" si="1"/>
        <v>55378.632999999994</v>
      </c>
      <c r="AG6" s="27">
        <f t="shared" si="1"/>
        <v>162397893.07000002</v>
      </c>
      <c r="AH6" s="27">
        <f t="shared" si="1"/>
        <v>12770253.250000002</v>
      </c>
      <c r="AI6" s="27">
        <f t="shared" si="1"/>
        <v>39600376.5</v>
      </c>
      <c r="AJ6" s="27">
        <f t="shared" si="1"/>
        <v>342306.22000000003</v>
      </c>
      <c r="AK6" s="27">
        <f t="shared" si="1"/>
        <v>24818297.27</v>
      </c>
      <c r="AL6" s="27">
        <f t="shared" si="1"/>
        <v>3433088.67</v>
      </c>
      <c r="AM6" s="27">
        <f t="shared" si="1"/>
        <v>14348537.420000009</v>
      </c>
      <c r="AN6" s="27">
        <f t="shared" si="1"/>
        <v>1506991</v>
      </c>
      <c r="AO6" s="27">
        <f t="shared" si="1"/>
        <v>1268295.5099999995</v>
      </c>
      <c r="AP6" s="27">
        <f t="shared" si="1"/>
        <v>2047290.6699999997</v>
      </c>
      <c r="AQ6" s="27">
        <f t="shared" si="1"/>
        <v>7671665.870000001</v>
      </c>
      <c r="AR6" s="27">
        <f t="shared" si="1"/>
        <v>2287397.73</v>
      </c>
      <c r="AS6" s="27">
        <f t="shared" si="1"/>
        <v>138464.71</v>
      </c>
      <c r="AT6" s="27">
        <f t="shared" si="1"/>
        <v>3274054.1199999996</v>
      </c>
      <c r="AU6" s="27">
        <f t="shared" si="1"/>
        <v>4697719.1899999995</v>
      </c>
      <c r="AV6" s="27">
        <f t="shared" si="1"/>
        <v>12927541.275999997</v>
      </c>
      <c r="AW6" s="27">
        <f t="shared" si="1"/>
        <v>293530172.47600001</v>
      </c>
      <c r="AX6" s="27">
        <f t="shared" si="1"/>
        <v>960654.36</v>
      </c>
      <c r="AY6" s="27"/>
      <c r="AZ6" s="27">
        <f>SUM(AZ9:AZ177)</f>
        <v>24940.47</v>
      </c>
      <c r="BA6" s="28" t="s">
        <v>80</v>
      </c>
      <c r="BB6" s="27">
        <f t="shared" ref="BB6:CF6" si="2">SUM(BB9:BB177)</f>
        <v>87117265.00000003</v>
      </c>
      <c r="BC6" s="27">
        <f t="shared" si="2"/>
        <v>298784041.65000004</v>
      </c>
      <c r="BD6" s="27">
        <f t="shared" si="2"/>
        <v>40074045.38000001</v>
      </c>
      <c r="BE6" s="27">
        <f t="shared" si="2"/>
        <v>839.27000000124826</v>
      </c>
      <c r="BF6" s="27">
        <f t="shared" si="2"/>
        <v>171820881.43900001</v>
      </c>
      <c r="BG6" s="27">
        <f t="shared" si="2"/>
        <v>100138041.70299996</v>
      </c>
      <c r="BH6" s="27">
        <f t="shared" si="2"/>
        <v>0</v>
      </c>
      <c r="BI6" s="27">
        <f t="shared" si="2"/>
        <v>0</v>
      </c>
      <c r="BJ6" s="27">
        <f t="shared" si="2"/>
        <v>0</v>
      </c>
      <c r="BK6" s="27">
        <f t="shared" si="2"/>
        <v>0</v>
      </c>
      <c r="BL6" s="29">
        <f t="shared" si="2"/>
        <v>516382</v>
      </c>
      <c r="BM6" s="29">
        <f t="shared" si="2"/>
        <v>130935</v>
      </c>
      <c r="BN6" s="29">
        <f t="shared" si="2"/>
        <v>2453</v>
      </c>
      <c r="BO6" s="29">
        <f t="shared" si="2"/>
        <v>-1688</v>
      </c>
      <c r="BP6" s="29">
        <f t="shared" si="2"/>
        <v>-2298</v>
      </c>
      <c r="BQ6" s="29">
        <f t="shared" si="2"/>
        <v>-6599</v>
      </c>
      <c r="BR6" s="29">
        <f t="shared" si="2"/>
        <v>-29455</v>
      </c>
      <c r="BS6" s="29">
        <f t="shared" si="2"/>
        <v>-47343</v>
      </c>
      <c r="BT6" s="29">
        <f t="shared" si="2"/>
        <v>607</v>
      </c>
      <c r="BU6" s="29">
        <f t="shared" si="2"/>
        <v>-178</v>
      </c>
      <c r="BV6" s="29">
        <f t="shared" si="2"/>
        <v>648</v>
      </c>
      <c r="BW6" s="29">
        <f t="shared" si="2"/>
        <v>-98580</v>
      </c>
      <c r="BX6" s="29">
        <f t="shared" si="2"/>
        <v>-464</v>
      </c>
      <c r="BY6" s="29">
        <f t="shared" si="2"/>
        <v>464440</v>
      </c>
      <c r="BZ6" s="48">
        <f t="shared" si="2"/>
        <v>3624</v>
      </c>
      <c r="CA6" s="48">
        <f t="shared" si="2"/>
        <v>9177</v>
      </c>
      <c r="CB6" s="48">
        <f t="shared" si="2"/>
        <v>28148</v>
      </c>
      <c r="CC6" s="48">
        <f t="shared" si="2"/>
        <v>8335</v>
      </c>
      <c r="CD6" s="29">
        <f t="shared" si="2"/>
        <v>50763</v>
      </c>
      <c r="CE6" s="29">
        <f t="shared" si="2"/>
        <v>9866</v>
      </c>
      <c r="CF6" s="29">
        <f t="shared" si="2"/>
        <v>1304</v>
      </c>
    </row>
    <row r="7" spans="1:84" ht="31.5" x14ac:dyDescent="0.25">
      <c r="A7" s="23"/>
      <c r="B7" s="30" t="s">
        <v>81</v>
      </c>
      <c r="C7" s="31"/>
      <c r="D7" s="31"/>
      <c r="E7" s="31"/>
      <c r="F7" s="26"/>
      <c r="G7" s="27">
        <f t="shared" ref="G7:AX7" si="3">AVERAGE(G9:G177)</f>
        <v>26640087.540946744</v>
      </c>
      <c r="H7" s="27">
        <f t="shared" si="3"/>
        <v>49854.460473372768</v>
      </c>
      <c r="I7" s="27">
        <f t="shared" si="3"/>
        <v>889320.73573964485</v>
      </c>
      <c r="J7" s="27">
        <f t="shared" si="3"/>
        <v>5809.4287810650894</v>
      </c>
      <c r="K7" s="27">
        <f t="shared" si="3"/>
        <v>4659.8244378698237</v>
      </c>
      <c r="L7" s="27">
        <f t="shared" si="3"/>
        <v>27589728.791976336</v>
      </c>
      <c r="M7" s="27">
        <f t="shared" si="3"/>
        <v>76675.397085597666</v>
      </c>
      <c r="N7" s="27">
        <f t="shared" si="3"/>
        <v>4528011.1876331316</v>
      </c>
      <c r="O7" s="27">
        <f t="shared" si="3"/>
        <v>2305728.3184615397</v>
      </c>
      <c r="P7" s="27">
        <f t="shared" si="3"/>
        <v>6621493.4257988157</v>
      </c>
      <c r="Q7" s="27">
        <f t="shared" si="3"/>
        <v>28675.086568047333</v>
      </c>
      <c r="R7" s="27">
        <f t="shared" si="3"/>
        <v>1614249.8844378693</v>
      </c>
      <c r="S7" s="27">
        <f t="shared" si="3"/>
        <v>7477936.1192899439</v>
      </c>
      <c r="T7" s="27">
        <f t="shared" si="3"/>
        <v>2068690.0388994087</v>
      </c>
      <c r="U7" s="27">
        <f t="shared" si="3"/>
        <v>134.63289940828403</v>
      </c>
      <c r="V7" s="27">
        <f t="shared" si="3"/>
        <v>3840.3283431952664</v>
      </c>
      <c r="W7" s="27">
        <f t="shared" si="3"/>
        <v>1148573.1522485206</v>
      </c>
      <c r="X7" s="27">
        <f t="shared" si="3"/>
        <v>1966875.3032366862</v>
      </c>
      <c r="Y7" s="27">
        <f t="shared" si="3"/>
        <v>27764207.483792894</v>
      </c>
      <c r="Z7" s="32">
        <f t="shared" si="3"/>
        <v>8.135190171438722E-2</v>
      </c>
      <c r="AA7" s="27">
        <f t="shared" si="3"/>
        <v>1916113.1531183433</v>
      </c>
      <c r="AB7" s="27">
        <f t="shared" si="3"/>
        <v>3.0963313609467455</v>
      </c>
      <c r="AC7" s="27">
        <f t="shared" si="3"/>
        <v>62.768224852071008</v>
      </c>
      <c r="AD7" s="27">
        <f t="shared" si="3"/>
        <v>210.87076923076924</v>
      </c>
      <c r="AE7" s="27">
        <f t="shared" si="3"/>
        <v>116.813449704142</v>
      </c>
      <c r="AF7" s="27">
        <f t="shared" si="3"/>
        <v>327.6842189349112</v>
      </c>
      <c r="AG7" s="27">
        <f t="shared" si="3"/>
        <v>960934.27852071018</v>
      </c>
      <c r="AH7" s="27">
        <f t="shared" si="3"/>
        <v>75563.628698224857</v>
      </c>
      <c r="AI7" s="27">
        <f t="shared" si="3"/>
        <v>234321.75443786982</v>
      </c>
      <c r="AJ7" s="27">
        <f t="shared" si="3"/>
        <v>2025.4805917159765</v>
      </c>
      <c r="AK7" s="27">
        <f t="shared" si="3"/>
        <v>146853.82999999999</v>
      </c>
      <c r="AL7" s="27">
        <f t="shared" si="3"/>
        <v>20314.134142011833</v>
      </c>
      <c r="AM7" s="27">
        <f t="shared" si="3"/>
        <v>84902.588284023717</v>
      </c>
      <c r="AN7" s="27">
        <f t="shared" si="3"/>
        <v>8917.1065088757405</v>
      </c>
      <c r="AO7" s="27">
        <f t="shared" si="3"/>
        <v>7504.7071597633112</v>
      </c>
      <c r="AP7" s="27">
        <f t="shared" si="3"/>
        <v>12114.14597633136</v>
      </c>
      <c r="AQ7" s="27">
        <f t="shared" si="3"/>
        <v>45394.472603550304</v>
      </c>
      <c r="AR7" s="27">
        <f t="shared" si="3"/>
        <v>13534.897810650888</v>
      </c>
      <c r="AS7" s="27">
        <f t="shared" si="3"/>
        <v>819.31781065088751</v>
      </c>
      <c r="AT7" s="27">
        <f t="shared" si="3"/>
        <v>19373.101301775147</v>
      </c>
      <c r="AU7" s="27">
        <f t="shared" si="3"/>
        <v>27797.154970414198</v>
      </c>
      <c r="AV7" s="27">
        <f t="shared" si="3"/>
        <v>76494.327076923058</v>
      </c>
      <c r="AW7" s="27">
        <f t="shared" si="3"/>
        <v>1736864.9258934911</v>
      </c>
      <c r="AX7" s="27">
        <f t="shared" si="3"/>
        <v>5684.3453254437873</v>
      </c>
      <c r="AY7" s="32">
        <f>AX7/AW7</f>
        <v>3.2727618830345161E-3</v>
      </c>
      <c r="AZ7" s="27">
        <f t="shared" ref="AZ7:CF7" si="4">AVERAGE(AZ9:AZ177)</f>
        <v>147.57674556213018</v>
      </c>
      <c r="BA7" s="32">
        <f t="shared" si="4"/>
        <v>7.91935945523604E-2</v>
      </c>
      <c r="BB7" s="27">
        <f t="shared" si="4"/>
        <v>515486.77514792915</v>
      </c>
      <c r="BC7" s="27">
        <f t="shared" si="4"/>
        <v>1767952.9091715978</v>
      </c>
      <c r="BD7" s="27">
        <f t="shared" si="4"/>
        <v>237124.52887573969</v>
      </c>
      <c r="BE7" s="27">
        <f t="shared" si="4"/>
        <v>4.9660946745635988</v>
      </c>
      <c r="BF7" s="27">
        <f t="shared" si="4"/>
        <v>1016691.6061479291</v>
      </c>
      <c r="BG7" s="27">
        <f t="shared" si="4"/>
        <v>592532.79114201164</v>
      </c>
      <c r="BH7" s="27">
        <f t="shared" si="4"/>
        <v>0</v>
      </c>
      <c r="BI7" s="27">
        <f t="shared" si="4"/>
        <v>0</v>
      </c>
      <c r="BJ7" s="27">
        <f t="shared" si="4"/>
        <v>0</v>
      </c>
      <c r="BK7" s="27">
        <f t="shared" si="4"/>
        <v>0</v>
      </c>
      <c r="BL7" s="29">
        <f t="shared" si="4"/>
        <v>3055.5147928994083</v>
      </c>
      <c r="BM7" s="29">
        <f t="shared" si="4"/>
        <v>774.76331360946745</v>
      </c>
      <c r="BN7" s="29">
        <f t="shared" si="4"/>
        <v>14.514792899408285</v>
      </c>
      <c r="BO7" s="29">
        <f t="shared" si="4"/>
        <v>-9.9881656804733723</v>
      </c>
      <c r="BP7" s="29">
        <f t="shared" si="4"/>
        <v>-13.597633136094675</v>
      </c>
      <c r="BQ7" s="29">
        <f t="shared" si="4"/>
        <v>-39.047337278106511</v>
      </c>
      <c r="BR7" s="29">
        <f t="shared" si="4"/>
        <v>-174.28994082840237</v>
      </c>
      <c r="BS7" s="29">
        <f t="shared" si="4"/>
        <v>-280.1360946745562</v>
      </c>
      <c r="BT7" s="29">
        <f t="shared" si="4"/>
        <v>3.5917159763313609</v>
      </c>
      <c r="BU7" s="29">
        <f t="shared" si="4"/>
        <v>-1.0532544378698225</v>
      </c>
      <c r="BV7" s="29">
        <f t="shared" si="4"/>
        <v>3.834319526627219</v>
      </c>
      <c r="BW7" s="29">
        <f t="shared" si="4"/>
        <v>-583.31360946745565</v>
      </c>
      <c r="BX7" s="29">
        <f t="shared" si="4"/>
        <v>-2.7455621301775146</v>
      </c>
      <c r="BY7" s="29">
        <f t="shared" si="4"/>
        <v>2748.165680473373</v>
      </c>
      <c r="BZ7" s="29">
        <f t="shared" si="4"/>
        <v>21.443786982248522</v>
      </c>
      <c r="CA7" s="29">
        <f t="shared" si="4"/>
        <v>54.301775147928993</v>
      </c>
      <c r="CB7" s="29">
        <f t="shared" si="4"/>
        <v>166.55621301775147</v>
      </c>
      <c r="CC7" s="29">
        <f t="shared" si="4"/>
        <v>49.319526627218934</v>
      </c>
      <c r="CD7" s="29">
        <f t="shared" si="4"/>
        <v>300.37278106508876</v>
      </c>
      <c r="CE7" s="29">
        <f t="shared" si="4"/>
        <v>58.378698224852073</v>
      </c>
      <c r="CF7" s="29">
        <f t="shared" si="4"/>
        <v>7.7159763313609471</v>
      </c>
    </row>
    <row r="8" spans="1:84" x14ac:dyDescent="0.25">
      <c r="A8" s="41"/>
      <c r="B8" s="41">
        <f>COUNTA(B9:B177)</f>
        <v>169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</row>
    <row r="9" spans="1:84" s="63" customFormat="1" ht="15.75" x14ac:dyDescent="0.25">
      <c r="A9" s="33">
        <v>1</v>
      </c>
      <c r="B9" s="34" t="s">
        <v>82</v>
      </c>
      <c r="C9" s="55" t="s">
        <v>83</v>
      </c>
      <c r="D9" s="35" t="s">
        <v>84</v>
      </c>
      <c r="E9" s="36" t="s">
        <v>85</v>
      </c>
      <c r="F9" s="35" t="s">
        <v>86</v>
      </c>
      <c r="G9" s="70">
        <v>20413243.52</v>
      </c>
      <c r="H9" s="70">
        <v>130071.49</v>
      </c>
      <c r="I9" s="70">
        <v>0</v>
      </c>
      <c r="J9" s="70">
        <v>0</v>
      </c>
      <c r="K9" s="71">
        <v>0</v>
      </c>
      <c r="L9" s="71">
        <v>20543315.010000002</v>
      </c>
      <c r="M9" s="71">
        <v>0</v>
      </c>
      <c r="N9" s="70">
        <v>0</v>
      </c>
      <c r="O9" s="70">
        <v>8102788.6500000004</v>
      </c>
      <c r="P9" s="72">
        <v>1695949.72</v>
      </c>
      <c r="Q9" s="70">
        <v>0</v>
      </c>
      <c r="R9" s="70">
        <v>2040941.76</v>
      </c>
      <c r="S9" s="70">
        <v>5941774.9100000001</v>
      </c>
      <c r="T9" s="70">
        <v>954979.33</v>
      </c>
      <c r="U9" s="70">
        <v>0</v>
      </c>
      <c r="V9" s="70">
        <v>11240.62</v>
      </c>
      <c r="W9" s="70">
        <v>784280.13</v>
      </c>
      <c r="X9" s="71">
        <v>1612542.51</v>
      </c>
      <c r="Y9" s="71">
        <v>21144497.629999999</v>
      </c>
      <c r="Z9" s="61">
        <v>6.911938211086216E-2</v>
      </c>
      <c r="AA9" s="71">
        <v>1559002.75</v>
      </c>
      <c r="AB9" s="71">
        <v>0</v>
      </c>
      <c r="AC9" s="71">
        <v>0</v>
      </c>
      <c r="AD9" s="71">
        <v>0</v>
      </c>
      <c r="AE9" s="71">
        <v>0</v>
      </c>
      <c r="AF9" s="71">
        <f>SUM(AD9:AE9)</f>
        <v>0</v>
      </c>
      <c r="AG9" s="71">
        <v>813791.2</v>
      </c>
      <c r="AH9" s="70">
        <v>62109.760000000002</v>
      </c>
      <c r="AI9" s="70">
        <v>140495.42000000001</v>
      </c>
      <c r="AJ9" s="71">
        <v>0</v>
      </c>
      <c r="AK9" s="70">
        <v>203705.84</v>
      </c>
      <c r="AL9" s="70">
        <v>46617.33</v>
      </c>
      <c r="AM9" s="70">
        <v>166571.76999999999</v>
      </c>
      <c r="AN9" s="70">
        <v>7300</v>
      </c>
      <c r="AO9" s="70">
        <v>1972.99</v>
      </c>
      <c r="AP9" s="70">
        <v>0</v>
      </c>
      <c r="AQ9" s="70">
        <v>55602.899999999994</v>
      </c>
      <c r="AR9" s="70">
        <v>1992.44</v>
      </c>
      <c r="AS9" s="70">
        <v>0</v>
      </c>
      <c r="AT9" s="70">
        <v>12537.98</v>
      </c>
      <c r="AU9" s="70">
        <v>16441.02</v>
      </c>
      <c r="AV9" s="70">
        <v>43576.53</v>
      </c>
      <c r="AW9" s="70">
        <v>1572715.18</v>
      </c>
      <c r="AX9" s="70">
        <v>0</v>
      </c>
      <c r="AY9" s="61">
        <f>AX9/AW9</f>
        <v>0</v>
      </c>
      <c r="AZ9" s="71">
        <v>0</v>
      </c>
      <c r="BA9" s="61">
        <v>7.6372123247957016E-2</v>
      </c>
      <c r="BB9" s="70">
        <v>1207742.4099999999</v>
      </c>
      <c r="BC9" s="70">
        <v>212198.83</v>
      </c>
      <c r="BD9" s="71">
        <v>244766</v>
      </c>
      <c r="BE9" s="71">
        <v>0</v>
      </c>
      <c r="BF9" s="71">
        <v>1185249.78</v>
      </c>
      <c r="BG9" s="71">
        <v>792070.98499999999</v>
      </c>
      <c r="BH9" s="71">
        <v>0</v>
      </c>
      <c r="BI9" s="71">
        <v>0</v>
      </c>
      <c r="BJ9" s="71">
        <f>SUM(BH9:BI9)</f>
        <v>0</v>
      </c>
      <c r="BK9" s="71">
        <v>0</v>
      </c>
      <c r="BL9" s="60">
        <v>2597</v>
      </c>
      <c r="BM9" s="60">
        <v>684</v>
      </c>
      <c r="BN9" s="59">
        <v>46</v>
      </c>
      <c r="BO9" s="59">
        <v>0</v>
      </c>
      <c r="BP9" s="59">
        <v>-23</v>
      </c>
      <c r="BQ9" s="59">
        <v>-38</v>
      </c>
      <c r="BR9" s="59">
        <v>-254</v>
      </c>
      <c r="BS9" s="59">
        <v>-197</v>
      </c>
      <c r="BT9" s="59">
        <v>1</v>
      </c>
      <c r="BU9" s="59">
        <v>-2</v>
      </c>
      <c r="BV9" s="59">
        <v>-49</v>
      </c>
      <c r="BW9" s="59">
        <v>-599</v>
      </c>
      <c r="BX9" s="59">
        <v>-2</v>
      </c>
      <c r="BY9" s="59">
        <v>2164</v>
      </c>
      <c r="BZ9" s="59">
        <v>3</v>
      </c>
      <c r="CA9" s="59">
        <v>13</v>
      </c>
      <c r="CB9" s="59">
        <v>123</v>
      </c>
      <c r="CC9" s="59">
        <v>44</v>
      </c>
      <c r="CD9" s="59">
        <v>415</v>
      </c>
      <c r="CE9" s="59">
        <v>16</v>
      </c>
      <c r="CF9" s="59">
        <v>0</v>
      </c>
    </row>
    <row r="10" spans="1:84" s="63" customFormat="1" ht="15.75" x14ac:dyDescent="0.25">
      <c r="A10" s="33">
        <v>1</v>
      </c>
      <c r="B10" s="51" t="s">
        <v>87</v>
      </c>
      <c r="C10" s="55" t="s">
        <v>88</v>
      </c>
      <c r="D10" s="35" t="s">
        <v>89</v>
      </c>
      <c r="E10" s="36" t="s">
        <v>85</v>
      </c>
      <c r="F10" s="35" t="s">
        <v>90</v>
      </c>
      <c r="G10" s="70">
        <v>6207062</v>
      </c>
      <c r="H10" s="70">
        <v>0</v>
      </c>
      <c r="I10" s="70">
        <v>0</v>
      </c>
      <c r="J10" s="70">
        <v>0</v>
      </c>
      <c r="K10" s="71">
        <v>0</v>
      </c>
      <c r="L10" s="70">
        <v>6207062</v>
      </c>
      <c r="M10" s="71">
        <v>0</v>
      </c>
      <c r="N10" s="70">
        <v>195260.35000000003</v>
      </c>
      <c r="O10" s="70">
        <v>1149231.57</v>
      </c>
      <c r="P10" s="72">
        <v>406962.77999999997</v>
      </c>
      <c r="Q10" s="70">
        <v>1440.57</v>
      </c>
      <c r="R10" s="70">
        <v>391854.43</v>
      </c>
      <c r="S10" s="70">
        <v>3016360.8100000005</v>
      </c>
      <c r="T10" s="70">
        <v>373640.41000000003</v>
      </c>
      <c r="U10" s="70">
        <v>0</v>
      </c>
      <c r="V10" s="70">
        <v>0</v>
      </c>
      <c r="W10" s="70">
        <v>180050.88</v>
      </c>
      <c r="X10" s="71">
        <f>19577+593061</f>
        <v>612638</v>
      </c>
      <c r="Y10" s="71">
        <v>6327439.8100000005</v>
      </c>
      <c r="Z10" s="61">
        <f>534948/6207062</f>
        <v>8.6183769390413695E-2</v>
      </c>
      <c r="AA10" s="71">
        <v>593061.38000000012</v>
      </c>
      <c r="AB10" s="71">
        <v>0</v>
      </c>
      <c r="AC10" s="71">
        <v>0</v>
      </c>
      <c r="AD10" s="71">
        <v>0</v>
      </c>
      <c r="AE10" s="71">
        <v>0</v>
      </c>
      <c r="AF10" s="71">
        <f t="shared" ref="AF10:AF12" si="5">SUM(AD10:AE10)</f>
        <v>0</v>
      </c>
      <c r="AG10" s="71">
        <v>197716.48000000001</v>
      </c>
      <c r="AH10" s="70">
        <v>15848.27</v>
      </c>
      <c r="AI10" s="70">
        <v>42355.380000000005</v>
      </c>
      <c r="AJ10" s="71">
        <v>0</v>
      </c>
      <c r="AK10" s="70">
        <v>34200</v>
      </c>
      <c r="AL10" s="70">
        <v>4048.2500000000009</v>
      </c>
      <c r="AM10" s="70">
        <v>8695.7200000000012</v>
      </c>
      <c r="AN10" s="70">
        <v>7000</v>
      </c>
      <c r="AO10" s="70">
        <v>300</v>
      </c>
      <c r="AP10" s="70">
        <v>0</v>
      </c>
      <c r="AQ10" s="70">
        <f>3737+3448+1016</f>
        <v>8201</v>
      </c>
      <c r="AR10" s="70">
        <v>0</v>
      </c>
      <c r="AS10" s="70">
        <v>0</v>
      </c>
      <c r="AT10" s="70">
        <v>0</v>
      </c>
      <c r="AU10" s="70">
        <v>7350.2699999999995</v>
      </c>
      <c r="AV10" s="70">
        <f>AW10-AG10-AH10-AI10-AJ10-AK10-AL10-AM10-AN10-AO10-AP10-AQ10-AR10-AS10-AT10-AU10</f>
        <v>14054.819999999923</v>
      </c>
      <c r="AW10" s="70">
        <v>339770.18999999994</v>
      </c>
      <c r="AX10" s="70">
        <v>0</v>
      </c>
      <c r="AY10" s="61">
        <f t="shared" ref="AY10:AY12" si="6">AX10/AW10</f>
        <v>0</v>
      </c>
      <c r="AZ10" s="71">
        <v>0</v>
      </c>
      <c r="BA10" s="61">
        <f>593061/6207062</f>
        <v>9.5546169830428629E-2</v>
      </c>
      <c r="BB10" s="70">
        <v>79585.929999999993</v>
      </c>
      <c r="BC10" s="70">
        <v>455361.57</v>
      </c>
      <c r="BD10" s="71">
        <v>244766</v>
      </c>
      <c r="BE10" s="71">
        <v>0</v>
      </c>
      <c r="BF10" s="71">
        <v>253218.08000000019</v>
      </c>
      <c r="BG10" s="71">
        <v>168275.5325000002</v>
      </c>
      <c r="BH10" s="71">
        <v>0</v>
      </c>
      <c r="BI10" s="71">
        <v>0</v>
      </c>
      <c r="BJ10" s="71">
        <f t="shared" ref="BJ10:BJ12" si="7">SUM(BH10:BI10)</f>
        <v>0</v>
      </c>
      <c r="BK10" s="71">
        <v>0</v>
      </c>
      <c r="BL10" s="60">
        <v>750</v>
      </c>
      <c r="BM10" s="60">
        <v>199</v>
      </c>
      <c r="BN10" s="59">
        <v>3</v>
      </c>
      <c r="BO10" s="59">
        <v>0</v>
      </c>
      <c r="BP10" s="59">
        <v>-14</v>
      </c>
      <c r="BQ10" s="59">
        <v>-18</v>
      </c>
      <c r="BR10" s="59">
        <v>-77</v>
      </c>
      <c r="BS10" s="59">
        <v>-52</v>
      </c>
      <c r="BT10" s="59">
        <v>0</v>
      </c>
      <c r="BU10" s="59">
        <v>0</v>
      </c>
      <c r="BV10" s="59">
        <v>3</v>
      </c>
      <c r="BW10" s="59">
        <v>-146</v>
      </c>
      <c r="BX10" s="59">
        <v>-2</v>
      </c>
      <c r="BY10" s="59">
        <v>646</v>
      </c>
      <c r="BZ10" s="59">
        <v>0</v>
      </c>
      <c r="CA10" s="59">
        <v>0</v>
      </c>
      <c r="CB10" s="59">
        <v>57</v>
      </c>
      <c r="CC10" s="59">
        <v>13</v>
      </c>
      <c r="CD10" s="59">
        <v>53</v>
      </c>
      <c r="CE10" s="59">
        <v>1</v>
      </c>
      <c r="CF10" s="59">
        <v>5</v>
      </c>
    </row>
    <row r="11" spans="1:84" s="63" customFormat="1" ht="15.75" x14ac:dyDescent="0.25">
      <c r="A11" s="68">
        <v>1</v>
      </c>
      <c r="B11" s="67" t="s">
        <v>528</v>
      </c>
      <c r="C11" s="55" t="s">
        <v>529</v>
      </c>
      <c r="D11" s="35" t="s">
        <v>91</v>
      </c>
      <c r="E11" s="36" t="s">
        <v>85</v>
      </c>
      <c r="F11" s="35" t="s">
        <v>92</v>
      </c>
      <c r="G11" s="70">
        <v>6771778.7800000003</v>
      </c>
      <c r="H11" s="70">
        <v>0</v>
      </c>
      <c r="I11" s="70">
        <v>5448.02</v>
      </c>
      <c r="J11" s="70">
        <v>0</v>
      </c>
      <c r="K11" s="71">
        <v>2639.19</v>
      </c>
      <c r="L11" s="71">
        <v>6779865.9900000002</v>
      </c>
      <c r="M11" s="71">
        <v>0</v>
      </c>
      <c r="N11" s="70">
        <v>38691.21</v>
      </c>
      <c r="O11" s="70">
        <v>854379.91</v>
      </c>
      <c r="P11" s="72">
        <v>1726693.69</v>
      </c>
      <c r="Q11" s="70">
        <v>61893.279999999999</v>
      </c>
      <c r="R11" s="70">
        <v>694341.9</v>
      </c>
      <c r="S11" s="70">
        <v>1907749.42</v>
      </c>
      <c r="T11" s="70">
        <v>656209.53</v>
      </c>
      <c r="U11" s="70">
        <v>0</v>
      </c>
      <c r="V11" s="70">
        <v>0</v>
      </c>
      <c r="W11" s="70">
        <v>67916.83</v>
      </c>
      <c r="X11" s="71">
        <v>685259.13</v>
      </c>
      <c r="Y11" s="71">
        <v>6693134.9000000004</v>
      </c>
      <c r="Z11" s="61">
        <v>0.19578548902331389</v>
      </c>
      <c r="AA11" s="71">
        <v>677177.89</v>
      </c>
      <c r="AB11" s="71">
        <v>0</v>
      </c>
      <c r="AC11" s="71">
        <v>0</v>
      </c>
      <c r="AD11" s="71">
        <v>2639.19</v>
      </c>
      <c r="AE11" s="71">
        <v>335.55</v>
      </c>
      <c r="AF11" s="71">
        <f>SUM(AD11:AE11)</f>
        <v>2974.7400000000002</v>
      </c>
      <c r="AG11" s="71">
        <v>179712</v>
      </c>
      <c r="AH11" s="70">
        <v>14095.8</v>
      </c>
      <c r="AI11" s="70">
        <v>23263.81</v>
      </c>
      <c r="AJ11" s="71">
        <v>0</v>
      </c>
      <c r="AK11" s="70">
        <v>47530.45</v>
      </c>
      <c r="AL11" s="70">
        <v>16252.9</v>
      </c>
      <c r="AM11" s="70">
        <v>37554.86</v>
      </c>
      <c r="AN11" s="70">
        <v>7000</v>
      </c>
      <c r="AO11" s="70">
        <v>0</v>
      </c>
      <c r="AP11" s="70">
        <v>0</v>
      </c>
      <c r="AQ11" s="70">
        <v>12905.939999999999</v>
      </c>
      <c r="AR11" s="70">
        <v>8469.81</v>
      </c>
      <c r="AS11" s="70">
        <v>0</v>
      </c>
      <c r="AT11" s="70">
        <v>1320.95</v>
      </c>
      <c r="AU11" s="70">
        <v>15</v>
      </c>
      <c r="AV11" s="70">
        <v>31800.57</v>
      </c>
      <c r="AW11" s="70">
        <v>379922.09</v>
      </c>
      <c r="AX11" s="70">
        <v>0</v>
      </c>
      <c r="AY11" s="61">
        <f>AX11/AW11</f>
        <v>0</v>
      </c>
      <c r="AZ11" s="71">
        <v>0</v>
      </c>
      <c r="BA11" s="61">
        <v>0.10000000177206025</v>
      </c>
      <c r="BB11" s="70">
        <v>191131.82</v>
      </c>
      <c r="BC11" s="70">
        <v>1134684.2</v>
      </c>
      <c r="BD11" s="71">
        <v>241807</v>
      </c>
      <c r="BE11" s="71">
        <v>0</v>
      </c>
      <c r="BF11" s="71">
        <v>230281.53</v>
      </c>
      <c r="BG11" s="71">
        <v>135301.00750000001</v>
      </c>
      <c r="BH11" s="71">
        <v>0</v>
      </c>
      <c r="BI11" s="71">
        <v>0</v>
      </c>
      <c r="BJ11" s="71">
        <f>SUM(BH11:BI11)</f>
        <v>0</v>
      </c>
      <c r="BK11" s="71">
        <v>0</v>
      </c>
      <c r="BL11" s="60">
        <v>570</v>
      </c>
      <c r="BM11" s="60">
        <v>101</v>
      </c>
      <c r="BN11" s="59">
        <v>0</v>
      </c>
      <c r="BO11" s="59">
        <v>0</v>
      </c>
      <c r="BP11" s="59">
        <v>-5</v>
      </c>
      <c r="BQ11" s="59">
        <v>-5</v>
      </c>
      <c r="BR11" s="59">
        <v>-27</v>
      </c>
      <c r="BS11" s="59">
        <v>-25</v>
      </c>
      <c r="BT11" s="59">
        <v>4</v>
      </c>
      <c r="BU11" s="59">
        <v>0</v>
      </c>
      <c r="BV11" s="59">
        <v>0</v>
      </c>
      <c r="BW11" s="59">
        <v>-92</v>
      </c>
      <c r="BX11" s="59">
        <v>-1</v>
      </c>
      <c r="BY11" s="59">
        <v>520</v>
      </c>
      <c r="BZ11" s="59">
        <v>2</v>
      </c>
      <c r="CA11" s="59">
        <v>62</v>
      </c>
      <c r="CB11" s="59">
        <v>24</v>
      </c>
      <c r="CC11" s="59">
        <v>9</v>
      </c>
      <c r="CD11" s="59">
        <v>55</v>
      </c>
      <c r="CE11" s="59">
        <v>3</v>
      </c>
      <c r="CF11" s="59">
        <v>1</v>
      </c>
    </row>
    <row r="12" spans="1:84" s="50" customFormat="1" ht="15.75" x14ac:dyDescent="0.25">
      <c r="A12" s="43">
        <v>1</v>
      </c>
      <c r="B12" s="44" t="s">
        <v>93</v>
      </c>
      <c r="C12" s="57" t="s">
        <v>94</v>
      </c>
      <c r="D12" s="45" t="s">
        <v>95</v>
      </c>
      <c r="E12" s="46" t="s">
        <v>85</v>
      </c>
      <c r="F12" s="45" t="s">
        <v>86</v>
      </c>
      <c r="G12" s="70">
        <v>10585029.210000003</v>
      </c>
      <c r="H12" s="70">
        <v>0</v>
      </c>
      <c r="I12" s="70">
        <v>0</v>
      </c>
      <c r="J12" s="70">
        <v>9083</v>
      </c>
      <c r="K12" s="71">
        <v>0</v>
      </c>
      <c r="L12" s="71">
        <v>10594112.530000003</v>
      </c>
      <c r="M12" s="71">
        <v>96250.559999999983</v>
      </c>
      <c r="N12" s="70">
        <v>0</v>
      </c>
      <c r="O12" s="70">
        <v>4388325.96</v>
      </c>
      <c r="P12" s="72">
        <v>646664.65</v>
      </c>
      <c r="Q12" s="70">
        <v>0</v>
      </c>
      <c r="R12" s="70">
        <v>805876.04999999993</v>
      </c>
      <c r="S12" s="70">
        <v>2993094.5199999996</v>
      </c>
      <c r="T12" s="70">
        <v>555470.25</v>
      </c>
      <c r="U12" s="70">
        <v>0</v>
      </c>
      <c r="V12" s="70">
        <v>0</v>
      </c>
      <c r="W12" s="70">
        <v>544354.31000000006</v>
      </c>
      <c r="X12" s="71">
        <f>11430+889091+9083</f>
        <v>909604</v>
      </c>
      <c r="Y12" s="71">
        <v>10843389.59</v>
      </c>
      <c r="Z12" s="61">
        <f>1015088/10585029</f>
        <v>9.5898461874785609E-2</v>
      </c>
      <c r="AA12" s="71">
        <v>898173.83999999985</v>
      </c>
      <c r="AB12" s="71">
        <v>-270</v>
      </c>
      <c r="AC12" s="71">
        <v>0</v>
      </c>
      <c r="AD12" s="71">
        <v>0</v>
      </c>
      <c r="AE12" s="71">
        <v>0</v>
      </c>
      <c r="AF12" s="71">
        <f t="shared" si="5"/>
        <v>0</v>
      </c>
      <c r="AG12" s="71">
        <v>476445.73</v>
      </c>
      <c r="AH12" s="70">
        <v>36088.78</v>
      </c>
      <c r="AI12" s="70">
        <v>65860.159999999989</v>
      </c>
      <c r="AJ12" s="71">
        <v>0</v>
      </c>
      <c r="AK12" s="70">
        <v>57061.869999999995</v>
      </c>
      <c r="AL12" s="70">
        <v>8362.06</v>
      </c>
      <c r="AM12" s="70">
        <v>65248.83</v>
      </c>
      <c r="AN12" s="70">
        <v>7000</v>
      </c>
      <c r="AO12" s="70">
        <v>0</v>
      </c>
      <c r="AP12" s="70">
        <v>0</v>
      </c>
      <c r="AQ12" s="70">
        <f>3119+518+7367</f>
        <v>11004</v>
      </c>
      <c r="AR12" s="70">
        <v>2354</v>
      </c>
      <c r="AS12" s="70">
        <v>0</v>
      </c>
      <c r="AT12" s="70">
        <v>2102.9499999999998</v>
      </c>
      <c r="AU12" s="70">
        <v>4599.8200000000006</v>
      </c>
      <c r="AV12" s="70">
        <f>AW12-AG12-AH12-AI12-AJ12-AK12-AL12-AM12-AN12-AO12-AP12-AQ12-AR12-AS12-AT12-AU12</f>
        <v>43058.659999999894</v>
      </c>
      <c r="AW12" s="70">
        <v>779186.85999999987</v>
      </c>
      <c r="AX12" s="70">
        <v>0</v>
      </c>
      <c r="AY12" s="61">
        <f t="shared" si="6"/>
        <v>0</v>
      </c>
      <c r="AZ12" s="71">
        <v>0</v>
      </c>
      <c r="BA12" s="61">
        <f>897904/10681280</f>
        <v>8.406333323347015E-2</v>
      </c>
      <c r="BB12" s="70">
        <v>764258.77</v>
      </c>
      <c r="BC12" s="70">
        <v>250829.39</v>
      </c>
      <c r="BD12" s="71">
        <v>244766</v>
      </c>
      <c r="BE12" s="71">
        <v>0</v>
      </c>
      <c r="BF12" s="71">
        <v>538288.74000000022</v>
      </c>
      <c r="BG12" s="71">
        <v>343492.02500000026</v>
      </c>
      <c r="BH12" s="71">
        <v>0</v>
      </c>
      <c r="BI12" s="71">
        <v>0</v>
      </c>
      <c r="BJ12" s="71">
        <f t="shared" si="7"/>
        <v>0</v>
      </c>
      <c r="BK12" s="71">
        <v>0</v>
      </c>
      <c r="BL12" s="60">
        <v>1224</v>
      </c>
      <c r="BM12" s="60">
        <v>441</v>
      </c>
      <c r="BN12" s="59">
        <v>55</v>
      </c>
      <c r="BO12" s="59">
        <v>0</v>
      </c>
      <c r="BP12" s="59">
        <v>-9</v>
      </c>
      <c r="BQ12" s="59">
        <v>-17</v>
      </c>
      <c r="BR12" s="59">
        <v>-187</v>
      </c>
      <c r="BS12" s="59">
        <v>-124</v>
      </c>
      <c r="BT12" s="59">
        <v>0</v>
      </c>
      <c r="BU12" s="59">
        <v>0</v>
      </c>
      <c r="BV12" s="59">
        <v>-94</v>
      </c>
      <c r="BW12" s="59">
        <v>-212</v>
      </c>
      <c r="BX12" s="59">
        <v>-2</v>
      </c>
      <c r="BY12" s="59">
        <v>1075</v>
      </c>
      <c r="BZ12" s="59">
        <v>4</v>
      </c>
      <c r="CA12" s="59">
        <v>5</v>
      </c>
      <c r="CB12" s="59">
        <v>67</v>
      </c>
      <c r="CC12" s="59">
        <v>21</v>
      </c>
      <c r="CD12" s="59">
        <v>115</v>
      </c>
      <c r="CE12" s="59">
        <v>2</v>
      </c>
      <c r="CF12" s="59">
        <v>8</v>
      </c>
    </row>
    <row r="13" spans="1:84" s="50" customFormat="1" ht="15.75" x14ac:dyDescent="0.25">
      <c r="A13" s="43">
        <v>1</v>
      </c>
      <c r="B13" s="44" t="s">
        <v>96</v>
      </c>
      <c r="C13" s="57" t="s">
        <v>97</v>
      </c>
      <c r="D13" s="45" t="s">
        <v>98</v>
      </c>
      <c r="E13" s="46" t="s">
        <v>85</v>
      </c>
      <c r="F13" s="45" t="s">
        <v>99</v>
      </c>
      <c r="G13" s="70">
        <v>5360860.03</v>
      </c>
      <c r="H13" s="70">
        <v>242650.85</v>
      </c>
      <c r="I13" s="70">
        <v>0</v>
      </c>
      <c r="J13" s="70">
        <v>0</v>
      </c>
      <c r="K13" s="71">
        <v>0</v>
      </c>
      <c r="L13" s="71">
        <v>5603510.8799999999</v>
      </c>
      <c r="M13" s="71">
        <v>0</v>
      </c>
      <c r="N13" s="70">
        <v>0</v>
      </c>
      <c r="O13" s="70">
        <v>1790648.96</v>
      </c>
      <c r="P13" s="72">
        <v>390897.41</v>
      </c>
      <c r="Q13" s="70">
        <v>0</v>
      </c>
      <c r="R13" s="70">
        <v>413655.6</v>
      </c>
      <c r="S13" s="70">
        <v>1932761.09</v>
      </c>
      <c r="T13" s="70">
        <v>242684.71</v>
      </c>
      <c r="U13" s="70">
        <v>0</v>
      </c>
      <c r="V13" s="70">
        <v>0</v>
      </c>
      <c r="W13" s="70">
        <v>377529.08</v>
      </c>
      <c r="X13" s="71">
        <v>538096.71</v>
      </c>
      <c r="Y13" s="71">
        <v>5686273.5599999996</v>
      </c>
      <c r="Z13" s="61">
        <v>0.13904857092023687</v>
      </c>
      <c r="AA13" s="71">
        <v>535054.56999999995</v>
      </c>
      <c r="AB13" s="71">
        <v>0</v>
      </c>
      <c r="AC13" s="71">
        <v>0</v>
      </c>
      <c r="AD13" s="71">
        <v>0</v>
      </c>
      <c r="AE13" s="71">
        <v>70.319999999999993</v>
      </c>
      <c r="AF13" s="71">
        <f>SUM(AD13:AE13)</f>
        <v>70.319999999999993</v>
      </c>
      <c r="AG13" s="71">
        <v>156170.45000000001</v>
      </c>
      <c r="AH13" s="70">
        <v>12096.01</v>
      </c>
      <c r="AI13" s="70">
        <v>36354.14</v>
      </c>
      <c r="AJ13" s="71">
        <v>0</v>
      </c>
      <c r="AK13" s="70">
        <v>32150.240000000002</v>
      </c>
      <c r="AL13" s="70">
        <v>3716.37</v>
      </c>
      <c r="AM13" s="70">
        <v>37599.49</v>
      </c>
      <c r="AN13" s="70">
        <v>7000</v>
      </c>
      <c r="AO13" s="70">
        <v>0</v>
      </c>
      <c r="AP13" s="70">
        <v>0</v>
      </c>
      <c r="AQ13" s="70">
        <v>21750.699999999997</v>
      </c>
      <c r="AR13" s="70">
        <v>0</v>
      </c>
      <c r="AS13" s="70">
        <v>0</v>
      </c>
      <c r="AT13" s="70">
        <v>2156.5100000000002</v>
      </c>
      <c r="AU13" s="70">
        <v>11903.43</v>
      </c>
      <c r="AV13" s="70">
        <v>12813.29</v>
      </c>
      <c r="AW13" s="70">
        <v>333710.63</v>
      </c>
      <c r="AX13" s="70">
        <v>0</v>
      </c>
      <c r="AY13" s="61">
        <f>AX13/AW13</f>
        <v>0</v>
      </c>
      <c r="AZ13" s="71">
        <v>0</v>
      </c>
      <c r="BA13" s="61">
        <v>9.9807599341481021E-2</v>
      </c>
      <c r="BB13" s="70">
        <v>106232.83</v>
      </c>
      <c r="BC13" s="70">
        <v>672927.35</v>
      </c>
      <c r="BD13" s="71">
        <v>244766</v>
      </c>
      <c r="BE13" s="71">
        <v>0</v>
      </c>
      <c r="BF13" s="71">
        <v>86246.110000000102</v>
      </c>
      <c r="BG13" s="71">
        <v>2818.4525000000999</v>
      </c>
      <c r="BH13" s="71">
        <v>0</v>
      </c>
      <c r="BI13" s="71">
        <v>0</v>
      </c>
      <c r="BJ13" s="71">
        <f>SUM(BH13:BI13)</f>
        <v>0</v>
      </c>
      <c r="BK13" s="71">
        <v>0</v>
      </c>
      <c r="BL13" s="60">
        <v>718</v>
      </c>
      <c r="BM13" s="60">
        <v>212</v>
      </c>
      <c r="BN13" s="59">
        <v>0</v>
      </c>
      <c r="BO13" s="59">
        <v>0</v>
      </c>
      <c r="BP13" s="59">
        <v>-5</v>
      </c>
      <c r="BQ13" s="59">
        <v>-12</v>
      </c>
      <c r="BR13" s="59">
        <v>-58</v>
      </c>
      <c r="BS13" s="59">
        <v>-59</v>
      </c>
      <c r="BT13" s="59">
        <v>0</v>
      </c>
      <c r="BU13" s="59">
        <v>0</v>
      </c>
      <c r="BV13" s="59">
        <v>0</v>
      </c>
      <c r="BW13" s="59">
        <v>-183</v>
      </c>
      <c r="BX13" s="59">
        <v>0</v>
      </c>
      <c r="BY13" s="59">
        <v>613</v>
      </c>
      <c r="BZ13" s="59">
        <v>0</v>
      </c>
      <c r="CA13" s="59">
        <v>5</v>
      </c>
      <c r="CB13" s="59">
        <v>42</v>
      </c>
      <c r="CC13" s="59">
        <v>12</v>
      </c>
      <c r="CD13" s="59">
        <v>126</v>
      </c>
      <c r="CE13" s="59">
        <v>0</v>
      </c>
      <c r="CF13" s="59">
        <v>3</v>
      </c>
    </row>
    <row r="14" spans="1:84" s="50" customFormat="1" ht="15.75" x14ac:dyDescent="0.25">
      <c r="A14" s="43">
        <v>2</v>
      </c>
      <c r="B14" s="44" t="s">
        <v>100</v>
      </c>
      <c r="C14" s="57" t="s">
        <v>101</v>
      </c>
      <c r="D14" s="45" t="s">
        <v>102</v>
      </c>
      <c r="E14" s="46" t="s">
        <v>103</v>
      </c>
      <c r="F14" s="45" t="s">
        <v>104</v>
      </c>
      <c r="G14" s="70">
        <v>11589135.83</v>
      </c>
      <c r="H14" s="70">
        <v>0</v>
      </c>
      <c r="I14" s="70">
        <v>637212.81000000006</v>
      </c>
      <c r="J14" s="70">
        <v>0</v>
      </c>
      <c r="K14" s="71">
        <v>702.92</v>
      </c>
      <c r="L14" s="71">
        <v>12227051.560000001</v>
      </c>
      <c r="M14" s="71">
        <v>0</v>
      </c>
      <c r="N14" s="70">
        <v>146945.07999999999</v>
      </c>
      <c r="O14" s="70">
        <v>1324747.6100000001</v>
      </c>
      <c r="P14" s="72">
        <v>3198182.89</v>
      </c>
      <c r="Q14" s="70">
        <v>0</v>
      </c>
      <c r="R14" s="70">
        <v>1152363.6299999999</v>
      </c>
      <c r="S14" s="70">
        <v>4250955.1399999997</v>
      </c>
      <c r="T14" s="70">
        <v>1014659.19</v>
      </c>
      <c r="U14" s="70">
        <v>0</v>
      </c>
      <c r="V14" s="70">
        <v>0</v>
      </c>
      <c r="W14" s="70">
        <v>763164.54</v>
      </c>
      <c r="X14" s="71">
        <v>1158083.2</v>
      </c>
      <c r="Y14" s="71">
        <v>13009101.279999999</v>
      </c>
      <c r="Z14" s="61">
        <v>0.2107171644048286</v>
      </c>
      <c r="AA14" s="71">
        <v>1158083.2</v>
      </c>
      <c r="AB14" s="71">
        <v>0</v>
      </c>
      <c r="AC14" s="71">
        <v>0</v>
      </c>
      <c r="AD14" s="71">
        <v>0</v>
      </c>
      <c r="AE14" s="71">
        <v>293.60000000000002</v>
      </c>
      <c r="AF14" s="71">
        <f t="shared" ref="AF14:AF24" si="8">SUM(AD14:AE14)</f>
        <v>293.60000000000002</v>
      </c>
      <c r="AG14" s="71">
        <v>493059.79</v>
      </c>
      <c r="AH14" s="70">
        <v>40254.39</v>
      </c>
      <c r="AI14" s="70">
        <v>94988.83</v>
      </c>
      <c r="AJ14" s="71">
        <v>0</v>
      </c>
      <c r="AK14" s="70">
        <v>54782.49</v>
      </c>
      <c r="AL14" s="70">
        <v>36266.800000000003</v>
      </c>
      <c r="AM14" s="70">
        <v>87658.18</v>
      </c>
      <c r="AN14" s="70">
        <v>10327</v>
      </c>
      <c r="AO14" s="70">
        <v>0</v>
      </c>
      <c r="AP14" s="70">
        <v>0</v>
      </c>
      <c r="AQ14" s="70">
        <v>18556</v>
      </c>
      <c r="AR14" s="70">
        <v>1481.22</v>
      </c>
      <c r="AS14" s="70">
        <v>0</v>
      </c>
      <c r="AT14" s="70">
        <v>2699.23</v>
      </c>
      <c r="AU14" s="70">
        <v>18306.29</v>
      </c>
      <c r="AV14" s="70">
        <v>50743.85</v>
      </c>
      <c r="AW14" s="70">
        <v>909124.07</v>
      </c>
      <c r="AX14" s="70">
        <v>0</v>
      </c>
      <c r="AY14" s="61">
        <f t="shared" ref="AY14:AY24" si="9">AX14/AW14</f>
        <v>0</v>
      </c>
      <c r="AZ14" s="71">
        <v>0</v>
      </c>
      <c r="BA14" s="61">
        <v>9.992834815190875E-2</v>
      </c>
      <c r="BB14" s="70">
        <v>458592.01</v>
      </c>
      <c r="BC14" s="70">
        <v>1983437.83</v>
      </c>
      <c r="BD14" s="71">
        <v>244766</v>
      </c>
      <c r="BE14" s="71">
        <v>0</v>
      </c>
      <c r="BF14" s="71">
        <v>639177.54</v>
      </c>
      <c r="BG14" s="71">
        <v>411896.52250000002</v>
      </c>
      <c r="BH14" s="71">
        <v>0</v>
      </c>
      <c r="BI14" s="71">
        <v>0</v>
      </c>
      <c r="BJ14" s="71">
        <f t="shared" ref="BJ14:BJ24" si="10">SUM(BH14:BI14)</f>
        <v>0</v>
      </c>
      <c r="BK14" s="71">
        <v>0</v>
      </c>
      <c r="BL14" s="60">
        <v>1540</v>
      </c>
      <c r="BM14" s="60">
        <v>341</v>
      </c>
      <c r="BN14" s="59">
        <v>8</v>
      </c>
      <c r="BO14" s="59">
        <v>0</v>
      </c>
      <c r="BP14" s="59">
        <v>-12</v>
      </c>
      <c r="BQ14" s="59">
        <v>-51</v>
      </c>
      <c r="BR14" s="59">
        <v>-36</v>
      </c>
      <c r="BS14" s="59">
        <v>-149</v>
      </c>
      <c r="BT14" s="59">
        <v>6</v>
      </c>
      <c r="BU14" s="59">
        <v>0</v>
      </c>
      <c r="BV14" s="59">
        <v>0</v>
      </c>
      <c r="BW14" s="59">
        <v>-300</v>
      </c>
      <c r="BX14" s="59">
        <v>0</v>
      </c>
      <c r="BY14" s="59">
        <v>1347</v>
      </c>
      <c r="BZ14" s="59">
        <v>76</v>
      </c>
      <c r="CA14" s="59">
        <v>38</v>
      </c>
      <c r="CB14" s="59">
        <v>95</v>
      </c>
      <c r="CC14" s="59">
        <v>29</v>
      </c>
      <c r="CD14" s="59">
        <v>140</v>
      </c>
      <c r="CE14" s="59">
        <v>21</v>
      </c>
      <c r="CF14" s="59">
        <v>12</v>
      </c>
    </row>
    <row r="15" spans="1:84" s="50" customFormat="1" ht="15.75" x14ac:dyDescent="0.25">
      <c r="A15" s="43">
        <v>2</v>
      </c>
      <c r="B15" s="69" t="s">
        <v>560</v>
      </c>
      <c r="C15" s="69" t="s">
        <v>524</v>
      </c>
      <c r="D15" s="45" t="s">
        <v>105</v>
      </c>
      <c r="E15" s="46" t="s">
        <v>106</v>
      </c>
      <c r="F15" s="45" t="s">
        <v>104</v>
      </c>
      <c r="G15" s="70">
        <v>15478949.640000001</v>
      </c>
      <c r="H15" s="70">
        <v>2499.39</v>
      </c>
      <c r="I15" s="70">
        <v>0</v>
      </c>
      <c r="J15" s="70">
        <v>0</v>
      </c>
      <c r="K15" s="71">
        <v>0</v>
      </c>
      <c r="L15" s="71">
        <v>15481449.029999999</v>
      </c>
      <c r="M15" s="71">
        <v>0</v>
      </c>
      <c r="N15" s="70">
        <v>0</v>
      </c>
      <c r="O15" s="70">
        <v>6144243.2199999997</v>
      </c>
      <c r="P15" s="72">
        <v>746787.44</v>
      </c>
      <c r="Q15" s="70">
        <v>0</v>
      </c>
      <c r="R15" s="70">
        <v>662209.35</v>
      </c>
      <c r="S15" s="70">
        <v>4652615.59</v>
      </c>
      <c r="T15" s="70">
        <v>363212.05</v>
      </c>
      <c r="U15" s="70">
        <v>0</v>
      </c>
      <c r="V15" s="70">
        <v>0</v>
      </c>
      <c r="W15" s="70">
        <v>2326614.29</v>
      </c>
      <c r="X15" s="71">
        <v>1500560.23</v>
      </c>
      <c r="Y15" s="71">
        <v>16396242.17</v>
      </c>
      <c r="Z15" s="61">
        <v>0.22496242846849329</v>
      </c>
      <c r="AA15" s="71">
        <v>1500560.23</v>
      </c>
      <c r="AB15" s="71">
        <v>0</v>
      </c>
      <c r="AC15" s="71">
        <v>0</v>
      </c>
      <c r="AD15" s="71">
        <v>0</v>
      </c>
      <c r="AE15" s="71">
        <v>15.36</v>
      </c>
      <c r="AF15" s="71">
        <f t="shared" si="8"/>
        <v>15.36</v>
      </c>
      <c r="AG15" s="71">
        <v>597308.98</v>
      </c>
      <c r="AH15" s="70">
        <v>50772.56</v>
      </c>
      <c r="AI15" s="70">
        <v>57469.78</v>
      </c>
      <c r="AJ15" s="71">
        <v>0</v>
      </c>
      <c r="AK15" s="70">
        <v>67785.53</v>
      </c>
      <c r="AL15" s="70">
        <v>45102.46</v>
      </c>
      <c r="AM15" s="70">
        <v>100325.28</v>
      </c>
      <c r="AN15" s="70">
        <v>8840</v>
      </c>
      <c r="AO15" s="70">
        <v>21795.439999999999</v>
      </c>
      <c r="AP15" s="70">
        <v>0</v>
      </c>
      <c r="AQ15" s="70">
        <v>11871.1</v>
      </c>
      <c r="AR15" s="70">
        <v>13836.18</v>
      </c>
      <c r="AS15" s="70">
        <v>0</v>
      </c>
      <c r="AT15" s="70">
        <v>0</v>
      </c>
      <c r="AU15" s="70">
        <v>242.47</v>
      </c>
      <c r="AV15" s="70">
        <v>115702.76</v>
      </c>
      <c r="AW15" s="70">
        <v>1091052.54</v>
      </c>
      <c r="AX15" s="70">
        <v>0</v>
      </c>
      <c r="AY15" s="61">
        <f t="shared" si="9"/>
        <v>0</v>
      </c>
      <c r="AZ15" s="71">
        <v>0</v>
      </c>
      <c r="BA15" s="61">
        <v>9.6941993151933262E-2</v>
      </c>
      <c r="BB15" s="70">
        <v>3384119.05</v>
      </c>
      <c r="BC15" s="70">
        <v>98625.32</v>
      </c>
      <c r="BD15" s="71">
        <v>120903.4</v>
      </c>
      <c r="BE15" s="71">
        <v>1.45519152283669E-11</v>
      </c>
      <c r="BF15" s="71">
        <v>775623.46</v>
      </c>
      <c r="BG15" s="71">
        <v>502860.32500000001</v>
      </c>
      <c r="BH15" s="71">
        <v>0</v>
      </c>
      <c r="BI15" s="71">
        <v>0</v>
      </c>
      <c r="BJ15" s="71">
        <f t="shared" si="10"/>
        <v>0</v>
      </c>
      <c r="BK15" s="71">
        <v>0</v>
      </c>
      <c r="BL15" s="60">
        <v>1203</v>
      </c>
      <c r="BM15" s="60">
        <v>999</v>
      </c>
      <c r="BN15" s="59">
        <v>8</v>
      </c>
      <c r="BO15" s="59">
        <v>-8</v>
      </c>
      <c r="BP15" s="59">
        <v>-15</v>
      </c>
      <c r="BQ15" s="59">
        <v>-6</v>
      </c>
      <c r="BR15" s="59">
        <v>-438</v>
      </c>
      <c r="BS15" s="59">
        <v>-78</v>
      </c>
      <c r="BT15" s="59">
        <v>0</v>
      </c>
      <c r="BU15" s="59">
        <v>0</v>
      </c>
      <c r="BV15" s="59">
        <v>-1</v>
      </c>
      <c r="BW15" s="59">
        <v>-214</v>
      </c>
      <c r="BX15" s="59">
        <v>-1</v>
      </c>
      <c r="BY15" s="59">
        <v>1449</v>
      </c>
      <c r="BZ15" s="59">
        <v>2</v>
      </c>
      <c r="CA15" s="59">
        <v>4</v>
      </c>
      <c r="CB15" s="59">
        <v>122</v>
      </c>
      <c r="CC15" s="59">
        <v>25</v>
      </c>
      <c r="CD15" s="59">
        <v>52</v>
      </c>
      <c r="CE15" s="59">
        <v>5</v>
      </c>
      <c r="CF15" s="59">
        <v>10</v>
      </c>
    </row>
    <row r="16" spans="1:84" s="50" customFormat="1" ht="15.75" x14ac:dyDescent="0.25">
      <c r="A16" s="43">
        <v>2</v>
      </c>
      <c r="B16" s="44" t="s">
        <v>107</v>
      </c>
      <c r="C16" s="57" t="s">
        <v>108</v>
      </c>
      <c r="D16" s="45" t="s">
        <v>109</v>
      </c>
      <c r="E16" s="46" t="s">
        <v>106</v>
      </c>
      <c r="F16" s="45" t="s">
        <v>104</v>
      </c>
      <c r="G16" s="70">
        <v>17226944.640000001</v>
      </c>
      <c r="H16" s="70">
        <v>0</v>
      </c>
      <c r="I16" s="70">
        <v>41366.49</v>
      </c>
      <c r="J16" s="70">
        <v>0</v>
      </c>
      <c r="K16" s="71">
        <v>31.15</v>
      </c>
      <c r="L16" s="71">
        <v>17268342.280000001</v>
      </c>
      <c r="M16" s="71">
        <v>0</v>
      </c>
      <c r="N16" s="70">
        <v>0</v>
      </c>
      <c r="O16" s="70">
        <v>7596256.2999999998</v>
      </c>
      <c r="P16" s="72">
        <v>1188251.24</v>
      </c>
      <c r="Q16" s="70">
        <v>0</v>
      </c>
      <c r="R16" s="70">
        <v>461449.71</v>
      </c>
      <c r="S16" s="70">
        <v>4916873.51</v>
      </c>
      <c r="T16" s="70">
        <v>481896.56</v>
      </c>
      <c r="U16" s="70">
        <v>0</v>
      </c>
      <c r="V16" s="70">
        <v>0</v>
      </c>
      <c r="W16" s="70">
        <v>2018645.95</v>
      </c>
      <c r="X16" s="71">
        <v>1033647.9400000001</v>
      </c>
      <c r="Y16" s="71">
        <v>17697021.210000001</v>
      </c>
      <c r="Z16" s="61">
        <v>0.12533001499214197</v>
      </c>
      <c r="AA16" s="71">
        <v>1033616.79</v>
      </c>
      <c r="AB16" s="71">
        <v>0</v>
      </c>
      <c r="AC16" s="71">
        <v>0</v>
      </c>
      <c r="AD16" s="71">
        <v>31.15</v>
      </c>
      <c r="AE16" s="71">
        <v>0</v>
      </c>
      <c r="AF16" s="71">
        <f t="shared" si="8"/>
        <v>31.15</v>
      </c>
      <c r="AG16" s="71">
        <v>553473.62</v>
      </c>
      <c r="AH16" s="70">
        <v>45105.85</v>
      </c>
      <c r="AI16" s="70">
        <v>81417.75</v>
      </c>
      <c r="AJ16" s="71">
        <v>0</v>
      </c>
      <c r="AK16" s="70">
        <v>87255.9</v>
      </c>
      <c r="AL16" s="70">
        <v>46461.98</v>
      </c>
      <c r="AM16" s="70">
        <v>61801.8</v>
      </c>
      <c r="AN16" s="70">
        <v>8133</v>
      </c>
      <c r="AO16" s="70">
        <v>5300.07</v>
      </c>
      <c r="AP16" s="70">
        <v>0</v>
      </c>
      <c r="AQ16" s="70">
        <v>34298.32</v>
      </c>
      <c r="AR16" s="70">
        <v>13168.36</v>
      </c>
      <c r="AS16" s="70">
        <v>0</v>
      </c>
      <c r="AT16" s="70">
        <v>9739.86</v>
      </c>
      <c r="AU16" s="70">
        <v>62.85</v>
      </c>
      <c r="AV16" s="70">
        <v>70448.05</v>
      </c>
      <c r="AW16" s="70">
        <v>1016667.41</v>
      </c>
      <c r="AX16" s="70">
        <v>0</v>
      </c>
      <c r="AY16" s="61">
        <f t="shared" si="9"/>
        <v>0</v>
      </c>
      <c r="AZ16" s="71">
        <v>0</v>
      </c>
      <c r="BA16" s="61">
        <v>6.0000006478223643E-2</v>
      </c>
      <c r="BB16" s="70">
        <v>1501904.27</v>
      </c>
      <c r="BC16" s="70">
        <v>657148.96</v>
      </c>
      <c r="BD16" s="71">
        <v>244766</v>
      </c>
      <c r="BE16" s="71">
        <v>0</v>
      </c>
      <c r="BF16" s="71">
        <v>403046.67</v>
      </c>
      <c r="BG16" s="71">
        <v>148879.8175</v>
      </c>
      <c r="BH16" s="71">
        <v>0</v>
      </c>
      <c r="BI16" s="71">
        <v>0</v>
      </c>
      <c r="BJ16" s="71">
        <f t="shared" si="10"/>
        <v>0</v>
      </c>
      <c r="BK16" s="71">
        <v>0</v>
      </c>
      <c r="BL16" s="60">
        <v>977</v>
      </c>
      <c r="BM16" s="60">
        <v>903</v>
      </c>
      <c r="BN16" s="59">
        <v>2</v>
      </c>
      <c r="BO16" s="59">
        <v>-72</v>
      </c>
      <c r="BP16" s="59">
        <v>-9</v>
      </c>
      <c r="BQ16" s="59">
        <v>-6</v>
      </c>
      <c r="BR16" s="59">
        <v>-582</v>
      </c>
      <c r="BS16" s="59">
        <v>-94</v>
      </c>
      <c r="BT16" s="59">
        <v>3</v>
      </c>
      <c r="BU16" s="59">
        <v>0</v>
      </c>
      <c r="BV16" s="59">
        <v>112</v>
      </c>
      <c r="BW16" s="59">
        <v>-214</v>
      </c>
      <c r="BX16" s="59">
        <v>0</v>
      </c>
      <c r="BY16" s="59">
        <v>1020</v>
      </c>
      <c r="BZ16" s="59">
        <v>2</v>
      </c>
      <c r="CA16" s="59">
        <v>0</v>
      </c>
      <c r="CB16" s="59">
        <v>151</v>
      </c>
      <c r="CC16" s="59">
        <v>11</v>
      </c>
      <c r="CD16" s="59">
        <v>27</v>
      </c>
      <c r="CE16" s="59">
        <v>0</v>
      </c>
      <c r="CF16" s="59">
        <v>26</v>
      </c>
    </row>
    <row r="17" spans="1:84" s="63" customFormat="1" ht="15.6" customHeight="1" x14ac:dyDescent="0.25">
      <c r="A17" s="33">
        <v>2</v>
      </c>
      <c r="B17" s="34" t="s">
        <v>522</v>
      </c>
      <c r="C17" s="55" t="s">
        <v>534</v>
      </c>
      <c r="D17" s="35" t="s">
        <v>125</v>
      </c>
      <c r="E17" s="35"/>
      <c r="F17" s="35" t="s">
        <v>126</v>
      </c>
      <c r="G17" s="70">
        <v>16337735.1</v>
      </c>
      <c r="H17" s="70">
        <v>0</v>
      </c>
      <c r="I17" s="70">
        <v>254815.37</v>
      </c>
      <c r="J17" s="70">
        <v>5958.39</v>
      </c>
      <c r="K17" s="71">
        <v>0</v>
      </c>
      <c r="L17" s="71">
        <v>16598508.859999999</v>
      </c>
      <c r="M17" s="71">
        <v>58824.44</v>
      </c>
      <c r="N17" s="70">
        <v>5375.65</v>
      </c>
      <c r="O17" s="70">
        <v>4201884.93</v>
      </c>
      <c r="P17" s="72">
        <v>2289682.1800000002</v>
      </c>
      <c r="Q17" s="70">
        <v>0</v>
      </c>
      <c r="R17" s="70">
        <v>747577.52</v>
      </c>
      <c r="S17" s="70">
        <v>5666069.2400000002</v>
      </c>
      <c r="T17" s="70">
        <v>572500.65</v>
      </c>
      <c r="U17" s="70">
        <v>0</v>
      </c>
      <c r="V17" s="70">
        <v>0</v>
      </c>
      <c r="W17" s="70">
        <v>1128730.95</v>
      </c>
      <c r="X17" s="71">
        <v>1445683.89</v>
      </c>
      <c r="Y17" s="71">
        <v>16057505.01</v>
      </c>
      <c r="Z17" s="61">
        <v>0.19026676531191891</v>
      </c>
      <c r="AA17" s="71">
        <v>1430988.39</v>
      </c>
      <c r="AB17" s="71">
        <v>0</v>
      </c>
      <c r="AC17" s="71">
        <v>0</v>
      </c>
      <c r="AD17" s="71">
        <v>0</v>
      </c>
      <c r="AE17" s="71">
        <v>0</v>
      </c>
      <c r="AF17" s="71">
        <f t="shared" si="8"/>
        <v>0</v>
      </c>
      <c r="AG17" s="71">
        <v>555455.64</v>
      </c>
      <c r="AH17" s="70">
        <v>43054.54</v>
      </c>
      <c r="AI17" s="70">
        <v>132593.32</v>
      </c>
      <c r="AJ17" s="71">
        <v>0</v>
      </c>
      <c r="AK17" s="70">
        <v>78005.820000000007</v>
      </c>
      <c r="AL17" s="70">
        <v>45459.73</v>
      </c>
      <c r="AM17" s="70">
        <v>70456.66</v>
      </c>
      <c r="AN17" s="70">
        <v>11026</v>
      </c>
      <c r="AO17" s="70">
        <v>7019</v>
      </c>
      <c r="AP17" s="70">
        <v>63.07</v>
      </c>
      <c r="AQ17" s="70">
        <v>28856.639999999999</v>
      </c>
      <c r="AR17" s="70">
        <v>17472.71</v>
      </c>
      <c r="AS17" s="70">
        <v>0</v>
      </c>
      <c r="AT17" s="70">
        <v>8690</v>
      </c>
      <c r="AU17" s="70">
        <v>21023.27</v>
      </c>
      <c r="AV17" s="70">
        <v>48705.760000000002</v>
      </c>
      <c r="AW17" s="70">
        <v>1067882.1599999999</v>
      </c>
      <c r="AX17" s="70">
        <v>0</v>
      </c>
      <c r="AY17" s="61">
        <f t="shared" si="9"/>
        <v>0</v>
      </c>
      <c r="AZ17" s="71">
        <v>0</v>
      </c>
      <c r="BA17" s="61">
        <v>8.7273698272436487E-2</v>
      </c>
      <c r="BB17" s="70">
        <v>1776538.22</v>
      </c>
      <c r="BC17" s="70">
        <v>1331989.79</v>
      </c>
      <c r="BD17" s="71">
        <v>241807</v>
      </c>
      <c r="BE17" s="71">
        <v>0</v>
      </c>
      <c r="BF17" s="71">
        <v>798784.61000000103</v>
      </c>
      <c r="BG17" s="71">
        <v>531814.070000001</v>
      </c>
      <c r="BH17" s="71">
        <v>0</v>
      </c>
      <c r="BI17" s="71">
        <v>0</v>
      </c>
      <c r="BJ17" s="71">
        <f t="shared" si="10"/>
        <v>0</v>
      </c>
      <c r="BK17" s="71">
        <v>0</v>
      </c>
      <c r="BL17" s="60">
        <v>1633</v>
      </c>
      <c r="BM17" s="60">
        <v>510</v>
      </c>
      <c r="BN17" s="59">
        <v>15</v>
      </c>
      <c r="BO17" s="59">
        <v>-46</v>
      </c>
      <c r="BP17" s="59">
        <v>-3</v>
      </c>
      <c r="BQ17" s="59">
        <v>-8</v>
      </c>
      <c r="BR17" s="59">
        <v>-220</v>
      </c>
      <c r="BS17" s="59">
        <v>-122</v>
      </c>
      <c r="BT17" s="59">
        <v>0</v>
      </c>
      <c r="BU17" s="59">
        <v>0</v>
      </c>
      <c r="BV17" s="59">
        <v>0</v>
      </c>
      <c r="BW17" s="59">
        <v>-228</v>
      </c>
      <c r="BX17" s="59">
        <v>0</v>
      </c>
      <c r="BY17" s="59">
        <v>1531</v>
      </c>
      <c r="BZ17" s="59">
        <v>1</v>
      </c>
      <c r="CA17" s="59">
        <v>5</v>
      </c>
      <c r="CB17" s="59">
        <v>137</v>
      </c>
      <c r="CC17" s="59">
        <v>17</v>
      </c>
      <c r="CD17" s="59">
        <v>28</v>
      </c>
      <c r="CE17" s="59">
        <v>36</v>
      </c>
      <c r="CF17" s="59">
        <v>25</v>
      </c>
    </row>
    <row r="18" spans="1:84" s="63" customFormat="1" ht="15.6" customHeight="1" x14ac:dyDescent="0.25">
      <c r="A18" s="33">
        <v>2</v>
      </c>
      <c r="B18" s="69" t="s">
        <v>552</v>
      </c>
      <c r="C18" s="55" t="s">
        <v>547</v>
      </c>
      <c r="D18" s="35" t="s">
        <v>111</v>
      </c>
      <c r="E18" s="35" t="s">
        <v>112</v>
      </c>
      <c r="F18" s="35" t="s">
        <v>104</v>
      </c>
      <c r="G18" s="70">
        <v>11831298.83</v>
      </c>
      <c r="H18" s="70">
        <v>59547.23</v>
      </c>
      <c r="I18" s="70">
        <v>84437.87</v>
      </c>
      <c r="J18" s="70">
        <v>0</v>
      </c>
      <c r="K18" s="71">
        <v>0</v>
      </c>
      <c r="L18" s="71">
        <v>11975283.93</v>
      </c>
      <c r="M18" s="71">
        <v>0</v>
      </c>
      <c r="N18" s="70">
        <v>0</v>
      </c>
      <c r="O18" s="70">
        <v>1153728.49</v>
      </c>
      <c r="P18" s="72">
        <v>4007311.32</v>
      </c>
      <c r="Q18" s="70">
        <v>0</v>
      </c>
      <c r="R18" s="70">
        <v>726142.61</v>
      </c>
      <c r="S18" s="70">
        <v>3821586.53</v>
      </c>
      <c r="T18" s="70">
        <v>755537.76</v>
      </c>
      <c r="U18" s="70">
        <v>0</v>
      </c>
      <c r="V18" s="70">
        <v>0</v>
      </c>
      <c r="W18" s="70">
        <v>264718.40999999997</v>
      </c>
      <c r="X18" s="71">
        <v>1136279.1299999999</v>
      </c>
      <c r="Y18" s="71">
        <v>11865304.25</v>
      </c>
      <c r="Z18" s="61">
        <v>2.9232284922878146E-2</v>
      </c>
      <c r="AA18" s="71">
        <v>1136134.75</v>
      </c>
      <c r="AB18" s="71">
        <v>0</v>
      </c>
      <c r="AC18" s="71">
        <v>0</v>
      </c>
      <c r="AD18" s="71">
        <v>0</v>
      </c>
      <c r="AE18" s="71">
        <v>0</v>
      </c>
      <c r="AF18" s="71">
        <f t="shared" si="8"/>
        <v>0</v>
      </c>
      <c r="AG18" s="71">
        <v>443655.91</v>
      </c>
      <c r="AH18" s="70">
        <v>35174.99</v>
      </c>
      <c r="AI18" s="70">
        <v>40897.519999999997</v>
      </c>
      <c r="AJ18" s="71">
        <v>0</v>
      </c>
      <c r="AK18" s="70">
        <v>40187.089999999997</v>
      </c>
      <c r="AL18" s="70">
        <v>36924.879999999997</v>
      </c>
      <c r="AM18" s="70">
        <v>54736.13</v>
      </c>
      <c r="AN18" s="70">
        <v>8364</v>
      </c>
      <c r="AO18" s="70">
        <v>229</v>
      </c>
      <c r="AP18" s="70">
        <v>2678.54</v>
      </c>
      <c r="AQ18" s="70">
        <v>30142.260000000002</v>
      </c>
      <c r="AR18" s="70">
        <v>7810.07</v>
      </c>
      <c r="AS18" s="70">
        <v>0</v>
      </c>
      <c r="AT18" s="70">
        <v>754.99</v>
      </c>
      <c r="AU18" s="70">
        <v>13117.05</v>
      </c>
      <c r="AV18" s="70">
        <v>38165.26</v>
      </c>
      <c r="AW18" s="70">
        <v>752837.69</v>
      </c>
      <c r="AX18" s="70">
        <v>0</v>
      </c>
      <c r="AY18" s="61">
        <f t="shared" si="9"/>
        <v>0</v>
      </c>
      <c r="AZ18" s="71">
        <v>0</v>
      </c>
      <c r="BA18" s="61">
        <v>9.6027897386816316E-2</v>
      </c>
      <c r="BB18" s="70">
        <v>236777.57</v>
      </c>
      <c r="BC18" s="70">
        <v>110819.03</v>
      </c>
      <c r="BD18" s="71">
        <v>241807</v>
      </c>
      <c r="BE18" s="71">
        <v>0</v>
      </c>
      <c r="BF18" s="71">
        <v>765681.5</v>
      </c>
      <c r="BG18" s="71">
        <v>577472.07750000001</v>
      </c>
      <c r="BH18" s="71">
        <v>0</v>
      </c>
      <c r="BI18" s="71">
        <v>0</v>
      </c>
      <c r="BJ18" s="71">
        <f t="shared" si="10"/>
        <v>0</v>
      </c>
      <c r="BK18" s="71">
        <v>0</v>
      </c>
      <c r="BL18" s="60">
        <v>1392</v>
      </c>
      <c r="BM18" s="60">
        <v>338</v>
      </c>
      <c r="BN18" s="59">
        <v>3</v>
      </c>
      <c r="BO18" s="59">
        <v>-14</v>
      </c>
      <c r="BP18" s="59">
        <v>-9</v>
      </c>
      <c r="BQ18" s="59">
        <v>-18</v>
      </c>
      <c r="BR18" s="59">
        <v>-87</v>
      </c>
      <c r="BS18" s="59">
        <v>-87</v>
      </c>
      <c r="BT18" s="59">
        <v>0</v>
      </c>
      <c r="BU18" s="59">
        <v>0</v>
      </c>
      <c r="BV18" s="59">
        <v>0</v>
      </c>
      <c r="BW18" s="59">
        <v>-262</v>
      </c>
      <c r="BX18" s="59">
        <v>-3</v>
      </c>
      <c r="BY18" s="59">
        <v>1253</v>
      </c>
      <c r="BZ18" s="59">
        <v>6</v>
      </c>
      <c r="CA18" s="59">
        <v>28</v>
      </c>
      <c r="CB18" s="59">
        <v>79</v>
      </c>
      <c r="CC18" s="59">
        <v>19</v>
      </c>
      <c r="CD18" s="59">
        <v>153</v>
      </c>
      <c r="CE18" s="59">
        <v>1</v>
      </c>
      <c r="CF18" s="59">
        <v>2</v>
      </c>
    </row>
    <row r="19" spans="1:84" s="63" customFormat="1" ht="15.6" customHeight="1" x14ac:dyDescent="0.25">
      <c r="A19" s="33">
        <v>2</v>
      </c>
      <c r="B19" s="34" t="s">
        <v>535</v>
      </c>
      <c r="C19" s="55" t="s">
        <v>524</v>
      </c>
      <c r="D19" s="35" t="s">
        <v>116</v>
      </c>
      <c r="E19" s="35" t="s">
        <v>117</v>
      </c>
      <c r="F19" s="35" t="s">
        <v>104</v>
      </c>
      <c r="G19" s="70">
        <v>19201374.539999999</v>
      </c>
      <c r="H19" s="70">
        <v>133356.95000000001</v>
      </c>
      <c r="I19" s="70">
        <v>0</v>
      </c>
      <c r="J19" s="70">
        <v>0</v>
      </c>
      <c r="K19" s="71">
        <v>0</v>
      </c>
      <c r="L19" s="71">
        <v>19334731.489999998</v>
      </c>
      <c r="M19" s="71">
        <v>0</v>
      </c>
      <c r="N19" s="70">
        <v>0</v>
      </c>
      <c r="O19" s="70">
        <v>4046089.42</v>
      </c>
      <c r="P19" s="72">
        <v>1841998.85</v>
      </c>
      <c r="Q19" s="70">
        <v>0</v>
      </c>
      <c r="R19" s="70">
        <v>2077920.13</v>
      </c>
      <c r="S19" s="70">
        <v>5662103.0300000003</v>
      </c>
      <c r="T19" s="70">
        <v>2163064.0699999998</v>
      </c>
      <c r="U19" s="70">
        <v>0</v>
      </c>
      <c r="V19" s="70">
        <v>0</v>
      </c>
      <c r="W19" s="70">
        <v>2587645.7999999998</v>
      </c>
      <c r="X19" s="71">
        <v>1851782.18</v>
      </c>
      <c r="Y19" s="71">
        <v>20230603.48</v>
      </c>
      <c r="Z19" s="61">
        <v>0.20207453576589599</v>
      </c>
      <c r="AA19" s="71">
        <v>1851782.18</v>
      </c>
      <c r="AB19" s="71">
        <v>0</v>
      </c>
      <c r="AC19" s="71">
        <v>0</v>
      </c>
      <c r="AD19" s="71">
        <v>0</v>
      </c>
      <c r="AE19" s="71">
        <v>0</v>
      </c>
      <c r="AF19" s="71">
        <f t="shared" si="8"/>
        <v>0</v>
      </c>
      <c r="AG19" s="71">
        <v>759992.4</v>
      </c>
      <c r="AH19" s="70">
        <v>59887.87</v>
      </c>
      <c r="AI19" s="70">
        <v>193378.42</v>
      </c>
      <c r="AJ19" s="71">
        <v>0</v>
      </c>
      <c r="AK19" s="70">
        <v>167826.58</v>
      </c>
      <c r="AL19" s="70">
        <v>55959.95</v>
      </c>
      <c r="AM19" s="70">
        <v>111263.6</v>
      </c>
      <c r="AN19" s="70">
        <v>12163</v>
      </c>
      <c r="AO19" s="70">
        <v>3776.35</v>
      </c>
      <c r="AP19" s="70">
        <v>0</v>
      </c>
      <c r="AQ19" s="70">
        <v>16474.75</v>
      </c>
      <c r="AR19" s="70">
        <v>22858.27</v>
      </c>
      <c r="AS19" s="70">
        <v>0</v>
      </c>
      <c r="AT19" s="70">
        <v>0</v>
      </c>
      <c r="AU19" s="70">
        <v>0</v>
      </c>
      <c r="AV19" s="70">
        <v>41760.53</v>
      </c>
      <c r="AW19" s="70">
        <v>1445341.72</v>
      </c>
      <c r="AX19" s="70">
        <v>0</v>
      </c>
      <c r="AY19" s="61">
        <f t="shared" si="9"/>
        <v>0</v>
      </c>
      <c r="AZ19" s="71">
        <v>0</v>
      </c>
      <c r="BA19" s="61">
        <v>9.6440084335754017E-2</v>
      </c>
      <c r="BB19" s="70">
        <v>3580077.76</v>
      </c>
      <c r="BC19" s="70">
        <v>326979.13</v>
      </c>
      <c r="BD19" s="71">
        <v>120903.6</v>
      </c>
      <c r="BE19" s="71">
        <v>0</v>
      </c>
      <c r="BF19" s="71">
        <v>1233325.02</v>
      </c>
      <c r="BG19" s="71">
        <v>871989.58999999904</v>
      </c>
      <c r="BH19" s="71">
        <v>0</v>
      </c>
      <c r="BI19" s="71">
        <v>0</v>
      </c>
      <c r="BJ19" s="71">
        <f t="shared" si="10"/>
        <v>0</v>
      </c>
      <c r="BK19" s="71">
        <v>0</v>
      </c>
      <c r="BL19" s="60">
        <v>2312</v>
      </c>
      <c r="BM19" s="60">
        <v>709</v>
      </c>
      <c r="BN19" s="59">
        <v>20</v>
      </c>
      <c r="BO19" s="59">
        <v>-19</v>
      </c>
      <c r="BP19" s="59">
        <v>-36</v>
      </c>
      <c r="BQ19" s="59">
        <v>-25</v>
      </c>
      <c r="BR19" s="59">
        <v>-285</v>
      </c>
      <c r="BS19" s="59">
        <v>-139</v>
      </c>
      <c r="BT19" s="59">
        <v>1</v>
      </c>
      <c r="BU19" s="59">
        <v>-1</v>
      </c>
      <c r="BV19" s="59">
        <v>-3</v>
      </c>
      <c r="BW19" s="59">
        <v>-546</v>
      </c>
      <c r="BX19" s="59">
        <v>0</v>
      </c>
      <c r="BY19" s="59">
        <v>1988</v>
      </c>
      <c r="BZ19" s="59">
        <v>11</v>
      </c>
      <c r="CA19" s="59">
        <v>16</v>
      </c>
      <c r="CB19" s="59">
        <v>131</v>
      </c>
      <c r="CC19" s="59">
        <v>45</v>
      </c>
      <c r="CD19" s="59">
        <v>343</v>
      </c>
      <c r="CE19" s="59">
        <v>4</v>
      </c>
      <c r="CF19" s="59">
        <v>23</v>
      </c>
    </row>
    <row r="20" spans="1:84" s="63" customFormat="1" ht="15.6" customHeight="1" x14ac:dyDescent="0.25">
      <c r="A20" s="33">
        <v>2</v>
      </c>
      <c r="B20" s="34" t="s">
        <v>113</v>
      </c>
      <c r="C20" s="55" t="s">
        <v>114</v>
      </c>
      <c r="D20" s="35" t="s">
        <v>115</v>
      </c>
      <c r="E20" s="35" t="s">
        <v>112</v>
      </c>
      <c r="F20" s="35" t="s">
        <v>104</v>
      </c>
      <c r="G20" s="70">
        <v>6989999.9000000004</v>
      </c>
      <c r="H20" s="70">
        <v>333.49</v>
      </c>
      <c r="I20" s="70">
        <v>123552.05</v>
      </c>
      <c r="J20" s="70">
        <v>0</v>
      </c>
      <c r="K20" s="71">
        <v>0</v>
      </c>
      <c r="L20" s="71">
        <v>7113885.4400000004</v>
      </c>
      <c r="M20" s="71">
        <v>0</v>
      </c>
      <c r="N20" s="70">
        <v>150108.6</v>
      </c>
      <c r="O20" s="70">
        <v>737417.47</v>
      </c>
      <c r="P20" s="72">
        <v>1983082.34</v>
      </c>
      <c r="Q20" s="70">
        <v>0</v>
      </c>
      <c r="R20" s="70">
        <v>315817.98</v>
      </c>
      <c r="S20" s="70">
        <v>2726378.6</v>
      </c>
      <c r="T20" s="70">
        <v>341946.89</v>
      </c>
      <c r="U20" s="70">
        <v>0</v>
      </c>
      <c r="V20" s="70">
        <v>0</v>
      </c>
      <c r="W20" s="70">
        <v>272949.68</v>
      </c>
      <c r="X20" s="71">
        <v>730687.14999999991</v>
      </c>
      <c r="Y20" s="71">
        <v>7258388.71</v>
      </c>
      <c r="Z20" s="61">
        <v>4.9868110796929814E-2</v>
      </c>
      <c r="AA20" s="71">
        <v>699038.33</v>
      </c>
      <c r="AB20" s="71">
        <v>0</v>
      </c>
      <c r="AC20" s="71">
        <v>0</v>
      </c>
      <c r="AD20" s="71">
        <v>0</v>
      </c>
      <c r="AE20" s="71">
        <v>0</v>
      </c>
      <c r="AF20" s="71">
        <f t="shared" si="8"/>
        <v>0</v>
      </c>
      <c r="AG20" s="71">
        <v>288232.58</v>
      </c>
      <c r="AH20" s="70">
        <v>21897.919999999998</v>
      </c>
      <c r="AI20" s="70">
        <v>42599.86</v>
      </c>
      <c r="AJ20" s="71">
        <v>0</v>
      </c>
      <c r="AK20" s="70">
        <v>64602.42</v>
      </c>
      <c r="AL20" s="70">
        <v>32228.25</v>
      </c>
      <c r="AM20" s="70">
        <v>46553.95</v>
      </c>
      <c r="AN20" s="70">
        <v>7457</v>
      </c>
      <c r="AO20" s="70">
        <v>19239.64</v>
      </c>
      <c r="AP20" s="70">
        <v>0</v>
      </c>
      <c r="AQ20" s="70">
        <v>40388.67</v>
      </c>
      <c r="AR20" s="70">
        <v>-468.72</v>
      </c>
      <c r="AS20" s="70">
        <v>437.4</v>
      </c>
      <c r="AT20" s="70">
        <v>4296.9399999999996</v>
      </c>
      <c r="AU20" s="70">
        <v>16811.59</v>
      </c>
      <c r="AV20" s="70">
        <v>54351.76</v>
      </c>
      <c r="AW20" s="70">
        <v>638629.26</v>
      </c>
      <c r="AX20" s="70">
        <v>0</v>
      </c>
      <c r="AY20" s="61">
        <f t="shared" si="9"/>
        <v>0</v>
      </c>
      <c r="AZ20" s="71">
        <v>64.37</v>
      </c>
      <c r="BA20" s="61">
        <v>0.10000548497861923</v>
      </c>
      <c r="BB20" s="70">
        <v>127621.96</v>
      </c>
      <c r="BC20" s="70">
        <v>220972.76</v>
      </c>
      <c r="BD20" s="71">
        <v>244686.47</v>
      </c>
      <c r="BE20" s="71">
        <v>0</v>
      </c>
      <c r="BF20" s="71">
        <v>126923.94</v>
      </c>
      <c r="BG20" s="71">
        <v>0</v>
      </c>
      <c r="BH20" s="71">
        <v>0</v>
      </c>
      <c r="BI20" s="71">
        <v>0</v>
      </c>
      <c r="BJ20" s="71">
        <f t="shared" si="10"/>
        <v>0</v>
      </c>
      <c r="BK20" s="71">
        <v>0</v>
      </c>
      <c r="BL20" s="60">
        <v>817</v>
      </c>
      <c r="BM20" s="60">
        <v>169</v>
      </c>
      <c r="BN20" s="59">
        <v>4</v>
      </c>
      <c r="BO20" s="59">
        <v>-10</v>
      </c>
      <c r="BP20" s="59">
        <v>-6</v>
      </c>
      <c r="BQ20" s="59">
        <v>-8</v>
      </c>
      <c r="BR20" s="59">
        <v>-43</v>
      </c>
      <c r="BS20" s="59">
        <v>-26</v>
      </c>
      <c r="BT20" s="59">
        <v>0</v>
      </c>
      <c r="BU20" s="59">
        <v>0</v>
      </c>
      <c r="BV20" s="59">
        <v>0</v>
      </c>
      <c r="BW20" s="59">
        <v>-175</v>
      </c>
      <c r="BX20" s="59">
        <v>0</v>
      </c>
      <c r="BY20" s="59">
        <v>722</v>
      </c>
      <c r="BZ20" s="59">
        <v>7</v>
      </c>
      <c r="CA20" s="59">
        <v>6</v>
      </c>
      <c r="CB20" s="59">
        <v>60</v>
      </c>
      <c r="CC20" s="59">
        <v>30</v>
      </c>
      <c r="CD20" s="59">
        <v>98</v>
      </c>
      <c r="CE20" s="59">
        <v>3</v>
      </c>
      <c r="CF20" s="59">
        <v>2</v>
      </c>
    </row>
    <row r="21" spans="1:84" s="50" customFormat="1" ht="15.6" customHeight="1" x14ac:dyDescent="0.25">
      <c r="A21" s="39">
        <v>2</v>
      </c>
      <c r="B21" s="51" t="s">
        <v>118</v>
      </c>
      <c r="C21" s="57" t="s">
        <v>119</v>
      </c>
      <c r="D21" s="42" t="s">
        <v>120</v>
      </c>
      <c r="E21" s="42" t="s">
        <v>85</v>
      </c>
      <c r="F21" s="42" t="s">
        <v>121</v>
      </c>
      <c r="G21" s="70">
        <v>3678357.18</v>
      </c>
      <c r="H21" s="70">
        <v>0</v>
      </c>
      <c r="I21" s="70">
        <v>573194.75</v>
      </c>
      <c r="J21" s="70">
        <v>0</v>
      </c>
      <c r="K21" s="71">
        <v>0</v>
      </c>
      <c r="L21" s="71">
        <v>4251551.93</v>
      </c>
      <c r="M21" s="71">
        <v>0</v>
      </c>
      <c r="N21" s="70">
        <v>955744.99</v>
      </c>
      <c r="O21" s="70">
        <v>350538.61</v>
      </c>
      <c r="P21" s="72">
        <v>1404075.29</v>
      </c>
      <c r="Q21" s="70">
        <v>4747.57</v>
      </c>
      <c r="R21" s="70">
        <v>197246</v>
      </c>
      <c r="S21" s="70">
        <v>930124.43</v>
      </c>
      <c r="T21" s="70">
        <v>99941.01</v>
      </c>
      <c r="U21" s="70">
        <v>0</v>
      </c>
      <c r="V21" s="70">
        <v>0</v>
      </c>
      <c r="W21" s="70">
        <v>155351.38</v>
      </c>
      <c r="X21" s="71">
        <v>297985.81</v>
      </c>
      <c r="Y21" s="71">
        <v>4395755.09</v>
      </c>
      <c r="Z21" s="61">
        <v>9.3469294354932383E-2</v>
      </c>
      <c r="AA21" s="71">
        <v>297808.07</v>
      </c>
      <c r="AB21" s="71">
        <v>0</v>
      </c>
      <c r="AC21" s="71">
        <v>0</v>
      </c>
      <c r="AD21" s="71">
        <v>0</v>
      </c>
      <c r="AE21" s="71">
        <v>9.9700000000000006</v>
      </c>
      <c r="AF21" s="71">
        <f t="shared" si="8"/>
        <v>9.9700000000000006</v>
      </c>
      <c r="AG21" s="71">
        <v>80254.61</v>
      </c>
      <c r="AH21" s="70">
        <v>6609.62</v>
      </c>
      <c r="AI21" s="70">
        <v>19769.349999999999</v>
      </c>
      <c r="AJ21" s="71">
        <v>0</v>
      </c>
      <c r="AK21" s="70">
        <v>13595.16</v>
      </c>
      <c r="AL21" s="70">
        <v>12400</v>
      </c>
      <c r="AM21" s="70">
        <v>16937.759999999998</v>
      </c>
      <c r="AN21" s="70">
        <v>2141</v>
      </c>
      <c r="AO21" s="70">
        <v>0</v>
      </c>
      <c r="AP21" s="70">
        <v>0</v>
      </c>
      <c r="AQ21" s="70">
        <v>5659.52</v>
      </c>
      <c r="AR21" s="70">
        <v>2701.14</v>
      </c>
      <c r="AS21" s="70">
        <v>0</v>
      </c>
      <c r="AT21" s="70">
        <v>0</v>
      </c>
      <c r="AU21" s="70">
        <v>4800</v>
      </c>
      <c r="AV21" s="70">
        <v>20316</v>
      </c>
      <c r="AW21" s="70">
        <v>185184.16</v>
      </c>
      <c r="AX21" s="70">
        <v>51699.97</v>
      </c>
      <c r="AY21" s="61">
        <f t="shared" si="9"/>
        <v>0.27918138354813932</v>
      </c>
      <c r="AZ21" s="71">
        <v>0</v>
      </c>
      <c r="BA21" s="61">
        <v>8.0962249022265967E-2</v>
      </c>
      <c r="BB21" s="70">
        <v>70588.81</v>
      </c>
      <c r="BC21" s="70">
        <v>273224.64</v>
      </c>
      <c r="BD21" s="71">
        <v>114000</v>
      </c>
      <c r="BE21" s="71">
        <v>0</v>
      </c>
      <c r="BF21" s="71">
        <v>20601.129999999899</v>
      </c>
      <c r="BG21" s="71">
        <v>0</v>
      </c>
      <c r="BH21" s="71">
        <v>0</v>
      </c>
      <c r="BI21" s="71">
        <v>0</v>
      </c>
      <c r="BJ21" s="71">
        <f t="shared" si="10"/>
        <v>0</v>
      </c>
      <c r="BK21" s="71">
        <v>0</v>
      </c>
      <c r="BL21" s="60">
        <v>278</v>
      </c>
      <c r="BM21" s="60">
        <v>55</v>
      </c>
      <c r="BN21" s="59">
        <v>0</v>
      </c>
      <c r="BO21" s="59">
        <v>0</v>
      </c>
      <c r="BP21" s="59">
        <v>-3</v>
      </c>
      <c r="BQ21" s="59">
        <v>-11</v>
      </c>
      <c r="BR21" s="59">
        <v>-10</v>
      </c>
      <c r="BS21" s="59">
        <v>-10</v>
      </c>
      <c r="BT21" s="59">
        <v>0</v>
      </c>
      <c r="BU21" s="59">
        <v>0</v>
      </c>
      <c r="BV21" s="59">
        <v>15</v>
      </c>
      <c r="BW21" s="59">
        <v>-46</v>
      </c>
      <c r="BX21" s="59">
        <v>-1</v>
      </c>
      <c r="BY21" s="59">
        <v>267</v>
      </c>
      <c r="BZ21" s="59">
        <v>4</v>
      </c>
      <c r="CA21" s="59">
        <v>29</v>
      </c>
      <c r="CB21" s="59">
        <v>4</v>
      </c>
      <c r="CC21" s="59">
        <v>4</v>
      </c>
      <c r="CD21" s="59">
        <v>19</v>
      </c>
      <c r="CE21" s="59">
        <v>9</v>
      </c>
      <c r="CF21" s="59">
        <v>9</v>
      </c>
    </row>
    <row r="22" spans="1:84" s="63" customFormat="1" ht="15.6" customHeight="1" x14ac:dyDescent="0.25">
      <c r="A22" s="33">
        <v>2</v>
      </c>
      <c r="B22" s="34" t="s">
        <v>122</v>
      </c>
      <c r="C22" s="55" t="s">
        <v>123</v>
      </c>
      <c r="D22" s="35" t="s">
        <v>124</v>
      </c>
      <c r="E22" s="35" t="s">
        <v>103</v>
      </c>
      <c r="F22" s="35" t="s">
        <v>104</v>
      </c>
      <c r="G22" s="70">
        <v>12331337.359999999</v>
      </c>
      <c r="H22" s="70">
        <v>123.24</v>
      </c>
      <c r="I22" s="70">
        <v>89036.27</v>
      </c>
      <c r="J22" s="70">
        <v>0</v>
      </c>
      <c r="K22" s="71">
        <v>0</v>
      </c>
      <c r="L22" s="71">
        <v>12420496.869999999</v>
      </c>
      <c r="M22" s="71">
        <v>0</v>
      </c>
      <c r="N22" s="70">
        <v>226294.11</v>
      </c>
      <c r="O22" s="70">
        <v>1041423.14</v>
      </c>
      <c r="P22" s="72">
        <v>3075636.24</v>
      </c>
      <c r="Q22" s="70">
        <v>0</v>
      </c>
      <c r="R22" s="70">
        <v>916162.69</v>
      </c>
      <c r="S22" s="70">
        <v>4988241.46</v>
      </c>
      <c r="T22" s="70">
        <v>809801.7</v>
      </c>
      <c r="U22" s="70">
        <v>0</v>
      </c>
      <c r="V22" s="70">
        <v>0</v>
      </c>
      <c r="W22" s="70">
        <v>172827.2</v>
      </c>
      <c r="X22" s="71">
        <v>1234231.53</v>
      </c>
      <c r="Y22" s="71">
        <v>12464618.07</v>
      </c>
      <c r="Z22" s="61">
        <v>2.1305575918557532E-2</v>
      </c>
      <c r="AA22" s="71">
        <v>1232750.23</v>
      </c>
      <c r="AB22" s="71">
        <v>0</v>
      </c>
      <c r="AC22" s="71">
        <v>0</v>
      </c>
      <c r="AD22" s="71">
        <v>0</v>
      </c>
      <c r="AE22" s="71">
        <v>256.82299999999998</v>
      </c>
      <c r="AF22" s="71">
        <f t="shared" si="8"/>
        <v>256.82299999999998</v>
      </c>
      <c r="AG22" s="71">
        <v>490894.82</v>
      </c>
      <c r="AH22" s="70">
        <v>36753.019999999997</v>
      </c>
      <c r="AI22" s="70">
        <v>102880.81</v>
      </c>
      <c r="AJ22" s="71">
        <v>0</v>
      </c>
      <c r="AK22" s="70">
        <v>51510.13</v>
      </c>
      <c r="AL22" s="70">
        <v>37285.769999999997</v>
      </c>
      <c r="AM22" s="70">
        <v>94561.7</v>
      </c>
      <c r="AN22" s="70">
        <v>12550</v>
      </c>
      <c r="AO22" s="70">
        <v>23606.59</v>
      </c>
      <c r="AP22" s="70">
        <v>0</v>
      </c>
      <c r="AQ22" s="70">
        <v>16014.22</v>
      </c>
      <c r="AR22" s="70">
        <v>4598.8599999999997</v>
      </c>
      <c r="AS22" s="70">
        <v>0</v>
      </c>
      <c r="AT22" s="70">
        <v>1080</v>
      </c>
      <c r="AU22" s="70">
        <v>12000</v>
      </c>
      <c r="AV22" s="70">
        <v>24849.56</v>
      </c>
      <c r="AW22" s="70">
        <v>908585.48</v>
      </c>
      <c r="AX22" s="70">
        <v>0</v>
      </c>
      <c r="AY22" s="61">
        <f t="shared" si="9"/>
        <v>0</v>
      </c>
      <c r="AZ22" s="71">
        <v>0</v>
      </c>
      <c r="BA22" s="61">
        <v>9.9968899885810925E-2</v>
      </c>
      <c r="BB22" s="70">
        <v>160057.34</v>
      </c>
      <c r="BC22" s="70">
        <v>102671.53</v>
      </c>
      <c r="BD22" s="71">
        <v>244766</v>
      </c>
      <c r="BE22" s="71">
        <v>0</v>
      </c>
      <c r="BF22" s="71">
        <v>569228.473</v>
      </c>
      <c r="BG22" s="71">
        <v>342082.103</v>
      </c>
      <c r="BH22" s="71">
        <v>0</v>
      </c>
      <c r="BI22" s="71">
        <v>0</v>
      </c>
      <c r="BJ22" s="71">
        <f t="shared" si="10"/>
        <v>0</v>
      </c>
      <c r="BK22" s="71">
        <v>0</v>
      </c>
      <c r="BL22" s="60">
        <v>1741</v>
      </c>
      <c r="BM22" s="60">
        <v>344</v>
      </c>
      <c r="BN22" s="59">
        <v>10</v>
      </c>
      <c r="BO22" s="59">
        <v>-2</v>
      </c>
      <c r="BP22" s="59">
        <v>-13</v>
      </c>
      <c r="BQ22" s="59">
        <v>-46</v>
      </c>
      <c r="BR22" s="59">
        <v>-22</v>
      </c>
      <c r="BS22" s="59">
        <v>-107</v>
      </c>
      <c r="BT22" s="59">
        <v>0</v>
      </c>
      <c r="BU22" s="59">
        <v>0</v>
      </c>
      <c r="BV22" s="59">
        <v>0</v>
      </c>
      <c r="BW22" s="59">
        <v>-374</v>
      </c>
      <c r="BX22" s="59">
        <v>0</v>
      </c>
      <c r="BY22" s="59">
        <v>1531</v>
      </c>
      <c r="BZ22" s="59">
        <v>23</v>
      </c>
      <c r="CA22" s="59">
        <v>11</v>
      </c>
      <c r="CB22" s="59">
        <v>66</v>
      </c>
      <c r="CC22" s="59">
        <v>36</v>
      </c>
      <c r="CD22" s="59">
        <v>210</v>
      </c>
      <c r="CE22" s="59">
        <v>0</v>
      </c>
      <c r="CF22" s="59">
        <v>6</v>
      </c>
    </row>
    <row r="23" spans="1:84" s="63" customFormat="1" ht="15.6" customHeight="1" x14ac:dyDescent="0.25">
      <c r="A23" s="33">
        <v>3</v>
      </c>
      <c r="B23" s="34" t="s">
        <v>127</v>
      </c>
      <c r="C23" s="55" t="s">
        <v>128</v>
      </c>
      <c r="D23" s="35" t="s">
        <v>129</v>
      </c>
      <c r="E23" s="35" t="s">
        <v>85</v>
      </c>
      <c r="F23" s="35" t="s">
        <v>130</v>
      </c>
      <c r="G23" s="70">
        <v>33354954.079999998</v>
      </c>
      <c r="H23" s="70">
        <v>0</v>
      </c>
      <c r="I23" s="70">
        <v>1456264.45</v>
      </c>
      <c r="J23" s="70">
        <v>0</v>
      </c>
      <c r="K23" s="71">
        <v>0</v>
      </c>
      <c r="L23" s="71">
        <v>34811218.530000001</v>
      </c>
      <c r="M23" s="71">
        <v>0</v>
      </c>
      <c r="N23" s="70">
        <v>238107.23</v>
      </c>
      <c r="O23" s="70">
        <v>8873570.7200000007</v>
      </c>
      <c r="P23" s="72">
        <v>5369415.2999999998</v>
      </c>
      <c r="Q23" s="70">
        <v>25425.72</v>
      </c>
      <c r="R23" s="70">
        <v>2415838.77</v>
      </c>
      <c r="S23" s="70">
        <v>10490603.539999999</v>
      </c>
      <c r="T23" s="70">
        <v>3199268.45</v>
      </c>
      <c r="U23" s="70">
        <v>0</v>
      </c>
      <c r="V23" s="70">
        <v>0</v>
      </c>
      <c r="W23" s="70">
        <v>2050422.73</v>
      </c>
      <c r="X23" s="71">
        <v>3053552.17</v>
      </c>
      <c r="Y23" s="71">
        <v>35716204.630000003</v>
      </c>
      <c r="Z23" s="61">
        <v>0.14461930477944762</v>
      </c>
      <c r="AA23" s="71">
        <v>2801767.62</v>
      </c>
      <c r="AB23" s="71">
        <v>0</v>
      </c>
      <c r="AC23" s="71">
        <v>0</v>
      </c>
      <c r="AD23" s="71">
        <v>0</v>
      </c>
      <c r="AE23" s="71">
        <v>318.52999999999997</v>
      </c>
      <c r="AF23" s="71">
        <f t="shared" si="8"/>
        <v>318.52999999999997</v>
      </c>
      <c r="AG23" s="71">
        <v>1535944.22</v>
      </c>
      <c r="AH23" s="70">
        <v>118035.51</v>
      </c>
      <c r="AI23" s="70">
        <v>474624.06</v>
      </c>
      <c r="AJ23" s="71">
        <v>0</v>
      </c>
      <c r="AK23" s="70">
        <v>254774.38</v>
      </c>
      <c r="AL23" s="70">
        <v>8093.1</v>
      </c>
      <c r="AM23" s="70">
        <v>128347.21</v>
      </c>
      <c r="AN23" s="70">
        <v>9400</v>
      </c>
      <c r="AO23" s="70">
        <v>12121.13</v>
      </c>
      <c r="AP23" s="70">
        <v>0</v>
      </c>
      <c r="AQ23" s="70">
        <v>22968.16</v>
      </c>
      <c r="AR23" s="70">
        <v>20418.7</v>
      </c>
      <c r="AS23" s="70">
        <v>1935</v>
      </c>
      <c r="AT23" s="70">
        <v>10566.16</v>
      </c>
      <c r="AU23" s="70">
        <v>29150.98</v>
      </c>
      <c r="AV23" s="70">
        <v>99900.31</v>
      </c>
      <c r="AW23" s="70">
        <v>2726278.92</v>
      </c>
      <c r="AX23" s="70">
        <v>0</v>
      </c>
      <c r="AY23" s="61">
        <f t="shared" si="9"/>
        <v>0</v>
      </c>
      <c r="AZ23" s="71">
        <v>0</v>
      </c>
      <c r="BA23" s="61">
        <v>8.3998545261975671E-2</v>
      </c>
      <c r="BB23" s="70">
        <v>1186374.1499999999</v>
      </c>
      <c r="BC23" s="70">
        <v>3637396.12</v>
      </c>
      <c r="BD23" s="71">
        <v>244766</v>
      </c>
      <c r="BE23" s="71">
        <v>0</v>
      </c>
      <c r="BF23" s="71">
        <v>645002.22999999905</v>
      </c>
      <c r="BG23" s="71">
        <v>0</v>
      </c>
      <c r="BH23" s="71">
        <v>0</v>
      </c>
      <c r="BI23" s="71">
        <v>0</v>
      </c>
      <c r="BJ23" s="71">
        <f t="shared" si="10"/>
        <v>0</v>
      </c>
      <c r="BK23" s="71">
        <v>0</v>
      </c>
      <c r="BL23" s="60">
        <v>4996</v>
      </c>
      <c r="BM23" s="60">
        <v>1321</v>
      </c>
      <c r="BN23" s="59">
        <v>50</v>
      </c>
      <c r="BO23" s="59">
        <v>-178</v>
      </c>
      <c r="BP23" s="59">
        <v>-23</v>
      </c>
      <c r="BQ23" s="59">
        <v>-38</v>
      </c>
      <c r="BR23" s="59">
        <v>-322</v>
      </c>
      <c r="BS23" s="59">
        <v>-322</v>
      </c>
      <c r="BT23" s="59">
        <v>0</v>
      </c>
      <c r="BU23" s="59">
        <v>-2</v>
      </c>
      <c r="BV23" s="59">
        <v>23</v>
      </c>
      <c r="BW23" s="59">
        <v>-922</v>
      </c>
      <c r="BX23" s="59">
        <v>-1</v>
      </c>
      <c r="BY23" s="59">
        <v>4582</v>
      </c>
      <c r="BZ23" s="59">
        <v>33</v>
      </c>
      <c r="CA23" s="59">
        <v>97</v>
      </c>
      <c r="CB23" s="59">
        <v>332</v>
      </c>
      <c r="CC23" s="59">
        <v>83</v>
      </c>
      <c r="CD23" s="59">
        <v>420</v>
      </c>
      <c r="CE23" s="59">
        <v>112</v>
      </c>
      <c r="CF23" s="59">
        <v>31</v>
      </c>
    </row>
    <row r="24" spans="1:84" s="63" customFormat="1" ht="15.6" customHeight="1" x14ac:dyDescent="0.25">
      <c r="A24" s="33">
        <v>3</v>
      </c>
      <c r="B24" s="34" t="s">
        <v>134</v>
      </c>
      <c r="C24" s="55" t="s">
        <v>135</v>
      </c>
      <c r="D24" s="35" t="s">
        <v>136</v>
      </c>
      <c r="E24" s="35" t="s">
        <v>85</v>
      </c>
      <c r="F24" s="35" t="s">
        <v>130</v>
      </c>
      <c r="G24" s="70">
        <v>40714072.380000003</v>
      </c>
      <c r="H24" s="70">
        <v>0</v>
      </c>
      <c r="I24" s="70">
        <v>1056289.45</v>
      </c>
      <c r="J24" s="70">
        <v>0</v>
      </c>
      <c r="K24" s="71">
        <v>12532.73</v>
      </c>
      <c r="L24" s="71">
        <v>41782894.560000002</v>
      </c>
      <c r="M24" s="71">
        <v>0</v>
      </c>
      <c r="N24" s="70">
        <v>2006188.33</v>
      </c>
      <c r="O24" s="70">
        <v>13302502.210000001</v>
      </c>
      <c r="P24" s="72">
        <v>3826418.22</v>
      </c>
      <c r="Q24" s="70">
        <v>0</v>
      </c>
      <c r="R24" s="70">
        <v>2459569.6800000002</v>
      </c>
      <c r="S24" s="70">
        <v>12226404.24</v>
      </c>
      <c r="T24" s="70">
        <v>3931988.42</v>
      </c>
      <c r="U24" s="70">
        <v>0</v>
      </c>
      <c r="V24" s="70">
        <v>0</v>
      </c>
      <c r="W24" s="70">
        <v>1384849.81</v>
      </c>
      <c r="X24" s="71">
        <v>1829336.7400000002</v>
      </c>
      <c r="Y24" s="71">
        <v>40967257.649999999</v>
      </c>
      <c r="Z24" s="61">
        <v>0.12700346655914599</v>
      </c>
      <c r="AA24" s="71">
        <v>1673097.37</v>
      </c>
      <c r="AB24" s="71">
        <v>0</v>
      </c>
      <c r="AC24" s="71">
        <v>0</v>
      </c>
      <c r="AD24" s="71">
        <v>0</v>
      </c>
      <c r="AE24" s="71">
        <v>0</v>
      </c>
      <c r="AF24" s="71">
        <f t="shared" si="8"/>
        <v>0</v>
      </c>
      <c r="AG24" s="71">
        <v>1179491.8999999999</v>
      </c>
      <c r="AH24" s="70">
        <v>94355.199999999997</v>
      </c>
      <c r="AI24" s="70">
        <v>285331.81</v>
      </c>
      <c r="AJ24" s="71">
        <v>0</v>
      </c>
      <c r="AK24" s="70">
        <v>144480.85</v>
      </c>
      <c r="AL24" s="70">
        <v>3944.55</v>
      </c>
      <c r="AM24" s="70">
        <v>142756.54</v>
      </c>
      <c r="AN24" s="70">
        <v>9400</v>
      </c>
      <c r="AO24" s="70">
        <v>10033</v>
      </c>
      <c r="AP24" s="70">
        <v>0</v>
      </c>
      <c r="AQ24" s="70">
        <v>41934.19</v>
      </c>
      <c r="AR24" s="70">
        <v>11000.11</v>
      </c>
      <c r="AS24" s="70">
        <v>300</v>
      </c>
      <c r="AT24" s="70">
        <v>35871.69</v>
      </c>
      <c r="AU24" s="70">
        <v>9821.0400000000009</v>
      </c>
      <c r="AV24" s="70">
        <v>68573.509999999995</v>
      </c>
      <c r="AW24" s="70">
        <v>2037294.39</v>
      </c>
      <c r="AX24" s="70">
        <v>0</v>
      </c>
      <c r="AY24" s="61">
        <f t="shared" si="9"/>
        <v>0</v>
      </c>
      <c r="AZ24" s="71">
        <v>0</v>
      </c>
      <c r="BA24" s="61">
        <v>4.1093834937078827E-2</v>
      </c>
      <c r="BB24" s="70">
        <v>1084456.0900000001</v>
      </c>
      <c r="BC24" s="70">
        <v>4086372.24</v>
      </c>
      <c r="BD24" s="71">
        <v>244766</v>
      </c>
      <c r="BE24" s="71">
        <v>2.91038304567337E-11</v>
      </c>
      <c r="BF24" s="71">
        <v>1120450.54</v>
      </c>
      <c r="BG24" s="71">
        <v>611126.94250000105</v>
      </c>
      <c r="BH24" s="71">
        <v>0</v>
      </c>
      <c r="BI24" s="71">
        <v>0</v>
      </c>
      <c r="BJ24" s="71">
        <f t="shared" si="10"/>
        <v>0</v>
      </c>
      <c r="BK24" s="71">
        <v>0</v>
      </c>
      <c r="BL24" s="60">
        <v>3885</v>
      </c>
      <c r="BM24" s="60">
        <v>1327</v>
      </c>
      <c r="BN24" s="59">
        <v>87</v>
      </c>
      <c r="BO24" s="59">
        <v>-114</v>
      </c>
      <c r="BP24" s="59">
        <v>-17</v>
      </c>
      <c r="BQ24" s="59">
        <v>-35</v>
      </c>
      <c r="BR24" s="59">
        <v>-324</v>
      </c>
      <c r="BS24" s="59">
        <v>-328</v>
      </c>
      <c r="BT24" s="59">
        <v>0</v>
      </c>
      <c r="BU24" s="59">
        <v>0</v>
      </c>
      <c r="BV24" s="59">
        <v>301</v>
      </c>
      <c r="BW24" s="59">
        <v>-782</v>
      </c>
      <c r="BX24" s="59">
        <v>0</v>
      </c>
      <c r="BY24" s="59">
        <v>4000</v>
      </c>
      <c r="BZ24" s="59">
        <v>106</v>
      </c>
      <c r="CA24" s="59">
        <v>95</v>
      </c>
      <c r="CB24" s="59">
        <v>281</v>
      </c>
      <c r="CC24" s="59">
        <v>63</v>
      </c>
      <c r="CD24" s="59">
        <v>399</v>
      </c>
      <c r="CE24" s="59">
        <v>1</v>
      </c>
      <c r="CF24" s="59">
        <v>38</v>
      </c>
    </row>
    <row r="25" spans="1:84" s="63" customFormat="1" ht="15.6" customHeight="1" x14ac:dyDescent="0.25">
      <c r="A25" s="33">
        <v>3</v>
      </c>
      <c r="B25" s="51" t="s">
        <v>561</v>
      </c>
      <c r="C25" s="55" t="s">
        <v>562</v>
      </c>
      <c r="D25" s="35" t="s">
        <v>138</v>
      </c>
      <c r="E25" s="35" t="s">
        <v>85</v>
      </c>
      <c r="F25" s="35" t="s">
        <v>139</v>
      </c>
      <c r="G25" s="70">
        <v>13578250.959999999</v>
      </c>
      <c r="H25" s="70">
        <v>121969.84</v>
      </c>
      <c r="I25" s="70">
        <v>0</v>
      </c>
      <c r="J25" s="70">
        <v>0</v>
      </c>
      <c r="K25" s="71">
        <v>0</v>
      </c>
      <c r="L25" s="71">
        <v>13700220.799999999</v>
      </c>
      <c r="M25" s="71">
        <v>0</v>
      </c>
      <c r="N25" s="70">
        <v>0</v>
      </c>
      <c r="O25" s="70">
        <v>3025484.6</v>
      </c>
      <c r="P25" s="72">
        <v>4842382.5999999996</v>
      </c>
      <c r="Q25" s="70">
        <v>0</v>
      </c>
      <c r="R25" s="70">
        <v>1823938.33</v>
      </c>
      <c r="S25" s="70">
        <v>1927468.21</v>
      </c>
      <c r="T25" s="70">
        <v>975271.78</v>
      </c>
      <c r="U25" s="70">
        <v>0</v>
      </c>
      <c r="V25" s="70">
        <v>0</v>
      </c>
      <c r="W25" s="70">
        <v>432265.18</v>
      </c>
      <c r="X25" s="71">
        <v>811480.53</v>
      </c>
      <c r="Y25" s="71">
        <v>13838291.23</v>
      </c>
      <c r="Z25" s="61">
        <f>1313261/13700221</f>
        <v>9.5856920848211138E-2</v>
      </c>
      <c r="AA25" s="71">
        <v>811480.53</v>
      </c>
      <c r="AB25" s="71">
        <v>0</v>
      </c>
      <c r="AC25" s="71">
        <v>0</v>
      </c>
      <c r="AD25" s="71">
        <v>0</v>
      </c>
      <c r="AE25" s="71">
        <v>0</v>
      </c>
      <c r="AF25" s="71">
        <f t="shared" ref="AF25" si="11">SUM(AD25:AE25)</f>
        <v>0</v>
      </c>
      <c r="AG25" s="71">
        <v>432089.06999999995</v>
      </c>
      <c r="AH25" s="70">
        <v>35238.270000000004</v>
      </c>
      <c r="AI25" s="70">
        <v>65937.710000000006</v>
      </c>
      <c r="AJ25" s="71">
        <v>0</v>
      </c>
      <c r="AK25" s="70">
        <v>82241.679999999993</v>
      </c>
      <c r="AL25" s="70">
        <v>42485.350000000006</v>
      </c>
      <c r="AM25" s="70">
        <v>97733.4</v>
      </c>
      <c r="AN25" s="70">
        <v>9400</v>
      </c>
      <c r="AO25" s="70">
        <v>46503.5</v>
      </c>
      <c r="AP25" s="70">
        <v>0</v>
      </c>
      <c r="AQ25" s="70">
        <f>3648+8867+12305</f>
        <v>24820</v>
      </c>
      <c r="AR25" s="70">
        <v>12274.61</v>
      </c>
      <c r="AS25" s="70">
        <v>0</v>
      </c>
      <c r="AT25" s="70">
        <v>11151</v>
      </c>
      <c r="AU25" s="70">
        <v>16614.47</v>
      </c>
      <c r="AV25" s="70">
        <f>AW25-(AG25+AH25+AI25+AK25+AL25+AM25+AN25+AO25+AQ25+AR25+AT25+AU25)</f>
        <v>43715.70000000007</v>
      </c>
      <c r="AW25" s="70">
        <v>920204.76</v>
      </c>
      <c r="AX25" s="70">
        <v>0</v>
      </c>
      <c r="AY25" s="61">
        <f t="shared" ref="AY25" si="12">AX25/AW25</f>
        <v>0</v>
      </c>
      <c r="AZ25" s="71">
        <v>0</v>
      </c>
      <c r="BA25" s="61">
        <f>811481/13578251</f>
        <v>5.9763293519909153E-2</v>
      </c>
      <c r="BB25" s="70">
        <v>181713</v>
      </c>
      <c r="BC25" s="70">
        <v>1129548</v>
      </c>
      <c r="BD25" s="71">
        <v>243273</v>
      </c>
      <c r="BE25" s="71">
        <v>0</v>
      </c>
      <c r="BF25" s="71">
        <v>450190</v>
      </c>
      <c r="BG25" s="71">
        <v>220139</v>
      </c>
      <c r="BH25" s="71">
        <v>0</v>
      </c>
      <c r="BI25" s="71">
        <v>0</v>
      </c>
      <c r="BJ25" s="71">
        <f t="shared" ref="BJ25" si="13">SUM(BH25:BI25)</f>
        <v>0</v>
      </c>
      <c r="BK25" s="71">
        <v>0</v>
      </c>
      <c r="BL25" s="60">
        <v>2363</v>
      </c>
      <c r="BM25" s="60">
        <v>369</v>
      </c>
      <c r="BN25" s="59">
        <v>19</v>
      </c>
      <c r="BO25" s="59">
        <v>-54</v>
      </c>
      <c r="BP25" s="59">
        <v>-4</v>
      </c>
      <c r="BQ25" s="59">
        <v>-22</v>
      </c>
      <c r="BR25" s="59">
        <v>-71</v>
      </c>
      <c r="BS25" s="59">
        <v>-121</v>
      </c>
      <c r="BT25" s="59">
        <v>11</v>
      </c>
      <c r="BU25" s="59">
        <v>0</v>
      </c>
      <c r="BV25" s="59">
        <v>-236</v>
      </c>
      <c r="BW25" s="59">
        <v>-341</v>
      </c>
      <c r="BX25" s="59">
        <v>-1</v>
      </c>
      <c r="BY25" s="59">
        <v>1912</v>
      </c>
      <c r="BZ25" s="59">
        <v>5</v>
      </c>
      <c r="CA25" s="59">
        <v>457</v>
      </c>
      <c r="CB25" s="59">
        <v>48</v>
      </c>
      <c r="CC25" s="59">
        <v>21</v>
      </c>
      <c r="CD25" s="59">
        <v>185</v>
      </c>
      <c r="CE25" s="59">
        <v>79</v>
      </c>
      <c r="CF25" s="59">
        <v>8</v>
      </c>
    </row>
    <row r="26" spans="1:84" s="63" customFormat="1" ht="15.6" customHeight="1" x14ac:dyDescent="0.25">
      <c r="A26" s="33">
        <v>3</v>
      </c>
      <c r="B26" s="34" t="s">
        <v>144</v>
      </c>
      <c r="C26" s="55" t="s">
        <v>110</v>
      </c>
      <c r="D26" s="35" t="s">
        <v>145</v>
      </c>
      <c r="E26" s="35" t="s">
        <v>85</v>
      </c>
      <c r="F26" s="35" t="s">
        <v>130</v>
      </c>
      <c r="G26" s="70">
        <v>42396473.630000003</v>
      </c>
      <c r="H26" s="70">
        <v>0</v>
      </c>
      <c r="I26" s="70">
        <v>2164830.86</v>
      </c>
      <c r="J26" s="70">
        <v>0</v>
      </c>
      <c r="K26" s="71">
        <v>0</v>
      </c>
      <c r="L26" s="71">
        <v>44561304.490000002</v>
      </c>
      <c r="M26" s="71">
        <v>0</v>
      </c>
      <c r="N26" s="70">
        <v>123624.29</v>
      </c>
      <c r="O26" s="70">
        <v>11760219.02</v>
      </c>
      <c r="P26" s="72">
        <v>4562466.12</v>
      </c>
      <c r="Q26" s="70">
        <v>0</v>
      </c>
      <c r="R26" s="70">
        <v>3007522.38</v>
      </c>
      <c r="S26" s="70">
        <v>14924650.08</v>
      </c>
      <c r="T26" s="70">
        <v>3420790.72</v>
      </c>
      <c r="U26" s="70">
        <v>0</v>
      </c>
      <c r="V26" s="70">
        <v>0</v>
      </c>
      <c r="W26" s="70">
        <v>2248852.1800000002</v>
      </c>
      <c r="X26" s="71">
        <v>3559053.76</v>
      </c>
      <c r="Y26" s="71">
        <v>43607178.549999997</v>
      </c>
      <c r="Z26" s="61">
        <v>0.18871535023937791</v>
      </c>
      <c r="AA26" s="71">
        <v>3559053.76</v>
      </c>
      <c r="AB26" s="71">
        <v>0</v>
      </c>
      <c r="AC26" s="71">
        <v>0</v>
      </c>
      <c r="AD26" s="71">
        <v>0</v>
      </c>
      <c r="AE26" s="71">
        <v>0</v>
      </c>
      <c r="AF26" s="71">
        <f t="shared" ref="AF26:AF30" si="14">SUM(AD26:AE26)</f>
        <v>0</v>
      </c>
      <c r="AG26" s="71">
        <v>1699235.17</v>
      </c>
      <c r="AH26" s="70">
        <v>139727.44</v>
      </c>
      <c r="AI26" s="70">
        <v>460037.35</v>
      </c>
      <c r="AJ26" s="71">
        <v>0</v>
      </c>
      <c r="AK26" s="70">
        <v>174957.6</v>
      </c>
      <c r="AL26" s="70">
        <v>8318.74</v>
      </c>
      <c r="AM26" s="70">
        <v>72231.759999999995</v>
      </c>
      <c r="AN26" s="70">
        <v>9400</v>
      </c>
      <c r="AO26" s="70">
        <v>10440.9</v>
      </c>
      <c r="AP26" s="70">
        <v>0</v>
      </c>
      <c r="AQ26" s="70">
        <v>39883.32</v>
      </c>
      <c r="AR26" s="70">
        <v>31117.279999999999</v>
      </c>
      <c r="AS26" s="70">
        <v>0</v>
      </c>
      <c r="AT26" s="70">
        <v>2399.02</v>
      </c>
      <c r="AU26" s="70">
        <v>7961.92</v>
      </c>
      <c r="AV26" s="70">
        <v>107765.11</v>
      </c>
      <c r="AW26" s="70">
        <v>2763475.61</v>
      </c>
      <c r="AX26" s="70">
        <v>0</v>
      </c>
      <c r="AY26" s="61">
        <f t="shared" ref="AY26:AY41" si="15">AX26/AW26</f>
        <v>0</v>
      </c>
      <c r="AZ26" s="71">
        <v>0</v>
      </c>
      <c r="BA26" s="61">
        <v>8.3946928960657516E-2</v>
      </c>
      <c r="BB26" s="70">
        <v>1319136.17</v>
      </c>
      <c r="BC26" s="70">
        <v>6681729.2000000002</v>
      </c>
      <c r="BD26" s="71">
        <v>244766</v>
      </c>
      <c r="BE26" s="71">
        <v>0</v>
      </c>
      <c r="BF26" s="71">
        <v>2266908.7200000002</v>
      </c>
      <c r="BG26" s="71">
        <v>1576039.8174999999</v>
      </c>
      <c r="BH26" s="71">
        <v>0</v>
      </c>
      <c r="BI26" s="71">
        <v>0</v>
      </c>
      <c r="BJ26" s="71">
        <f t="shared" ref="BJ26:BJ30" si="16">SUM(BH26:BI26)</f>
        <v>0</v>
      </c>
      <c r="BK26" s="71">
        <v>0</v>
      </c>
      <c r="BL26" s="60">
        <v>4664</v>
      </c>
      <c r="BM26" s="60">
        <v>1487</v>
      </c>
      <c r="BN26" s="59">
        <v>60</v>
      </c>
      <c r="BO26" s="59">
        <v>0</v>
      </c>
      <c r="BP26" s="59">
        <v>-27</v>
      </c>
      <c r="BQ26" s="59">
        <v>-45</v>
      </c>
      <c r="BR26" s="59">
        <v>-349</v>
      </c>
      <c r="BS26" s="59">
        <v>-425</v>
      </c>
      <c r="BT26" s="59">
        <v>0</v>
      </c>
      <c r="BU26" s="59">
        <v>-2</v>
      </c>
      <c r="BV26" s="59">
        <v>0</v>
      </c>
      <c r="BW26" s="59">
        <v>-1021</v>
      </c>
      <c r="BX26" s="59">
        <v>0</v>
      </c>
      <c r="BY26" s="59">
        <v>4342</v>
      </c>
      <c r="BZ26" s="59">
        <v>37</v>
      </c>
      <c r="CA26" s="59">
        <v>26</v>
      </c>
      <c r="CB26" s="59">
        <v>378</v>
      </c>
      <c r="CC26" s="59">
        <v>85</v>
      </c>
      <c r="CD26" s="59">
        <v>449</v>
      </c>
      <c r="CE26" s="59">
        <v>75</v>
      </c>
      <c r="CF26" s="59">
        <v>32</v>
      </c>
    </row>
    <row r="27" spans="1:84" s="63" customFormat="1" ht="15.6" customHeight="1" x14ac:dyDescent="0.25">
      <c r="A27" s="33">
        <v>3</v>
      </c>
      <c r="B27" s="34" t="s">
        <v>544</v>
      </c>
      <c r="C27" s="55" t="s">
        <v>514</v>
      </c>
      <c r="D27" s="35" t="s">
        <v>143</v>
      </c>
      <c r="E27" s="35" t="s">
        <v>106</v>
      </c>
      <c r="F27" s="35" t="s">
        <v>133</v>
      </c>
      <c r="G27" s="70">
        <v>19365808.859999999</v>
      </c>
      <c r="H27" s="70">
        <v>0</v>
      </c>
      <c r="I27" s="70">
        <v>541759.67999999993</v>
      </c>
      <c r="J27" s="70">
        <v>0</v>
      </c>
      <c r="K27" s="71">
        <v>0</v>
      </c>
      <c r="L27" s="71">
        <v>19907568.539999999</v>
      </c>
      <c r="M27" s="71">
        <v>0</v>
      </c>
      <c r="N27" s="70">
        <v>0</v>
      </c>
      <c r="O27" s="70">
        <v>5135068.46</v>
      </c>
      <c r="P27" s="72">
        <v>3730429.55</v>
      </c>
      <c r="Q27" s="70">
        <v>0</v>
      </c>
      <c r="R27" s="70">
        <v>1289741.6399999999</v>
      </c>
      <c r="S27" s="70">
        <v>5685817.1699999999</v>
      </c>
      <c r="T27" s="70">
        <v>1493811.19</v>
      </c>
      <c r="U27" s="70">
        <v>0</v>
      </c>
      <c r="V27" s="70">
        <v>0</v>
      </c>
      <c r="W27" s="70">
        <v>1142078.8700000001</v>
      </c>
      <c r="X27" s="71">
        <v>1539357.87</v>
      </c>
      <c r="Y27" s="71">
        <v>20016304.75</v>
      </c>
      <c r="Z27" s="61">
        <v>0.10026210286576173</v>
      </c>
      <c r="AA27" s="71">
        <v>1539357.87</v>
      </c>
      <c r="AB27" s="71">
        <v>0</v>
      </c>
      <c r="AC27" s="71">
        <v>0</v>
      </c>
      <c r="AD27" s="71">
        <v>0</v>
      </c>
      <c r="AE27" s="71">
        <v>0</v>
      </c>
      <c r="AF27" s="71">
        <f t="shared" si="14"/>
        <v>0</v>
      </c>
      <c r="AG27" s="71">
        <v>750935.54</v>
      </c>
      <c r="AH27" s="70">
        <v>64703.8</v>
      </c>
      <c r="AI27" s="70">
        <v>159255.57999999999</v>
      </c>
      <c r="AJ27" s="71">
        <v>0</v>
      </c>
      <c r="AK27" s="70">
        <v>145525.75</v>
      </c>
      <c r="AL27" s="70">
        <v>5436.15</v>
      </c>
      <c r="AM27" s="70">
        <v>80824.02</v>
      </c>
      <c r="AN27" s="70">
        <v>9400</v>
      </c>
      <c r="AO27" s="70">
        <v>5402.03</v>
      </c>
      <c r="AP27" s="70">
        <v>0</v>
      </c>
      <c r="AQ27" s="70">
        <v>23408.2</v>
      </c>
      <c r="AR27" s="70">
        <v>21678.06</v>
      </c>
      <c r="AS27" s="70">
        <v>0</v>
      </c>
      <c r="AT27" s="70">
        <v>570.28</v>
      </c>
      <c r="AU27" s="70">
        <v>10929.41</v>
      </c>
      <c r="AV27" s="70">
        <v>49140.22</v>
      </c>
      <c r="AW27" s="70">
        <v>1327209.04</v>
      </c>
      <c r="AX27" s="70">
        <v>0</v>
      </c>
      <c r="AY27" s="61">
        <f t="shared" si="15"/>
        <v>0</v>
      </c>
      <c r="AZ27" s="71">
        <v>0</v>
      </c>
      <c r="BA27" s="61">
        <v>7.9488436611575647E-2</v>
      </c>
      <c r="BB27" s="70">
        <v>1141845.03</v>
      </c>
      <c r="BC27" s="70">
        <v>799811.69</v>
      </c>
      <c r="BD27" s="71">
        <v>241807</v>
      </c>
      <c r="BE27" s="71">
        <v>5.8207660913467401E-11</v>
      </c>
      <c r="BF27" s="71">
        <v>672917.69999999902</v>
      </c>
      <c r="BG27" s="71">
        <v>341115.43999999901</v>
      </c>
      <c r="BH27" s="71">
        <v>0</v>
      </c>
      <c r="BI27" s="71">
        <v>0</v>
      </c>
      <c r="BJ27" s="71">
        <f t="shared" si="16"/>
        <v>0</v>
      </c>
      <c r="BK27" s="71">
        <v>0</v>
      </c>
      <c r="BL27" s="60">
        <v>2781</v>
      </c>
      <c r="BM27" s="60">
        <v>584</v>
      </c>
      <c r="BN27" s="59">
        <v>4</v>
      </c>
      <c r="BO27" s="59">
        <v>-1</v>
      </c>
      <c r="BP27" s="59">
        <v>-16</v>
      </c>
      <c r="BQ27" s="59">
        <v>-21</v>
      </c>
      <c r="BR27" s="59">
        <v>-163</v>
      </c>
      <c r="BS27" s="59">
        <v>-236</v>
      </c>
      <c r="BT27" s="59">
        <v>253</v>
      </c>
      <c r="BU27" s="59">
        <v>-1</v>
      </c>
      <c r="BV27" s="59">
        <v>16</v>
      </c>
      <c r="BW27" s="59">
        <v>-457</v>
      </c>
      <c r="BX27" s="59">
        <v>-2</v>
      </c>
      <c r="BY27" s="59">
        <v>2741</v>
      </c>
      <c r="BZ27" s="59">
        <v>38</v>
      </c>
      <c r="CA27" s="59">
        <v>265</v>
      </c>
      <c r="CB27" s="59">
        <v>112</v>
      </c>
      <c r="CC27" s="59">
        <v>20</v>
      </c>
      <c r="CD27" s="59">
        <v>303</v>
      </c>
      <c r="CE27" s="59">
        <v>7</v>
      </c>
      <c r="CF27" s="59">
        <v>15</v>
      </c>
    </row>
    <row r="28" spans="1:84" s="63" customFormat="1" ht="15.6" customHeight="1" x14ac:dyDescent="0.25">
      <c r="A28" s="69">
        <v>3</v>
      </c>
      <c r="B28" s="69" t="s">
        <v>499</v>
      </c>
      <c r="C28" s="69" t="s">
        <v>564</v>
      </c>
      <c r="D28" s="69" t="s">
        <v>142</v>
      </c>
      <c r="E28" s="37" t="s">
        <v>106</v>
      </c>
      <c r="F28" s="69" t="s">
        <v>133</v>
      </c>
      <c r="G28" s="70">
        <v>30703614.289999999</v>
      </c>
      <c r="H28" s="70">
        <v>0.04</v>
      </c>
      <c r="I28" s="70">
        <v>426576.26</v>
      </c>
      <c r="J28" s="70">
        <v>0</v>
      </c>
      <c r="K28" s="71">
        <v>0</v>
      </c>
      <c r="L28" s="71">
        <v>31130190.59</v>
      </c>
      <c r="M28" s="71">
        <v>0</v>
      </c>
      <c r="N28" s="70">
        <v>0</v>
      </c>
      <c r="O28" s="70">
        <v>6732232.6600000001</v>
      </c>
      <c r="P28" s="72">
        <v>7181759.5300000003</v>
      </c>
      <c r="Q28" s="70">
        <v>0</v>
      </c>
      <c r="R28" s="70">
        <v>2054160.99</v>
      </c>
      <c r="S28" s="70">
        <v>9243366.9299999997</v>
      </c>
      <c r="T28" s="70">
        <v>2697225.11</v>
      </c>
      <c r="U28" s="70">
        <v>0</v>
      </c>
      <c r="V28" s="70">
        <v>0</v>
      </c>
      <c r="W28" s="70">
        <v>982636.09</v>
      </c>
      <c r="X28" s="71">
        <v>2507274.7400000002</v>
      </c>
      <c r="Y28" s="71">
        <v>31398656.050000001</v>
      </c>
      <c r="Z28" s="61">
        <v>0.19083902132899186</v>
      </c>
      <c r="AA28" s="71">
        <v>2454031.91</v>
      </c>
      <c r="AB28" s="71">
        <v>0</v>
      </c>
      <c r="AC28" s="71">
        <v>0</v>
      </c>
      <c r="AD28" s="71">
        <v>0</v>
      </c>
      <c r="AE28" s="71">
        <v>0</v>
      </c>
      <c r="AF28" s="71">
        <f t="shared" si="14"/>
        <v>0</v>
      </c>
      <c r="AG28" s="71">
        <v>1394463.77</v>
      </c>
      <c r="AH28" s="70">
        <v>121133.32</v>
      </c>
      <c r="AI28" s="70">
        <v>370882.83</v>
      </c>
      <c r="AJ28" s="71">
        <v>0</v>
      </c>
      <c r="AK28" s="70">
        <v>241685.62</v>
      </c>
      <c r="AL28" s="70">
        <v>22217.99</v>
      </c>
      <c r="AM28" s="70">
        <v>131958.69</v>
      </c>
      <c r="AN28" s="70">
        <v>9400</v>
      </c>
      <c r="AO28" s="70">
        <v>24713</v>
      </c>
      <c r="AP28" s="70">
        <v>0</v>
      </c>
      <c r="AQ28" s="70">
        <v>37638.949999999997</v>
      </c>
      <c r="AR28" s="70">
        <v>33509.269999999997</v>
      </c>
      <c r="AS28" s="70">
        <v>0</v>
      </c>
      <c r="AT28" s="70">
        <v>11626.43</v>
      </c>
      <c r="AU28" s="70">
        <v>8062.27</v>
      </c>
      <c r="AV28" s="70">
        <v>100148.19</v>
      </c>
      <c r="AW28" s="70">
        <v>2507440.33</v>
      </c>
      <c r="AX28" s="70">
        <v>0</v>
      </c>
      <c r="AY28" s="61">
        <f t="shared" si="15"/>
        <v>0</v>
      </c>
      <c r="AZ28" s="71">
        <v>0</v>
      </c>
      <c r="BA28" s="61">
        <v>7.9926483143688568E-2</v>
      </c>
      <c r="BB28" s="70">
        <v>2091606.96</v>
      </c>
      <c r="BC28" s="70">
        <v>3767840.75</v>
      </c>
      <c r="BD28" s="71">
        <v>241807</v>
      </c>
      <c r="BE28" s="71">
        <v>0</v>
      </c>
      <c r="BF28" s="71">
        <v>1102618.57</v>
      </c>
      <c r="BG28" s="71">
        <v>475758.48750000098</v>
      </c>
      <c r="BH28" s="71">
        <v>0</v>
      </c>
      <c r="BI28" s="71">
        <v>0</v>
      </c>
      <c r="BJ28" s="71">
        <f t="shared" si="16"/>
        <v>0</v>
      </c>
      <c r="BK28" s="71">
        <v>0</v>
      </c>
      <c r="BL28" s="60">
        <v>4305</v>
      </c>
      <c r="BM28" s="60">
        <v>1021</v>
      </c>
      <c r="BN28" s="59">
        <v>43</v>
      </c>
      <c r="BO28" s="59">
        <v>-81</v>
      </c>
      <c r="BP28" s="59">
        <v>-18</v>
      </c>
      <c r="BQ28" s="59">
        <v>-16</v>
      </c>
      <c r="BR28" s="59">
        <v>-320</v>
      </c>
      <c r="BS28" s="59">
        <v>-338</v>
      </c>
      <c r="BT28" s="59">
        <v>12</v>
      </c>
      <c r="BU28" s="59">
        <v>36</v>
      </c>
      <c r="BV28" s="59">
        <v>123</v>
      </c>
      <c r="BW28" s="59">
        <v>-719</v>
      </c>
      <c r="BX28" s="59">
        <v>-1</v>
      </c>
      <c r="BY28" s="59">
        <v>4047</v>
      </c>
      <c r="BZ28" s="59">
        <v>41</v>
      </c>
      <c r="CA28" s="59">
        <v>304</v>
      </c>
      <c r="CB28" s="59">
        <v>213</v>
      </c>
      <c r="CC28" s="59">
        <v>48</v>
      </c>
      <c r="CD28" s="59">
        <v>430</v>
      </c>
      <c r="CE28" s="59">
        <v>4</v>
      </c>
      <c r="CF28" s="59">
        <v>22</v>
      </c>
    </row>
    <row r="29" spans="1:84" s="50" customFormat="1" ht="15.6" customHeight="1" x14ac:dyDescent="0.25">
      <c r="A29" s="39">
        <v>3</v>
      </c>
      <c r="B29" s="51" t="s">
        <v>146</v>
      </c>
      <c r="C29" s="57" t="s">
        <v>147</v>
      </c>
      <c r="D29" s="42" t="s">
        <v>148</v>
      </c>
      <c r="E29" s="42" t="s">
        <v>112</v>
      </c>
      <c r="F29" s="42" t="s">
        <v>133</v>
      </c>
      <c r="G29" s="71">
        <v>84996931.590000004</v>
      </c>
      <c r="H29" s="71">
        <v>3693.62</v>
      </c>
      <c r="I29" s="71">
        <v>2628470.3199999998</v>
      </c>
      <c r="J29" s="71">
        <v>45859.66</v>
      </c>
      <c r="K29" s="71">
        <v>0</v>
      </c>
      <c r="L29" s="71">
        <v>87674955.189999998</v>
      </c>
      <c r="M29" s="71">
        <v>1702691.8</v>
      </c>
      <c r="N29" s="71">
        <v>36063188.57</v>
      </c>
      <c r="O29" s="71">
        <v>4901548.47</v>
      </c>
      <c r="P29" s="71">
        <v>16317780.49</v>
      </c>
      <c r="Q29" s="71">
        <v>37155.160000000003</v>
      </c>
      <c r="R29" s="71">
        <v>5373102.8200000003</v>
      </c>
      <c r="S29" s="71">
        <v>16075146.720000001</v>
      </c>
      <c r="T29" s="71">
        <v>4379032.0319999997</v>
      </c>
      <c r="U29" s="71">
        <v>0</v>
      </c>
      <c r="V29" s="71">
        <v>0</v>
      </c>
      <c r="W29" s="71">
        <v>3897431.58</v>
      </c>
      <c r="X29" s="71">
        <v>2677962.2399999998</v>
      </c>
      <c r="Y29" s="71">
        <v>89722348.082000002</v>
      </c>
      <c r="Z29" s="61">
        <v>8.9941283597765431E-2</v>
      </c>
      <c r="AA29" s="71">
        <v>2509889.6</v>
      </c>
      <c r="AB29" s="71">
        <v>0</v>
      </c>
      <c r="AC29" s="71">
        <v>0</v>
      </c>
      <c r="AD29" s="71">
        <v>0</v>
      </c>
      <c r="AE29" s="71">
        <v>0</v>
      </c>
      <c r="AF29" s="71">
        <f t="shared" si="14"/>
        <v>0</v>
      </c>
      <c r="AG29" s="71">
        <v>2209957.84</v>
      </c>
      <c r="AH29" s="71">
        <v>213645.93</v>
      </c>
      <c r="AI29" s="71">
        <v>629365.29</v>
      </c>
      <c r="AJ29" s="71">
        <v>0</v>
      </c>
      <c r="AK29" s="71">
        <v>535895.16</v>
      </c>
      <c r="AL29" s="71">
        <v>65817.06</v>
      </c>
      <c r="AM29" s="71">
        <v>158001.13</v>
      </c>
      <c r="AN29" s="71">
        <v>9400</v>
      </c>
      <c r="AO29" s="71">
        <v>7690.03</v>
      </c>
      <c r="AP29" s="71">
        <v>0</v>
      </c>
      <c r="AQ29" s="71">
        <v>123669.76000000001</v>
      </c>
      <c r="AR29" s="71">
        <v>43577.43</v>
      </c>
      <c r="AS29" s="71">
        <v>0</v>
      </c>
      <c r="AT29" s="71">
        <v>19808.259999999998</v>
      </c>
      <c r="AU29" s="71">
        <v>117816.8</v>
      </c>
      <c r="AV29" s="71">
        <v>212203.30000000002</v>
      </c>
      <c r="AW29" s="71">
        <v>4346847.99</v>
      </c>
      <c r="AX29" s="71">
        <v>0</v>
      </c>
      <c r="AY29" s="61">
        <f t="shared" si="15"/>
        <v>0</v>
      </c>
      <c r="AZ29" s="71">
        <v>0</v>
      </c>
      <c r="BA29" s="61">
        <v>2.894925608511343E-2</v>
      </c>
      <c r="BB29" s="71">
        <v>539357.98</v>
      </c>
      <c r="BC29" s="71">
        <v>7105707.3600000003</v>
      </c>
      <c r="BD29" s="71">
        <v>244766</v>
      </c>
      <c r="BE29" s="71">
        <v>0</v>
      </c>
      <c r="BF29" s="71">
        <v>2306125.61</v>
      </c>
      <c r="BG29" s="71">
        <v>1219413.6125</v>
      </c>
      <c r="BH29" s="71">
        <v>0</v>
      </c>
      <c r="BI29" s="71">
        <v>0</v>
      </c>
      <c r="BJ29" s="71">
        <f t="shared" si="16"/>
        <v>0</v>
      </c>
      <c r="BK29" s="71">
        <v>0</v>
      </c>
      <c r="BL29" s="60">
        <v>6336</v>
      </c>
      <c r="BM29" s="60">
        <v>1224</v>
      </c>
      <c r="BN29" s="60">
        <v>34</v>
      </c>
      <c r="BO29" s="60">
        <v>-24</v>
      </c>
      <c r="BP29" s="60">
        <v>-17</v>
      </c>
      <c r="BQ29" s="60">
        <v>-105</v>
      </c>
      <c r="BR29" s="60">
        <v>-99</v>
      </c>
      <c r="BS29" s="60">
        <v>-552</v>
      </c>
      <c r="BT29" s="60">
        <v>25</v>
      </c>
      <c r="BU29" s="60">
        <v>0</v>
      </c>
      <c r="BV29" s="60">
        <v>0</v>
      </c>
      <c r="BW29" s="60">
        <v>-1154</v>
      </c>
      <c r="BX29" s="60">
        <v>-5</v>
      </c>
      <c r="BY29" s="60">
        <v>5683</v>
      </c>
      <c r="BZ29" s="60">
        <v>49</v>
      </c>
      <c r="CA29" s="60">
        <v>62</v>
      </c>
      <c r="CB29" s="60">
        <v>316</v>
      </c>
      <c r="CC29" s="60">
        <v>111</v>
      </c>
      <c r="CD29" s="60">
        <v>576</v>
      </c>
      <c r="CE29" s="60">
        <v>135</v>
      </c>
      <c r="CF29" s="60">
        <v>20</v>
      </c>
    </row>
    <row r="30" spans="1:84" s="50" customFormat="1" ht="15.6" customHeight="1" x14ac:dyDescent="0.25">
      <c r="A30" s="33">
        <v>3</v>
      </c>
      <c r="B30" s="67" t="s">
        <v>563</v>
      </c>
      <c r="C30" s="55" t="s">
        <v>360</v>
      </c>
      <c r="D30" s="35" t="s">
        <v>131</v>
      </c>
      <c r="E30" s="35" t="s">
        <v>132</v>
      </c>
      <c r="F30" s="35" t="s">
        <v>133</v>
      </c>
      <c r="G30" s="70">
        <v>34406144.68</v>
      </c>
      <c r="H30" s="70">
        <v>0</v>
      </c>
      <c r="I30" s="70">
        <v>322140.48</v>
      </c>
      <c r="J30" s="70">
        <v>0</v>
      </c>
      <c r="K30" s="71">
        <v>0</v>
      </c>
      <c r="L30" s="71">
        <v>34728285.159999996</v>
      </c>
      <c r="M30" s="71">
        <v>0</v>
      </c>
      <c r="N30" s="70">
        <v>3869679.17</v>
      </c>
      <c r="O30" s="70">
        <v>4903320.8600000003</v>
      </c>
      <c r="P30" s="72">
        <v>5158425.84</v>
      </c>
      <c r="Q30" s="70">
        <v>0</v>
      </c>
      <c r="R30" s="70">
        <v>2527551.5699999998</v>
      </c>
      <c r="S30" s="70">
        <v>11386954.18</v>
      </c>
      <c r="T30" s="70">
        <v>3234669.87</v>
      </c>
      <c r="U30" s="70">
        <v>0</v>
      </c>
      <c r="V30" s="70">
        <v>910</v>
      </c>
      <c r="W30" s="70">
        <v>991556.98</v>
      </c>
      <c r="X30" s="71">
        <v>2396004.17</v>
      </c>
      <c r="Y30" s="71">
        <v>34469072.640000001</v>
      </c>
      <c r="Z30" s="61">
        <v>0.1148430565746255</v>
      </c>
      <c r="AA30" s="71">
        <v>2395929.17</v>
      </c>
      <c r="AB30" s="71">
        <v>0</v>
      </c>
      <c r="AC30" s="71">
        <v>0</v>
      </c>
      <c r="AD30" s="71">
        <v>0</v>
      </c>
      <c r="AE30" s="71">
        <v>0</v>
      </c>
      <c r="AF30" s="71">
        <f t="shared" si="14"/>
        <v>0</v>
      </c>
      <c r="AG30" s="71">
        <v>1179189.24</v>
      </c>
      <c r="AH30" s="70">
        <v>98644.05</v>
      </c>
      <c r="AI30" s="70">
        <v>311648.17</v>
      </c>
      <c r="AJ30" s="71">
        <v>0</v>
      </c>
      <c r="AK30" s="70">
        <v>135632.84</v>
      </c>
      <c r="AL30" s="70">
        <v>7054.4</v>
      </c>
      <c r="AM30" s="70">
        <v>103655.39</v>
      </c>
      <c r="AN30" s="70">
        <v>15900</v>
      </c>
      <c r="AO30" s="70">
        <v>12590.7</v>
      </c>
      <c r="AP30" s="70">
        <v>0</v>
      </c>
      <c r="AQ30" s="70">
        <v>38857.31</v>
      </c>
      <c r="AR30" s="70">
        <v>36524.26</v>
      </c>
      <c r="AS30" s="70">
        <v>0</v>
      </c>
      <c r="AT30" s="70">
        <v>33247.08</v>
      </c>
      <c r="AU30" s="70">
        <v>35107.75</v>
      </c>
      <c r="AV30" s="70">
        <v>69038.070000000007</v>
      </c>
      <c r="AW30" s="70">
        <v>2077089.26</v>
      </c>
      <c r="AX30" s="70">
        <v>0</v>
      </c>
      <c r="AY30" s="61">
        <f t="shared" si="15"/>
        <v>0</v>
      </c>
      <c r="AZ30" s="71">
        <v>0</v>
      </c>
      <c r="BA30" s="61">
        <v>6.9636664970275888E-2</v>
      </c>
      <c r="BB30" s="70">
        <v>921304.46</v>
      </c>
      <c r="BC30" s="70">
        <v>3030002.36</v>
      </c>
      <c r="BD30" s="71">
        <v>241807</v>
      </c>
      <c r="BE30" s="71">
        <v>2.91038304567337E-11</v>
      </c>
      <c r="BF30" s="71">
        <v>1535625.81</v>
      </c>
      <c r="BG30" s="71">
        <v>1016353.495</v>
      </c>
      <c r="BH30" s="71">
        <v>0</v>
      </c>
      <c r="BI30" s="71">
        <v>0</v>
      </c>
      <c r="BJ30" s="71">
        <f t="shared" si="16"/>
        <v>0</v>
      </c>
      <c r="BK30" s="71">
        <v>0</v>
      </c>
      <c r="BL30" s="60">
        <v>4862</v>
      </c>
      <c r="BM30" s="60">
        <v>1032</v>
      </c>
      <c r="BN30" s="59">
        <v>26</v>
      </c>
      <c r="BO30" s="59">
        <v>-27</v>
      </c>
      <c r="BP30" s="59">
        <v>-15</v>
      </c>
      <c r="BQ30" s="59">
        <v>-36</v>
      </c>
      <c r="BR30" s="59">
        <v>-228</v>
      </c>
      <c r="BS30" s="59">
        <v>-309</v>
      </c>
      <c r="BT30" s="59">
        <v>15</v>
      </c>
      <c r="BU30" s="59">
        <v>0</v>
      </c>
      <c r="BV30" s="59">
        <v>57</v>
      </c>
      <c r="BW30" s="59">
        <v>-860</v>
      </c>
      <c r="BX30" s="59">
        <v>-1</v>
      </c>
      <c r="BY30" s="59">
        <v>4516</v>
      </c>
      <c r="BZ30" s="59">
        <v>8</v>
      </c>
      <c r="CA30" s="59">
        <v>539</v>
      </c>
      <c r="CB30" s="59">
        <v>176</v>
      </c>
      <c r="CC30" s="59">
        <v>70</v>
      </c>
      <c r="CD30" s="59">
        <v>514</v>
      </c>
      <c r="CE30" s="59">
        <v>72</v>
      </c>
      <c r="CF30" s="59">
        <v>24</v>
      </c>
    </row>
    <row r="31" spans="1:84" s="63" customFormat="1" ht="15.6" customHeight="1" x14ac:dyDescent="0.25">
      <c r="A31" s="33">
        <v>4</v>
      </c>
      <c r="B31" s="34" t="s">
        <v>149</v>
      </c>
      <c r="C31" s="55" t="s">
        <v>150</v>
      </c>
      <c r="D31" s="35" t="s">
        <v>151</v>
      </c>
      <c r="E31" s="35" t="s">
        <v>106</v>
      </c>
      <c r="F31" s="35" t="s">
        <v>152</v>
      </c>
      <c r="G31" s="70">
        <v>28932358.870000001</v>
      </c>
      <c r="H31" s="70">
        <v>0</v>
      </c>
      <c r="I31" s="70">
        <v>656001.91</v>
      </c>
      <c r="J31" s="70">
        <v>0</v>
      </c>
      <c r="K31" s="71">
        <v>0</v>
      </c>
      <c r="L31" s="71">
        <v>29588360.780000001</v>
      </c>
      <c r="M31" s="71">
        <v>0</v>
      </c>
      <c r="N31" s="70">
        <v>95322.32</v>
      </c>
      <c r="O31" s="70">
        <v>2467275.83</v>
      </c>
      <c r="P31" s="72">
        <v>8229949.0599999996</v>
      </c>
      <c r="Q31" s="70">
        <v>159590.49</v>
      </c>
      <c r="R31" s="70">
        <v>2003647.22</v>
      </c>
      <c r="S31" s="70">
        <v>10319775.07</v>
      </c>
      <c r="T31" s="70">
        <v>3442365.43</v>
      </c>
      <c r="U31" s="70">
        <v>0</v>
      </c>
      <c r="V31" s="70">
        <v>0</v>
      </c>
      <c r="W31" s="70">
        <v>761325.88</v>
      </c>
      <c r="X31" s="71">
        <v>2400747.89</v>
      </c>
      <c r="Y31" s="71">
        <v>29879999.190000001</v>
      </c>
      <c r="Z31" s="61">
        <v>6.4990491388855084E-2</v>
      </c>
      <c r="AA31" s="71">
        <v>2399937.9900000002</v>
      </c>
      <c r="AB31" s="71">
        <v>0</v>
      </c>
      <c r="AC31" s="71">
        <v>0</v>
      </c>
      <c r="AD31" s="71">
        <v>0</v>
      </c>
      <c r="AE31" s="71">
        <v>628.6</v>
      </c>
      <c r="AF31" s="71">
        <f t="shared" ref="AF31:AF41" si="17">SUM(AD31:AE31)</f>
        <v>628.6</v>
      </c>
      <c r="AG31" s="71">
        <v>901628.55</v>
      </c>
      <c r="AH31" s="70">
        <v>68132.34</v>
      </c>
      <c r="AI31" s="70">
        <v>241415.71</v>
      </c>
      <c r="AJ31" s="71">
        <v>0</v>
      </c>
      <c r="AK31" s="70">
        <v>138200.59</v>
      </c>
      <c r="AL31" s="70">
        <v>44563.1</v>
      </c>
      <c r="AM31" s="70">
        <v>102185.04</v>
      </c>
      <c r="AN31" s="70">
        <v>10270</v>
      </c>
      <c r="AO31" s="70">
        <v>0</v>
      </c>
      <c r="AP31" s="70">
        <v>0</v>
      </c>
      <c r="AQ31" s="70">
        <v>44321.8</v>
      </c>
      <c r="AR31" s="70">
        <v>15680.29</v>
      </c>
      <c r="AS31" s="70">
        <v>0</v>
      </c>
      <c r="AT31" s="70">
        <v>114429.27</v>
      </c>
      <c r="AU31" s="70">
        <v>53757.8</v>
      </c>
      <c r="AV31" s="70">
        <v>56943.51</v>
      </c>
      <c r="AW31" s="70">
        <v>1791528</v>
      </c>
      <c r="AX31" s="70">
        <v>0</v>
      </c>
      <c r="AY31" s="61">
        <f t="shared" si="15"/>
        <v>0</v>
      </c>
      <c r="AZ31" s="71">
        <v>0</v>
      </c>
      <c r="BA31" s="61">
        <v>8.2949959275131865E-2</v>
      </c>
      <c r="BB31" s="70">
        <v>265941.8</v>
      </c>
      <c r="BC31" s="70">
        <v>1614386.42</v>
      </c>
      <c r="BD31" s="71">
        <v>244766</v>
      </c>
      <c r="BE31" s="71">
        <v>2.91038304567337E-11</v>
      </c>
      <c r="BF31" s="71">
        <v>1519111.65</v>
      </c>
      <c r="BG31" s="71">
        <v>1071229.6499999999</v>
      </c>
      <c r="BH31" s="71">
        <v>0</v>
      </c>
      <c r="BI31" s="71">
        <v>0</v>
      </c>
      <c r="BJ31" s="71">
        <f t="shared" ref="BJ31:BJ41" si="18">SUM(BH31:BI31)</f>
        <v>0</v>
      </c>
      <c r="BK31" s="71">
        <v>0</v>
      </c>
      <c r="BL31" s="60">
        <v>3815</v>
      </c>
      <c r="BM31" s="60">
        <v>899</v>
      </c>
      <c r="BN31" s="59">
        <v>0</v>
      </c>
      <c r="BO31" s="59">
        <v>0</v>
      </c>
      <c r="BP31" s="59">
        <v>-7</v>
      </c>
      <c r="BQ31" s="59">
        <v>-67</v>
      </c>
      <c r="BR31" s="59">
        <v>-94</v>
      </c>
      <c r="BS31" s="59">
        <v>-366</v>
      </c>
      <c r="BT31" s="59">
        <v>0</v>
      </c>
      <c r="BU31" s="59">
        <v>-3</v>
      </c>
      <c r="BV31" s="59">
        <v>0</v>
      </c>
      <c r="BW31" s="59">
        <v>-956</v>
      </c>
      <c r="BX31" s="59">
        <v>0</v>
      </c>
      <c r="BY31" s="59">
        <v>3221</v>
      </c>
      <c r="BZ31" s="59">
        <v>3</v>
      </c>
      <c r="CA31" s="59">
        <v>275</v>
      </c>
      <c r="CB31" s="59">
        <v>254</v>
      </c>
      <c r="CC31" s="59">
        <v>69</v>
      </c>
      <c r="CD31" s="59">
        <v>623</v>
      </c>
      <c r="CE31" s="59">
        <v>4</v>
      </c>
      <c r="CF31" s="59">
        <v>10</v>
      </c>
    </row>
    <row r="32" spans="1:84" s="63" customFormat="1" ht="15.6" customHeight="1" x14ac:dyDescent="0.25">
      <c r="A32" s="33">
        <v>4</v>
      </c>
      <c r="B32" s="34" t="s">
        <v>153</v>
      </c>
      <c r="C32" s="55" t="s">
        <v>154</v>
      </c>
      <c r="D32" s="35" t="s">
        <v>155</v>
      </c>
      <c r="E32" s="35" t="s">
        <v>112</v>
      </c>
      <c r="F32" s="35" t="s">
        <v>152</v>
      </c>
      <c r="G32" s="70">
        <v>27667605.260000002</v>
      </c>
      <c r="H32" s="70">
        <v>0</v>
      </c>
      <c r="I32" s="70">
        <v>679430.19000000006</v>
      </c>
      <c r="J32" s="70">
        <v>0</v>
      </c>
      <c r="K32" s="71">
        <v>0</v>
      </c>
      <c r="L32" s="71">
        <v>28347035.449999999</v>
      </c>
      <c r="M32" s="71">
        <v>0</v>
      </c>
      <c r="N32" s="70">
        <v>2229269.91</v>
      </c>
      <c r="O32" s="70">
        <v>1739427.18</v>
      </c>
      <c r="P32" s="72">
        <v>6947847.79</v>
      </c>
      <c r="Q32" s="70">
        <v>0</v>
      </c>
      <c r="R32" s="70">
        <v>1706072.83</v>
      </c>
      <c r="S32" s="70">
        <v>10719447.4</v>
      </c>
      <c r="T32" s="70">
        <v>2379789.5299999998</v>
      </c>
      <c r="U32" s="70">
        <v>0</v>
      </c>
      <c r="V32" s="70">
        <v>0</v>
      </c>
      <c r="W32" s="70">
        <v>707046.18</v>
      </c>
      <c r="X32" s="71">
        <v>2213982.34</v>
      </c>
      <c r="Y32" s="71">
        <v>28642883.16</v>
      </c>
      <c r="Z32" s="61">
        <v>3.4777627516288732E-2</v>
      </c>
      <c r="AA32" s="71">
        <v>2213747.34</v>
      </c>
      <c r="AB32" s="71">
        <v>0</v>
      </c>
      <c r="AC32" s="71">
        <v>0</v>
      </c>
      <c r="AD32" s="71">
        <v>0</v>
      </c>
      <c r="AE32" s="71">
        <v>0</v>
      </c>
      <c r="AF32" s="71">
        <f t="shared" si="17"/>
        <v>0</v>
      </c>
      <c r="AG32" s="71">
        <v>1081397.8799999999</v>
      </c>
      <c r="AH32" s="70">
        <v>81368.789999999994</v>
      </c>
      <c r="AI32" s="70">
        <v>288076.7</v>
      </c>
      <c r="AJ32" s="71">
        <v>0</v>
      </c>
      <c r="AK32" s="70">
        <v>147739.98000000001</v>
      </c>
      <c r="AL32" s="70">
        <v>5889.97</v>
      </c>
      <c r="AM32" s="70">
        <v>87088.84</v>
      </c>
      <c r="AN32" s="70">
        <v>10220</v>
      </c>
      <c r="AO32" s="70">
        <v>3000</v>
      </c>
      <c r="AP32" s="70">
        <v>0</v>
      </c>
      <c r="AQ32" s="70">
        <v>46719.21</v>
      </c>
      <c r="AR32" s="70">
        <v>12105.02</v>
      </c>
      <c r="AS32" s="70">
        <v>1635</v>
      </c>
      <c r="AT32" s="70">
        <v>14113.66</v>
      </c>
      <c r="AU32" s="70">
        <v>38664.1</v>
      </c>
      <c r="AV32" s="70">
        <v>67365.81</v>
      </c>
      <c r="AW32" s="70">
        <v>1885384.96</v>
      </c>
      <c r="AX32" s="70">
        <v>0</v>
      </c>
      <c r="AY32" s="61">
        <f t="shared" si="15"/>
        <v>0</v>
      </c>
      <c r="AZ32" s="71">
        <v>0</v>
      </c>
      <c r="BA32" s="61">
        <v>8.0012249675995253E-2</v>
      </c>
      <c r="BB32" s="70">
        <v>153762.10999999999</v>
      </c>
      <c r="BC32" s="70">
        <v>808451.56</v>
      </c>
      <c r="BD32" s="71">
        <v>244765.97</v>
      </c>
      <c r="BE32" s="71">
        <v>0</v>
      </c>
      <c r="BF32" s="71">
        <v>1383931.51</v>
      </c>
      <c r="BG32" s="71">
        <v>912585.27</v>
      </c>
      <c r="BH32" s="71">
        <v>0</v>
      </c>
      <c r="BI32" s="71">
        <v>0</v>
      </c>
      <c r="BJ32" s="71">
        <f t="shared" si="18"/>
        <v>0</v>
      </c>
      <c r="BK32" s="71">
        <v>0</v>
      </c>
      <c r="BL32" s="60">
        <v>4016</v>
      </c>
      <c r="BM32" s="60">
        <v>747</v>
      </c>
      <c r="BN32" s="59">
        <v>0</v>
      </c>
      <c r="BO32" s="59">
        <v>0</v>
      </c>
      <c r="BP32" s="59">
        <v>-11</v>
      </c>
      <c r="BQ32" s="59">
        <v>-56</v>
      </c>
      <c r="BR32" s="59">
        <v>-79</v>
      </c>
      <c r="BS32" s="59">
        <v>-203</v>
      </c>
      <c r="BT32" s="59">
        <v>3</v>
      </c>
      <c r="BU32" s="59">
        <v>0</v>
      </c>
      <c r="BV32" s="59">
        <v>9</v>
      </c>
      <c r="BW32" s="59">
        <v>-873</v>
      </c>
      <c r="BX32" s="59">
        <v>-2</v>
      </c>
      <c r="BY32" s="59">
        <v>3551</v>
      </c>
      <c r="BZ32" s="59">
        <v>59</v>
      </c>
      <c r="CA32" s="59">
        <v>0</v>
      </c>
      <c r="CB32" s="59">
        <v>307</v>
      </c>
      <c r="CC32" s="59">
        <v>95</v>
      </c>
      <c r="CD32" s="59">
        <v>465</v>
      </c>
      <c r="CE32" s="59">
        <v>1</v>
      </c>
      <c r="CF32" s="59">
        <v>5</v>
      </c>
    </row>
    <row r="33" spans="1:84" s="50" customFormat="1" ht="15.6" customHeight="1" x14ac:dyDescent="0.25">
      <c r="A33" s="39">
        <v>4</v>
      </c>
      <c r="B33" s="51" t="s">
        <v>156</v>
      </c>
      <c r="C33" s="57" t="s">
        <v>157</v>
      </c>
      <c r="D33" s="42" t="s">
        <v>162</v>
      </c>
      <c r="E33" s="42" t="s">
        <v>85</v>
      </c>
      <c r="F33" s="42" t="s">
        <v>158</v>
      </c>
      <c r="G33" s="70">
        <v>19595039.390000001</v>
      </c>
      <c r="H33" s="70">
        <v>0</v>
      </c>
      <c r="I33" s="70">
        <v>896913.70000000007</v>
      </c>
      <c r="J33" s="70">
        <v>0</v>
      </c>
      <c r="K33" s="71">
        <v>0</v>
      </c>
      <c r="L33" s="71">
        <v>20491953.09</v>
      </c>
      <c r="M33" s="71">
        <v>0</v>
      </c>
      <c r="N33" s="70">
        <v>0</v>
      </c>
      <c r="O33" s="70">
        <v>4773304.49</v>
      </c>
      <c r="P33" s="72">
        <v>1712805.98</v>
      </c>
      <c r="Q33" s="70">
        <v>0</v>
      </c>
      <c r="R33" s="70">
        <v>2623913.48</v>
      </c>
      <c r="S33" s="70">
        <v>8203874.3600000003</v>
      </c>
      <c r="T33" s="70">
        <v>1288587.1000000001</v>
      </c>
      <c r="U33" s="70">
        <v>0</v>
      </c>
      <c r="V33" s="70">
        <v>0</v>
      </c>
      <c r="W33" s="70">
        <v>1110332.44</v>
      </c>
      <c r="X33" s="71">
        <v>1029475.94</v>
      </c>
      <c r="Y33" s="71">
        <v>20742293.789999999</v>
      </c>
      <c r="Z33" s="61">
        <v>6.1424937508124604E-2</v>
      </c>
      <c r="AA33" s="71">
        <v>1029048.94</v>
      </c>
      <c r="AB33" s="71">
        <v>0</v>
      </c>
      <c r="AC33" s="71">
        <v>0</v>
      </c>
      <c r="AD33" s="71">
        <v>0</v>
      </c>
      <c r="AE33" s="71">
        <v>0</v>
      </c>
      <c r="AF33" s="71">
        <f t="shared" si="17"/>
        <v>0</v>
      </c>
      <c r="AG33" s="71">
        <v>445835.28</v>
      </c>
      <c r="AH33" s="70">
        <v>38391.599999999999</v>
      </c>
      <c r="AI33" s="70">
        <v>87652.03</v>
      </c>
      <c r="AJ33" s="71">
        <v>0</v>
      </c>
      <c r="AK33" s="70">
        <v>104992.43</v>
      </c>
      <c r="AL33" s="70">
        <v>51810.47</v>
      </c>
      <c r="AM33" s="70">
        <v>60222.9</v>
      </c>
      <c r="AN33" s="70">
        <v>7620</v>
      </c>
      <c r="AO33" s="70">
        <v>0</v>
      </c>
      <c r="AP33" s="70">
        <v>0</v>
      </c>
      <c r="AQ33" s="70">
        <v>35010.31</v>
      </c>
      <c r="AR33" s="70">
        <v>0</v>
      </c>
      <c r="AS33" s="70">
        <v>0</v>
      </c>
      <c r="AT33" s="70">
        <v>727.31</v>
      </c>
      <c r="AU33" s="70">
        <v>33250.5</v>
      </c>
      <c r="AV33" s="70">
        <v>49274.86</v>
      </c>
      <c r="AW33" s="70">
        <v>914787.69</v>
      </c>
      <c r="AX33" s="70">
        <v>0</v>
      </c>
      <c r="AY33" s="61">
        <f t="shared" si="15"/>
        <v>0</v>
      </c>
      <c r="AZ33" s="71">
        <v>0</v>
      </c>
      <c r="BA33" s="61">
        <v>5.2515788282883363E-2</v>
      </c>
      <c r="BB33" s="70">
        <v>621461.07999999996</v>
      </c>
      <c r="BC33" s="70">
        <v>582162.99</v>
      </c>
      <c r="BD33" s="71">
        <v>244766</v>
      </c>
      <c r="BE33" s="71">
        <v>0</v>
      </c>
      <c r="BF33" s="71">
        <v>277392.64999999898</v>
      </c>
      <c r="BG33" s="71">
        <v>48695.727499999397</v>
      </c>
      <c r="BH33" s="71">
        <v>0</v>
      </c>
      <c r="BI33" s="71">
        <v>0</v>
      </c>
      <c r="BJ33" s="71">
        <f t="shared" si="18"/>
        <v>0</v>
      </c>
      <c r="BK33" s="71">
        <v>0</v>
      </c>
      <c r="BL33" s="60">
        <v>2118</v>
      </c>
      <c r="BM33" s="60">
        <v>564</v>
      </c>
      <c r="BN33" s="59">
        <v>9</v>
      </c>
      <c r="BO33" s="59">
        <v>0</v>
      </c>
      <c r="BP33" s="59">
        <v>-20</v>
      </c>
      <c r="BQ33" s="59">
        <v>-25</v>
      </c>
      <c r="BR33" s="59">
        <v>-210</v>
      </c>
      <c r="BS33" s="59">
        <v>-229</v>
      </c>
      <c r="BT33" s="59">
        <v>0</v>
      </c>
      <c r="BU33" s="59">
        <v>-21</v>
      </c>
      <c r="BV33" s="59">
        <v>18</v>
      </c>
      <c r="BW33" s="59">
        <v>-377</v>
      </c>
      <c r="BX33" s="59">
        <v>-3</v>
      </c>
      <c r="BY33" s="59">
        <v>1824</v>
      </c>
      <c r="BZ33" s="59">
        <v>24</v>
      </c>
      <c r="CA33" s="59">
        <v>147</v>
      </c>
      <c r="CB33" s="59">
        <v>138</v>
      </c>
      <c r="CC33" s="59">
        <v>28</v>
      </c>
      <c r="CD33" s="59">
        <v>200</v>
      </c>
      <c r="CE33" s="59">
        <v>3</v>
      </c>
      <c r="CF33" s="59">
        <v>15</v>
      </c>
    </row>
    <row r="34" spans="1:84" s="63" customFormat="1" ht="15.6" customHeight="1" x14ac:dyDescent="0.25">
      <c r="A34" s="33">
        <v>4</v>
      </c>
      <c r="B34" s="34" t="s">
        <v>160</v>
      </c>
      <c r="C34" s="55" t="s">
        <v>108</v>
      </c>
      <c r="D34" s="35" t="s">
        <v>161</v>
      </c>
      <c r="E34" s="35" t="s">
        <v>106</v>
      </c>
      <c r="F34" s="35" t="s">
        <v>152</v>
      </c>
      <c r="G34" s="70">
        <v>16402088.57</v>
      </c>
      <c r="H34" s="70">
        <v>0</v>
      </c>
      <c r="I34" s="70">
        <v>570619.12</v>
      </c>
      <c r="J34" s="70">
        <v>0</v>
      </c>
      <c r="K34" s="71">
        <v>0</v>
      </c>
      <c r="L34" s="71">
        <v>16972707.690000001</v>
      </c>
      <c r="M34" s="71">
        <v>0</v>
      </c>
      <c r="N34" s="70">
        <v>67650.84</v>
      </c>
      <c r="O34" s="70">
        <v>1407273.25</v>
      </c>
      <c r="P34" s="72">
        <v>4317668.88</v>
      </c>
      <c r="Q34" s="70">
        <v>0</v>
      </c>
      <c r="R34" s="70">
        <v>1254918.78</v>
      </c>
      <c r="S34" s="70">
        <v>6034826.9100000001</v>
      </c>
      <c r="T34" s="70">
        <v>1612804.45</v>
      </c>
      <c r="U34" s="70">
        <v>0</v>
      </c>
      <c r="V34" s="70">
        <v>0</v>
      </c>
      <c r="W34" s="70">
        <v>734225</v>
      </c>
      <c r="X34" s="71">
        <v>1440645.28</v>
      </c>
      <c r="Y34" s="71">
        <v>16870013.390000001</v>
      </c>
      <c r="Z34" s="61">
        <v>2.692013630554374E-2</v>
      </c>
      <c r="AA34" s="71">
        <v>1440645.28</v>
      </c>
      <c r="AB34" s="71">
        <v>0</v>
      </c>
      <c r="AC34" s="71">
        <v>0</v>
      </c>
      <c r="AD34" s="71">
        <v>0</v>
      </c>
      <c r="AE34" s="71">
        <v>0</v>
      </c>
      <c r="AF34" s="71">
        <f t="shared" si="17"/>
        <v>0</v>
      </c>
      <c r="AG34" s="71">
        <v>666061.18999999994</v>
      </c>
      <c r="AH34" s="70">
        <v>51367.79</v>
      </c>
      <c r="AI34" s="70">
        <v>165567.51</v>
      </c>
      <c r="AJ34" s="71">
        <v>0</v>
      </c>
      <c r="AK34" s="70">
        <v>127295.11</v>
      </c>
      <c r="AL34" s="70">
        <v>34296.910000000003</v>
      </c>
      <c r="AM34" s="70">
        <v>66300.679999999993</v>
      </c>
      <c r="AN34" s="70">
        <v>7470</v>
      </c>
      <c r="AO34" s="70">
        <v>0</v>
      </c>
      <c r="AP34" s="70">
        <v>4000</v>
      </c>
      <c r="AQ34" s="70">
        <v>32609.03</v>
      </c>
      <c r="AR34" s="70">
        <v>16714.330000000002</v>
      </c>
      <c r="AS34" s="70">
        <v>0</v>
      </c>
      <c r="AT34" s="70">
        <v>11278.36</v>
      </c>
      <c r="AU34" s="70">
        <v>13567.09</v>
      </c>
      <c r="AV34" s="70">
        <v>83596.45</v>
      </c>
      <c r="AW34" s="70">
        <v>1280124.45</v>
      </c>
      <c r="AX34" s="70">
        <v>0</v>
      </c>
      <c r="AY34" s="61">
        <f t="shared" si="15"/>
        <v>0</v>
      </c>
      <c r="AZ34" s="71">
        <v>0</v>
      </c>
      <c r="BA34" s="61">
        <v>8.7833038692096271E-2</v>
      </c>
      <c r="BB34" s="70">
        <v>237858</v>
      </c>
      <c r="BC34" s="70">
        <v>203688.46</v>
      </c>
      <c r="BD34" s="71">
        <v>244766</v>
      </c>
      <c r="BE34" s="71">
        <v>0</v>
      </c>
      <c r="BF34" s="71">
        <v>479061.87000000098</v>
      </c>
      <c r="BG34" s="71">
        <v>159030.75750000001</v>
      </c>
      <c r="BH34" s="71">
        <v>0</v>
      </c>
      <c r="BI34" s="71">
        <v>0</v>
      </c>
      <c r="BJ34" s="71">
        <f t="shared" si="18"/>
        <v>0</v>
      </c>
      <c r="BK34" s="71">
        <v>0</v>
      </c>
      <c r="BL34" s="60">
        <v>2424</v>
      </c>
      <c r="BM34" s="60">
        <v>636</v>
      </c>
      <c r="BN34" s="59">
        <v>0</v>
      </c>
      <c r="BO34" s="59">
        <v>0</v>
      </c>
      <c r="BP34" s="59">
        <v>-18</v>
      </c>
      <c r="BQ34" s="59">
        <v>-62</v>
      </c>
      <c r="BR34" s="59">
        <v>-107</v>
      </c>
      <c r="BS34" s="59">
        <v>-265</v>
      </c>
      <c r="BT34" s="59">
        <v>0</v>
      </c>
      <c r="BU34" s="59">
        <v>0</v>
      </c>
      <c r="BV34" s="59">
        <v>0</v>
      </c>
      <c r="BW34" s="59">
        <v>-444</v>
      </c>
      <c r="BX34" s="59">
        <v>-8</v>
      </c>
      <c r="BY34" s="59">
        <v>2156</v>
      </c>
      <c r="BZ34" s="59">
        <v>26</v>
      </c>
      <c r="CA34" s="59">
        <v>1</v>
      </c>
      <c r="CB34" s="59">
        <v>103</v>
      </c>
      <c r="CC34" s="59">
        <v>56</v>
      </c>
      <c r="CD34" s="59">
        <v>277</v>
      </c>
      <c r="CE34" s="59">
        <v>0</v>
      </c>
      <c r="CF34" s="59">
        <v>7</v>
      </c>
    </row>
    <row r="35" spans="1:84" s="63" customFormat="1" ht="15.6" customHeight="1" x14ac:dyDescent="0.25">
      <c r="A35" s="33">
        <v>4</v>
      </c>
      <c r="B35" s="51" t="s">
        <v>164</v>
      </c>
      <c r="C35" s="55" t="s">
        <v>165</v>
      </c>
      <c r="D35" s="35" t="s">
        <v>166</v>
      </c>
      <c r="E35" s="35" t="s">
        <v>106</v>
      </c>
      <c r="F35" s="35" t="s">
        <v>152</v>
      </c>
      <c r="G35" s="70">
        <v>15134361.43</v>
      </c>
      <c r="H35" s="70">
        <v>0</v>
      </c>
      <c r="I35" s="70">
        <v>3264390.07</v>
      </c>
      <c r="J35" s="70">
        <v>0</v>
      </c>
      <c r="K35" s="71">
        <v>0</v>
      </c>
      <c r="L35" s="71">
        <v>18398751.5</v>
      </c>
      <c r="M35" s="71">
        <v>0</v>
      </c>
      <c r="N35" s="70">
        <v>211120.78</v>
      </c>
      <c r="O35" s="70">
        <v>2552337.77</v>
      </c>
      <c r="P35" s="72">
        <v>2108513.4900000002</v>
      </c>
      <c r="Q35" s="70">
        <v>103126.37</v>
      </c>
      <c r="R35" s="70">
        <v>1620706.45</v>
      </c>
      <c r="S35" s="70">
        <v>9067897.6300000008</v>
      </c>
      <c r="T35" s="70">
        <v>713838.05</v>
      </c>
      <c r="U35" s="70">
        <v>0</v>
      </c>
      <c r="V35" s="70">
        <v>0</v>
      </c>
      <c r="W35" s="70">
        <v>823392.17</v>
      </c>
      <c r="X35" s="71">
        <v>1515137.19</v>
      </c>
      <c r="Y35" s="71">
        <v>18716069.899999999</v>
      </c>
      <c r="Z35" s="61">
        <v>7.0908503827415204E-2</v>
      </c>
      <c r="AA35" s="71">
        <v>1513879.43</v>
      </c>
      <c r="AB35" s="71">
        <v>0</v>
      </c>
      <c r="AC35" s="71">
        <v>0</v>
      </c>
      <c r="AD35" s="71">
        <v>0</v>
      </c>
      <c r="AE35" s="71">
        <v>0</v>
      </c>
      <c r="AF35" s="71">
        <f>SUM(AD35:AE35)</f>
        <v>0</v>
      </c>
      <c r="AG35" s="71">
        <v>496694.79</v>
      </c>
      <c r="AH35" s="70">
        <v>38476.42</v>
      </c>
      <c r="AI35" s="70">
        <v>103966.37</v>
      </c>
      <c r="AJ35" s="71">
        <v>0</v>
      </c>
      <c r="AK35" s="70">
        <v>108206</v>
      </c>
      <c r="AL35" s="70">
        <v>44398.81</v>
      </c>
      <c r="AM35" s="70">
        <v>34657.56</v>
      </c>
      <c r="AN35" s="70">
        <v>6870</v>
      </c>
      <c r="AO35" s="70">
        <v>0</v>
      </c>
      <c r="AP35" s="70">
        <v>0</v>
      </c>
      <c r="AQ35" s="70">
        <v>33207.839999999997</v>
      </c>
      <c r="AR35" s="70">
        <v>649</v>
      </c>
      <c r="AS35" s="70">
        <v>0</v>
      </c>
      <c r="AT35" s="70">
        <v>0</v>
      </c>
      <c r="AU35" s="70">
        <v>21149.89</v>
      </c>
      <c r="AV35" s="70">
        <v>31037.05</v>
      </c>
      <c r="AW35" s="70">
        <v>919313.73</v>
      </c>
      <c r="AX35" s="70">
        <v>0</v>
      </c>
      <c r="AY35" s="61">
        <f>AX35/AW35</f>
        <v>0</v>
      </c>
      <c r="AZ35" s="71">
        <v>0</v>
      </c>
      <c r="BA35" s="61">
        <v>0.10002929010266144</v>
      </c>
      <c r="BB35" s="70">
        <v>235772.67</v>
      </c>
      <c r="BC35" s="70">
        <v>837382.26</v>
      </c>
      <c r="BD35" s="71">
        <v>244766</v>
      </c>
      <c r="BE35" s="71">
        <v>0</v>
      </c>
      <c r="BF35" s="71">
        <v>1416029.47</v>
      </c>
      <c r="BG35" s="71">
        <v>1186201.0375000001</v>
      </c>
      <c r="BH35" s="71">
        <v>0</v>
      </c>
      <c r="BI35" s="71">
        <v>0</v>
      </c>
      <c r="BJ35" s="71">
        <f>SUM(BH35:BI35)</f>
        <v>0</v>
      </c>
      <c r="BK35" s="71">
        <v>0</v>
      </c>
      <c r="BL35" s="60">
        <v>1390</v>
      </c>
      <c r="BM35" s="60">
        <v>414</v>
      </c>
      <c r="BN35" s="59">
        <v>0</v>
      </c>
      <c r="BO35" s="59">
        <v>0</v>
      </c>
      <c r="BP35" s="59">
        <v>-18</v>
      </c>
      <c r="BQ35" s="59">
        <v>-21</v>
      </c>
      <c r="BR35" s="59">
        <v>-152</v>
      </c>
      <c r="BS35" s="59">
        <v>-108</v>
      </c>
      <c r="BT35" s="59">
        <v>0</v>
      </c>
      <c r="BU35" s="59">
        <v>0</v>
      </c>
      <c r="BV35" s="59">
        <v>-5</v>
      </c>
      <c r="BW35" s="59">
        <v>-282</v>
      </c>
      <c r="BX35" s="59">
        <v>-1</v>
      </c>
      <c r="BY35" s="59">
        <v>1217</v>
      </c>
      <c r="BZ35" s="59">
        <v>0</v>
      </c>
      <c r="CA35" s="59">
        <v>34</v>
      </c>
      <c r="CB35" s="59">
        <v>185</v>
      </c>
      <c r="CC35" s="59">
        <v>18</v>
      </c>
      <c r="CD35" s="59">
        <v>72</v>
      </c>
      <c r="CE35" s="59">
        <v>1</v>
      </c>
      <c r="CF35" s="59">
        <v>9</v>
      </c>
    </row>
    <row r="36" spans="1:84" s="63" customFormat="1" ht="15.6" customHeight="1" x14ac:dyDescent="0.25">
      <c r="A36" s="33">
        <v>4</v>
      </c>
      <c r="B36" s="34" t="s">
        <v>548</v>
      </c>
      <c r="C36" s="55" t="s">
        <v>549</v>
      </c>
      <c r="D36" s="35" t="s">
        <v>168</v>
      </c>
      <c r="E36" s="35" t="s">
        <v>85</v>
      </c>
      <c r="F36" s="35" t="s">
        <v>521</v>
      </c>
      <c r="G36" s="70">
        <v>34791070.869999997</v>
      </c>
      <c r="H36" s="70">
        <v>0</v>
      </c>
      <c r="I36" s="70">
        <v>1856631.06</v>
      </c>
      <c r="J36" s="70">
        <v>0</v>
      </c>
      <c r="K36" s="71">
        <v>0</v>
      </c>
      <c r="L36" s="71">
        <v>36647701.93</v>
      </c>
      <c r="M36" s="71">
        <v>0</v>
      </c>
      <c r="N36" s="70">
        <v>15245.02</v>
      </c>
      <c r="O36" s="70">
        <v>8055261.1600000001</v>
      </c>
      <c r="P36" s="72">
        <v>3485636.84</v>
      </c>
      <c r="Q36" s="70">
        <v>0</v>
      </c>
      <c r="R36" s="70">
        <v>4798786.45</v>
      </c>
      <c r="S36" s="70">
        <v>12984681.59</v>
      </c>
      <c r="T36" s="70">
        <v>2535368.7599999998</v>
      </c>
      <c r="U36" s="70">
        <v>0</v>
      </c>
      <c r="V36" s="70">
        <v>0</v>
      </c>
      <c r="W36" s="70">
        <v>2158682.88</v>
      </c>
      <c r="X36" s="71">
        <v>2750166.72</v>
      </c>
      <c r="Y36" s="71">
        <v>36783829.420000002</v>
      </c>
      <c r="Z36" s="61">
        <v>9.9530610107948947E-2</v>
      </c>
      <c r="AA36" s="71">
        <v>2750166.72</v>
      </c>
      <c r="AB36" s="71">
        <v>0</v>
      </c>
      <c r="AC36" s="71">
        <v>0</v>
      </c>
      <c r="AD36" s="71">
        <v>0</v>
      </c>
      <c r="AE36" s="71">
        <v>0</v>
      </c>
      <c r="AF36" s="71">
        <f t="shared" si="17"/>
        <v>0</v>
      </c>
      <c r="AG36" s="71">
        <v>1518026.09</v>
      </c>
      <c r="AH36" s="70">
        <v>118597.29</v>
      </c>
      <c r="AI36" s="70">
        <v>286685.71000000002</v>
      </c>
      <c r="AJ36" s="71">
        <v>0</v>
      </c>
      <c r="AK36" s="70">
        <v>178191.43</v>
      </c>
      <c r="AL36" s="70">
        <v>49919</v>
      </c>
      <c r="AM36" s="70">
        <v>197164.97</v>
      </c>
      <c r="AN36" s="70">
        <v>10970</v>
      </c>
      <c r="AO36" s="70">
        <v>0</v>
      </c>
      <c r="AP36" s="70">
        <v>0</v>
      </c>
      <c r="AQ36" s="70">
        <v>47491.91</v>
      </c>
      <c r="AR36" s="70">
        <v>23184.33</v>
      </c>
      <c r="AS36" s="70">
        <v>0</v>
      </c>
      <c r="AT36" s="70">
        <v>3198.9</v>
      </c>
      <c r="AU36" s="70">
        <v>16529.91</v>
      </c>
      <c r="AV36" s="70">
        <v>83401.460000000006</v>
      </c>
      <c r="AW36" s="70">
        <v>2533361</v>
      </c>
      <c r="AX36" s="70">
        <v>0</v>
      </c>
      <c r="AY36" s="61">
        <f t="shared" si="15"/>
        <v>0</v>
      </c>
      <c r="AZ36" s="71">
        <v>0</v>
      </c>
      <c r="BA36" s="61">
        <v>7.9048061793678279E-2</v>
      </c>
      <c r="BB36" s="70">
        <v>1243712.3700000001</v>
      </c>
      <c r="BC36" s="70">
        <v>2219064.14</v>
      </c>
      <c r="BD36" s="71">
        <v>241807</v>
      </c>
      <c r="BE36" s="71">
        <v>0</v>
      </c>
      <c r="BF36" s="71">
        <v>1511757.1</v>
      </c>
      <c r="BG36" s="71">
        <v>878416.84999999905</v>
      </c>
      <c r="BH36" s="71">
        <v>0</v>
      </c>
      <c r="BI36" s="71">
        <v>0</v>
      </c>
      <c r="BJ36" s="71">
        <f t="shared" si="18"/>
        <v>0</v>
      </c>
      <c r="BK36" s="71">
        <v>0</v>
      </c>
      <c r="BL36" s="60">
        <v>3453</v>
      </c>
      <c r="BM36" s="60">
        <v>1078</v>
      </c>
      <c r="BN36" s="59">
        <v>0</v>
      </c>
      <c r="BO36" s="59">
        <v>0</v>
      </c>
      <c r="BP36" s="59">
        <v>-42</v>
      </c>
      <c r="BQ36" s="59">
        <v>-67</v>
      </c>
      <c r="BR36" s="59">
        <v>-371</v>
      </c>
      <c r="BS36" s="59">
        <v>-385</v>
      </c>
      <c r="BT36" s="59">
        <v>0</v>
      </c>
      <c r="BU36" s="59">
        <v>0</v>
      </c>
      <c r="BV36" s="59">
        <v>0</v>
      </c>
      <c r="BW36" s="59">
        <v>-664</v>
      </c>
      <c r="BX36" s="59">
        <v>-3</v>
      </c>
      <c r="BY36" s="59">
        <v>2999</v>
      </c>
      <c r="BZ36" s="59">
        <v>37</v>
      </c>
      <c r="CA36" s="59">
        <v>261</v>
      </c>
      <c r="CB36" s="59">
        <v>233</v>
      </c>
      <c r="CC36" s="59">
        <v>85</v>
      </c>
      <c r="CD36" s="59">
        <v>369</v>
      </c>
      <c r="CE36" s="59">
        <v>3</v>
      </c>
      <c r="CF36" s="59">
        <v>17</v>
      </c>
    </row>
    <row r="37" spans="1:84" s="63" customFormat="1" ht="15.6" customHeight="1" x14ac:dyDescent="0.25">
      <c r="A37" s="33">
        <v>4</v>
      </c>
      <c r="B37" s="34" t="s">
        <v>169</v>
      </c>
      <c r="C37" s="55" t="s">
        <v>170</v>
      </c>
      <c r="D37" s="35" t="s">
        <v>171</v>
      </c>
      <c r="E37" s="35" t="s">
        <v>85</v>
      </c>
      <c r="F37" s="35" t="s">
        <v>163</v>
      </c>
      <c r="G37" s="70">
        <v>14789785.359999999</v>
      </c>
      <c r="H37" s="70">
        <v>0</v>
      </c>
      <c r="I37" s="70">
        <v>410302.14999999997</v>
      </c>
      <c r="J37" s="70">
        <v>0</v>
      </c>
      <c r="K37" s="71">
        <v>0</v>
      </c>
      <c r="L37" s="71">
        <v>15200087.51</v>
      </c>
      <c r="M37" s="71">
        <v>0</v>
      </c>
      <c r="N37" s="70">
        <v>463692.72</v>
      </c>
      <c r="O37" s="70">
        <v>1718991.27</v>
      </c>
      <c r="P37" s="72">
        <v>5225535.97</v>
      </c>
      <c r="Q37" s="70">
        <v>0</v>
      </c>
      <c r="R37" s="70">
        <v>905273.7</v>
      </c>
      <c r="S37" s="70">
        <v>3865076.45</v>
      </c>
      <c r="T37" s="70">
        <v>1298255.25</v>
      </c>
      <c r="U37" s="70">
        <v>0</v>
      </c>
      <c r="V37" s="70">
        <v>125</v>
      </c>
      <c r="W37" s="70">
        <v>433603.47</v>
      </c>
      <c r="X37" s="71">
        <v>1479069.11</v>
      </c>
      <c r="Y37" s="71">
        <v>15389622.939999999</v>
      </c>
      <c r="Z37" s="61">
        <v>0.10263424539651332</v>
      </c>
      <c r="AA37" s="71">
        <v>1479069.11</v>
      </c>
      <c r="AB37" s="71">
        <v>0</v>
      </c>
      <c r="AC37" s="71">
        <v>0</v>
      </c>
      <c r="AD37" s="71">
        <v>0</v>
      </c>
      <c r="AE37" s="71">
        <v>336.91</v>
      </c>
      <c r="AF37" s="71">
        <f t="shared" si="17"/>
        <v>336.91</v>
      </c>
      <c r="AG37" s="71">
        <v>564434.63</v>
      </c>
      <c r="AH37" s="70">
        <v>41816.5</v>
      </c>
      <c r="AI37" s="70">
        <v>168704.56</v>
      </c>
      <c r="AJ37" s="71">
        <v>0</v>
      </c>
      <c r="AK37" s="70">
        <v>68070</v>
      </c>
      <c r="AL37" s="70">
        <v>1661.2</v>
      </c>
      <c r="AM37" s="70">
        <v>52842.87</v>
      </c>
      <c r="AN37" s="70">
        <v>6740</v>
      </c>
      <c r="AO37" s="70">
        <v>2500</v>
      </c>
      <c r="AP37" s="70">
        <v>0</v>
      </c>
      <c r="AQ37" s="70">
        <v>35698.129999999997</v>
      </c>
      <c r="AR37" s="70">
        <v>2851.18</v>
      </c>
      <c r="AS37" s="70">
        <v>0</v>
      </c>
      <c r="AT37" s="70">
        <v>35474.339999999997</v>
      </c>
      <c r="AU37" s="70">
        <v>17298.8</v>
      </c>
      <c r="AV37" s="70">
        <v>33326.92</v>
      </c>
      <c r="AW37" s="70">
        <v>1031419.13</v>
      </c>
      <c r="AX37" s="70">
        <v>0</v>
      </c>
      <c r="AY37" s="61">
        <f t="shared" si="15"/>
        <v>0</v>
      </c>
      <c r="AZ37" s="71">
        <v>0</v>
      </c>
      <c r="BA37" s="61">
        <v>0.10000612409158047</v>
      </c>
      <c r="BB37" s="70">
        <v>219779.96</v>
      </c>
      <c r="BC37" s="70">
        <v>1298158.5</v>
      </c>
      <c r="BD37" s="71">
        <v>244766</v>
      </c>
      <c r="BE37" s="71">
        <v>0</v>
      </c>
      <c r="BF37" s="71">
        <v>787783.32999999903</v>
      </c>
      <c r="BG37" s="71">
        <v>529928.54749999905</v>
      </c>
      <c r="BH37" s="71">
        <v>0</v>
      </c>
      <c r="BI37" s="71">
        <v>0</v>
      </c>
      <c r="BJ37" s="71">
        <f t="shared" si="18"/>
        <v>0</v>
      </c>
      <c r="BK37" s="71">
        <v>0</v>
      </c>
      <c r="BL37" s="60">
        <v>1987</v>
      </c>
      <c r="BM37" s="60">
        <v>410</v>
      </c>
      <c r="BN37" s="59">
        <v>2</v>
      </c>
      <c r="BO37" s="59">
        <v>4</v>
      </c>
      <c r="BP37" s="59">
        <v>-3</v>
      </c>
      <c r="BQ37" s="59">
        <v>-16</v>
      </c>
      <c r="BR37" s="59">
        <v>-78</v>
      </c>
      <c r="BS37" s="59">
        <v>-182</v>
      </c>
      <c r="BT37" s="59">
        <v>1</v>
      </c>
      <c r="BU37" s="59">
        <v>0</v>
      </c>
      <c r="BV37" s="59">
        <v>0</v>
      </c>
      <c r="BW37" s="59">
        <v>-345</v>
      </c>
      <c r="BX37" s="59">
        <v>-2</v>
      </c>
      <c r="BY37" s="59">
        <v>1778</v>
      </c>
      <c r="BZ37" s="59">
        <v>9</v>
      </c>
      <c r="CA37" s="59">
        <v>13</v>
      </c>
      <c r="CB37" s="59">
        <v>77</v>
      </c>
      <c r="CC37" s="59">
        <v>33</v>
      </c>
      <c r="CD37" s="59">
        <v>233</v>
      </c>
      <c r="CE37" s="59">
        <v>0</v>
      </c>
      <c r="CF37" s="59">
        <v>3</v>
      </c>
    </row>
    <row r="38" spans="1:84" s="63" customFormat="1" ht="15.6" customHeight="1" x14ac:dyDescent="0.25">
      <c r="A38" s="39">
        <v>4</v>
      </c>
      <c r="B38" s="47" t="s">
        <v>567</v>
      </c>
      <c r="C38" s="57" t="s">
        <v>568</v>
      </c>
      <c r="D38" s="42" t="s">
        <v>162</v>
      </c>
      <c r="E38" s="42" t="s">
        <v>85</v>
      </c>
      <c r="F38" s="42" t="s">
        <v>163</v>
      </c>
      <c r="G38" s="70">
        <v>22528527.98</v>
      </c>
      <c r="H38" s="70">
        <v>2638.96</v>
      </c>
      <c r="I38" s="70">
        <v>449074.82</v>
      </c>
      <c r="J38" s="70">
        <v>0</v>
      </c>
      <c r="K38" s="71">
        <v>0</v>
      </c>
      <c r="L38" s="71">
        <v>22980241.760000002</v>
      </c>
      <c r="M38" s="71">
        <v>0</v>
      </c>
      <c r="N38" s="70">
        <v>4514235.96</v>
      </c>
      <c r="O38" s="70">
        <v>2390815.64</v>
      </c>
      <c r="P38" s="72">
        <v>7125654.4500000002</v>
      </c>
      <c r="Q38" s="70">
        <v>0</v>
      </c>
      <c r="R38" s="70">
        <v>1301013.53</v>
      </c>
      <c r="S38" s="70">
        <v>4310801.8899999997</v>
      </c>
      <c r="T38" s="70">
        <v>1686608.92</v>
      </c>
      <c r="U38" s="70">
        <v>0</v>
      </c>
      <c r="V38" s="70">
        <v>0</v>
      </c>
      <c r="W38" s="70">
        <v>451713.78</v>
      </c>
      <c r="X38" s="71">
        <v>1802261.2</v>
      </c>
      <c r="Y38" s="71">
        <v>23583105.370000001</v>
      </c>
      <c r="Z38" s="61">
        <v>8.5397863995410522E-2</v>
      </c>
      <c r="AA38" s="71">
        <v>1802261.2</v>
      </c>
      <c r="AB38" s="71">
        <v>0</v>
      </c>
      <c r="AC38" s="71">
        <v>0</v>
      </c>
      <c r="AD38" s="71">
        <v>0</v>
      </c>
      <c r="AE38" s="71">
        <v>0</v>
      </c>
      <c r="AF38" s="71">
        <f t="shared" si="17"/>
        <v>0</v>
      </c>
      <c r="AG38" s="71">
        <v>925467.39</v>
      </c>
      <c r="AH38" s="70">
        <v>72449.17</v>
      </c>
      <c r="AI38" s="70">
        <v>204951.15</v>
      </c>
      <c r="AJ38" s="71">
        <v>0</v>
      </c>
      <c r="AK38" s="70">
        <v>111287.39</v>
      </c>
      <c r="AL38" s="70">
        <v>0</v>
      </c>
      <c r="AM38" s="70">
        <v>124443.6</v>
      </c>
      <c r="AN38" s="70">
        <v>14445</v>
      </c>
      <c r="AO38" s="70">
        <v>4083.85</v>
      </c>
      <c r="AP38" s="70">
        <v>0</v>
      </c>
      <c r="AQ38" s="70">
        <v>43961.85</v>
      </c>
      <c r="AR38" s="70">
        <v>9733.07</v>
      </c>
      <c r="AS38" s="70">
        <v>0</v>
      </c>
      <c r="AT38" s="70">
        <v>15616.28</v>
      </c>
      <c r="AU38" s="70">
        <v>43335.05</v>
      </c>
      <c r="AV38" s="70">
        <v>60819.98</v>
      </c>
      <c r="AW38" s="70">
        <v>1630593.78</v>
      </c>
      <c r="AX38" s="70">
        <v>0</v>
      </c>
      <c r="AY38" s="61">
        <f t="shared" si="15"/>
        <v>0</v>
      </c>
      <c r="AZ38" s="71">
        <v>714.5</v>
      </c>
      <c r="BA38" s="61">
        <v>7.9999066144045505E-2</v>
      </c>
      <c r="BB38" s="70">
        <v>201715.35</v>
      </c>
      <c r="BC38" s="70">
        <v>1722398.18</v>
      </c>
      <c r="BD38" s="71">
        <v>241807</v>
      </c>
      <c r="BE38" s="71">
        <v>5.8207660913467401E-11</v>
      </c>
      <c r="BF38" s="71">
        <v>837559.61</v>
      </c>
      <c r="BG38" s="71">
        <v>429911.16499999998</v>
      </c>
      <c r="BH38" s="71">
        <v>0</v>
      </c>
      <c r="BI38" s="71">
        <v>0</v>
      </c>
      <c r="BJ38" s="71">
        <f t="shared" si="18"/>
        <v>0</v>
      </c>
      <c r="BK38" s="71">
        <v>0</v>
      </c>
      <c r="BL38" s="60">
        <v>2558</v>
      </c>
      <c r="BM38" s="60">
        <v>587</v>
      </c>
      <c r="BN38" s="59">
        <v>0</v>
      </c>
      <c r="BO38" s="59">
        <v>0</v>
      </c>
      <c r="BP38" s="59">
        <v>-9</v>
      </c>
      <c r="BQ38" s="59">
        <v>-45</v>
      </c>
      <c r="BR38" s="59">
        <v>-47</v>
      </c>
      <c r="BS38" s="59">
        <v>-231</v>
      </c>
      <c r="BT38" s="59">
        <v>0</v>
      </c>
      <c r="BU38" s="59">
        <v>0</v>
      </c>
      <c r="BV38" s="59">
        <v>2</v>
      </c>
      <c r="BW38" s="59">
        <v>-434</v>
      </c>
      <c r="BX38" s="59">
        <v>-4</v>
      </c>
      <c r="BY38" s="59">
        <v>2377</v>
      </c>
      <c r="BZ38" s="59">
        <v>17</v>
      </c>
      <c r="CA38" s="59">
        <v>10</v>
      </c>
      <c r="CB38" s="59">
        <v>82</v>
      </c>
      <c r="CC38" s="59">
        <v>27</v>
      </c>
      <c r="CD38" s="59">
        <v>323</v>
      </c>
      <c r="CE38" s="59">
        <v>1</v>
      </c>
      <c r="CF38" s="59">
        <v>1</v>
      </c>
    </row>
    <row r="39" spans="1:84" s="63" customFormat="1" ht="15.6" customHeight="1" x14ac:dyDescent="0.25">
      <c r="A39" s="33">
        <v>4</v>
      </c>
      <c r="B39" s="34" t="s">
        <v>172</v>
      </c>
      <c r="C39" s="55" t="s">
        <v>173</v>
      </c>
      <c r="D39" s="35" t="s">
        <v>174</v>
      </c>
      <c r="E39" s="35" t="s">
        <v>112</v>
      </c>
      <c r="F39" s="35" t="s">
        <v>152</v>
      </c>
      <c r="G39" s="70">
        <v>17328629.260000002</v>
      </c>
      <c r="H39" s="70">
        <v>0</v>
      </c>
      <c r="I39" s="70">
        <v>586322.57999999996</v>
      </c>
      <c r="J39" s="70">
        <v>0</v>
      </c>
      <c r="K39" s="71">
        <v>13607.61</v>
      </c>
      <c r="L39" s="71">
        <v>17928559.449999999</v>
      </c>
      <c r="M39" s="71">
        <v>0</v>
      </c>
      <c r="N39" s="70">
        <v>3797096.84</v>
      </c>
      <c r="O39" s="70">
        <v>840852.81</v>
      </c>
      <c r="P39" s="72">
        <v>4425634.03</v>
      </c>
      <c r="Q39" s="70">
        <v>33933.379999999997</v>
      </c>
      <c r="R39" s="70">
        <v>531333.18000000005</v>
      </c>
      <c r="S39" s="70">
        <v>5341719.33</v>
      </c>
      <c r="T39" s="70">
        <v>1103166.3700000001</v>
      </c>
      <c r="U39" s="70">
        <v>0</v>
      </c>
      <c r="V39" s="70">
        <v>0</v>
      </c>
      <c r="W39" s="70">
        <v>543707.15</v>
      </c>
      <c r="X39" s="71">
        <v>1403815.87</v>
      </c>
      <c r="Y39" s="71">
        <v>18021258.960000001</v>
      </c>
      <c r="Z39" s="61">
        <v>3.9415253206242062E-2</v>
      </c>
      <c r="AA39" s="71">
        <v>1390208.26</v>
      </c>
      <c r="AB39" s="71">
        <v>0</v>
      </c>
      <c r="AC39" s="71">
        <v>0</v>
      </c>
      <c r="AD39" s="71">
        <v>0</v>
      </c>
      <c r="AE39" s="71">
        <v>0</v>
      </c>
      <c r="AF39" s="71">
        <f t="shared" si="17"/>
        <v>0</v>
      </c>
      <c r="AG39" s="71">
        <v>772070.26</v>
      </c>
      <c r="AH39" s="70">
        <v>59724.35</v>
      </c>
      <c r="AI39" s="70">
        <v>187875.43</v>
      </c>
      <c r="AJ39" s="71">
        <v>0</v>
      </c>
      <c r="AK39" s="70">
        <v>56932.83</v>
      </c>
      <c r="AL39" s="70">
        <v>2510.33</v>
      </c>
      <c r="AM39" s="70">
        <v>72806.490000000005</v>
      </c>
      <c r="AN39" s="70">
        <v>7320</v>
      </c>
      <c r="AO39" s="70">
        <v>4490</v>
      </c>
      <c r="AP39" s="70">
        <v>0</v>
      </c>
      <c r="AQ39" s="70">
        <v>28411.62</v>
      </c>
      <c r="AR39" s="70">
        <v>5839.74</v>
      </c>
      <c r="AS39" s="70">
        <v>0</v>
      </c>
      <c r="AT39" s="70">
        <v>27299.31</v>
      </c>
      <c r="AU39" s="70">
        <v>32378.58</v>
      </c>
      <c r="AV39" s="70">
        <v>47026.080000000002</v>
      </c>
      <c r="AW39" s="70">
        <v>1304685.02</v>
      </c>
      <c r="AX39" s="70">
        <v>0</v>
      </c>
      <c r="AY39" s="61">
        <f t="shared" si="15"/>
        <v>0</v>
      </c>
      <c r="AZ39" s="71">
        <v>0</v>
      </c>
      <c r="BA39" s="61">
        <v>8.0226095159704511E-2</v>
      </c>
      <c r="BB39" s="70">
        <v>103837.72</v>
      </c>
      <c r="BC39" s="70">
        <v>579174.59</v>
      </c>
      <c r="BD39" s="71">
        <v>244764</v>
      </c>
      <c r="BE39" s="71">
        <v>0</v>
      </c>
      <c r="BF39" s="71">
        <v>740948.75</v>
      </c>
      <c r="BG39" s="71">
        <v>414777.495</v>
      </c>
      <c r="BH39" s="71">
        <v>0</v>
      </c>
      <c r="BI39" s="71">
        <v>0</v>
      </c>
      <c r="BJ39" s="71">
        <f t="shared" si="18"/>
        <v>0</v>
      </c>
      <c r="BK39" s="71">
        <v>0</v>
      </c>
      <c r="BL39" s="60">
        <v>2032</v>
      </c>
      <c r="BM39" s="60">
        <v>329</v>
      </c>
      <c r="BN39" s="59">
        <v>9</v>
      </c>
      <c r="BO39" s="59">
        <v>-9</v>
      </c>
      <c r="BP39" s="59">
        <v>-2</v>
      </c>
      <c r="BQ39" s="59">
        <v>-17</v>
      </c>
      <c r="BR39" s="59">
        <v>-43</v>
      </c>
      <c r="BS39" s="59">
        <v>-105</v>
      </c>
      <c r="BT39" s="59">
        <v>0</v>
      </c>
      <c r="BU39" s="59">
        <v>0</v>
      </c>
      <c r="BV39" s="59">
        <v>3</v>
      </c>
      <c r="BW39" s="59">
        <v>-489</v>
      </c>
      <c r="BX39" s="59">
        <v>0</v>
      </c>
      <c r="BY39" s="59">
        <v>1708</v>
      </c>
      <c r="BZ39" s="59">
        <v>5</v>
      </c>
      <c r="CA39" s="59">
        <v>15</v>
      </c>
      <c r="CB39" s="59">
        <v>138</v>
      </c>
      <c r="CC39" s="59">
        <v>77</v>
      </c>
      <c r="CD39" s="59">
        <v>266</v>
      </c>
      <c r="CE39" s="59">
        <v>3</v>
      </c>
      <c r="CF39" s="59">
        <v>5</v>
      </c>
    </row>
    <row r="40" spans="1:84" s="50" customFormat="1" ht="15.6" customHeight="1" x14ac:dyDescent="0.25">
      <c r="A40" s="39">
        <v>4</v>
      </c>
      <c r="B40" s="51" t="s">
        <v>175</v>
      </c>
      <c r="C40" s="57" t="s">
        <v>176</v>
      </c>
      <c r="D40" s="42" t="s">
        <v>177</v>
      </c>
      <c r="E40" s="42" t="s">
        <v>178</v>
      </c>
      <c r="F40" s="42" t="s">
        <v>179</v>
      </c>
      <c r="G40" s="70">
        <v>9189089.5899999999</v>
      </c>
      <c r="H40" s="70">
        <v>0</v>
      </c>
      <c r="I40" s="70">
        <v>348958.61000000004</v>
      </c>
      <c r="J40" s="70">
        <v>0</v>
      </c>
      <c r="K40" s="71">
        <v>0</v>
      </c>
      <c r="L40" s="71">
        <v>9538048.1999999993</v>
      </c>
      <c r="M40" s="71">
        <v>0</v>
      </c>
      <c r="N40" s="70">
        <v>2774852.11</v>
      </c>
      <c r="O40" s="70">
        <v>459203.15</v>
      </c>
      <c r="P40" s="72">
        <v>1410855.57</v>
      </c>
      <c r="Q40" s="70">
        <v>240.05</v>
      </c>
      <c r="R40" s="70">
        <v>479754.26</v>
      </c>
      <c r="S40" s="70">
        <v>2650147.1800000002</v>
      </c>
      <c r="T40" s="70">
        <v>420743.57</v>
      </c>
      <c r="U40" s="70">
        <v>0</v>
      </c>
      <c r="V40" s="70">
        <v>0</v>
      </c>
      <c r="W40" s="70">
        <v>482990.65</v>
      </c>
      <c r="X40" s="71">
        <v>929531.16</v>
      </c>
      <c r="Y40" s="71">
        <v>9608317.6999999993</v>
      </c>
      <c r="Z40" s="61">
        <v>7.3002929553546675E-2</v>
      </c>
      <c r="AA40" s="71">
        <v>918341.41</v>
      </c>
      <c r="AB40" s="71">
        <v>0</v>
      </c>
      <c r="AC40" s="71">
        <v>0</v>
      </c>
      <c r="AD40" s="71">
        <v>0</v>
      </c>
      <c r="AE40" s="71">
        <v>0</v>
      </c>
      <c r="AF40" s="71">
        <f t="shared" si="17"/>
        <v>0</v>
      </c>
      <c r="AG40" s="71">
        <v>389373.78</v>
      </c>
      <c r="AH40" s="70">
        <v>30791.49</v>
      </c>
      <c r="AI40" s="70">
        <v>136053.16</v>
      </c>
      <c r="AJ40" s="71">
        <v>0</v>
      </c>
      <c r="AK40" s="70">
        <v>55957.65</v>
      </c>
      <c r="AL40" s="70">
        <v>22968.28</v>
      </c>
      <c r="AM40" s="70">
        <v>47176.75</v>
      </c>
      <c r="AN40" s="70">
        <v>5170</v>
      </c>
      <c r="AO40" s="70">
        <v>-711.5</v>
      </c>
      <c r="AP40" s="70">
        <v>0</v>
      </c>
      <c r="AQ40" s="70">
        <v>20162.95</v>
      </c>
      <c r="AR40" s="70">
        <v>688.04</v>
      </c>
      <c r="AS40" s="70">
        <v>0</v>
      </c>
      <c r="AT40" s="70">
        <v>0</v>
      </c>
      <c r="AU40" s="70">
        <v>22718.3</v>
      </c>
      <c r="AV40" s="70">
        <v>76819.649999999994</v>
      </c>
      <c r="AW40" s="70">
        <v>807168.55</v>
      </c>
      <c r="AX40" s="70">
        <v>0</v>
      </c>
      <c r="AY40" s="61">
        <f t="shared" si="15"/>
        <v>0</v>
      </c>
      <c r="AZ40" s="71">
        <v>260.2</v>
      </c>
      <c r="BA40" s="61">
        <v>9.9938236645269241E-2</v>
      </c>
      <c r="BB40" s="70">
        <v>204160.42</v>
      </c>
      <c r="BC40" s="70">
        <v>466670.04</v>
      </c>
      <c r="BD40" s="71">
        <v>244766</v>
      </c>
      <c r="BE40" s="71">
        <v>2.91038304567337E-11</v>
      </c>
      <c r="BF40" s="71">
        <v>167028.22</v>
      </c>
      <c r="BG40" s="71">
        <v>0</v>
      </c>
      <c r="BH40" s="71">
        <v>0</v>
      </c>
      <c r="BI40" s="71">
        <v>0</v>
      </c>
      <c r="BJ40" s="71">
        <f t="shared" si="18"/>
        <v>0</v>
      </c>
      <c r="BK40" s="71">
        <v>0</v>
      </c>
      <c r="BL40" s="60">
        <v>941</v>
      </c>
      <c r="BM40" s="60">
        <v>226</v>
      </c>
      <c r="BN40" s="59">
        <v>0</v>
      </c>
      <c r="BO40" s="59">
        <v>0</v>
      </c>
      <c r="BP40" s="59">
        <v>-11</v>
      </c>
      <c r="BQ40" s="59">
        <v>-22</v>
      </c>
      <c r="BR40" s="59">
        <v>-46</v>
      </c>
      <c r="BS40" s="59">
        <v>-46</v>
      </c>
      <c r="BT40" s="59">
        <v>0</v>
      </c>
      <c r="BU40" s="59">
        <v>0</v>
      </c>
      <c r="BV40" s="59">
        <v>0</v>
      </c>
      <c r="BW40" s="59">
        <v>-201</v>
      </c>
      <c r="BX40" s="59">
        <v>-3</v>
      </c>
      <c r="BY40" s="59">
        <v>838</v>
      </c>
      <c r="BZ40" s="59">
        <v>48</v>
      </c>
      <c r="CA40" s="59">
        <v>2</v>
      </c>
      <c r="CB40" s="59">
        <v>26</v>
      </c>
      <c r="CC40" s="59">
        <v>15</v>
      </c>
      <c r="CD40" s="59">
        <v>157</v>
      </c>
      <c r="CE40" s="59">
        <v>2</v>
      </c>
      <c r="CF40" s="59">
        <v>1</v>
      </c>
    </row>
    <row r="41" spans="1:84" s="63" customFormat="1" ht="15.6" customHeight="1" x14ac:dyDescent="0.25">
      <c r="A41" s="33">
        <v>4</v>
      </c>
      <c r="B41" s="34" t="s">
        <v>516</v>
      </c>
      <c r="C41" s="55" t="s">
        <v>215</v>
      </c>
      <c r="D41" s="35" t="s">
        <v>162</v>
      </c>
      <c r="E41" s="35" t="s">
        <v>85</v>
      </c>
      <c r="F41" s="35" t="s">
        <v>163</v>
      </c>
      <c r="G41" s="70">
        <v>21915243.149999999</v>
      </c>
      <c r="H41" s="70">
        <v>0</v>
      </c>
      <c r="I41" s="70">
        <v>621325.87</v>
      </c>
      <c r="J41" s="70">
        <v>0</v>
      </c>
      <c r="K41" s="71">
        <v>0</v>
      </c>
      <c r="L41" s="71">
        <v>22536569.02</v>
      </c>
      <c r="M41" s="71">
        <v>0</v>
      </c>
      <c r="N41" s="70">
        <v>5888263.9100000001</v>
      </c>
      <c r="O41" s="70">
        <v>1442497.64</v>
      </c>
      <c r="P41" s="72">
        <v>7124742.8499999996</v>
      </c>
      <c r="Q41" s="70">
        <v>0</v>
      </c>
      <c r="R41" s="70">
        <v>1036610.26</v>
      </c>
      <c r="S41" s="70">
        <v>3605676.8</v>
      </c>
      <c r="T41" s="70">
        <v>1663571.21</v>
      </c>
      <c r="U41" s="70">
        <v>0</v>
      </c>
      <c r="V41" s="70">
        <v>0</v>
      </c>
      <c r="W41" s="70">
        <v>621322.27</v>
      </c>
      <c r="X41" s="71">
        <v>1754381.71</v>
      </c>
      <c r="Y41" s="71">
        <v>23137066.649999999</v>
      </c>
      <c r="Z41" s="61">
        <v>9.331866755947904E-2</v>
      </c>
      <c r="AA41" s="71">
        <v>1754381.71</v>
      </c>
      <c r="AB41" s="71">
        <v>0</v>
      </c>
      <c r="AC41" s="71">
        <v>0</v>
      </c>
      <c r="AD41" s="71">
        <v>0</v>
      </c>
      <c r="AE41" s="71">
        <v>0</v>
      </c>
      <c r="AF41" s="71">
        <f t="shared" si="17"/>
        <v>0</v>
      </c>
      <c r="AG41" s="71">
        <v>758595.57</v>
      </c>
      <c r="AH41" s="70">
        <v>57677.17</v>
      </c>
      <c r="AI41" s="70">
        <v>174195.55</v>
      </c>
      <c r="AJ41" s="71">
        <v>0</v>
      </c>
      <c r="AK41" s="70">
        <v>122778.37</v>
      </c>
      <c r="AL41" s="70">
        <v>35774</v>
      </c>
      <c r="AM41" s="70">
        <v>98026.53</v>
      </c>
      <c r="AN41" s="70">
        <v>7910</v>
      </c>
      <c r="AO41" s="70">
        <v>3389.5</v>
      </c>
      <c r="AP41" s="70">
        <v>0</v>
      </c>
      <c r="AQ41" s="70">
        <v>35183.08</v>
      </c>
      <c r="AR41" s="70">
        <v>17550.72</v>
      </c>
      <c r="AS41" s="70">
        <v>1095</v>
      </c>
      <c r="AT41" s="70">
        <v>2296.9899999999998</v>
      </c>
      <c r="AU41" s="70">
        <v>34738.19</v>
      </c>
      <c r="AV41" s="70">
        <v>43826.28</v>
      </c>
      <c r="AW41" s="70">
        <v>1393036.95</v>
      </c>
      <c r="AX41" s="70">
        <v>0</v>
      </c>
      <c r="AY41" s="61">
        <f t="shared" si="15"/>
        <v>0</v>
      </c>
      <c r="AZ41" s="71">
        <v>0</v>
      </c>
      <c r="BA41" s="61">
        <v>8.0053034227913641E-2</v>
      </c>
      <c r="BB41" s="70">
        <v>331714.89</v>
      </c>
      <c r="BC41" s="70">
        <v>1713386.4</v>
      </c>
      <c r="BD41" s="71">
        <v>241807</v>
      </c>
      <c r="BE41" s="71">
        <v>2.91038304567337E-11</v>
      </c>
      <c r="BF41" s="71">
        <v>1073384.21</v>
      </c>
      <c r="BG41" s="71">
        <v>725124.97250000003</v>
      </c>
      <c r="BH41" s="71">
        <v>0</v>
      </c>
      <c r="BI41" s="71">
        <v>0</v>
      </c>
      <c r="BJ41" s="71">
        <f t="shared" si="18"/>
        <v>0</v>
      </c>
      <c r="BK41" s="71">
        <v>0</v>
      </c>
      <c r="BL41" s="60">
        <v>2509</v>
      </c>
      <c r="BM41" s="60">
        <v>597</v>
      </c>
      <c r="BN41" s="59">
        <v>1</v>
      </c>
      <c r="BO41" s="59">
        <v>0</v>
      </c>
      <c r="BP41" s="59">
        <v>-9</v>
      </c>
      <c r="BQ41" s="59">
        <v>-34</v>
      </c>
      <c r="BR41" s="59">
        <v>-80</v>
      </c>
      <c r="BS41" s="59">
        <v>-304</v>
      </c>
      <c r="BT41" s="59">
        <v>0</v>
      </c>
      <c r="BU41" s="59">
        <v>0</v>
      </c>
      <c r="BV41" s="59">
        <v>30</v>
      </c>
      <c r="BW41" s="59">
        <v>-397</v>
      </c>
      <c r="BX41" s="59">
        <v>-3</v>
      </c>
      <c r="BY41" s="59">
        <v>2310</v>
      </c>
      <c r="BZ41" s="59">
        <v>7</v>
      </c>
      <c r="CA41" s="59">
        <v>3</v>
      </c>
      <c r="CB41" s="59">
        <v>63</v>
      </c>
      <c r="CC41" s="59">
        <v>28</v>
      </c>
      <c r="CD41" s="59">
        <v>300</v>
      </c>
      <c r="CE41" s="59">
        <v>1</v>
      </c>
      <c r="CF41" s="59">
        <v>5</v>
      </c>
    </row>
    <row r="42" spans="1:84" s="63" customFormat="1" ht="15.6" customHeight="1" x14ac:dyDescent="0.25">
      <c r="A42" s="33">
        <v>4</v>
      </c>
      <c r="B42" s="34" t="s">
        <v>565</v>
      </c>
      <c r="C42" s="69" t="s">
        <v>566</v>
      </c>
      <c r="D42" s="35" t="s">
        <v>497</v>
      </c>
      <c r="E42" s="35" t="s">
        <v>106</v>
      </c>
      <c r="F42" s="35" t="s">
        <v>152</v>
      </c>
      <c r="G42" s="70">
        <v>16113036.449999999</v>
      </c>
      <c r="H42" s="70">
        <v>0</v>
      </c>
      <c r="I42" s="70">
        <f>771.05+475419.28</f>
        <v>476190.33</v>
      </c>
      <c r="J42" s="70">
        <v>0</v>
      </c>
      <c r="K42" s="71">
        <v>0</v>
      </c>
      <c r="L42" s="71">
        <v>16589226.779999999</v>
      </c>
      <c r="M42" s="71">
        <v>0</v>
      </c>
      <c r="N42" s="70">
        <v>90201.61</v>
      </c>
      <c r="O42" s="70">
        <v>1298546.5499999998</v>
      </c>
      <c r="P42" s="72">
        <v>4356847.5399999991</v>
      </c>
      <c r="Q42" s="70">
        <v>0</v>
      </c>
      <c r="R42" s="70">
        <v>1294934.8500000001</v>
      </c>
      <c r="S42" s="70">
        <v>5754554.2400000002</v>
      </c>
      <c r="T42" s="70">
        <v>1697580.7200000002</v>
      </c>
      <c r="U42" s="70">
        <v>0</v>
      </c>
      <c r="V42" s="70">
        <v>0</v>
      </c>
      <c r="W42" s="70">
        <v>595855.43000000005</v>
      </c>
      <c r="X42" s="71">
        <f>771.05+1611305.15</f>
        <v>1612076.2</v>
      </c>
      <c r="Y42" s="71">
        <v>16700597.140000001</v>
      </c>
      <c r="Z42" s="61">
        <f>356492/16113036.45</f>
        <v>2.2124445699990954E-2</v>
      </c>
      <c r="AA42" s="71">
        <v>1611305.1500000001</v>
      </c>
      <c r="AB42" s="71">
        <v>0</v>
      </c>
      <c r="AC42" s="71">
        <v>0</v>
      </c>
      <c r="AD42" s="71">
        <v>0</v>
      </c>
      <c r="AE42" s="71">
        <v>0</v>
      </c>
      <c r="AF42" s="71">
        <f t="shared" ref="AF42" si="19">SUM(AD42:AE42)</f>
        <v>0</v>
      </c>
      <c r="AG42" s="71">
        <v>741042.51</v>
      </c>
      <c r="AH42" s="70">
        <v>56588.94</v>
      </c>
      <c r="AI42" s="70">
        <v>213364.69999999998</v>
      </c>
      <c r="AJ42" s="71">
        <v>0</v>
      </c>
      <c r="AK42" s="70">
        <v>162989.51</v>
      </c>
      <c r="AL42" s="70">
        <v>4327.47</v>
      </c>
      <c r="AM42" s="70">
        <v>80602.03</v>
      </c>
      <c r="AN42" s="70">
        <v>7480</v>
      </c>
      <c r="AO42" s="70">
        <v>62500</v>
      </c>
      <c r="AP42" s="70">
        <v>7815.36</v>
      </c>
      <c r="AQ42" s="70">
        <f>8218.09+14401.35+19919.15</f>
        <v>42538.590000000004</v>
      </c>
      <c r="AR42" s="70">
        <v>574</v>
      </c>
      <c r="AS42" s="70">
        <v>0</v>
      </c>
      <c r="AT42" s="70">
        <v>5036.3900000000003</v>
      </c>
      <c r="AU42" s="70">
        <v>31449.949999999997</v>
      </c>
      <c r="AV42" s="70">
        <f>AW42-AG42-AH42-AI42-AK42-AL42-AM42-AN42-AO42-AP42-AQ42-AR42-AT42-AU42</f>
        <v>84497.019999999873</v>
      </c>
      <c r="AW42" s="70">
        <v>1500806.4699999997</v>
      </c>
      <c r="AX42" s="70">
        <v>0</v>
      </c>
      <c r="AY42" s="61">
        <f t="shared" ref="AY42" si="20">AX42/AW42</f>
        <v>0</v>
      </c>
      <c r="AZ42" s="71">
        <v>0</v>
      </c>
      <c r="BA42" s="61">
        <f>1611305.15/16113036.45</f>
        <v>0.10000009340263113</v>
      </c>
      <c r="BB42" s="70">
        <v>199775</v>
      </c>
      <c r="BC42" s="70">
        <v>156717</v>
      </c>
      <c r="BD42" s="71">
        <v>243342</v>
      </c>
      <c r="BE42" s="71">
        <v>0</v>
      </c>
      <c r="BF42" s="71">
        <v>590624</v>
      </c>
      <c r="BG42" s="71">
        <v>215422</v>
      </c>
      <c r="BH42" s="71">
        <v>0</v>
      </c>
      <c r="BI42" s="71">
        <v>0</v>
      </c>
      <c r="BJ42" s="71">
        <f t="shared" ref="BJ42:BJ43" si="21">SUM(BH42:BI42)</f>
        <v>0</v>
      </c>
      <c r="BK42" s="71">
        <v>0</v>
      </c>
      <c r="BL42" s="60">
        <v>2436</v>
      </c>
      <c r="BM42" s="60">
        <v>629</v>
      </c>
      <c r="BN42" s="59">
        <v>22</v>
      </c>
      <c r="BO42" s="59">
        <v>-11</v>
      </c>
      <c r="BP42" s="59">
        <v>-23</v>
      </c>
      <c r="BQ42" s="59">
        <v>-68</v>
      </c>
      <c r="BR42" s="59">
        <v>-110</v>
      </c>
      <c r="BS42" s="59">
        <v>-340</v>
      </c>
      <c r="BT42" s="59">
        <v>1</v>
      </c>
      <c r="BU42" s="59">
        <v>-2</v>
      </c>
      <c r="BV42" s="59">
        <v>5</v>
      </c>
      <c r="BW42" s="59">
        <v>-450</v>
      </c>
      <c r="BX42" s="59">
        <v>-4</v>
      </c>
      <c r="BY42" s="59">
        <v>2085</v>
      </c>
      <c r="BZ42" s="59">
        <v>5</v>
      </c>
      <c r="CA42" s="59">
        <v>1</v>
      </c>
      <c r="CB42" s="59">
        <v>126</v>
      </c>
      <c r="CC42" s="59">
        <v>41</v>
      </c>
      <c r="CD42" s="59">
        <v>286</v>
      </c>
      <c r="CE42" s="59">
        <v>2</v>
      </c>
      <c r="CF42" s="59">
        <v>6</v>
      </c>
    </row>
    <row r="43" spans="1:84" s="63" customFormat="1" ht="15.6" customHeight="1" x14ac:dyDescent="0.25">
      <c r="A43" s="33">
        <v>4</v>
      </c>
      <c r="B43" s="51" t="s">
        <v>569</v>
      </c>
      <c r="C43" s="55" t="s">
        <v>570</v>
      </c>
      <c r="D43" s="35" t="s">
        <v>159</v>
      </c>
      <c r="E43" s="35" t="s">
        <v>85</v>
      </c>
      <c r="F43" s="35" t="s">
        <v>158</v>
      </c>
      <c r="G43" s="70">
        <v>22502701.27</v>
      </c>
      <c r="H43" s="70">
        <v>0</v>
      </c>
      <c r="I43" s="70">
        <v>1605365.4999999998</v>
      </c>
      <c r="J43" s="70">
        <v>0</v>
      </c>
      <c r="K43" s="71">
        <v>5000</v>
      </c>
      <c r="L43" s="71">
        <v>24113066.77</v>
      </c>
      <c r="M43" s="71">
        <v>0</v>
      </c>
      <c r="N43" s="70">
        <v>0</v>
      </c>
      <c r="O43" s="70">
        <v>6034456.6399999997</v>
      </c>
      <c r="P43" s="72">
        <v>2538063</v>
      </c>
      <c r="Q43" s="70">
        <v>0</v>
      </c>
      <c r="R43" s="70">
        <v>3069123.3299999996</v>
      </c>
      <c r="S43" s="70">
        <v>6632696.9199999999</v>
      </c>
      <c r="T43" s="70">
        <v>2212523.29</v>
      </c>
      <c r="U43" s="70">
        <v>0</v>
      </c>
      <c r="V43" s="70">
        <v>0</v>
      </c>
      <c r="W43" s="70">
        <v>2168877.5</v>
      </c>
      <c r="X43" s="71">
        <f>8446+1526366</f>
        <v>1534812</v>
      </c>
      <c r="Y43" s="71">
        <v>24190553.319999997</v>
      </c>
      <c r="Z43" s="61">
        <f>1999236/22502701</f>
        <v>8.88442680725305E-2</v>
      </c>
      <c r="AA43" s="71">
        <v>1526366.06</v>
      </c>
      <c r="AB43" s="71">
        <v>0</v>
      </c>
      <c r="AC43" s="71">
        <v>0</v>
      </c>
      <c r="AD43" s="71">
        <v>0</v>
      </c>
      <c r="AE43" s="71">
        <v>0</v>
      </c>
      <c r="AF43" s="71">
        <f>SUM(AD43:AE43)</f>
        <v>0</v>
      </c>
      <c r="AG43" s="71">
        <v>774827.17999999993</v>
      </c>
      <c r="AH43" s="70">
        <v>67457.2</v>
      </c>
      <c r="AI43" s="70">
        <v>89196</v>
      </c>
      <c r="AJ43" s="71">
        <v>0</v>
      </c>
      <c r="AK43" s="70">
        <v>184543.79999999996</v>
      </c>
      <c r="AL43" s="70">
        <v>63840.88</v>
      </c>
      <c r="AM43" s="70">
        <v>70823.520000000004</v>
      </c>
      <c r="AN43" s="70">
        <v>7770</v>
      </c>
      <c r="AO43" s="70">
        <v>61706.82</v>
      </c>
      <c r="AP43" s="70">
        <v>0</v>
      </c>
      <c r="AQ43" s="70">
        <f>7724+19442+15698</f>
        <v>42864</v>
      </c>
      <c r="AR43" s="70">
        <v>3985.39</v>
      </c>
      <c r="AS43" s="70">
        <v>0</v>
      </c>
      <c r="AT43" s="70">
        <v>28597.02</v>
      </c>
      <c r="AU43" s="70">
        <v>18121.820000000003</v>
      </c>
      <c r="AV43" s="70">
        <f>AW43-(AG43+AH43+AI43+AK43+AL43+AM43+AN43+AO43+AQ43+AR43+AT43+AU43)</f>
        <v>47046.599999999627</v>
      </c>
      <c r="AW43" s="70">
        <v>1460780.2299999995</v>
      </c>
      <c r="AX43" s="70">
        <v>0</v>
      </c>
      <c r="AY43" s="61">
        <f>AX43/AW43</f>
        <v>0</v>
      </c>
      <c r="AZ43" s="71">
        <v>0</v>
      </c>
      <c r="BA43" s="61">
        <f>1526366/22502701</f>
        <v>6.783034623265892E-2</v>
      </c>
      <c r="BB43" s="59">
        <v>1123072</v>
      </c>
      <c r="BC43" s="59">
        <v>876163</v>
      </c>
      <c r="BD43" s="60">
        <v>121911</v>
      </c>
      <c r="BE43" s="60">
        <v>0</v>
      </c>
      <c r="BF43" s="60">
        <v>1215932.5400000005</v>
      </c>
      <c r="BG43" s="60">
        <v>850737.48250000062</v>
      </c>
      <c r="BH43" s="60">
        <v>0</v>
      </c>
      <c r="BI43" s="60">
        <v>0</v>
      </c>
      <c r="BJ43" s="71">
        <f t="shared" si="21"/>
        <v>0</v>
      </c>
      <c r="BK43" s="60">
        <v>0</v>
      </c>
      <c r="BL43" s="60">
        <v>3482</v>
      </c>
      <c r="BM43" s="60">
        <v>936</v>
      </c>
      <c r="BN43" s="59">
        <v>0</v>
      </c>
      <c r="BO43" s="59">
        <v>0</v>
      </c>
      <c r="BP43" s="59">
        <v>-38</v>
      </c>
      <c r="BQ43" s="59">
        <v>-65</v>
      </c>
      <c r="BR43" s="59">
        <v>-248</v>
      </c>
      <c r="BS43" s="59">
        <v>-325</v>
      </c>
      <c r="BT43" s="59">
        <v>0</v>
      </c>
      <c r="BU43" s="59">
        <v>0</v>
      </c>
      <c r="BV43" s="59">
        <v>-2</v>
      </c>
      <c r="BW43" s="59">
        <v>-490</v>
      </c>
      <c r="BX43" s="59">
        <v>-1</v>
      </c>
      <c r="BY43" s="59">
        <v>3249</v>
      </c>
      <c r="BZ43" s="59">
        <v>44</v>
      </c>
      <c r="CA43" s="59">
        <v>221</v>
      </c>
      <c r="CB43" s="59">
        <v>132</v>
      </c>
      <c r="CC43" s="59">
        <v>57</v>
      </c>
      <c r="CD43" s="59">
        <v>286</v>
      </c>
      <c r="CE43" s="59">
        <v>2</v>
      </c>
      <c r="CF43" s="59">
        <v>14</v>
      </c>
    </row>
    <row r="44" spans="1:84" s="50" customFormat="1" ht="15.6" customHeight="1" x14ac:dyDescent="0.25">
      <c r="A44" s="39">
        <v>4</v>
      </c>
      <c r="B44" s="51" t="s">
        <v>498</v>
      </c>
      <c r="C44" s="57" t="s">
        <v>509</v>
      </c>
      <c r="D44" s="42" t="s">
        <v>151</v>
      </c>
      <c r="E44" s="42" t="s">
        <v>106</v>
      </c>
      <c r="F44" s="42" t="s">
        <v>152</v>
      </c>
      <c r="G44" s="70">
        <v>28573530.460000001</v>
      </c>
      <c r="H44" s="70">
        <v>0</v>
      </c>
      <c r="I44" s="70">
        <v>414753.39</v>
      </c>
      <c r="J44" s="70">
        <v>0</v>
      </c>
      <c r="K44" s="71">
        <v>0</v>
      </c>
      <c r="L44" s="71">
        <v>28988283.850000001</v>
      </c>
      <c r="M44" s="71">
        <v>0</v>
      </c>
      <c r="N44" s="70">
        <v>152099.89000000001</v>
      </c>
      <c r="O44" s="70">
        <v>2438539.56</v>
      </c>
      <c r="P44" s="72">
        <v>7663583.2000000002</v>
      </c>
      <c r="Q44" s="70">
        <v>183925.16</v>
      </c>
      <c r="R44" s="70">
        <v>2251107.0299999998</v>
      </c>
      <c r="S44" s="70">
        <v>10154537.91</v>
      </c>
      <c r="T44" s="70">
        <v>3718967.88</v>
      </c>
      <c r="U44" s="70">
        <v>0</v>
      </c>
      <c r="V44" s="70">
        <v>0</v>
      </c>
      <c r="W44" s="70">
        <v>500716.55</v>
      </c>
      <c r="X44" s="71">
        <v>1857410.79</v>
      </c>
      <c r="Y44" s="71">
        <v>28920887.969999999</v>
      </c>
      <c r="Z44" s="61">
        <v>4.3784639484833195E-2</v>
      </c>
      <c r="AA44" s="71">
        <v>1857410.79</v>
      </c>
      <c r="AB44" s="71">
        <v>0</v>
      </c>
      <c r="AC44" s="71">
        <v>0</v>
      </c>
      <c r="AD44" s="71">
        <v>0</v>
      </c>
      <c r="AE44" s="71">
        <v>0</v>
      </c>
      <c r="AF44" s="71">
        <f t="shared" ref="AF44:AF45" si="22">SUM(AD44:AE44)</f>
        <v>0</v>
      </c>
      <c r="AG44" s="71">
        <v>878116.05</v>
      </c>
      <c r="AH44" s="70">
        <v>66559.19</v>
      </c>
      <c r="AI44" s="70">
        <v>241685.33</v>
      </c>
      <c r="AJ44" s="71">
        <v>0</v>
      </c>
      <c r="AK44" s="70">
        <v>133290.75</v>
      </c>
      <c r="AL44" s="70">
        <v>39985.97</v>
      </c>
      <c r="AM44" s="70">
        <v>90427.05</v>
      </c>
      <c r="AN44" s="70">
        <v>10940</v>
      </c>
      <c r="AO44" s="70">
        <v>25961.200000000001</v>
      </c>
      <c r="AP44" s="70">
        <v>0</v>
      </c>
      <c r="AQ44" s="70">
        <v>46165.72</v>
      </c>
      <c r="AR44" s="70">
        <v>20829.22</v>
      </c>
      <c r="AS44" s="70">
        <v>0</v>
      </c>
      <c r="AT44" s="70">
        <v>0</v>
      </c>
      <c r="AU44" s="70">
        <v>44824.73</v>
      </c>
      <c r="AV44" s="70">
        <v>67490.53</v>
      </c>
      <c r="AW44" s="70">
        <v>1666275.74</v>
      </c>
      <c r="AX44" s="70">
        <v>0</v>
      </c>
      <c r="AY44" s="61">
        <f t="shared" ref="AY44:AY45" si="23">AX44/AW44</f>
        <v>0</v>
      </c>
      <c r="AZ44" s="71">
        <v>0</v>
      </c>
      <c r="BA44" s="61">
        <v>6.5004595515425853E-2</v>
      </c>
      <c r="BB44" s="70">
        <v>280714.12</v>
      </c>
      <c r="BC44" s="70">
        <v>970367.61</v>
      </c>
      <c r="BD44" s="71">
        <v>241806.97</v>
      </c>
      <c r="BE44" s="71">
        <v>0</v>
      </c>
      <c r="BF44" s="71">
        <v>1444587.14</v>
      </c>
      <c r="BG44" s="71">
        <v>1028018.205</v>
      </c>
      <c r="BH44" s="71">
        <v>0</v>
      </c>
      <c r="BI44" s="71">
        <v>0</v>
      </c>
      <c r="BJ44" s="71">
        <f t="shared" ref="BJ44:BJ45" si="24">SUM(BH44:BI44)</f>
        <v>0</v>
      </c>
      <c r="BK44" s="71">
        <v>0</v>
      </c>
      <c r="BL44" s="60">
        <v>4469</v>
      </c>
      <c r="BM44" s="60">
        <v>1040</v>
      </c>
      <c r="BN44" s="59">
        <v>0</v>
      </c>
      <c r="BO44" s="59">
        <v>0</v>
      </c>
      <c r="BP44" s="59">
        <v>-7</v>
      </c>
      <c r="BQ44" s="59">
        <v>-59</v>
      </c>
      <c r="BR44" s="59">
        <v>-81</v>
      </c>
      <c r="BS44" s="59">
        <v>-433</v>
      </c>
      <c r="BT44" s="59">
        <v>10</v>
      </c>
      <c r="BU44" s="59">
        <v>-1</v>
      </c>
      <c r="BV44" s="59">
        <v>-166</v>
      </c>
      <c r="BW44" s="59">
        <v>-780</v>
      </c>
      <c r="BX44" s="59">
        <v>-1</v>
      </c>
      <c r="BY44" s="59">
        <v>3991</v>
      </c>
      <c r="BZ44" s="59">
        <v>48</v>
      </c>
      <c r="CA44" s="59">
        <v>452</v>
      </c>
      <c r="CB44" s="59">
        <v>210</v>
      </c>
      <c r="CC44" s="59">
        <v>65</v>
      </c>
      <c r="CD44" s="59">
        <v>499</v>
      </c>
      <c r="CE44" s="59">
        <v>4</v>
      </c>
      <c r="CF44" s="59">
        <v>4</v>
      </c>
    </row>
    <row r="45" spans="1:84" s="63" customFormat="1" ht="15.6" customHeight="1" x14ac:dyDescent="0.25">
      <c r="A45" s="33">
        <v>4</v>
      </c>
      <c r="B45" s="34" t="s">
        <v>181</v>
      </c>
      <c r="C45" s="55" t="s">
        <v>182</v>
      </c>
      <c r="D45" s="35" t="s">
        <v>183</v>
      </c>
      <c r="E45" s="35" t="s">
        <v>85</v>
      </c>
      <c r="F45" s="35" t="s">
        <v>163</v>
      </c>
      <c r="G45" s="70">
        <v>26067131.149999999</v>
      </c>
      <c r="H45" s="70">
        <v>0</v>
      </c>
      <c r="I45" s="70">
        <v>285400.06</v>
      </c>
      <c r="J45" s="70">
        <v>0</v>
      </c>
      <c r="K45" s="71">
        <v>0</v>
      </c>
      <c r="L45" s="71">
        <v>26352531.210000001</v>
      </c>
      <c r="M45" s="71">
        <v>0</v>
      </c>
      <c r="N45" s="70">
        <v>5001534.87</v>
      </c>
      <c r="O45" s="70">
        <v>3424026.56</v>
      </c>
      <c r="P45" s="72">
        <v>8052847.3899999997</v>
      </c>
      <c r="Q45" s="70">
        <v>0</v>
      </c>
      <c r="R45" s="70">
        <v>1499827.17</v>
      </c>
      <c r="S45" s="70">
        <v>5284926.1900000004</v>
      </c>
      <c r="T45" s="70">
        <v>1640856.67</v>
      </c>
      <c r="U45" s="70">
        <v>0</v>
      </c>
      <c r="V45" s="70">
        <v>0</v>
      </c>
      <c r="W45" s="70">
        <v>266804.76</v>
      </c>
      <c r="X45" s="71">
        <v>1321949.97</v>
      </c>
      <c r="Y45" s="71">
        <v>26492773.579999998</v>
      </c>
      <c r="Z45" s="61">
        <v>0.10146911966566716</v>
      </c>
      <c r="AA45" s="71">
        <v>1303354.67</v>
      </c>
      <c r="AB45" s="71">
        <v>0</v>
      </c>
      <c r="AC45" s="71">
        <v>0</v>
      </c>
      <c r="AD45" s="71">
        <v>0</v>
      </c>
      <c r="AE45" s="71">
        <v>600.26</v>
      </c>
      <c r="AF45" s="71">
        <f t="shared" si="22"/>
        <v>600.26</v>
      </c>
      <c r="AG45" s="71">
        <v>841667.59</v>
      </c>
      <c r="AH45" s="70">
        <v>62307.57</v>
      </c>
      <c r="AI45" s="70">
        <v>272393.89</v>
      </c>
      <c r="AJ45" s="71">
        <v>0</v>
      </c>
      <c r="AK45" s="70">
        <v>115671.84</v>
      </c>
      <c r="AL45" s="70">
        <v>7293.38</v>
      </c>
      <c r="AM45" s="70">
        <v>82190.850000000006</v>
      </c>
      <c r="AN45" s="70">
        <v>8745</v>
      </c>
      <c r="AO45" s="70">
        <v>0</v>
      </c>
      <c r="AP45" s="70">
        <v>0</v>
      </c>
      <c r="AQ45" s="70">
        <v>34524.120000000003</v>
      </c>
      <c r="AR45" s="70">
        <v>3699.28</v>
      </c>
      <c r="AS45" s="70">
        <v>0</v>
      </c>
      <c r="AT45" s="70">
        <v>43055.31</v>
      </c>
      <c r="AU45" s="70">
        <v>19779.48</v>
      </c>
      <c r="AV45" s="70">
        <v>111491.29</v>
      </c>
      <c r="AW45" s="70">
        <v>1602819.6</v>
      </c>
      <c r="AX45" s="70">
        <v>0</v>
      </c>
      <c r="AY45" s="61">
        <f t="shared" si="23"/>
        <v>0</v>
      </c>
      <c r="AZ45" s="71">
        <v>0</v>
      </c>
      <c r="BA45" s="61">
        <v>4.9999927590804329E-2</v>
      </c>
      <c r="BB45" s="70">
        <v>297225.23</v>
      </c>
      <c r="BC45" s="70">
        <v>2347783.62</v>
      </c>
      <c r="BD45" s="71">
        <v>244765.92</v>
      </c>
      <c r="BE45" s="71">
        <v>0</v>
      </c>
      <c r="BF45" s="71">
        <v>974048.99</v>
      </c>
      <c r="BG45" s="71">
        <v>573344.08999999904</v>
      </c>
      <c r="BH45" s="71">
        <v>0</v>
      </c>
      <c r="BI45" s="71">
        <v>0</v>
      </c>
      <c r="BJ45" s="71">
        <f t="shared" si="24"/>
        <v>0</v>
      </c>
      <c r="BK45" s="71">
        <v>0</v>
      </c>
      <c r="BL45" s="60">
        <v>2727</v>
      </c>
      <c r="BM45" s="60">
        <v>648</v>
      </c>
      <c r="BN45" s="59">
        <v>0</v>
      </c>
      <c r="BO45" s="59">
        <v>0</v>
      </c>
      <c r="BP45" s="59">
        <v>-4</v>
      </c>
      <c r="BQ45" s="59">
        <v>-17</v>
      </c>
      <c r="BR45" s="59">
        <v>-87</v>
      </c>
      <c r="BS45" s="59">
        <v>-290</v>
      </c>
      <c r="BT45" s="59">
        <v>0</v>
      </c>
      <c r="BU45" s="59">
        <v>0</v>
      </c>
      <c r="BV45" s="59">
        <v>5</v>
      </c>
      <c r="BW45" s="59">
        <v>-523</v>
      </c>
      <c r="BX45" s="59">
        <v>-14</v>
      </c>
      <c r="BY45" s="59">
        <v>2445</v>
      </c>
      <c r="BZ45" s="59">
        <v>12</v>
      </c>
      <c r="CA45" s="59">
        <v>47</v>
      </c>
      <c r="CB45" s="59">
        <v>79</v>
      </c>
      <c r="CC45" s="59">
        <v>53</v>
      </c>
      <c r="CD45" s="59">
        <v>380</v>
      </c>
      <c r="CE45" s="59">
        <v>3</v>
      </c>
      <c r="CF45" s="59">
        <v>7</v>
      </c>
    </row>
    <row r="46" spans="1:84" ht="15.6" customHeight="1" x14ac:dyDescent="0.25">
      <c r="A46" s="43">
        <v>5</v>
      </c>
      <c r="B46" s="44" t="s">
        <v>184</v>
      </c>
      <c r="C46" s="57" t="s">
        <v>185</v>
      </c>
      <c r="D46" s="42" t="s">
        <v>186</v>
      </c>
      <c r="E46" s="42" t="s">
        <v>103</v>
      </c>
      <c r="F46" s="42" t="s">
        <v>187</v>
      </c>
      <c r="G46" s="70">
        <v>29594478.329999998</v>
      </c>
      <c r="H46" s="70">
        <v>75163.53</v>
      </c>
      <c r="I46" s="70">
        <v>1664505.77</v>
      </c>
      <c r="J46" s="70">
        <v>0</v>
      </c>
      <c r="K46" s="71">
        <v>0</v>
      </c>
      <c r="L46" s="71">
        <v>31334147.629999999</v>
      </c>
      <c r="M46" s="71">
        <v>0</v>
      </c>
      <c r="N46" s="70">
        <v>7745457.7599999998</v>
      </c>
      <c r="O46" s="70">
        <v>1709545.23</v>
      </c>
      <c r="P46" s="72">
        <v>11176557.859999999</v>
      </c>
      <c r="Q46" s="70">
        <v>74354.69</v>
      </c>
      <c r="R46" s="70">
        <v>1075189.8400000001</v>
      </c>
      <c r="S46" s="70">
        <v>3475992.11</v>
      </c>
      <c r="T46" s="70">
        <v>1826504.51</v>
      </c>
      <c r="U46" s="70">
        <v>0</v>
      </c>
      <c r="V46" s="70">
        <v>0</v>
      </c>
      <c r="W46" s="70">
        <v>2162369.7200000002</v>
      </c>
      <c r="X46" s="71">
        <v>2131604.04</v>
      </c>
      <c r="Y46" s="71">
        <v>31377575.760000002</v>
      </c>
      <c r="Z46" s="61">
        <v>4.6869953016682626E-2</v>
      </c>
      <c r="AA46" s="71">
        <v>2071742.17</v>
      </c>
      <c r="AB46" s="71">
        <v>0</v>
      </c>
      <c r="AC46" s="71">
        <v>0</v>
      </c>
      <c r="AD46" s="71">
        <v>0</v>
      </c>
      <c r="AE46" s="71">
        <v>0</v>
      </c>
      <c r="AF46" s="71">
        <f t="shared" ref="AF46:AF56" si="25">SUM(AD46:AE46)</f>
        <v>0</v>
      </c>
      <c r="AG46" s="71">
        <v>955220.14</v>
      </c>
      <c r="AH46" s="70">
        <v>73620.33</v>
      </c>
      <c r="AI46" s="70">
        <v>235584.81</v>
      </c>
      <c r="AJ46" s="71">
        <v>0</v>
      </c>
      <c r="AK46" s="70">
        <v>121651.77</v>
      </c>
      <c r="AL46" s="70">
        <v>31616.799999999999</v>
      </c>
      <c r="AM46" s="70">
        <v>96807.19</v>
      </c>
      <c r="AN46" s="70">
        <v>9200</v>
      </c>
      <c r="AO46" s="70">
        <v>2100</v>
      </c>
      <c r="AP46" s="70">
        <v>39611.19</v>
      </c>
      <c r="AQ46" s="70">
        <v>40949.58</v>
      </c>
      <c r="AR46" s="70">
        <v>16415.48</v>
      </c>
      <c r="AS46" s="70">
        <v>0</v>
      </c>
      <c r="AT46" s="70">
        <v>5975.15</v>
      </c>
      <c r="AU46" s="70">
        <v>45173.83</v>
      </c>
      <c r="AV46" s="70">
        <v>61000.69</v>
      </c>
      <c r="AW46" s="70">
        <v>1734926.96</v>
      </c>
      <c r="AX46" s="70">
        <v>0</v>
      </c>
      <c r="AY46" s="61">
        <f t="shared" ref="AY46:AY56" si="26">AX46/AW46</f>
        <v>0</v>
      </c>
      <c r="AZ46" s="71">
        <v>0</v>
      </c>
      <c r="BA46" s="61">
        <v>7.0004348341557679E-2</v>
      </c>
      <c r="BB46" s="70">
        <v>346642.04</v>
      </c>
      <c r="BC46" s="70">
        <v>1043972.68</v>
      </c>
      <c r="BD46" s="71">
        <v>244766</v>
      </c>
      <c r="BE46" s="71">
        <v>0</v>
      </c>
      <c r="BF46" s="71">
        <v>1148649.8899999999</v>
      </c>
      <c r="BG46" s="71">
        <v>714918.150000002</v>
      </c>
      <c r="BH46" s="71">
        <v>0</v>
      </c>
      <c r="BI46" s="71">
        <v>0</v>
      </c>
      <c r="BJ46" s="71">
        <f t="shared" ref="BJ46:BJ56" si="27">SUM(BH46:BI46)</f>
        <v>0</v>
      </c>
      <c r="BK46" s="71">
        <v>0</v>
      </c>
      <c r="BL46" s="60">
        <v>3605</v>
      </c>
      <c r="BM46" s="60">
        <v>906</v>
      </c>
      <c r="BN46" s="59">
        <v>20</v>
      </c>
      <c r="BO46" s="59">
        <v>0</v>
      </c>
      <c r="BP46" s="59">
        <v>-12</v>
      </c>
      <c r="BQ46" s="59">
        <v>-23</v>
      </c>
      <c r="BR46" s="59">
        <v>-142</v>
      </c>
      <c r="BS46" s="59">
        <v>-334</v>
      </c>
      <c r="BT46" s="59">
        <v>0</v>
      </c>
      <c r="BU46" s="59">
        <v>0</v>
      </c>
      <c r="BV46" s="59">
        <v>0</v>
      </c>
      <c r="BW46" s="59">
        <v>-770</v>
      </c>
      <c r="BX46" s="59">
        <v>0</v>
      </c>
      <c r="BY46" s="59">
        <v>3250</v>
      </c>
      <c r="BZ46" s="59">
        <v>4</v>
      </c>
      <c r="CA46" s="59">
        <v>7</v>
      </c>
      <c r="CB46" s="59">
        <v>139</v>
      </c>
      <c r="CC46" s="59">
        <v>32</v>
      </c>
      <c r="CD46" s="59">
        <v>168</v>
      </c>
      <c r="CE46" s="59">
        <v>408</v>
      </c>
      <c r="CF46" s="59">
        <v>8</v>
      </c>
    </row>
    <row r="47" spans="1:84" ht="15.6" customHeight="1" x14ac:dyDescent="0.25">
      <c r="A47" s="43">
        <v>5</v>
      </c>
      <c r="B47" s="44" t="s">
        <v>188</v>
      </c>
      <c r="C47" s="57" t="s">
        <v>189</v>
      </c>
      <c r="D47" s="42" t="s">
        <v>186</v>
      </c>
      <c r="E47" s="42" t="s">
        <v>117</v>
      </c>
      <c r="F47" s="42" t="s">
        <v>187</v>
      </c>
      <c r="G47" s="70">
        <v>19911737.469999999</v>
      </c>
      <c r="H47" s="70">
        <v>0</v>
      </c>
      <c r="I47" s="70">
        <v>875596.7</v>
      </c>
      <c r="J47" s="70">
        <v>0</v>
      </c>
      <c r="K47" s="71">
        <v>4001.73</v>
      </c>
      <c r="L47" s="71">
        <v>20791335.899999999</v>
      </c>
      <c r="M47" s="71">
        <v>0</v>
      </c>
      <c r="N47" s="70">
        <v>5506042.3799999999</v>
      </c>
      <c r="O47" s="70">
        <v>1067975.32</v>
      </c>
      <c r="P47" s="72">
        <v>6869951.5499999998</v>
      </c>
      <c r="Q47" s="70">
        <v>23659.71</v>
      </c>
      <c r="R47" s="70">
        <v>805770.72</v>
      </c>
      <c r="S47" s="70">
        <v>2881368.63</v>
      </c>
      <c r="T47" s="70">
        <v>1342338.58</v>
      </c>
      <c r="U47" s="70">
        <v>0</v>
      </c>
      <c r="V47" s="70">
        <v>0</v>
      </c>
      <c r="W47" s="70">
        <v>514031.37</v>
      </c>
      <c r="X47" s="71">
        <v>1992672.53</v>
      </c>
      <c r="Y47" s="71">
        <v>21003810.789999999</v>
      </c>
      <c r="Z47" s="61">
        <v>5.4177173068162693E-2</v>
      </c>
      <c r="AA47" s="71">
        <v>1988670.8</v>
      </c>
      <c r="AB47" s="71">
        <v>0</v>
      </c>
      <c r="AC47" s="71">
        <v>0</v>
      </c>
      <c r="AD47" s="71">
        <v>4001.73</v>
      </c>
      <c r="AE47" s="71">
        <v>0</v>
      </c>
      <c r="AF47" s="71">
        <f t="shared" si="25"/>
        <v>4001.73</v>
      </c>
      <c r="AG47" s="71">
        <v>1097432.6499999999</v>
      </c>
      <c r="AH47" s="70">
        <v>95485.29</v>
      </c>
      <c r="AI47" s="70">
        <v>256423.04000000001</v>
      </c>
      <c r="AJ47" s="71">
        <v>0</v>
      </c>
      <c r="AK47" s="70">
        <v>39891.9</v>
      </c>
      <c r="AL47" s="70">
        <v>53656</v>
      </c>
      <c r="AM47" s="70">
        <v>59726.28</v>
      </c>
      <c r="AN47" s="70">
        <v>9200</v>
      </c>
      <c r="AO47" s="70">
        <v>0</v>
      </c>
      <c r="AP47" s="70">
        <v>16901.64</v>
      </c>
      <c r="AQ47" s="70">
        <v>46578.57</v>
      </c>
      <c r="AR47" s="70">
        <v>9109.61</v>
      </c>
      <c r="AS47" s="70">
        <v>0</v>
      </c>
      <c r="AT47" s="70">
        <v>12602.88</v>
      </c>
      <c r="AU47" s="70">
        <v>36000</v>
      </c>
      <c r="AV47" s="70">
        <v>101149.09</v>
      </c>
      <c r="AW47" s="70">
        <v>1834156.95</v>
      </c>
      <c r="AX47" s="70">
        <v>0</v>
      </c>
      <c r="AY47" s="61">
        <f t="shared" si="26"/>
        <v>0</v>
      </c>
      <c r="AZ47" s="71">
        <v>0</v>
      </c>
      <c r="BA47" s="61">
        <v>9.9874297910778967E-2</v>
      </c>
      <c r="BB47" s="70">
        <v>135980.66</v>
      </c>
      <c r="BC47" s="70">
        <v>942780.99</v>
      </c>
      <c r="BD47" s="71">
        <v>244756</v>
      </c>
      <c r="BE47" s="71">
        <v>0</v>
      </c>
      <c r="BF47" s="71">
        <v>1088253.3</v>
      </c>
      <c r="BG47" s="71">
        <v>629714.06250000105</v>
      </c>
      <c r="BH47" s="71">
        <v>0</v>
      </c>
      <c r="BI47" s="71">
        <v>0</v>
      </c>
      <c r="BJ47" s="71">
        <f t="shared" si="27"/>
        <v>0</v>
      </c>
      <c r="BK47" s="71">
        <v>0</v>
      </c>
      <c r="BL47" s="60">
        <v>2096</v>
      </c>
      <c r="BM47" s="60">
        <v>526</v>
      </c>
      <c r="BN47" s="59">
        <v>30</v>
      </c>
      <c r="BO47" s="59">
        <v>0</v>
      </c>
      <c r="BP47" s="59">
        <v>-5</v>
      </c>
      <c r="BQ47" s="59">
        <v>-24</v>
      </c>
      <c r="BR47" s="59">
        <v>-49</v>
      </c>
      <c r="BS47" s="59">
        <v>-207</v>
      </c>
      <c r="BT47" s="59">
        <v>0</v>
      </c>
      <c r="BU47" s="59">
        <v>0</v>
      </c>
      <c r="BV47" s="59">
        <v>0</v>
      </c>
      <c r="BW47" s="59">
        <v>-365</v>
      </c>
      <c r="BX47" s="59">
        <v>0</v>
      </c>
      <c r="BY47" s="59">
        <v>2002</v>
      </c>
      <c r="BZ47" s="59">
        <v>11</v>
      </c>
      <c r="CA47" s="59">
        <v>69</v>
      </c>
      <c r="CB47" s="59">
        <v>138</v>
      </c>
      <c r="CC47" s="59">
        <v>49</v>
      </c>
      <c r="CD47" s="59">
        <v>101</v>
      </c>
      <c r="CE47" s="59">
        <v>61</v>
      </c>
      <c r="CF47" s="59">
        <v>7</v>
      </c>
    </row>
    <row r="48" spans="1:84" s="50" customFormat="1" ht="15.6" customHeight="1" x14ac:dyDescent="0.25">
      <c r="A48" s="43">
        <v>5</v>
      </c>
      <c r="B48" s="44" t="s">
        <v>190</v>
      </c>
      <c r="C48" s="57" t="s">
        <v>191</v>
      </c>
      <c r="D48" s="42" t="s">
        <v>192</v>
      </c>
      <c r="E48" s="42" t="s">
        <v>106</v>
      </c>
      <c r="F48" s="42" t="s">
        <v>193</v>
      </c>
      <c r="G48" s="70">
        <v>25625219.719999999</v>
      </c>
      <c r="H48" s="70">
        <v>0</v>
      </c>
      <c r="I48" s="70">
        <v>1831947.56</v>
      </c>
      <c r="J48" s="70">
        <v>0</v>
      </c>
      <c r="K48" s="71">
        <v>0</v>
      </c>
      <c r="L48" s="71">
        <v>27457167.280000001</v>
      </c>
      <c r="M48" s="71">
        <v>0</v>
      </c>
      <c r="N48" s="70">
        <v>0</v>
      </c>
      <c r="O48" s="70">
        <v>3552013.33</v>
      </c>
      <c r="P48" s="72">
        <v>6977587.7400000002</v>
      </c>
      <c r="Q48" s="70">
        <v>58175.15</v>
      </c>
      <c r="R48" s="70">
        <v>2128764.83</v>
      </c>
      <c r="S48" s="70">
        <v>7252429.04</v>
      </c>
      <c r="T48" s="70">
        <v>3207681.91</v>
      </c>
      <c r="U48" s="70">
        <v>0</v>
      </c>
      <c r="V48" s="70">
        <v>0</v>
      </c>
      <c r="W48" s="70">
        <v>1831947.56</v>
      </c>
      <c r="X48" s="71">
        <v>2572281.33</v>
      </c>
      <c r="Y48" s="71">
        <v>27580880.890000001</v>
      </c>
      <c r="Z48" s="61">
        <v>0.14505357575915451</v>
      </c>
      <c r="AA48" s="71">
        <v>2572281.33</v>
      </c>
      <c r="AB48" s="71">
        <v>0</v>
      </c>
      <c r="AC48" s="71">
        <v>0</v>
      </c>
      <c r="AD48" s="71">
        <v>0</v>
      </c>
      <c r="AE48" s="71">
        <v>575.71</v>
      </c>
      <c r="AF48" s="71">
        <f t="shared" si="25"/>
        <v>575.71</v>
      </c>
      <c r="AG48" s="71">
        <v>1129908.68</v>
      </c>
      <c r="AH48" s="70">
        <v>99356.91</v>
      </c>
      <c r="AI48" s="70">
        <v>249716.86</v>
      </c>
      <c r="AJ48" s="71">
        <v>0</v>
      </c>
      <c r="AK48" s="70">
        <v>142766.47</v>
      </c>
      <c r="AL48" s="70">
        <v>43873.71</v>
      </c>
      <c r="AM48" s="70">
        <v>108416.59</v>
      </c>
      <c r="AN48" s="70">
        <v>9200</v>
      </c>
      <c r="AO48" s="70">
        <v>120</v>
      </c>
      <c r="AP48" s="70">
        <v>12712.21</v>
      </c>
      <c r="AQ48" s="70">
        <v>54701.46</v>
      </c>
      <c r="AR48" s="70">
        <v>5309.72</v>
      </c>
      <c r="AS48" s="70">
        <v>0</v>
      </c>
      <c r="AT48" s="70">
        <v>9771.3700000000008</v>
      </c>
      <c r="AU48" s="70">
        <v>28124.76</v>
      </c>
      <c r="AV48" s="70">
        <v>49470.97</v>
      </c>
      <c r="AW48" s="70">
        <v>1943449.71</v>
      </c>
      <c r="AX48" s="70">
        <v>0</v>
      </c>
      <c r="AY48" s="61">
        <f t="shared" si="26"/>
        <v>0</v>
      </c>
      <c r="AZ48" s="71">
        <v>313.60000000000002</v>
      </c>
      <c r="BA48" s="61">
        <v>0.10038084972954918</v>
      </c>
      <c r="BB48" s="70">
        <v>408187.7</v>
      </c>
      <c r="BC48" s="70">
        <v>3308842.05</v>
      </c>
      <c r="BD48" s="71">
        <v>244766</v>
      </c>
      <c r="BE48" s="71">
        <v>0</v>
      </c>
      <c r="BF48" s="71">
        <v>1559260.37</v>
      </c>
      <c r="BG48" s="71">
        <v>1073397.9424999999</v>
      </c>
      <c r="BH48" s="71">
        <v>0</v>
      </c>
      <c r="BI48" s="71">
        <v>0</v>
      </c>
      <c r="BJ48" s="71">
        <f t="shared" si="27"/>
        <v>0</v>
      </c>
      <c r="BK48" s="71">
        <v>0</v>
      </c>
      <c r="BL48" s="60">
        <v>4285</v>
      </c>
      <c r="BM48" s="60">
        <v>916</v>
      </c>
      <c r="BN48" s="59">
        <v>0</v>
      </c>
      <c r="BO48" s="59">
        <v>0</v>
      </c>
      <c r="BP48" s="59">
        <v>-5</v>
      </c>
      <c r="BQ48" s="59">
        <v>-32</v>
      </c>
      <c r="BR48" s="59">
        <v>-119</v>
      </c>
      <c r="BS48" s="59">
        <v>-372</v>
      </c>
      <c r="BT48" s="59">
        <v>0</v>
      </c>
      <c r="BU48" s="59">
        <v>0</v>
      </c>
      <c r="BV48" s="59">
        <v>0</v>
      </c>
      <c r="BW48" s="59">
        <v>-962</v>
      </c>
      <c r="BX48" s="59">
        <v>-3</v>
      </c>
      <c r="BY48" s="59">
        <v>3708</v>
      </c>
      <c r="BZ48" s="59">
        <v>37</v>
      </c>
      <c r="CA48" s="59">
        <v>107</v>
      </c>
      <c r="CB48" s="59">
        <v>207</v>
      </c>
      <c r="CC48" s="59">
        <v>63</v>
      </c>
      <c r="CD48" s="59">
        <v>543</v>
      </c>
      <c r="CE48" s="59">
        <v>131</v>
      </c>
      <c r="CF48" s="59">
        <v>15</v>
      </c>
    </row>
    <row r="49" spans="1:84" ht="15.6" customHeight="1" x14ac:dyDescent="0.25">
      <c r="A49" s="43">
        <v>5</v>
      </c>
      <c r="B49" s="44" t="s">
        <v>195</v>
      </c>
      <c r="C49" s="57" t="s">
        <v>196</v>
      </c>
      <c r="D49" s="42" t="s">
        <v>197</v>
      </c>
      <c r="E49" s="42" t="s">
        <v>132</v>
      </c>
      <c r="F49" s="42" t="s">
        <v>193</v>
      </c>
      <c r="G49" s="70">
        <v>11979232.949999999</v>
      </c>
      <c r="H49" s="70">
        <v>23431.96</v>
      </c>
      <c r="I49" s="70">
        <v>282435.94</v>
      </c>
      <c r="J49" s="70">
        <v>0</v>
      </c>
      <c r="K49" s="71">
        <v>0</v>
      </c>
      <c r="L49" s="71">
        <v>12285100.85</v>
      </c>
      <c r="M49" s="71">
        <v>0</v>
      </c>
      <c r="N49" s="70">
        <v>439315.09</v>
      </c>
      <c r="O49" s="70">
        <v>1391766.56</v>
      </c>
      <c r="P49" s="72">
        <v>3452902.22</v>
      </c>
      <c r="Q49" s="70">
        <v>23431.96</v>
      </c>
      <c r="R49" s="70">
        <v>670907.53</v>
      </c>
      <c r="S49" s="70">
        <v>4166601.7</v>
      </c>
      <c r="T49" s="70">
        <v>570800.64000000001</v>
      </c>
      <c r="U49" s="70">
        <v>0</v>
      </c>
      <c r="V49" s="70">
        <v>0</v>
      </c>
      <c r="W49" s="70">
        <v>339001.44</v>
      </c>
      <c r="X49" s="71">
        <v>1197923.33</v>
      </c>
      <c r="Y49" s="71">
        <v>12252650.470000001</v>
      </c>
      <c r="Z49" s="61">
        <v>2.3361869393385741E-2</v>
      </c>
      <c r="AA49" s="71">
        <v>1197923.33</v>
      </c>
      <c r="AB49" s="71">
        <v>0</v>
      </c>
      <c r="AC49" s="71">
        <v>0</v>
      </c>
      <c r="AD49" s="71">
        <v>0</v>
      </c>
      <c r="AE49" s="71">
        <v>0</v>
      </c>
      <c r="AF49" s="71">
        <f t="shared" si="25"/>
        <v>0</v>
      </c>
      <c r="AG49" s="71">
        <v>616565</v>
      </c>
      <c r="AH49" s="70">
        <v>48124.6</v>
      </c>
      <c r="AI49" s="70">
        <v>89406.96</v>
      </c>
      <c r="AJ49" s="71">
        <v>0</v>
      </c>
      <c r="AK49" s="70">
        <v>70573.7</v>
      </c>
      <c r="AL49" s="70">
        <v>15728.75</v>
      </c>
      <c r="AM49" s="70">
        <v>44210.18</v>
      </c>
      <c r="AN49" s="70">
        <v>9200</v>
      </c>
      <c r="AO49" s="70">
        <v>0</v>
      </c>
      <c r="AP49" s="70">
        <v>6475.26</v>
      </c>
      <c r="AQ49" s="70">
        <v>28851.62</v>
      </c>
      <c r="AR49" s="70">
        <v>650</v>
      </c>
      <c r="AS49" s="70">
        <v>0</v>
      </c>
      <c r="AT49" s="70">
        <v>0</v>
      </c>
      <c r="AU49" s="70">
        <v>24032.55</v>
      </c>
      <c r="AV49" s="70">
        <v>73263.789999999994</v>
      </c>
      <c r="AW49" s="70">
        <v>1027082.41</v>
      </c>
      <c r="AX49" s="70">
        <v>0</v>
      </c>
      <c r="AY49" s="61">
        <f t="shared" si="26"/>
        <v>0</v>
      </c>
      <c r="AZ49" s="71">
        <v>0</v>
      </c>
      <c r="BA49" s="61">
        <v>0.10000000292172298</v>
      </c>
      <c r="BB49" s="70">
        <v>100852.97</v>
      </c>
      <c r="BC49" s="70">
        <v>179551.72</v>
      </c>
      <c r="BD49" s="71">
        <v>244766</v>
      </c>
      <c r="BE49" s="71">
        <v>0</v>
      </c>
      <c r="BF49" s="71">
        <v>381513.33</v>
      </c>
      <c r="BG49" s="71">
        <v>124742.72749999999</v>
      </c>
      <c r="BH49" s="71">
        <v>0</v>
      </c>
      <c r="BI49" s="71">
        <v>0</v>
      </c>
      <c r="BJ49" s="71">
        <f t="shared" si="27"/>
        <v>0</v>
      </c>
      <c r="BK49" s="71">
        <v>0</v>
      </c>
      <c r="BL49" s="60">
        <v>1054</v>
      </c>
      <c r="BM49" s="60">
        <v>320</v>
      </c>
      <c r="BN49" s="59">
        <v>0</v>
      </c>
      <c r="BO49" s="59">
        <v>0</v>
      </c>
      <c r="BP49" s="59">
        <v>-8</v>
      </c>
      <c r="BQ49" s="59">
        <v>-23</v>
      </c>
      <c r="BR49" s="59">
        <v>-77</v>
      </c>
      <c r="BS49" s="59">
        <v>-77</v>
      </c>
      <c r="BT49" s="59">
        <v>0</v>
      </c>
      <c r="BU49" s="59">
        <v>0</v>
      </c>
      <c r="BV49" s="59">
        <v>2</v>
      </c>
      <c r="BW49" s="59">
        <v>-187</v>
      </c>
      <c r="BX49" s="59">
        <v>0</v>
      </c>
      <c r="BY49" s="59">
        <v>1004</v>
      </c>
      <c r="BZ49" s="59">
        <v>1</v>
      </c>
      <c r="CA49" s="59">
        <v>2</v>
      </c>
      <c r="CB49" s="59">
        <v>111</v>
      </c>
      <c r="CC49" s="59">
        <v>10</v>
      </c>
      <c r="CD49" s="59">
        <v>42</v>
      </c>
      <c r="CE49" s="59">
        <v>16</v>
      </c>
      <c r="CF49" s="59">
        <v>8</v>
      </c>
    </row>
    <row r="50" spans="1:84" ht="15.6" customHeight="1" x14ac:dyDescent="0.25">
      <c r="A50" s="43">
        <v>5</v>
      </c>
      <c r="B50" s="44" t="s">
        <v>198</v>
      </c>
      <c r="C50" s="57" t="s">
        <v>199</v>
      </c>
      <c r="D50" s="42" t="s">
        <v>200</v>
      </c>
      <c r="E50" s="42" t="s">
        <v>117</v>
      </c>
      <c r="F50" s="42" t="s">
        <v>187</v>
      </c>
      <c r="G50" s="70">
        <v>12254051.09</v>
      </c>
      <c r="H50" s="70">
        <v>289209.94</v>
      </c>
      <c r="I50" s="70">
        <v>0</v>
      </c>
      <c r="J50" s="70">
        <v>0</v>
      </c>
      <c r="K50" s="71">
        <v>225.26</v>
      </c>
      <c r="L50" s="71">
        <v>12543486.289999999</v>
      </c>
      <c r="M50" s="71">
        <v>0</v>
      </c>
      <c r="N50" s="70">
        <v>3695828.3</v>
      </c>
      <c r="O50" s="70">
        <v>767440.02</v>
      </c>
      <c r="P50" s="72">
        <v>3568446.04</v>
      </c>
      <c r="Q50" s="70">
        <v>0</v>
      </c>
      <c r="R50" s="70">
        <v>487008.55</v>
      </c>
      <c r="S50" s="70">
        <v>2119878.5699999998</v>
      </c>
      <c r="T50" s="70">
        <v>479030.83</v>
      </c>
      <c r="U50" s="70">
        <v>0</v>
      </c>
      <c r="V50" s="70">
        <v>0</v>
      </c>
      <c r="W50" s="70">
        <v>320380.33</v>
      </c>
      <c r="X50" s="71">
        <v>981156.79999999993</v>
      </c>
      <c r="Y50" s="71">
        <v>12419169.439999999</v>
      </c>
      <c r="Z50" s="61">
        <v>2.708632302137437E-2</v>
      </c>
      <c r="AA50" s="71">
        <v>980753.6</v>
      </c>
      <c r="AB50" s="71">
        <v>0</v>
      </c>
      <c r="AC50" s="71">
        <v>0</v>
      </c>
      <c r="AD50" s="71">
        <v>225.26</v>
      </c>
      <c r="AE50" s="71">
        <v>277.41000000000003</v>
      </c>
      <c r="AF50" s="71">
        <f t="shared" si="25"/>
        <v>502.67</v>
      </c>
      <c r="AG50" s="71">
        <v>313533.21999999997</v>
      </c>
      <c r="AH50" s="70">
        <v>24347.29</v>
      </c>
      <c r="AI50" s="70">
        <v>40361.83</v>
      </c>
      <c r="AJ50" s="71">
        <v>0</v>
      </c>
      <c r="AK50" s="70">
        <v>47389.06</v>
      </c>
      <c r="AL50" s="70">
        <v>18981</v>
      </c>
      <c r="AM50" s="70">
        <v>73000.240000000005</v>
      </c>
      <c r="AN50" s="70">
        <v>9200</v>
      </c>
      <c r="AO50" s="70">
        <v>0</v>
      </c>
      <c r="AP50" s="70">
        <v>8486.49</v>
      </c>
      <c r="AQ50" s="70">
        <v>15936.41</v>
      </c>
      <c r="AR50" s="70">
        <v>7140.11</v>
      </c>
      <c r="AS50" s="70">
        <v>0</v>
      </c>
      <c r="AT50" s="70">
        <v>1063.98</v>
      </c>
      <c r="AU50" s="70">
        <v>10786.08</v>
      </c>
      <c r="AV50" s="70">
        <v>34817.729999999996</v>
      </c>
      <c r="AW50" s="70">
        <v>605043.43999999994</v>
      </c>
      <c r="AX50" s="70">
        <v>0</v>
      </c>
      <c r="AY50" s="61">
        <f t="shared" si="26"/>
        <v>0</v>
      </c>
      <c r="AZ50" s="71">
        <v>0</v>
      </c>
      <c r="BA50" s="61">
        <v>8.0035050678085598E-2</v>
      </c>
      <c r="BB50" s="70">
        <v>145343.71</v>
      </c>
      <c r="BC50" s="70">
        <v>194407.11</v>
      </c>
      <c r="BD50" s="71">
        <v>244766</v>
      </c>
      <c r="BE50" s="71">
        <v>0</v>
      </c>
      <c r="BF50" s="71">
        <v>884461.89000000095</v>
      </c>
      <c r="BG50" s="71">
        <v>733201.03000000096</v>
      </c>
      <c r="BH50" s="71">
        <v>0</v>
      </c>
      <c r="BI50" s="71">
        <v>0</v>
      </c>
      <c r="BJ50" s="71">
        <f t="shared" si="27"/>
        <v>0</v>
      </c>
      <c r="BK50" s="71">
        <v>0</v>
      </c>
      <c r="BL50" s="60">
        <v>974</v>
      </c>
      <c r="BM50" s="60">
        <v>279</v>
      </c>
      <c r="BN50" s="59">
        <v>10</v>
      </c>
      <c r="BO50" s="59">
        <v>0</v>
      </c>
      <c r="BP50" s="59">
        <v>-4</v>
      </c>
      <c r="BQ50" s="59">
        <v>-18</v>
      </c>
      <c r="BR50" s="59">
        <v>-41</v>
      </c>
      <c r="BS50" s="59">
        <v>-96</v>
      </c>
      <c r="BT50" s="59">
        <v>0</v>
      </c>
      <c r="BU50" s="59">
        <v>0</v>
      </c>
      <c r="BV50" s="59">
        <v>0</v>
      </c>
      <c r="BW50" s="59">
        <v>-178</v>
      </c>
      <c r="BX50" s="59">
        <v>-3</v>
      </c>
      <c r="BY50" s="59">
        <v>923</v>
      </c>
      <c r="BZ50" s="59">
        <v>0</v>
      </c>
      <c r="CA50" s="59">
        <v>0</v>
      </c>
      <c r="CB50" s="59">
        <v>51</v>
      </c>
      <c r="CC50" s="59">
        <v>9</v>
      </c>
      <c r="CD50" s="59">
        <v>77</v>
      </c>
      <c r="CE50" s="59">
        <v>35</v>
      </c>
      <c r="CF50" s="59">
        <v>6</v>
      </c>
    </row>
    <row r="51" spans="1:84" ht="15.6" customHeight="1" x14ac:dyDescent="0.25">
      <c r="A51" s="43">
        <v>5</v>
      </c>
      <c r="B51" s="44" t="s">
        <v>201</v>
      </c>
      <c r="C51" s="57" t="s">
        <v>202</v>
      </c>
      <c r="D51" s="42" t="s">
        <v>203</v>
      </c>
      <c r="E51" s="42" t="s">
        <v>112</v>
      </c>
      <c r="F51" s="42" t="s">
        <v>193</v>
      </c>
      <c r="G51" s="70">
        <v>26174886.370000001</v>
      </c>
      <c r="H51" s="70">
        <v>0</v>
      </c>
      <c r="I51" s="70">
        <v>360734.06</v>
      </c>
      <c r="J51" s="70">
        <v>0</v>
      </c>
      <c r="K51" s="71">
        <v>0</v>
      </c>
      <c r="L51" s="71">
        <v>26535620.43</v>
      </c>
      <c r="M51" s="71">
        <v>0</v>
      </c>
      <c r="N51" s="70">
        <v>3979126.34</v>
      </c>
      <c r="O51" s="70">
        <v>467737.87</v>
      </c>
      <c r="P51" s="72">
        <v>11701845.52</v>
      </c>
      <c r="Q51" s="70">
        <v>61214.97</v>
      </c>
      <c r="R51" s="70">
        <v>867317.04</v>
      </c>
      <c r="S51" s="70">
        <v>3433515.45</v>
      </c>
      <c r="T51" s="70">
        <v>3167088.27</v>
      </c>
      <c r="U51" s="70">
        <v>0</v>
      </c>
      <c r="V51" s="70">
        <v>0</v>
      </c>
      <c r="W51" s="70">
        <v>412800.12</v>
      </c>
      <c r="X51" s="71">
        <v>2618057.7999999998</v>
      </c>
      <c r="Y51" s="71">
        <v>26708703.379999999</v>
      </c>
      <c r="Z51" s="61">
        <v>0.11974527933738648</v>
      </c>
      <c r="AA51" s="71">
        <v>2618057.7999999998</v>
      </c>
      <c r="AB51" s="71">
        <v>0</v>
      </c>
      <c r="AC51" s="71">
        <v>0</v>
      </c>
      <c r="AD51" s="71">
        <v>0</v>
      </c>
      <c r="AE51" s="71">
        <v>0</v>
      </c>
      <c r="AF51" s="71">
        <f t="shared" si="25"/>
        <v>0</v>
      </c>
      <c r="AG51" s="71">
        <v>1436205.93</v>
      </c>
      <c r="AH51" s="70">
        <v>108648.39</v>
      </c>
      <c r="AI51" s="70">
        <v>357883.9</v>
      </c>
      <c r="AJ51" s="71">
        <v>0</v>
      </c>
      <c r="AK51" s="70">
        <v>134352.75</v>
      </c>
      <c r="AL51" s="70">
        <v>36200</v>
      </c>
      <c r="AM51" s="70">
        <v>69874.070000000007</v>
      </c>
      <c r="AN51" s="70">
        <v>9200</v>
      </c>
      <c r="AO51" s="70">
        <v>7919.32</v>
      </c>
      <c r="AP51" s="70">
        <v>6310.54</v>
      </c>
      <c r="AQ51" s="70">
        <v>84886.92</v>
      </c>
      <c r="AR51" s="70">
        <v>11935.89</v>
      </c>
      <c r="AS51" s="70">
        <v>0</v>
      </c>
      <c r="AT51" s="70">
        <v>12965.83</v>
      </c>
      <c r="AU51" s="70">
        <v>41927.81</v>
      </c>
      <c r="AV51" s="70">
        <v>113048.41</v>
      </c>
      <c r="AW51" s="70">
        <v>2431359.7599999998</v>
      </c>
      <c r="AX51" s="70">
        <v>0</v>
      </c>
      <c r="AY51" s="61">
        <f t="shared" si="26"/>
        <v>0</v>
      </c>
      <c r="AZ51" s="71">
        <v>300</v>
      </c>
      <c r="BA51" s="61">
        <v>0.10002174462161761</v>
      </c>
      <c r="BB51" s="70">
        <v>583989.13</v>
      </c>
      <c r="BC51" s="70">
        <v>2550329.9500000002</v>
      </c>
      <c r="BD51" s="71">
        <v>244766</v>
      </c>
      <c r="BE51" s="71">
        <v>0</v>
      </c>
      <c r="BF51" s="71">
        <v>877379.31000000099</v>
      </c>
      <c r="BG51" s="71">
        <v>269539.37000000098</v>
      </c>
      <c r="BH51" s="71">
        <v>0</v>
      </c>
      <c r="BI51" s="71">
        <v>0</v>
      </c>
      <c r="BJ51" s="71">
        <f t="shared" si="27"/>
        <v>0</v>
      </c>
      <c r="BK51" s="71">
        <v>0</v>
      </c>
      <c r="BL51" s="60">
        <v>3871</v>
      </c>
      <c r="BM51" s="60">
        <v>1300</v>
      </c>
      <c r="BN51" s="59">
        <v>21</v>
      </c>
      <c r="BO51" s="59">
        <v>0</v>
      </c>
      <c r="BP51" s="59">
        <v>-2</v>
      </c>
      <c r="BQ51" s="59">
        <v>-68</v>
      </c>
      <c r="BR51" s="59">
        <v>-143</v>
      </c>
      <c r="BS51" s="59">
        <v>-518</v>
      </c>
      <c r="BT51" s="59">
        <v>6</v>
      </c>
      <c r="BU51" s="59">
        <v>-2</v>
      </c>
      <c r="BV51" s="59">
        <v>0</v>
      </c>
      <c r="BW51" s="59">
        <v>-779</v>
      </c>
      <c r="BX51" s="59">
        <v>0</v>
      </c>
      <c r="BY51" s="59">
        <v>3686</v>
      </c>
      <c r="BZ51" s="59">
        <v>7</v>
      </c>
      <c r="CA51" s="59">
        <v>59</v>
      </c>
      <c r="CB51" s="59">
        <v>107</v>
      </c>
      <c r="CC51" s="59">
        <v>68</v>
      </c>
      <c r="CD51" s="59">
        <v>593</v>
      </c>
      <c r="CE51" s="59">
        <v>7</v>
      </c>
      <c r="CF51" s="59">
        <v>4</v>
      </c>
    </row>
    <row r="52" spans="1:84" ht="15.6" customHeight="1" x14ac:dyDescent="0.25">
      <c r="A52" s="43">
        <v>5</v>
      </c>
      <c r="B52" s="44" t="s">
        <v>204</v>
      </c>
      <c r="C52" s="57" t="s">
        <v>182</v>
      </c>
      <c r="D52" s="42" t="s">
        <v>186</v>
      </c>
      <c r="E52" s="42" t="s">
        <v>117</v>
      </c>
      <c r="F52" s="42" t="s">
        <v>187</v>
      </c>
      <c r="G52" s="70">
        <v>20191180.16</v>
      </c>
      <c r="H52" s="70">
        <v>1500</v>
      </c>
      <c r="I52" s="70">
        <v>554373.09</v>
      </c>
      <c r="J52" s="70">
        <v>0</v>
      </c>
      <c r="K52" s="71">
        <v>0</v>
      </c>
      <c r="L52" s="71">
        <v>20747053.25</v>
      </c>
      <c r="M52" s="71">
        <v>0</v>
      </c>
      <c r="N52" s="70">
        <v>6153343</v>
      </c>
      <c r="O52" s="70">
        <v>1111308.8600000001</v>
      </c>
      <c r="P52" s="72">
        <v>6316895.8600000003</v>
      </c>
      <c r="Q52" s="70">
        <v>46234.05</v>
      </c>
      <c r="R52" s="70">
        <v>702517.37</v>
      </c>
      <c r="S52" s="70">
        <v>2184268.9700000002</v>
      </c>
      <c r="T52" s="70">
        <v>1157229.31</v>
      </c>
      <c r="U52" s="70">
        <v>0</v>
      </c>
      <c r="V52" s="70">
        <v>0</v>
      </c>
      <c r="W52" s="70">
        <v>829699.66</v>
      </c>
      <c r="X52" s="71">
        <v>2128546.15</v>
      </c>
      <c r="Y52" s="71">
        <v>20630043.23</v>
      </c>
      <c r="Z52" s="61">
        <v>5.4006545013290101E-2</v>
      </c>
      <c r="AA52" s="71">
        <v>2019120.51</v>
      </c>
      <c r="AB52" s="71">
        <v>0</v>
      </c>
      <c r="AC52" s="71">
        <v>0</v>
      </c>
      <c r="AD52" s="71">
        <v>0</v>
      </c>
      <c r="AE52" s="71">
        <v>0</v>
      </c>
      <c r="AF52" s="71">
        <f t="shared" si="25"/>
        <v>0</v>
      </c>
      <c r="AG52" s="71">
        <v>696566.67</v>
      </c>
      <c r="AH52" s="70">
        <v>55286.74</v>
      </c>
      <c r="AI52" s="70">
        <v>163529.26</v>
      </c>
      <c r="AJ52" s="71">
        <v>9246.5</v>
      </c>
      <c r="AK52" s="70">
        <v>78827.78</v>
      </c>
      <c r="AL52" s="70">
        <v>28738</v>
      </c>
      <c r="AM52" s="70">
        <v>112697.06</v>
      </c>
      <c r="AN52" s="70">
        <v>9200</v>
      </c>
      <c r="AO52" s="70">
        <v>17125</v>
      </c>
      <c r="AP52" s="70">
        <v>26312.07</v>
      </c>
      <c r="AQ52" s="70">
        <v>64683.24</v>
      </c>
      <c r="AR52" s="70">
        <v>25087.91</v>
      </c>
      <c r="AS52" s="70">
        <v>0</v>
      </c>
      <c r="AT52" s="70">
        <v>11753.27</v>
      </c>
      <c r="AU52" s="70">
        <v>30641.19</v>
      </c>
      <c r="AV52" s="70">
        <v>61071.05</v>
      </c>
      <c r="AW52" s="70">
        <v>1390765.74</v>
      </c>
      <c r="AX52" s="70">
        <v>0</v>
      </c>
      <c r="AY52" s="61">
        <f t="shared" si="26"/>
        <v>0</v>
      </c>
      <c r="AZ52" s="71">
        <v>0</v>
      </c>
      <c r="BA52" s="61">
        <v>0.10000012351927823</v>
      </c>
      <c r="BB52" s="70">
        <v>133362.20000000001</v>
      </c>
      <c r="BC52" s="70">
        <v>957174.69</v>
      </c>
      <c r="BD52" s="71">
        <v>244760.42</v>
      </c>
      <c r="BE52" s="71">
        <v>0</v>
      </c>
      <c r="BF52" s="71">
        <v>1186227.99</v>
      </c>
      <c r="BG52" s="71">
        <v>838536.55500000005</v>
      </c>
      <c r="BH52" s="71">
        <v>0</v>
      </c>
      <c r="BI52" s="71">
        <v>0</v>
      </c>
      <c r="BJ52" s="71">
        <f t="shared" si="27"/>
        <v>0</v>
      </c>
      <c r="BK52" s="71">
        <v>0</v>
      </c>
      <c r="BL52" s="60">
        <v>2037</v>
      </c>
      <c r="BM52" s="60">
        <v>487</v>
      </c>
      <c r="BN52" s="59">
        <v>38</v>
      </c>
      <c r="BO52" s="59">
        <v>0</v>
      </c>
      <c r="BP52" s="59">
        <v>-7</v>
      </c>
      <c r="BQ52" s="59">
        <v>-17</v>
      </c>
      <c r="BR52" s="59">
        <v>-45</v>
      </c>
      <c r="BS52" s="59">
        <v>-269</v>
      </c>
      <c r="BT52" s="59">
        <v>0</v>
      </c>
      <c r="BU52" s="59">
        <v>-1</v>
      </c>
      <c r="BV52" s="59">
        <v>0</v>
      </c>
      <c r="BW52" s="59">
        <v>-435</v>
      </c>
      <c r="BX52" s="59">
        <v>-2</v>
      </c>
      <c r="BY52" s="59">
        <v>1786</v>
      </c>
      <c r="BZ52" s="59">
        <v>4</v>
      </c>
      <c r="CA52" s="59">
        <v>3</v>
      </c>
      <c r="CB52" s="59">
        <v>87</v>
      </c>
      <c r="CC52" s="59">
        <v>20</v>
      </c>
      <c r="CD52" s="59">
        <v>112</v>
      </c>
      <c r="CE52" s="59">
        <v>204</v>
      </c>
      <c r="CF52" s="59">
        <v>7</v>
      </c>
    </row>
    <row r="53" spans="1:84" ht="15.6" customHeight="1" x14ac:dyDescent="0.25">
      <c r="A53" s="43">
        <v>5</v>
      </c>
      <c r="B53" s="44" t="s">
        <v>517</v>
      </c>
      <c r="C53" s="57" t="s">
        <v>519</v>
      </c>
      <c r="D53" s="42" t="s">
        <v>208</v>
      </c>
      <c r="E53" s="42" t="s">
        <v>112</v>
      </c>
      <c r="F53" s="42" t="s">
        <v>193</v>
      </c>
      <c r="G53" s="70">
        <v>34835016.640000001</v>
      </c>
      <c r="H53" s="70">
        <v>0</v>
      </c>
      <c r="I53" s="70">
        <v>1858167.7899999998</v>
      </c>
      <c r="J53" s="70">
        <v>0</v>
      </c>
      <c r="K53" s="71">
        <v>0</v>
      </c>
      <c r="L53" s="71">
        <v>36693184.43</v>
      </c>
      <c r="M53" s="71">
        <v>0</v>
      </c>
      <c r="N53" s="70">
        <v>7321270.1799999997</v>
      </c>
      <c r="O53" s="70">
        <v>1093471.95</v>
      </c>
      <c r="P53" s="72">
        <v>13091735.949999999</v>
      </c>
      <c r="Q53" s="70">
        <v>61660.79</v>
      </c>
      <c r="R53" s="70">
        <v>1216416.94</v>
      </c>
      <c r="S53" s="70">
        <v>6972017.5999999996</v>
      </c>
      <c r="T53" s="70">
        <v>2843165.26</v>
      </c>
      <c r="U53" s="70">
        <v>0</v>
      </c>
      <c r="V53" s="70">
        <v>0</v>
      </c>
      <c r="W53" s="70">
        <v>1595298.89</v>
      </c>
      <c r="X53" s="71">
        <v>2802318.84</v>
      </c>
      <c r="Y53" s="71">
        <v>36997356.399999999</v>
      </c>
      <c r="Z53" s="61">
        <v>0.11815868447938827</v>
      </c>
      <c r="AA53" s="71">
        <v>2799574.69</v>
      </c>
      <c r="AB53" s="71">
        <v>0</v>
      </c>
      <c r="AC53" s="71">
        <v>0</v>
      </c>
      <c r="AD53" s="71">
        <v>0</v>
      </c>
      <c r="AE53" s="71">
        <v>0</v>
      </c>
      <c r="AF53" s="71">
        <f t="shared" si="25"/>
        <v>0</v>
      </c>
      <c r="AG53" s="71">
        <v>1310206.68</v>
      </c>
      <c r="AH53" s="70">
        <v>101583.31</v>
      </c>
      <c r="AI53" s="70">
        <v>276382.5</v>
      </c>
      <c r="AJ53" s="71">
        <v>10111.15</v>
      </c>
      <c r="AK53" s="70">
        <v>154715.54999999999</v>
      </c>
      <c r="AL53" s="70">
        <v>46394.91</v>
      </c>
      <c r="AM53" s="70">
        <v>156550.88</v>
      </c>
      <c r="AN53" s="70">
        <v>9200</v>
      </c>
      <c r="AO53" s="70">
        <v>9270.51</v>
      </c>
      <c r="AP53" s="70">
        <v>134977.09</v>
      </c>
      <c r="AQ53" s="70">
        <v>39029.39</v>
      </c>
      <c r="AR53" s="70">
        <v>11486.03</v>
      </c>
      <c r="AS53" s="70">
        <v>0</v>
      </c>
      <c r="AT53" s="70">
        <v>1073.22</v>
      </c>
      <c r="AU53" s="70">
        <v>46546.28</v>
      </c>
      <c r="AV53" s="70">
        <v>117532.39</v>
      </c>
      <c r="AW53" s="70">
        <v>2425059.89</v>
      </c>
      <c r="AX53" s="70">
        <v>0</v>
      </c>
      <c r="AY53" s="61">
        <f t="shared" si="26"/>
        <v>0</v>
      </c>
      <c r="AZ53" s="71">
        <v>0</v>
      </c>
      <c r="BA53" s="61">
        <v>8.0366681575955751E-2</v>
      </c>
      <c r="BB53" s="70">
        <v>469822.08</v>
      </c>
      <c r="BC53" s="70">
        <v>3646237.66</v>
      </c>
      <c r="BD53" s="71">
        <v>241807</v>
      </c>
      <c r="BE53" s="71">
        <v>0</v>
      </c>
      <c r="BF53" s="71">
        <v>1499060.03</v>
      </c>
      <c r="BG53" s="71">
        <v>892795.05750000104</v>
      </c>
      <c r="BH53" s="71">
        <v>0</v>
      </c>
      <c r="BI53" s="71">
        <v>0</v>
      </c>
      <c r="BJ53" s="71">
        <f t="shared" si="27"/>
        <v>0</v>
      </c>
      <c r="BK53" s="71">
        <v>0</v>
      </c>
      <c r="BL53" s="60">
        <v>3607</v>
      </c>
      <c r="BM53" s="60">
        <v>1090</v>
      </c>
      <c r="BN53" s="59">
        <v>32</v>
      </c>
      <c r="BO53" s="59">
        <v>0</v>
      </c>
      <c r="BP53" s="59">
        <v>-6</v>
      </c>
      <c r="BQ53" s="59">
        <v>-40</v>
      </c>
      <c r="BR53" s="59">
        <v>-136</v>
      </c>
      <c r="BS53" s="59">
        <v>-404</v>
      </c>
      <c r="BT53" s="59">
        <v>1</v>
      </c>
      <c r="BU53" s="59">
        <v>0</v>
      </c>
      <c r="BV53" s="59">
        <v>0</v>
      </c>
      <c r="BW53" s="59">
        <v>-729</v>
      </c>
      <c r="BX53" s="59">
        <v>0</v>
      </c>
      <c r="BY53" s="59">
        <v>3415</v>
      </c>
      <c r="BZ53" s="59">
        <v>16</v>
      </c>
      <c r="CA53" s="59">
        <v>34</v>
      </c>
      <c r="CB53" s="59">
        <v>210</v>
      </c>
      <c r="CC53" s="59">
        <v>64</v>
      </c>
      <c r="CD53" s="59">
        <v>439</v>
      </c>
      <c r="CE53" s="59">
        <v>3</v>
      </c>
      <c r="CF53" s="59">
        <v>1</v>
      </c>
    </row>
    <row r="54" spans="1:84" s="50" customFormat="1" ht="15.6" customHeight="1" x14ac:dyDescent="0.25">
      <c r="A54" s="43">
        <v>5</v>
      </c>
      <c r="B54" s="44" t="s">
        <v>545</v>
      </c>
      <c r="C54" s="57" t="s">
        <v>241</v>
      </c>
      <c r="D54" s="42" t="s">
        <v>194</v>
      </c>
      <c r="E54" s="42" t="s">
        <v>117</v>
      </c>
      <c r="F54" s="42" t="s">
        <v>187</v>
      </c>
      <c r="G54" s="70">
        <v>24970860.829999998</v>
      </c>
      <c r="H54" s="70">
        <v>0</v>
      </c>
      <c r="I54" s="70">
        <v>1101670.8400000001</v>
      </c>
      <c r="J54" s="70">
        <v>0</v>
      </c>
      <c r="K54" s="71">
        <v>682.47</v>
      </c>
      <c r="L54" s="71">
        <v>26073214.140000001</v>
      </c>
      <c r="M54" s="71">
        <v>0</v>
      </c>
      <c r="N54" s="70">
        <v>6835439.5800000001</v>
      </c>
      <c r="O54" s="70">
        <v>949582.56</v>
      </c>
      <c r="P54" s="72">
        <v>8742806.7599999998</v>
      </c>
      <c r="Q54" s="70">
        <v>69977.94</v>
      </c>
      <c r="R54" s="70">
        <v>1091740.83</v>
      </c>
      <c r="S54" s="70">
        <v>3812592.7</v>
      </c>
      <c r="T54" s="70">
        <v>1846300.69</v>
      </c>
      <c r="U54" s="70">
        <v>0</v>
      </c>
      <c r="V54" s="70">
        <v>0</v>
      </c>
      <c r="W54" s="70">
        <v>1101670.8400000001</v>
      </c>
      <c r="X54" s="71">
        <v>1744995.78</v>
      </c>
      <c r="Y54" s="71">
        <v>26195107.68</v>
      </c>
      <c r="Z54" s="61">
        <v>6.7916274955267544E-2</v>
      </c>
      <c r="AA54" s="71">
        <v>1744313.31</v>
      </c>
      <c r="AB54" s="71">
        <v>0</v>
      </c>
      <c r="AC54" s="71">
        <v>0</v>
      </c>
      <c r="AD54" s="71">
        <v>682.47</v>
      </c>
      <c r="AE54" s="71">
        <v>206.16</v>
      </c>
      <c r="AF54" s="71">
        <f t="shared" si="25"/>
        <v>888.63</v>
      </c>
      <c r="AG54" s="71">
        <v>567956.64</v>
      </c>
      <c r="AH54" s="70">
        <v>43728.68</v>
      </c>
      <c r="AI54" s="70">
        <v>123786.44</v>
      </c>
      <c r="AJ54" s="71">
        <v>0</v>
      </c>
      <c r="AK54" s="70">
        <v>44638</v>
      </c>
      <c r="AL54" s="70">
        <v>22680</v>
      </c>
      <c r="AM54" s="70">
        <v>64096.45</v>
      </c>
      <c r="AN54" s="70">
        <v>9200</v>
      </c>
      <c r="AO54" s="70">
        <v>0</v>
      </c>
      <c r="AP54" s="70">
        <v>0</v>
      </c>
      <c r="AQ54" s="70">
        <v>39360.550000000003</v>
      </c>
      <c r="AR54" s="70">
        <v>9415.09</v>
      </c>
      <c r="AS54" s="70">
        <v>0</v>
      </c>
      <c r="AT54" s="70">
        <v>4758.26</v>
      </c>
      <c r="AU54" s="70">
        <v>16553.91</v>
      </c>
      <c r="AV54" s="70">
        <v>66298.289999999994</v>
      </c>
      <c r="AW54" s="70">
        <v>1012472.31</v>
      </c>
      <c r="AX54" s="70">
        <v>0</v>
      </c>
      <c r="AY54" s="61">
        <f t="shared" si="26"/>
        <v>0</v>
      </c>
      <c r="AZ54" s="71">
        <v>0</v>
      </c>
      <c r="BA54" s="61">
        <v>6.9853951847121815E-2</v>
      </c>
      <c r="BB54" s="70">
        <v>299962.56</v>
      </c>
      <c r="BC54" s="70">
        <v>1395965.29</v>
      </c>
      <c r="BD54" s="71">
        <v>241806.96</v>
      </c>
      <c r="BE54" s="71">
        <v>0</v>
      </c>
      <c r="BF54" s="71">
        <v>831699.98</v>
      </c>
      <c r="BG54" s="71">
        <v>578581.90249999997</v>
      </c>
      <c r="BH54" s="71">
        <v>0</v>
      </c>
      <c r="BI54" s="71">
        <v>0</v>
      </c>
      <c r="BJ54" s="71">
        <f t="shared" si="27"/>
        <v>0</v>
      </c>
      <c r="BK54" s="71">
        <v>0</v>
      </c>
      <c r="BL54" s="60">
        <v>2847</v>
      </c>
      <c r="BM54" s="60">
        <v>634</v>
      </c>
      <c r="BN54" s="59">
        <v>0</v>
      </c>
      <c r="BO54" s="59">
        <v>0</v>
      </c>
      <c r="BP54" s="59">
        <v>-2</v>
      </c>
      <c r="BQ54" s="59">
        <v>-10</v>
      </c>
      <c r="BR54" s="59">
        <v>-51</v>
      </c>
      <c r="BS54" s="59">
        <v>-294</v>
      </c>
      <c r="BT54" s="59">
        <v>0</v>
      </c>
      <c r="BU54" s="59">
        <v>0</v>
      </c>
      <c r="BV54" s="59">
        <v>-35</v>
      </c>
      <c r="BW54" s="59">
        <v>-484</v>
      </c>
      <c r="BX54" s="59">
        <v>-1</v>
      </c>
      <c r="BY54" s="59">
        <v>2604</v>
      </c>
      <c r="BZ54" s="59">
        <v>42</v>
      </c>
      <c r="CA54" s="59">
        <v>73</v>
      </c>
      <c r="CB54" s="59">
        <v>105</v>
      </c>
      <c r="CC54" s="59">
        <v>46</v>
      </c>
      <c r="CD54" s="59">
        <v>308</v>
      </c>
      <c r="CE54" s="59">
        <v>19</v>
      </c>
      <c r="CF54" s="59">
        <v>6</v>
      </c>
    </row>
    <row r="55" spans="1:84" ht="15.6" customHeight="1" x14ac:dyDescent="0.25">
      <c r="A55" s="43">
        <v>5</v>
      </c>
      <c r="B55" s="44" t="s">
        <v>205</v>
      </c>
      <c r="C55" s="57" t="s">
        <v>206</v>
      </c>
      <c r="D55" s="42" t="s">
        <v>207</v>
      </c>
      <c r="E55" s="42" t="s">
        <v>112</v>
      </c>
      <c r="F55" s="42" t="s">
        <v>193</v>
      </c>
      <c r="G55" s="70">
        <v>28336872.68</v>
      </c>
      <c r="H55" s="70">
        <v>0</v>
      </c>
      <c r="I55" s="70">
        <v>742204.88</v>
      </c>
      <c r="J55" s="70">
        <v>0</v>
      </c>
      <c r="K55" s="71">
        <v>0</v>
      </c>
      <c r="L55" s="71">
        <v>29079077.559999999</v>
      </c>
      <c r="M55" s="71">
        <v>0</v>
      </c>
      <c r="N55" s="70">
        <v>5811621.25</v>
      </c>
      <c r="O55" s="70">
        <v>1551616.94</v>
      </c>
      <c r="P55" s="72">
        <v>8458306.5800000001</v>
      </c>
      <c r="Q55" s="70">
        <v>0</v>
      </c>
      <c r="R55" s="70">
        <v>1358019.81</v>
      </c>
      <c r="S55" s="70">
        <v>6414032.6600000001</v>
      </c>
      <c r="T55" s="70">
        <v>2655627.7400000002</v>
      </c>
      <c r="U55" s="70">
        <v>0</v>
      </c>
      <c r="V55" s="70">
        <v>0</v>
      </c>
      <c r="W55" s="70">
        <v>871400.76</v>
      </c>
      <c r="X55" s="71">
        <v>2497201.2599999998</v>
      </c>
      <c r="Y55" s="71">
        <v>29617827</v>
      </c>
      <c r="Z55" s="61">
        <v>0.10788249834490982</v>
      </c>
      <c r="AA55" s="71">
        <v>2497201.2599999998</v>
      </c>
      <c r="AB55" s="71">
        <v>0</v>
      </c>
      <c r="AC55" s="71">
        <v>0</v>
      </c>
      <c r="AD55" s="71">
        <v>0</v>
      </c>
      <c r="AE55" s="71">
        <v>0</v>
      </c>
      <c r="AF55" s="71">
        <f t="shared" si="25"/>
        <v>0</v>
      </c>
      <c r="AG55" s="71">
        <v>1385073.94</v>
      </c>
      <c r="AH55" s="70">
        <v>107081.85</v>
      </c>
      <c r="AI55" s="70">
        <v>334323.65000000002</v>
      </c>
      <c r="AJ55" s="71">
        <v>0</v>
      </c>
      <c r="AK55" s="70">
        <v>121119.96</v>
      </c>
      <c r="AL55" s="70">
        <v>43581.33</v>
      </c>
      <c r="AM55" s="70">
        <v>76117.34</v>
      </c>
      <c r="AN55" s="70">
        <v>9200</v>
      </c>
      <c r="AO55" s="70">
        <v>0</v>
      </c>
      <c r="AP55" s="70">
        <v>0</v>
      </c>
      <c r="AQ55" s="70">
        <v>60309.659999999996</v>
      </c>
      <c r="AR55" s="70">
        <v>32781.800000000003</v>
      </c>
      <c r="AS55" s="70">
        <v>7657</v>
      </c>
      <c r="AT55" s="70">
        <v>37106.629999999997</v>
      </c>
      <c r="AU55" s="70">
        <v>43619.87</v>
      </c>
      <c r="AV55" s="70">
        <v>74776.72</v>
      </c>
      <c r="AW55" s="70">
        <v>2332749.75</v>
      </c>
      <c r="AX55" s="70">
        <v>0</v>
      </c>
      <c r="AY55" s="61">
        <f t="shared" si="26"/>
        <v>0</v>
      </c>
      <c r="AZ55" s="71">
        <v>0</v>
      </c>
      <c r="BA55" s="61">
        <v>8.8125506586424054E-2</v>
      </c>
      <c r="BB55" s="70">
        <v>618263.85</v>
      </c>
      <c r="BC55" s="70">
        <v>2438788.77</v>
      </c>
      <c r="BD55" s="71">
        <v>244766</v>
      </c>
      <c r="BE55" s="71">
        <v>0</v>
      </c>
      <c r="BF55" s="71">
        <v>1657540.82</v>
      </c>
      <c r="BG55" s="71">
        <v>1074353.3825000001</v>
      </c>
      <c r="BH55" s="71">
        <v>0</v>
      </c>
      <c r="BI55" s="71">
        <v>0</v>
      </c>
      <c r="BJ55" s="71">
        <f t="shared" si="27"/>
        <v>0</v>
      </c>
      <c r="BK55" s="71">
        <v>0</v>
      </c>
      <c r="BL55" s="60">
        <v>3520</v>
      </c>
      <c r="BM55" s="60">
        <v>935</v>
      </c>
      <c r="BN55" s="59">
        <v>4</v>
      </c>
      <c r="BO55" s="59">
        <v>0</v>
      </c>
      <c r="BP55" s="59">
        <v>-13</v>
      </c>
      <c r="BQ55" s="59">
        <v>-65</v>
      </c>
      <c r="BR55" s="59">
        <v>-133</v>
      </c>
      <c r="BS55" s="59">
        <v>-549</v>
      </c>
      <c r="BT55" s="59">
        <v>0</v>
      </c>
      <c r="BU55" s="59">
        <v>0</v>
      </c>
      <c r="BV55" s="59">
        <v>-3</v>
      </c>
      <c r="BW55" s="59">
        <v>-576</v>
      </c>
      <c r="BX55" s="59">
        <v>0</v>
      </c>
      <c r="BY55" s="59">
        <v>3120</v>
      </c>
      <c r="BZ55" s="59">
        <v>4</v>
      </c>
      <c r="CA55" s="59">
        <v>209</v>
      </c>
      <c r="CB55" s="59">
        <v>149</v>
      </c>
      <c r="CC55" s="59">
        <v>63</v>
      </c>
      <c r="CD55" s="59">
        <v>301</v>
      </c>
      <c r="CE55" s="59">
        <v>5</v>
      </c>
      <c r="CF55" s="59">
        <v>4</v>
      </c>
    </row>
    <row r="56" spans="1:84" ht="15.6" customHeight="1" x14ac:dyDescent="0.25">
      <c r="A56" s="43">
        <v>5</v>
      </c>
      <c r="B56" s="44" t="s">
        <v>209</v>
      </c>
      <c r="C56" s="57" t="s">
        <v>210</v>
      </c>
      <c r="D56" s="42" t="s">
        <v>166</v>
      </c>
      <c r="E56" s="42" t="s">
        <v>112</v>
      </c>
      <c r="F56" s="42" t="s">
        <v>193</v>
      </c>
      <c r="G56" s="70">
        <v>17443276.640000001</v>
      </c>
      <c r="H56" s="70">
        <v>0</v>
      </c>
      <c r="I56" s="70">
        <v>626340.88</v>
      </c>
      <c r="J56" s="70">
        <v>0</v>
      </c>
      <c r="K56" s="71">
        <v>0</v>
      </c>
      <c r="L56" s="71">
        <v>18069617.52</v>
      </c>
      <c r="M56" s="71">
        <v>0</v>
      </c>
      <c r="N56" s="70">
        <v>3526191.63</v>
      </c>
      <c r="O56" s="70">
        <v>595266.24</v>
      </c>
      <c r="P56" s="72">
        <v>6400876.0599999996</v>
      </c>
      <c r="Q56" s="70">
        <v>67327.23</v>
      </c>
      <c r="R56" s="70">
        <v>848783.05</v>
      </c>
      <c r="S56" s="70">
        <v>2785690.22</v>
      </c>
      <c r="T56" s="70">
        <v>1493808.21</v>
      </c>
      <c r="U56" s="70">
        <v>0</v>
      </c>
      <c r="V56" s="70">
        <v>0</v>
      </c>
      <c r="W56" s="70">
        <v>651689.86</v>
      </c>
      <c r="X56" s="71">
        <v>1743913.26</v>
      </c>
      <c r="Y56" s="71">
        <v>18113545.760000002</v>
      </c>
      <c r="Z56" s="61">
        <v>0.14784815738609991</v>
      </c>
      <c r="AA56" s="71">
        <v>1743913.26</v>
      </c>
      <c r="AB56" s="71">
        <v>0</v>
      </c>
      <c r="AC56" s="71">
        <v>0</v>
      </c>
      <c r="AD56" s="71">
        <v>0</v>
      </c>
      <c r="AE56" s="71">
        <v>0</v>
      </c>
      <c r="AF56" s="71">
        <f t="shared" si="25"/>
        <v>0</v>
      </c>
      <c r="AG56" s="71">
        <v>729507.8</v>
      </c>
      <c r="AH56" s="70">
        <v>47631.42</v>
      </c>
      <c r="AI56" s="70">
        <v>217867.91</v>
      </c>
      <c r="AJ56" s="71">
        <v>0</v>
      </c>
      <c r="AK56" s="70">
        <v>133620</v>
      </c>
      <c r="AL56" s="70">
        <v>38718.94</v>
      </c>
      <c r="AM56" s="70">
        <v>67227.12</v>
      </c>
      <c r="AN56" s="70">
        <v>9200</v>
      </c>
      <c r="AO56" s="70">
        <v>7930.84</v>
      </c>
      <c r="AP56" s="70">
        <v>6875.54</v>
      </c>
      <c r="AQ56" s="70">
        <v>57404.740000000005</v>
      </c>
      <c r="AR56" s="70">
        <v>9276.66</v>
      </c>
      <c r="AS56" s="70">
        <v>0</v>
      </c>
      <c r="AT56" s="70">
        <v>499.99</v>
      </c>
      <c r="AU56" s="70">
        <v>35605.68</v>
      </c>
      <c r="AV56" s="70">
        <v>33430.94</v>
      </c>
      <c r="AW56" s="70">
        <v>1394797.58</v>
      </c>
      <c r="AX56" s="70">
        <v>0</v>
      </c>
      <c r="AY56" s="61">
        <f t="shared" si="26"/>
        <v>0</v>
      </c>
      <c r="AZ56" s="71">
        <v>0</v>
      </c>
      <c r="BA56" s="61">
        <v>9.9976242766278797E-2</v>
      </c>
      <c r="BB56" s="70">
        <v>261385.38</v>
      </c>
      <c r="BC56" s="70">
        <v>2317570.9300000002</v>
      </c>
      <c r="BD56" s="71">
        <v>244765.62</v>
      </c>
      <c r="BE56" s="71">
        <v>0</v>
      </c>
      <c r="BF56" s="71">
        <v>777344.49</v>
      </c>
      <c r="BG56" s="71">
        <v>428645.09499999997</v>
      </c>
      <c r="BH56" s="71">
        <v>0</v>
      </c>
      <c r="BI56" s="71">
        <v>0</v>
      </c>
      <c r="BJ56" s="71">
        <f t="shared" si="27"/>
        <v>0</v>
      </c>
      <c r="BK56" s="71">
        <v>0</v>
      </c>
      <c r="BL56" s="60">
        <v>2499</v>
      </c>
      <c r="BM56" s="60">
        <v>478</v>
      </c>
      <c r="BN56" s="59">
        <v>0</v>
      </c>
      <c r="BO56" s="59">
        <v>-3</v>
      </c>
      <c r="BP56" s="59">
        <v>-11</v>
      </c>
      <c r="BQ56" s="59">
        <v>-57</v>
      </c>
      <c r="BR56" s="59">
        <v>-31</v>
      </c>
      <c r="BS56" s="59">
        <v>-228</v>
      </c>
      <c r="BT56" s="59">
        <v>2</v>
      </c>
      <c r="BU56" s="59">
        <v>-1</v>
      </c>
      <c r="BV56" s="59">
        <v>3</v>
      </c>
      <c r="BW56" s="59">
        <v>-474</v>
      </c>
      <c r="BX56" s="59">
        <v>0</v>
      </c>
      <c r="BY56" s="59">
        <v>2177</v>
      </c>
      <c r="BZ56" s="59">
        <v>1</v>
      </c>
      <c r="CA56" s="59">
        <v>0</v>
      </c>
      <c r="CB56" s="59">
        <v>77</v>
      </c>
      <c r="CC56" s="59">
        <v>43</v>
      </c>
      <c r="CD56" s="59">
        <v>351</v>
      </c>
      <c r="CE56" s="59">
        <v>3</v>
      </c>
      <c r="CF56" s="59">
        <v>3</v>
      </c>
    </row>
    <row r="57" spans="1:84" s="50" customFormat="1" ht="15.6" customHeight="1" x14ac:dyDescent="0.25">
      <c r="A57" s="43">
        <v>5</v>
      </c>
      <c r="B57" s="44" t="s">
        <v>211</v>
      </c>
      <c r="C57" s="57" t="s">
        <v>212</v>
      </c>
      <c r="D57" s="42" t="s">
        <v>213</v>
      </c>
      <c r="E57" s="42" t="s">
        <v>103</v>
      </c>
      <c r="F57" s="42" t="s">
        <v>187</v>
      </c>
      <c r="G57" s="71">
        <v>22239877.169999998</v>
      </c>
      <c r="H57" s="71">
        <v>91855.650000000009</v>
      </c>
      <c r="I57" s="71">
        <f>100+2014183</f>
        <v>2014283</v>
      </c>
      <c r="J57" s="71">
        <v>0</v>
      </c>
      <c r="K57" s="71">
        <v>0</v>
      </c>
      <c r="L57" s="71">
        <v>24346015.389999997</v>
      </c>
      <c r="M57" s="71">
        <v>0</v>
      </c>
      <c r="N57" s="71">
        <v>3518547.7399999998</v>
      </c>
      <c r="O57" s="71">
        <v>955983.86999999988</v>
      </c>
      <c r="P57" s="71">
        <v>11336701.459999999</v>
      </c>
      <c r="Q57" s="71">
        <v>90433.98</v>
      </c>
      <c r="R57" s="71">
        <v>746732.8899999999</v>
      </c>
      <c r="S57" s="71">
        <v>1494398.4500000002</v>
      </c>
      <c r="T57" s="71">
        <v>2649250.3000000003</v>
      </c>
      <c r="U57" s="71">
        <v>0</v>
      </c>
      <c r="V57" s="71">
        <v>0</v>
      </c>
      <c r="W57" s="71">
        <v>1236207.93</v>
      </c>
      <c r="X57" s="71">
        <f>482723+1778653</f>
        <v>2261376</v>
      </c>
      <c r="Y57" s="71">
        <v>24289633.32</v>
      </c>
      <c r="Z57" s="61">
        <f>1493471/22331733</f>
        <v>6.6876627980461706E-2</v>
      </c>
      <c r="AA57" s="71">
        <v>1778653.3</v>
      </c>
      <c r="AB57" s="71">
        <v>0</v>
      </c>
      <c r="AC57" s="71">
        <v>0</v>
      </c>
      <c r="AD57" s="71">
        <v>0</v>
      </c>
      <c r="AE57" s="71">
        <v>0</v>
      </c>
      <c r="AF57" s="71">
        <f t="shared" ref="AF57:AF63" si="28">SUM(AD57:AE57)</f>
        <v>0</v>
      </c>
      <c r="AG57" s="71">
        <v>908506.52</v>
      </c>
      <c r="AH57" s="71">
        <v>69444.83</v>
      </c>
      <c r="AI57" s="71">
        <v>210159.13999999998</v>
      </c>
      <c r="AJ57" s="71">
        <v>0</v>
      </c>
      <c r="AK57" s="71">
        <v>55415.05</v>
      </c>
      <c r="AL57" s="71">
        <v>0</v>
      </c>
      <c r="AM57" s="71">
        <v>81818.25999999998</v>
      </c>
      <c r="AN57" s="71">
        <v>9200</v>
      </c>
      <c r="AO57" s="71">
        <v>0</v>
      </c>
      <c r="AP57" s="71">
        <v>127026.69</v>
      </c>
      <c r="AQ57" s="71">
        <f>10750+18523+12409</f>
        <v>41682</v>
      </c>
      <c r="AR57" s="71">
        <v>0</v>
      </c>
      <c r="AS57" s="71">
        <v>0</v>
      </c>
      <c r="AT57" s="71">
        <v>0</v>
      </c>
      <c r="AU57" s="71">
        <v>67328.930000000008</v>
      </c>
      <c r="AV57" s="71">
        <f>AW57-AG57-AH57-AI57-AK57-AL57-AM57-AN57-AO57-AP57-AQ57-AR57-AT57-AU57</f>
        <v>63350.969999999958</v>
      </c>
      <c r="AW57" s="71">
        <v>1633932.39</v>
      </c>
      <c r="AX57" s="71">
        <v>0</v>
      </c>
      <c r="AY57" s="61">
        <f t="shared" ref="AY57:AY63" si="29">AX57/AW57</f>
        <v>0</v>
      </c>
      <c r="AZ57" s="71">
        <v>0</v>
      </c>
      <c r="BA57" s="61">
        <f>1778653/22239877</f>
        <v>7.9975846988722107E-2</v>
      </c>
      <c r="BB57" s="71">
        <v>131601.67000000001</v>
      </c>
      <c r="BC57" s="71">
        <v>1361869.49</v>
      </c>
      <c r="BD57" s="71">
        <v>244765.62</v>
      </c>
      <c r="BE57" s="71">
        <v>0</v>
      </c>
      <c r="BF57" s="71">
        <v>881524.25000000023</v>
      </c>
      <c r="BG57" s="71">
        <v>473041.15250000026</v>
      </c>
      <c r="BH57" s="71">
        <v>0</v>
      </c>
      <c r="BI57" s="71">
        <v>0</v>
      </c>
      <c r="BJ57" s="71">
        <f t="shared" ref="BJ57" si="30">SUM(BH57:BI57)</f>
        <v>0</v>
      </c>
      <c r="BK57" s="71">
        <v>0</v>
      </c>
      <c r="BL57" s="60">
        <v>3739</v>
      </c>
      <c r="BM57" s="60">
        <v>1102</v>
      </c>
      <c r="BN57" s="60">
        <v>18</v>
      </c>
      <c r="BO57" s="60">
        <v>-5</v>
      </c>
      <c r="BP57" s="60">
        <v>-3</v>
      </c>
      <c r="BQ57" s="60">
        <v>-13</v>
      </c>
      <c r="BR57" s="60">
        <v>-39</v>
      </c>
      <c r="BS57" s="60">
        <v>-298</v>
      </c>
      <c r="BT57" s="60">
        <v>0</v>
      </c>
      <c r="BU57" s="60">
        <v>0</v>
      </c>
      <c r="BV57" s="60">
        <v>0</v>
      </c>
      <c r="BW57" s="60">
        <v>-864</v>
      </c>
      <c r="BX57" s="60">
        <v>-3</v>
      </c>
      <c r="BY57" s="60">
        <v>3634</v>
      </c>
      <c r="BZ57" s="60">
        <v>9</v>
      </c>
      <c r="CA57" s="60">
        <v>10</v>
      </c>
      <c r="CB57" s="60">
        <v>107</v>
      </c>
      <c r="CC57" s="60">
        <v>52</v>
      </c>
      <c r="CD57" s="60">
        <v>94</v>
      </c>
      <c r="CE57" s="60">
        <v>627</v>
      </c>
      <c r="CF57" s="60">
        <v>5</v>
      </c>
    </row>
    <row r="58" spans="1:84" ht="15.6" customHeight="1" x14ac:dyDescent="0.25">
      <c r="A58" s="43">
        <v>6</v>
      </c>
      <c r="B58" s="44" t="s">
        <v>214</v>
      </c>
      <c r="C58" s="57" t="s">
        <v>215</v>
      </c>
      <c r="D58" s="42" t="s">
        <v>216</v>
      </c>
      <c r="E58" s="42" t="s">
        <v>103</v>
      </c>
      <c r="F58" s="42" t="s">
        <v>217</v>
      </c>
      <c r="G58" s="70">
        <v>25093810.289999999</v>
      </c>
      <c r="H58" s="70">
        <v>40737.57</v>
      </c>
      <c r="I58" s="70">
        <v>348929.97</v>
      </c>
      <c r="J58" s="70">
        <v>0</v>
      </c>
      <c r="K58" s="71">
        <v>0</v>
      </c>
      <c r="L58" s="71">
        <v>25483477.829999998</v>
      </c>
      <c r="M58" s="71">
        <v>0</v>
      </c>
      <c r="N58" s="70">
        <v>9091882.1099999994</v>
      </c>
      <c r="O58" s="70">
        <v>2052128.36</v>
      </c>
      <c r="P58" s="72">
        <v>4434094.46</v>
      </c>
      <c r="Q58" s="70">
        <v>9268.75</v>
      </c>
      <c r="R58" s="70">
        <v>1168911.22</v>
      </c>
      <c r="S58" s="70">
        <v>4540786.5</v>
      </c>
      <c r="T58" s="70">
        <v>1432171.14</v>
      </c>
      <c r="U58" s="70">
        <v>0</v>
      </c>
      <c r="V58" s="70">
        <v>40737.57</v>
      </c>
      <c r="W58" s="70">
        <v>585382.21</v>
      </c>
      <c r="X58" s="71">
        <v>2259598.48</v>
      </c>
      <c r="Y58" s="71">
        <v>25614960.800000001</v>
      </c>
      <c r="Z58" s="61">
        <v>4.782118618942207E-2</v>
      </c>
      <c r="AA58" s="71">
        <v>2259598.48</v>
      </c>
      <c r="AB58" s="71">
        <v>0</v>
      </c>
      <c r="AC58" s="71">
        <v>0</v>
      </c>
      <c r="AD58" s="71">
        <v>0</v>
      </c>
      <c r="AE58" s="71">
        <v>0</v>
      </c>
      <c r="AF58" s="71">
        <f>SUM(AD58:AE58)</f>
        <v>0</v>
      </c>
      <c r="AG58" s="71">
        <v>1031409.37</v>
      </c>
      <c r="AH58" s="70">
        <v>83144</v>
      </c>
      <c r="AI58" s="70">
        <v>239147.26</v>
      </c>
      <c r="AJ58" s="71">
        <v>0</v>
      </c>
      <c r="AK58" s="70">
        <v>211381.07</v>
      </c>
      <c r="AL58" s="70">
        <v>20901.759999999998</v>
      </c>
      <c r="AM58" s="70">
        <v>164592.85</v>
      </c>
      <c r="AN58" s="70">
        <v>10000</v>
      </c>
      <c r="AO58" s="70">
        <v>14990</v>
      </c>
      <c r="AP58" s="70">
        <v>25666.7</v>
      </c>
      <c r="AQ58" s="70">
        <v>61972.369999999995</v>
      </c>
      <c r="AR58" s="70">
        <v>8059.04</v>
      </c>
      <c r="AS58" s="70">
        <v>2085</v>
      </c>
      <c r="AT58" s="70">
        <v>12472.4</v>
      </c>
      <c r="AU58" s="70">
        <v>20947.52</v>
      </c>
      <c r="AV58" s="70">
        <v>141929.93</v>
      </c>
      <c r="AW58" s="70">
        <v>2048699.27</v>
      </c>
      <c r="AX58" s="70">
        <v>0</v>
      </c>
      <c r="AY58" s="61">
        <f>AX58/AW58</f>
        <v>0</v>
      </c>
      <c r="AZ58" s="71">
        <v>0</v>
      </c>
      <c r="BA58" s="61">
        <v>9.0046049359847932E-2</v>
      </c>
      <c r="BB58" s="70">
        <v>196300.3</v>
      </c>
      <c r="BC58" s="70">
        <v>1005663.59</v>
      </c>
      <c r="BD58" s="71">
        <v>241807</v>
      </c>
      <c r="BE58" s="71">
        <v>0</v>
      </c>
      <c r="BF58" s="71">
        <v>1564123.67</v>
      </c>
      <c r="BG58" s="71">
        <v>1051948.8525</v>
      </c>
      <c r="BH58" s="71">
        <v>0</v>
      </c>
      <c r="BI58" s="71">
        <v>0</v>
      </c>
      <c r="BJ58" s="71">
        <f>SUM(BH58:BI58)</f>
        <v>0</v>
      </c>
      <c r="BK58" s="71">
        <v>0</v>
      </c>
      <c r="BL58" s="60">
        <v>1980</v>
      </c>
      <c r="BM58" s="60">
        <v>844</v>
      </c>
      <c r="BN58" s="59">
        <v>19</v>
      </c>
      <c r="BO58" s="59">
        <v>0</v>
      </c>
      <c r="BP58" s="59">
        <v>-31</v>
      </c>
      <c r="BQ58" s="59">
        <v>-40</v>
      </c>
      <c r="BR58" s="59">
        <v>-318</v>
      </c>
      <c r="BS58" s="59">
        <v>-262</v>
      </c>
      <c r="BT58" s="59">
        <v>0</v>
      </c>
      <c r="BU58" s="59">
        <v>0</v>
      </c>
      <c r="BV58" s="59">
        <v>-12</v>
      </c>
      <c r="BW58" s="59">
        <v>-389</v>
      </c>
      <c r="BX58" s="59">
        <v>-3</v>
      </c>
      <c r="BY58" s="59">
        <v>1788</v>
      </c>
      <c r="BZ58" s="59">
        <v>20</v>
      </c>
      <c r="CA58" s="59">
        <v>49</v>
      </c>
      <c r="CB58" s="59">
        <v>112</v>
      </c>
      <c r="CC58" s="59">
        <v>43</v>
      </c>
      <c r="CD58" s="59">
        <v>221</v>
      </c>
      <c r="CE58" s="59">
        <v>7</v>
      </c>
      <c r="CF58" s="59">
        <v>2</v>
      </c>
    </row>
    <row r="59" spans="1:84" ht="15.6" customHeight="1" x14ac:dyDescent="0.25">
      <c r="A59" s="43">
        <v>6</v>
      </c>
      <c r="B59" s="44" t="s">
        <v>520</v>
      </c>
      <c r="C59" s="57" t="s">
        <v>510</v>
      </c>
      <c r="D59" s="42" t="s">
        <v>492</v>
      </c>
      <c r="E59" s="42" t="s">
        <v>106</v>
      </c>
      <c r="F59" s="42" t="s">
        <v>217</v>
      </c>
      <c r="G59" s="70">
        <v>25222293.309999999</v>
      </c>
      <c r="H59" s="70">
        <v>0</v>
      </c>
      <c r="I59" s="70">
        <v>509114.74</v>
      </c>
      <c r="J59" s="70">
        <v>23676.98</v>
      </c>
      <c r="K59" s="71">
        <v>4458.0200000000004</v>
      </c>
      <c r="L59" s="71">
        <v>25759543.050000001</v>
      </c>
      <c r="M59" s="71">
        <v>248923.77</v>
      </c>
      <c r="N59" s="70">
        <v>43223.03</v>
      </c>
      <c r="O59" s="70">
        <v>3426182.91</v>
      </c>
      <c r="P59" s="72">
        <v>6527453.6900000004</v>
      </c>
      <c r="Q59" s="70">
        <v>0</v>
      </c>
      <c r="R59" s="70">
        <v>2059229.25</v>
      </c>
      <c r="S59" s="70">
        <v>9173926.75</v>
      </c>
      <c r="T59" s="70">
        <v>1902949.83</v>
      </c>
      <c r="U59" s="70">
        <v>0</v>
      </c>
      <c r="V59" s="70">
        <v>0</v>
      </c>
      <c r="W59" s="70">
        <v>783532.18</v>
      </c>
      <c r="X59" s="71">
        <v>2432470.9300000002</v>
      </c>
      <c r="Y59" s="71">
        <v>26348968.57</v>
      </c>
      <c r="Z59" s="61">
        <v>4.2145453505552391E-2</v>
      </c>
      <c r="AA59" s="71">
        <v>2428012.91</v>
      </c>
      <c r="AB59" s="71">
        <v>0</v>
      </c>
      <c r="AC59" s="71">
        <v>0</v>
      </c>
      <c r="AD59" s="71">
        <v>4458.0200000000004</v>
      </c>
      <c r="AE59" s="71">
        <v>0</v>
      </c>
      <c r="AF59" s="71">
        <f>SUM(AD59:AE59)</f>
        <v>4458.0200000000004</v>
      </c>
      <c r="AG59" s="71">
        <v>915935.54</v>
      </c>
      <c r="AH59" s="70">
        <v>75338.710000000006</v>
      </c>
      <c r="AI59" s="70">
        <v>231048.9</v>
      </c>
      <c r="AJ59" s="71">
        <v>0</v>
      </c>
      <c r="AK59" s="70">
        <v>204801.09</v>
      </c>
      <c r="AL59" s="70">
        <v>42887.199999999997</v>
      </c>
      <c r="AM59" s="70">
        <v>90664.73</v>
      </c>
      <c r="AN59" s="70">
        <v>12000</v>
      </c>
      <c r="AO59" s="70">
        <v>12850</v>
      </c>
      <c r="AP59" s="70">
        <v>62809.38</v>
      </c>
      <c r="AQ59" s="70">
        <v>43723.94</v>
      </c>
      <c r="AR59" s="70">
        <v>11309.86</v>
      </c>
      <c r="AS59" s="70">
        <v>1185</v>
      </c>
      <c r="AT59" s="70">
        <v>29433.599999999999</v>
      </c>
      <c r="AU59" s="70">
        <v>6068.01</v>
      </c>
      <c r="AV59" s="70">
        <v>75960.240000000005</v>
      </c>
      <c r="AW59" s="70">
        <v>1816016.2</v>
      </c>
      <c r="AX59" s="70">
        <v>0</v>
      </c>
      <c r="AY59" s="61">
        <f>AX59/AW59</f>
        <v>0</v>
      </c>
      <c r="AZ59" s="71">
        <v>289.60000000000002</v>
      </c>
      <c r="BA59" s="61">
        <v>9.5323788508970622E-2</v>
      </c>
      <c r="BB59" s="70">
        <v>280602.49</v>
      </c>
      <c r="BC59" s="70">
        <v>782402.5</v>
      </c>
      <c r="BD59" s="71">
        <v>241807</v>
      </c>
      <c r="BE59" s="71">
        <v>0</v>
      </c>
      <c r="BF59" s="71">
        <v>2118066.9160000002</v>
      </c>
      <c r="BG59" s="71">
        <v>1664062.8659999999</v>
      </c>
      <c r="BH59" s="71">
        <v>0</v>
      </c>
      <c r="BI59" s="71">
        <v>0</v>
      </c>
      <c r="BJ59" s="71">
        <f>SUM(BH59:BI59)</f>
        <v>0</v>
      </c>
      <c r="BK59" s="71">
        <v>0</v>
      </c>
      <c r="BL59" s="60">
        <v>3148</v>
      </c>
      <c r="BM59" s="60">
        <v>834</v>
      </c>
      <c r="BN59" s="59">
        <v>22</v>
      </c>
      <c r="BO59" s="59">
        <v>-13</v>
      </c>
      <c r="BP59" s="59">
        <v>-24</v>
      </c>
      <c r="BQ59" s="59">
        <v>-63</v>
      </c>
      <c r="BR59" s="59">
        <v>-109</v>
      </c>
      <c r="BS59" s="59">
        <v>-314</v>
      </c>
      <c r="BT59" s="59">
        <v>1</v>
      </c>
      <c r="BU59" s="59">
        <v>0</v>
      </c>
      <c r="BV59" s="59">
        <v>-116</v>
      </c>
      <c r="BW59" s="59">
        <v>-422</v>
      </c>
      <c r="BX59" s="59">
        <v>-8</v>
      </c>
      <c r="BY59" s="59">
        <v>2936</v>
      </c>
      <c r="BZ59" s="59">
        <v>34</v>
      </c>
      <c r="CA59" s="59">
        <v>140</v>
      </c>
      <c r="CB59" s="59">
        <v>119</v>
      </c>
      <c r="CC59" s="59">
        <v>39</v>
      </c>
      <c r="CD59" s="59">
        <v>253</v>
      </c>
      <c r="CE59" s="59">
        <v>0</v>
      </c>
      <c r="CF59" s="59">
        <v>11</v>
      </c>
    </row>
    <row r="60" spans="1:84" ht="15.6" customHeight="1" x14ac:dyDescent="0.25">
      <c r="A60" s="43">
        <v>6</v>
      </c>
      <c r="B60" s="44" t="s">
        <v>546</v>
      </c>
      <c r="C60" s="57" t="s">
        <v>541</v>
      </c>
      <c r="D60" s="42" t="s">
        <v>220</v>
      </c>
      <c r="E60" s="42" t="s">
        <v>106</v>
      </c>
      <c r="F60" s="42" t="s">
        <v>217</v>
      </c>
      <c r="G60" s="70">
        <v>18816403.390000001</v>
      </c>
      <c r="H60" s="70">
        <v>38306.42</v>
      </c>
      <c r="I60" s="70">
        <v>318635.69</v>
      </c>
      <c r="J60" s="70">
        <v>0</v>
      </c>
      <c r="K60" s="71">
        <v>0</v>
      </c>
      <c r="L60" s="71">
        <v>19173345.5</v>
      </c>
      <c r="M60" s="71">
        <v>0</v>
      </c>
      <c r="N60" s="70">
        <v>0</v>
      </c>
      <c r="O60" s="70">
        <v>1464589.59</v>
      </c>
      <c r="P60" s="72">
        <v>8572716.9600000009</v>
      </c>
      <c r="Q60" s="70">
        <v>69761.7</v>
      </c>
      <c r="R60" s="70">
        <v>1704016.64</v>
      </c>
      <c r="S60" s="70">
        <v>4068692.8</v>
      </c>
      <c r="T60" s="70">
        <v>1471418.03</v>
      </c>
      <c r="U60" s="70">
        <v>0</v>
      </c>
      <c r="V60" s="70">
        <v>0</v>
      </c>
      <c r="W60" s="70">
        <v>391727.35999999999</v>
      </c>
      <c r="X60" s="71">
        <v>1565051.78</v>
      </c>
      <c r="Y60" s="71">
        <v>19307974.859999999</v>
      </c>
      <c r="Z60" s="61">
        <v>4.4916706145794821E-2</v>
      </c>
      <c r="AA60" s="71">
        <v>1565051.78</v>
      </c>
      <c r="AB60" s="71">
        <v>0</v>
      </c>
      <c r="AC60" s="71">
        <v>0</v>
      </c>
      <c r="AD60" s="71">
        <v>0</v>
      </c>
      <c r="AE60" s="71">
        <v>2118.9899999999998</v>
      </c>
      <c r="AF60" s="71">
        <f>SUM(AD60:AE60)</f>
        <v>2118.9899999999998</v>
      </c>
      <c r="AG60" s="71">
        <v>575778.43999999994</v>
      </c>
      <c r="AH60" s="70">
        <v>47742.32</v>
      </c>
      <c r="AI60" s="70">
        <v>180455.33</v>
      </c>
      <c r="AJ60" s="71">
        <v>17455.89</v>
      </c>
      <c r="AK60" s="70">
        <v>101193.63</v>
      </c>
      <c r="AL60" s="70">
        <v>18026</v>
      </c>
      <c r="AM60" s="70">
        <v>62393.29</v>
      </c>
      <c r="AN60" s="70">
        <v>9000</v>
      </c>
      <c r="AO60" s="70">
        <v>28011.13</v>
      </c>
      <c r="AP60" s="70">
        <v>49835</v>
      </c>
      <c r="AQ60" s="70">
        <v>35944.03</v>
      </c>
      <c r="AR60" s="70">
        <v>5500.75</v>
      </c>
      <c r="AS60" s="70">
        <v>2760</v>
      </c>
      <c r="AT60" s="70">
        <v>25889.08</v>
      </c>
      <c r="AU60" s="70">
        <v>4515.47</v>
      </c>
      <c r="AV60" s="70">
        <v>102011.81</v>
      </c>
      <c r="AW60" s="70">
        <v>1266512.17</v>
      </c>
      <c r="AX60" s="70">
        <v>0</v>
      </c>
      <c r="AY60" s="61">
        <f>AX60/AW60</f>
        <v>0</v>
      </c>
      <c r="AZ60" s="71">
        <v>0</v>
      </c>
      <c r="BA60" s="61">
        <v>8.317486331270664E-2</v>
      </c>
      <c r="BB60" s="70">
        <v>178902.12</v>
      </c>
      <c r="BC60" s="70">
        <v>667989.34</v>
      </c>
      <c r="BD60" s="71">
        <v>241807</v>
      </c>
      <c r="BE60" s="71">
        <v>2.91038304567337E-11</v>
      </c>
      <c r="BF60" s="71">
        <v>1092603.1299999999</v>
      </c>
      <c r="BG60" s="71">
        <v>775975.08750000002</v>
      </c>
      <c r="BH60" s="71">
        <v>0</v>
      </c>
      <c r="BI60" s="71">
        <v>0</v>
      </c>
      <c r="BJ60" s="71">
        <f>SUM(BH60:BI60)</f>
        <v>0</v>
      </c>
      <c r="BK60" s="71">
        <v>0</v>
      </c>
      <c r="BL60" s="60">
        <v>2276</v>
      </c>
      <c r="BM60" s="60">
        <v>627</v>
      </c>
      <c r="BN60" s="59">
        <v>0</v>
      </c>
      <c r="BO60" s="59">
        <v>0</v>
      </c>
      <c r="BP60" s="59">
        <v>-10</v>
      </c>
      <c r="BQ60" s="59">
        <v>-45</v>
      </c>
      <c r="BR60" s="59">
        <v>-128</v>
      </c>
      <c r="BS60" s="59">
        <v>-347</v>
      </c>
      <c r="BT60" s="59">
        <v>0</v>
      </c>
      <c r="BU60" s="59">
        <v>0</v>
      </c>
      <c r="BV60" s="59">
        <v>67</v>
      </c>
      <c r="BW60" s="59">
        <v>-412</v>
      </c>
      <c r="BX60" s="59">
        <v>0</v>
      </c>
      <c r="BY60" s="59">
        <v>2028</v>
      </c>
      <c r="BZ60" s="59">
        <v>16</v>
      </c>
      <c r="CA60" s="59">
        <v>2</v>
      </c>
      <c r="CB60" s="59">
        <v>86</v>
      </c>
      <c r="CC60" s="59">
        <v>36</v>
      </c>
      <c r="CD60" s="59">
        <v>292</v>
      </c>
      <c r="CE60" s="59">
        <v>2</v>
      </c>
      <c r="CF60" s="59">
        <v>5</v>
      </c>
    </row>
    <row r="61" spans="1:84" ht="15.6" customHeight="1" x14ac:dyDescent="0.25">
      <c r="A61" s="43">
        <v>6</v>
      </c>
      <c r="B61" s="44" t="s">
        <v>218</v>
      </c>
      <c r="C61" s="57" t="s">
        <v>165</v>
      </c>
      <c r="D61" s="42" t="s">
        <v>219</v>
      </c>
      <c r="E61" s="42" t="s">
        <v>103</v>
      </c>
      <c r="F61" s="42" t="s">
        <v>217</v>
      </c>
      <c r="G61" s="70">
        <v>37261424.609999999</v>
      </c>
      <c r="H61" s="70">
        <v>42204.51</v>
      </c>
      <c r="I61" s="70">
        <v>1295683.33</v>
      </c>
      <c r="J61" s="70">
        <v>0</v>
      </c>
      <c r="K61" s="71">
        <v>0</v>
      </c>
      <c r="L61" s="71">
        <v>38599312.450000003</v>
      </c>
      <c r="M61" s="71">
        <v>0</v>
      </c>
      <c r="N61" s="70">
        <v>14063577.949999999</v>
      </c>
      <c r="O61" s="70">
        <v>4463508.91</v>
      </c>
      <c r="P61" s="72">
        <v>6277116.4400000004</v>
      </c>
      <c r="Q61" s="70">
        <v>0</v>
      </c>
      <c r="R61" s="70">
        <v>1653320.66</v>
      </c>
      <c r="S61" s="70">
        <v>6179507.4900000002</v>
      </c>
      <c r="T61" s="70">
        <v>1924291.8</v>
      </c>
      <c r="U61" s="70">
        <v>0</v>
      </c>
      <c r="V61" s="70">
        <v>42204.51</v>
      </c>
      <c r="W61" s="70">
        <v>1465953.06</v>
      </c>
      <c r="X61" s="71">
        <v>2608297.7000000002</v>
      </c>
      <c r="Y61" s="71">
        <v>38677778.520000003</v>
      </c>
      <c r="Z61" s="61">
        <v>3.8262927593678317E-2</v>
      </c>
      <c r="AA61" s="71">
        <v>2608297.7000000002</v>
      </c>
      <c r="AB61" s="71">
        <v>0</v>
      </c>
      <c r="AC61" s="71">
        <v>0</v>
      </c>
      <c r="AD61" s="71">
        <v>0</v>
      </c>
      <c r="AE61" s="71">
        <v>0</v>
      </c>
      <c r="AF61" s="71">
        <f>SUM(AD61:AE61)</f>
        <v>0</v>
      </c>
      <c r="AG61" s="71">
        <v>1408378.56</v>
      </c>
      <c r="AH61" s="70">
        <v>114689.74</v>
      </c>
      <c r="AI61" s="70">
        <v>344465.21399999998</v>
      </c>
      <c r="AJ61" s="71">
        <v>0</v>
      </c>
      <c r="AK61" s="70">
        <v>538443.39</v>
      </c>
      <c r="AL61" s="70">
        <v>88229.06</v>
      </c>
      <c r="AM61" s="70">
        <v>190384.69</v>
      </c>
      <c r="AN61" s="70">
        <v>13000</v>
      </c>
      <c r="AO61" s="70">
        <v>7706.71</v>
      </c>
      <c r="AP61" s="70">
        <v>23716.23</v>
      </c>
      <c r="AQ61" s="70">
        <v>67246.880000000005</v>
      </c>
      <c r="AR61" s="70">
        <v>11089.62</v>
      </c>
      <c r="AS61" s="70">
        <v>2670</v>
      </c>
      <c r="AT61" s="70">
        <v>41739.54</v>
      </c>
      <c r="AU61" s="70">
        <v>32626.69</v>
      </c>
      <c r="AV61" s="70">
        <v>127882.86</v>
      </c>
      <c r="AW61" s="70">
        <v>3012269.1839999999</v>
      </c>
      <c r="AX61" s="70">
        <v>0</v>
      </c>
      <c r="AY61" s="61">
        <f>AX61/AW61</f>
        <v>0</v>
      </c>
      <c r="AZ61" s="71">
        <v>0</v>
      </c>
      <c r="BA61" s="61">
        <v>6.9999945715977827E-2</v>
      </c>
      <c r="BB61" s="70">
        <v>241141.18</v>
      </c>
      <c r="BC61" s="70">
        <v>1186204.8799999999</v>
      </c>
      <c r="BD61" s="71">
        <v>244766</v>
      </c>
      <c r="BE61" s="71">
        <v>0</v>
      </c>
      <c r="BF61" s="71">
        <v>1632450.476</v>
      </c>
      <c r="BG61" s="71">
        <v>879383.179999999</v>
      </c>
      <c r="BH61" s="71">
        <v>0</v>
      </c>
      <c r="BI61" s="71">
        <v>0</v>
      </c>
      <c r="BJ61" s="71">
        <f>SUM(BH61:BI61)</f>
        <v>0</v>
      </c>
      <c r="BK61" s="71">
        <v>0</v>
      </c>
      <c r="BL61" s="60">
        <v>2786</v>
      </c>
      <c r="BM61" s="60">
        <v>1028</v>
      </c>
      <c r="BN61" s="59">
        <v>11</v>
      </c>
      <c r="BO61" s="59">
        <v>-7</v>
      </c>
      <c r="BP61" s="59">
        <v>-44</v>
      </c>
      <c r="BQ61" s="59">
        <v>-71</v>
      </c>
      <c r="BR61" s="59">
        <v>-395</v>
      </c>
      <c r="BS61" s="59">
        <v>-375</v>
      </c>
      <c r="BT61" s="59">
        <v>5</v>
      </c>
      <c r="BU61" s="59">
        <v>-1</v>
      </c>
      <c r="BV61" s="59">
        <v>-12</v>
      </c>
      <c r="BW61" s="59">
        <v>-541</v>
      </c>
      <c r="BX61" s="59">
        <v>-2</v>
      </c>
      <c r="BY61" s="59">
        <v>2382</v>
      </c>
      <c r="BZ61" s="59">
        <v>15</v>
      </c>
      <c r="CA61" s="59">
        <v>78</v>
      </c>
      <c r="CB61" s="59">
        <v>162</v>
      </c>
      <c r="CC61" s="59">
        <v>51</v>
      </c>
      <c r="CD61" s="59">
        <v>315</v>
      </c>
      <c r="CE61" s="59">
        <v>1</v>
      </c>
      <c r="CF61" s="59">
        <v>11</v>
      </c>
    </row>
    <row r="62" spans="1:84" ht="15.6" customHeight="1" x14ac:dyDescent="0.25">
      <c r="A62" s="43">
        <v>6</v>
      </c>
      <c r="B62" s="44" t="s">
        <v>221</v>
      </c>
      <c r="C62" s="57" t="s">
        <v>222</v>
      </c>
      <c r="D62" s="42" t="s">
        <v>223</v>
      </c>
      <c r="E62" s="42" t="s">
        <v>103</v>
      </c>
      <c r="F62" s="42" t="s">
        <v>217</v>
      </c>
      <c r="G62" s="70">
        <v>30109314.989999998</v>
      </c>
      <c r="H62" s="70">
        <v>37455.81</v>
      </c>
      <c r="I62" s="70">
        <v>403680.3</v>
      </c>
      <c r="J62" s="70">
        <v>0</v>
      </c>
      <c r="K62" s="71">
        <v>1032.67</v>
      </c>
      <c r="L62" s="71">
        <v>30551483.77</v>
      </c>
      <c r="M62" s="71">
        <v>0</v>
      </c>
      <c r="N62" s="70">
        <v>10464023.73</v>
      </c>
      <c r="O62" s="70">
        <v>2915124.36</v>
      </c>
      <c r="P62" s="72">
        <v>6023230.2400000002</v>
      </c>
      <c r="Q62" s="70">
        <v>0</v>
      </c>
      <c r="R62" s="70">
        <v>1638402.77</v>
      </c>
      <c r="S62" s="70">
        <v>5413645.5700000003</v>
      </c>
      <c r="T62" s="70">
        <v>1583456.65</v>
      </c>
      <c r="U62" s="70">
        <v>0</v>
      </c>
      <c r="V62" s="70">
        <v>37455.81</v>
      </c>
      <c r="W62" s="70">
        <v>764613.72</v>
      </c>
      <c r="X62" s="71">
        <v>1770425.55</v>
      </c>
      <c r="Y62" s="71">
        <v>30610378.399999999</v>
      </c>
      <c r="Z62" s="61">
        <v>2.3629386866204857E-2</v>
      </c>
      <c r="AA62" s="71">
        <v>1768420.96</v>
      </c>
      <c r="AB62" s="71">
        <v>0</v>
      </c>
      <c r="AC62" s="71">
        <v>0</v>
      </c>
      <c r="AD62" s="71">
        <v>2004.59</v>
      </c>
      <c r="AE62" s="71">
        <v>241.61</v>
      </c>
      <c r="AF62" s="71">
        <f>SUM(AD62:AE62)</f>
        <v>2246.1999999999998</v>
      </c>
      <c r="AG62" s="71">
        <v>1341896.7</v>
      </c>
      <c r="AH62" s="70">
        <v>100612.6</v>
      </c>
      <c r="AI62" s="70">
        <v>312513.31</v>
      </c>
      <c r="AJ62" s="71">
        <v>0</v>
      </c>
      <c r="AK62" s="70">
        <v>149346.42000000001</v>
      </c>
      <c r="AL62" s="70">
        <v>21874.25</v>
      </c>
      <c r="AM62" s="70">
        <v>58960</v>
      </c>
      <c r="AN62" s="70">
        <v>10000</v>
      </c>
      <c r="AO62" s="70">
        <v>2400</v>
      </c>
      <c r="AP62" s="70">
        <v>31957.65</v>
      </c>
      <c r="AQ62" s="70">
        <v>28538.36</v>
      </c>
      <c r="AR62" s="70">
        <v>29033.33</v>
      </c>
      <c r="AS62" s="70">
        <v>7670</v>
      </c>
      <c r="AT62" s="70">
        <v>2682.44</v>
      </c>
      <c r="AU62" s="70">
        <v>65574.17</v>
      </c>
      <c r="AV62" s="70">
        <v>75232.58</v>
      </c>
      <c r="AW62" s="70">
        <v>2238291.81</v>
      </c>
      <c r="AX62" s="70">
        <v>2445.21</v>
      </c>
      <c r="AY62" s="61">
        <f>AX62/AW62</f>
        <v>1.0924446888808479E-3</v>
      </c>
      <c r="AZ62" s="71">
        <v>312.56</v>
      </c>
      <c r="BA62" s="61">
        <v>5.8733350811446011E-2</v>
      </c>
      <c r="BB62" s="70">
        <v>79845.509999999995</v>
      </c>
      <c r="BC62" s="70">
        <v>632504.19999999995</v>
      </c>
      <c r="BD62" s="71">
        <v>244766</v>
      </c>
      <c r="BE62" s="71">
        <v>2.91038304567337E-11</v>
      </c>
      <c r="BF62" s="71">
        <v>597663.53</v>
      </c>
      <c r="BG62" s="71">
        <v>38090.577499999803</v>
      </c>
      <c r="BH62" s="71">
        <v>0</v>
      </c>
      <c r="BI62" s="71">
        <v>0</v>
      </c>
      <c r="BJ62" s="71">
        <f>SUM(BH62:BI62)</f>
        <v>0</v>
      </c>
      <c r="BK62" s="71">
        <v>0</v>
      </c>
      <c r="BL62" s="60">
        <v>2326</v>
      </c>
      <c r="BM62" s="60">
        <v>710</v>
      </c>
      <c r="BN62" s="59">
        <v>0</v>
      </c>
      <c r="BO62" s="59">
        <v>0</v>
      </c>
      <c r="BP62" s="59">
        <v>-22</v>
      </c>
      <c r="BQ62" s="59">
        <v>-40</v>
      </c>
      <c r="BR62" s="59">
        <v>-222</v>
      </c>
      <c r="BS62" s="59">
        <v>-293</v>
      </c>
      <c r="BT62" s="59">
        <v>1</v>
      </c>
      <c r="BU62" s="59">
        <v>0</v>
      </c>
      <c r="BV62" s="59">
        <v>3</v>
      </c>
      <c r="BW62" s="59">
        <v>-431</v>
      </c>
      <c r="BX62" s="59">
        <v>-5</v>
      </c>
      <c r="BY62" s="59">
        <v>2027</v>
      </c>
      <c r="BZ62" s="59">
        <v>0</v>
      </c>
      <c r="CA62" s="59">
        <v>26</v>
      </c>
      <c r="CB62" s="59">
        <v>100</v>
      </c>
      <c r="CC62" s="59">
        <v>34</v>
      </c>
      <c r="CD62" s="59">
        <v>280</v>
      </c>
      <c r="CE62" s="59">
        <v>19</v>
      </c>
      <c r="CF62" s="59">
        <v>3</v>
      </c>
    </row>
    <row r="63" spans="1:84" ht="15.6" customHeight="1" x14ac:dyDescent="0.25">
      <c r="A63" s="43">
        <v>6</v>
      </c>
      <c r="B63" s="44" t="s">
        <v>571</v>
      </c>
      <c r="C63" s="57" t="s">
        <v>572</v>
      </c>
      <c r="D63" s="42" t="s">
        <v>225</v>
      </c>
      <c r="E63" s="42" t="s">
        <v>103</v>
      </c>
      <c r="F63" s="42" t="s">
        <v>217</v>
      </c>
      <c r="G63" s="70">
        <v>16990570.27</v>
      </c>
      <c r="H63" s="70">
        <v>0</v>
      </c>
      <c r="I63" s="70">
        <v>396604.76999999996</v>
      </c>
      <c r="J63" s="70">
        <v>0</v>
      </c>
      <c r="K63" s="71">
        <f>8299.37+39724.09</f>
        <v>48023.46</v>
      </c>
      <c r="L63" s="71">
        <v>17435198.5</v>
      </c>
      <c r="M63" s="71">
        <v>0</v>
      </c>
      <c r="N63" s="70">
        <v>4184183.3000000003</v>
      </c>
      <c r="O63" s="70">
        <v>800753.62</v>
      </c>
      <c r="P63" s="72">
        <v>4626025.8000000007</v>
      </c>
      <c r="Q63" s="70">
        <v>0</v>
      </c>
      <c r="R63" s="70">
        <v>926526.48999999976</v>
      </c>
      <c r="S63" s="70">
        <v>3885762.59</v>
      </c>
      <c r="T63" s="70">
        <v>1014914.8700000001</v>
      </c>
      <c r="U63" s="70">
        <v>0</v>
      </c>
      <c r="V63" s="70">
        <v>41624.089999999997</v>
      </c>
      <c r="W63" s="70">
        <v>396604.76999999996</v>
      </c>
      <c r="X63" s="71">
        <f>6318.45+1529167.33</f>
        <v>1535485.78</v>
      </c>
      <c r="Y63" s="71">
        <v>17411881.309999999</v>
      </c>
      <c r="Z63" s="61">
        <f>275410/16990570</f>
        <v>1.6209579784551079E-2</v>
      </c>
      <c r="AA63" s="71">
        <v>1529167.33</v>
      </c>
      <c r="AB63" s="71">
        <v>0</v>
      </c>
      <c r="AC63" s="71">
        <v>0</v>
      </c>
      <c r="AD63" s="71">
        <v>6318.45</v>
      </c>
      <c r="AE63" s="71">
        <v>3891.2</v>
      </c>
      <c r="AF63" s="71">
        <f t="shared" si="28"/>
        <v>10209.65</v>
      </c>
      <c r="AG63" s="71">
        <v>723763.86</v>
      </c>
      <c r="AH63" s="70">
        <v>56862.16</v>
      </c>
      <c r="AI63" s="70">
        <v>140148.25</v>
      </c>
      <c r="AJ63" s="71">
        <v>0</v>
      </c>
      <c r="AK63" s="70">
        <v>164367.88</v>
      </c>
      <c r="AL63" s="70">
        <v>47000</v>
      </c>
      <c r="AM63" s="70">
        <v>97980.650000000009</v>
      </c>
      <c r="AN63" s="70">
        <v>6000</v>
      </c>
      <c r="AO63" s="70">
        <v>0</v>
      </c>
      <c r="AP63" s="70">
        <v>37086.21</v>
      </c>
      <c r="AQ63" s="70">
        <f>14525.59+14449.04+24857.69</f>
        <v>53832.32</v>
      </c>
      <c r="AR63" s="70">
        <v>12661.07</v>
      </c>
      <c r="AS63" s="70">
        <v>1950</v>
      </c>
      <c r="AT63" s="70">
        <v>15386.67</v>
      </c>
      <c r="AU63" s="70">
        <v>13692.51</v>
      </c>
      <c r="AV63" s="70">
        <f>AW63-AG63-AH63-AI63-AK63-AL63-AM63-AN63-AP63-AQ63-AR63-AS63-AT63-AU63</f>
        <v>156731.58999999962</v>
      </c>
      <c r="AW63" s="70">
        <v>1527463.1699999997</v>
      </c>
      <c r="AX63" s="70">
        <v>0</v>
      </c>
      <c r="AY63" s="61">
        <f t="shared" si="29"/>
        <v>0</v>
      </c>
      <c r="AZ63" s="71">
        <v>0</v>
      </c>
      <c r="BA63" s="61">
        <f>1529167.33/16990570.27</f>
        <v>9.0000942034301715E-2</v>
      </c>
      <c r="BB63" s="70">
        <v>0</v>
      </c>
      <c r="BC63" s="70">
        <v>275410</v>
      </c>
      <c r="BD63" s="71">
        <v>242044.75</v>
      </c>
      <c r="BE63" s="71">
        <v>0</v>
      </c>
      <c r="BF63" s="71">
        <v>640256</v>
      </c>
      <c r="BG63" s="71">
        <v>258390</v>
      </c>
      <c r="BH63" s="71">
        <v>0</v>
      </c>
      <c r="BI63" s="71">
        <v>0</v>
      </c>
      <c r="BJ63" s="71">
        <f t="shared" ref="BJ63" si="31">SUM(BH63:BI63)</f>
        <v>0</v>
      </c>
      <c r="BK63" s="71">
        <v>0</v>
      </c>
      <c r="BL63" s="60">
        <v>1648</v>
      </c>
      <c r="BM63" s="60">
        <v>379</v>
      </c>
      <c r="BN63" s="59">
        <v>10</v>
      </c>
      <c r="BO63" s="59">
        <v>0</v>
      </c>
      <c r="BP63" s="59">
        <v>-10</v>
      </c>
      <c r="BQ63" s="59">
        <v>-22</v>
      </c>
      <c r="BR63" s="59">
        <v>-88</v>
      </c>
      <c r="BS63" s="59">
        <v>-116</v>
      </c>
      <c r="BT63" s="59">
        <v>0</v>
      </c>
      <c r="BU63" s="59">
        <v>0</v>
      </c>
      <c r="BV63" s="59">
        <v>0</v>
      </c>
      <c r="BW63" s="59">
        <v>-351</v>
      </c>
      <c r="BX63" s="59">
        <v>-5</v>
      </c>
      <c r="BY63" s="59">
        <v>1445</v>
      </c>
      <c r="BZ63" s="59">
        <v>1</v>
      </c>
      <c r="CA63" s="59">
        <v>0</v>
      </c>
      <c r="CB63" s="59">
        <v>82</v>
      </c>
      <c r="CC63" s="59">
        <v>45</v>
      </c>
      <c r="CD63" s="59">
        <v>211</v>
      </c>
      <c r="CE63" s="59">
        <v>18</v>
      </c>
      <c r="CF63" s="59">
        <v>0</v>
      </c>
    </row>
    <row r="64" spans="1:84" s="63" customFormat="1" ht="15.6" customHeight="1" x14ac:dyDescent="0.25">
      <c r="A64" s="33">
        <v>7</v>
      </c>
      <c r="B64" s="51" t="s">
        <v>573</v>
      </c>
      <c r="C64" s="55" t="s">
        <v>574</v>
      </c>
      <c r="D64" s="35" t="s">
        <v>226</v>
      </c>
      <c r="E64" s="35" t="s">
        <v>117</v>
      </c>
      <c r="F64" s="35" t="s">
        <v>217</v>
      </c>
      <c r="G64" s="71">
        <v>25522800.010000002</v>
      </c>
      <c r="H64" s="71">
        <v>338190.46</v>
      </c>
      <c r="I64" s="71">
        <f>6610+664803</f>
        <v>671413</v>
      </c>
      <c r="J64" s="71">
        <v>0</v>
      </c>
      <c r="K64" s="71">
        <v>0</v>
      </c>
      <c r="L64" s="71">
        <v>26532403.030000001</v>
      </c>
      <c r="M64" s="71">
        <v>0</v>
      </c>
      <c r="N64" s="71">
        <v>8597264.0099999998</v>
      </c>
      <c r="O64" s="71">
        <v>1702416.95</v>
      </c>
      <c r="P64" s="71">
        <v>6850929.0399999991</v>
      </c>
      <c r="Q64" s="71">
        <v>0</v>
      </c>
      <c r="R64" s="71">
        <v>755444.77</v>
      </c>
      <c r="S64" s="71">
        <v>4033648.15</v>
      </c>
      <c r="T64" s="71">
        <v>1075851.92</v>
      </c>
      <c r="U64" s="71">
        <v>0</v>
      </c>
      <c r="V64" s="71">
        <v>0</v>
      </c>
      <c r="W64" s="71">
        <v>1002993.1799999999</v>
      </c>
      <c r="X64" s="71">
        <f>9+2310776</f>
        <v>2310785</v>
      </c>
      <c r="Y64" s="71">
        <v>26329333.139999997</v>
      </c>
      <c r="Z64" s="61">
        <f>3302107/25860990</f>
        <v>0.12768679775986921</v>
      </c>
      <c r="AA64" s="71">
        <v>2310775.6900000004</v>
      </c>
      <c r="AB64" s="71">
        <v>0</v>
      </c>
      <c r="AC64" s="71">
        <v>0</v>
      </c>
      <c r="AD64" s="71">
        <v>0</v>
      </c>
      <c r="AE64" s="71">
        <v>0</v>
      </c>
      <c r="AF64" s="71">
        <f t="shared" ref="AF64:AF71" si="32">SUM(AD64:AE64)</f>
        <v>0</v>
      </c>
      <c r="AG64" s="71">
        <v>1126517.95</v>
      </c>
      <c r="AH64" s="71">
        <v>93438.68</v>
      </c>
      <c r="AI64" s="71">
        <v>253899.84</v>
      </c>
      <c r="AJ64" s="71">
        <v>0</v>
      </c>
      <c r="AK64" s="71">
        <v>132761.34</v>
      </c>
      <c r="AL64" s="71">
        <v>0</v>
      </c>
      <c r="AM64" s="71">
        <v>120168.05</v>
      </c>
      <c r="AN64" s="71">
        <v>11350</v>
      </c>
      <c r="AO64" s="71">
        <v>32241.85</v>
      </c>
      <c r="AP64" s="71">
        <v>33181.54</v>
      </c>
      <c r="AQ64" s="71">
        <f>6149+2634+30486</f>
        <v>39269</v>
      </c>
      <c r="AR64" s="71">
        <v>33918.03</v>
      </c>
      <c r="AS64" s="71">
        <v>0</v>
      </c>
      <c r="AT64" s="71">
        <v>19471.240000000002</v>
      </c>
      <c r="AU64" s="71">
        <v>22800</v>
      </c>
      <c r="AV64" s="70">
        <f>AW64-(AG64+AH64+AI64+AK64+AL64+AM64+AN64+AO64+AP64+AQ64+AR64+AT64+AU64)</f>
        <v>67910.089999999385</v>
      </c>
      <c r="AW64" s="71">
        <v>1986927.6099999996</v>
      </c>
      <c r="AX64" s="71">
        <v>12937.14</v>
      </c>
      <c r="AY64" s="61">
        <f t="shared" ref="AY64:AY71" si="33">AX64/AW64</f>
        <v>6.5111280022929477E-3</v>
      </c>
      <c r="AZ64" s="71">
        <v>7525</v>
      </c>
      <c r="BA64" s="61">
        <f>2310776/25522800</f>
        <v>9.053771529769461E-2</v>
      </c>
      <c r="BB64" s="71">
        <v>354431</v>
      </c>
      <c r="BC64" s="71">
        <v>2620737</v>
      </c>
      <c r="BD64" s="71">
        <v>242054</v>
      </c>
      <c r="BE64" s="71">
        <v>384.75</v>
      </c>
      <c r="BF64" s="71">
        <v>1060558.9500000016</v>
      </c>
      <c r="BG64" s="71">
        <v>0</v>
      </c>
      <c r="BH64" s="71">
        <v>0</v>
      </c>
      <c r="BI64" s="71">
        <v>0</v>
      </c>
      <c r="BJ64" s="71">
        <f t="shared" ref="BJ64:BJ71" si="34">SUM(BH64:BI64)</f>
        <v>0</v>
      </c>
      <c r="BK64" s="71">
        <v>0</v>
      </c>
      <c r="BL64" s="60">
        <v>2124</v>
      </c>
      <c r="BM64" s="60">
        <v>472</v>
      </c>
      <c r="BN64" s="60">
        <v>9</v>
      </c>
      <c r="BO64" s="60">
        <v>-9</v>
      </c>
      <c r="BP64" s="60">
        <v>-2</v>
      </c>
      <c r="BQ64" s="60">
        <v>-3</v>
      </c>
      <c r="BR64" s="60">
        <v>-104</v>
      </c>
      <c r="BS64" s="60">
        <v>-184</v>
      </c>
      <c r="BT64" s="60">
        <v>1</v>
      </c>
      <c r="BU64" s="60">
        <v>0</v>
      </c>
      <c r="BV64" s="60">
        <v>-8</v>
      </c>
      <c r="BW64" s="60">
        <v>-348</v>
      </c>
      <c r="BX64" s="60">
        <v>0</v>
      </c>
      <c r="BY64" s="60">
        <v>1948</v>
      </c>
      <c r="BZ64" s="60">
        <v>10</v>
      </c>
      <c r="CA64" s="60">
        <v>113</v>
      </c>
      <c r="CB64" s="60">
        <v>84</v>
      </c>
      <c r="CC64" s="60">
        <v>30</v>
      </c>
      <c r="CD64" s="60">
        <v>225</v>
      </c>
      <c r="CE64" s="60">
        <v>0</v>
      </c>
      <c r="CF64" s="60">
        <v>0</v>
      </c>
    </row>
    <row r="65" spans="1:84" s="63" customFormat="1" ht="15.6" customHeight="1" x14ac:dyDescent="0.25">
      <c r="A65" s="33">
        <v>7</v>
      </c>
      <c r="B65" s="34" t="s">
        <v>227</v>
      </c>
      <c r="C65" s="55" t="s">
        <v>228</v>
      </c>
      <c r="D65" s="35" t="s">
        <v>229</v>
      </c>
      <c r="E65" s="35" t="s">
        <v>112</v>
      </c>
      <c r="F65" s="35" t="s">
        <v>217</v>
      </c>
      <c r="G65" s="70">
        <v>30164600.609999999</v>
      </c>
      <c r="H65" s="70">
        <v>0</v>
      </c>
      <c r="I65" s="70">
        <v>1296822.28</v>
      </c>
      <c r="J65" s="70">
        <v>0</v>
      </c>
      <c r="K65" s="71">
        <v>0</v>
      </c>
      <c r="L65" s="71">
        <v>31461422.890000001</v>
      </c>
      <c r="M65" s="71">
        <v>0</v>
      </c>
      <c r="N65" s="70">
        <v>7231415.3499999996</v>
      </c>
      <c r="O65" s="70">
        <v>1668299.11</v>
      </c>
      <c r="P65" s="72">
        <v>8952287.1799999997</v>
      </c>
      <c r="Q65" s="70">
        <v>2458.14</v>
      </c>
      <c r="R65" s="70">
        <v>1467369.88</v>
      </c>
      <c r="S65" s="70">
        <v>7031129.1299999999</v>
      </c>
      <c r="T65" s="70">
        <v>1628577.14</v>
      </c>
      <c r="U65" s="70">
        <v>0</v>
      </c>
      <c r="V65" s="70">
        <v>0</v>
      </c>
      <c r="W65" s="70">
        <v>1368367.3</v>
      </c>
      <c r="X65" s="71">
        <v>1936188.57</v>
      </c>
      <c r="Y65" s="71">
        <v>31286091.800000001</v>
      </c>
      <c r="Z65" s="61">
        <v>3.7335029379658012E-2</v>
      </c>
      <c r="AA65" s="71">
        <v>1912557.57</v>
      </c>
      <c r="AB65" s="71">
        <v>0</v>
      </c>
      <c r="AC65" s="71">
        <v>0</v>
      </c>
      <c r="AD65" s="71">
        <v>0</v>
      </c>
      <c r="AE65" s="71">
        <v>0</v>
      </c>
      <c r="AF65" s="71">
        <f t="shared" si="32"/>
        <v>0</v>
      </c>
      <c r="AG65" s="71">
        <v>894690.61</v>
      </c>
      <c r="AH65" s="70">
        <v>66223.78</v>
      </c>
      <c r="AI65" s="70">
        <v>199436.09</v>
      </c>
      <c r="AJ65" s="71">
        <v>0</v>
      </c>
      <c r="AK65" s="70">
        <v>142523.68</v>
      </c>
      <c r="AL65" s="70">
        <v>45001.919999999998</v>
      </c>
      <c r="AM65" s="70">
        <v>74274.009999999995</v>
      </c>
      <c r="AN65" s="70">
        <v>12700</v>
      </c>
      <c r="AO65" s="70">
        <v>10448.92</v>
      </c>
      <c r="AP65" s="70">
        <v>30000</v>
      </c>
      <c r="AQ65" s="70">
        <v>39683.58</v>
      </c>
      <c r="AR65" s="70">
        <v>26454.93</v>
      </c>
      <c r="AS65" s="70">
        <v>21600</v>
      </c>
      <c r="AT65" s="70">
        <v>5969</v>
      </c>
      <c r="AU65" s="70">
        <v>34227.29</v>
      </c>
      <c r="AV65" s="70">
        <v>108199.05</v>
      </c>
      <c r="AW65" s="70">
        <v>1711432.86</v>
      </c>
      <c r="AX65" s="70">
        <v>0</v>
      </c>
      <c r="AY65" s="61">
        <f t="shared" si="33"/>
        <v>0</v>
      </c>
      <c r="AZ65" s="71">
        <v>1018.43</v>
      </c>
      <c r="BA65" s="61">
        <v>6.3404040873193582E-2</v>
      </c>
      <c r="BB65" s="70">
        <v>180988.73</v>
      </c>
      <c r="BC65" s="70">
        <v>945207.52</v>
      </c>
      <c r="BD65" s="71">
        <v>244766</v>
      </c>
      <c r="BE65" s="71">
        <v>0</v>
      </c>
      <c r="BF65" s="71">
        <v>1275824.54</v>
      </c>
      <c r="BG65" s="71">
        <v>847966.32499999995</v>
      </c>
      <c r="BH65" s="71">
        <v>0</v>
      </c>
      <c r="BI65" s="71">
        <v>0</v>
      </c>
      <c r="BJ65" s="71">
        <f t="shared" si="34"/>
        <v>0</v>
      </c>
      <c r="BK65" s="71">
        <v>0</v>
      </c>
      <c r="BL65" s="60">
        <v>3586</v>
      </c>
      <c r="BM65" s="60">
        <v>608</v>
      </c>
      <c r="BN65" s="59">
        <v>0</v>
      </c>
      <c r="BO65" s="59">
        <v>0</v>
      </c>
      <c r="BP65" s="59">
        <v>0</v>
      </c>
      <c r="BQ65" s="59">
        <v>-36</v>
      </c>
      <c r="BR65" s="59">
        <v>-74</v>
      </c>
      <c r="BS65" s="59">
        <v>-209</v>
      </c>
      <c r="BT65" s="59">
        <v>0</v>
      </c>
      <c r="BU65" s="59">
        <v>0</v>
      </c>
      <c r="BV65" s="59">
        <v>4</v>
      </c>
      <c r="BW65" s="59">
        <v>-753</v>
      </c>
      <c r="BX65" s="59">
        <v>-8</v>
      </c>
      <c r="BY65" s="59">
        <v>3118</v>
      </c>
      <c r="BZ65" s="59">
        <v>6</v>
      </c>
      <c r="CA65" s="59">
        <v>20</v>
      </c>
      <c r="CB65" s="59">
        <v>108</v>
      </c>
      <c r="CC65" s="59">
        <v>87</v>
      </c>
      <c r="CD65" s="59">
        <v>548</v>
      </c>
      <c r="CE65" s="59">
        <v>1</v>
      </c>
      <c r="CF65" s="59">
        <v>6</v>
      </c>
    </row>
    <row r="66" spans="1:84" s="50" customFormat="1" ht="15.6" customHeight="1" x14ac:dyDescent="0.25">
      <c r="A66" s="39">
        <v>7</v>
      </c>
      <c r="B66" s="51" t="s">
        <v>230</v>
      </c>
      <c r="C66" s="57" t="s">
        <v>141</v>
      </c>
      <c r="D66" s="42" t="s">
        <v>231</v>
      </c>
      <c r="E66" s="42" t="s">
        <v>117</v>
      </c>
      <c r="F66" s="42" t="s">
        <v>217</v>
      </c>
      <c r="G66" s="70">
        <v>61775933.289999999</v>
      </c>
      <c r="H66" s="70">
        <v>397620.16</v>
      </c>
      <c r="I66" s="70">
        <v>3496990.27</v>
      </c>
      <c r="J66" s="70">
        <v>0</v>
      </c>
      <c r="K66" s="71">
        <v>0</v>
      </c>
      <c r="L66" s="71">
        <v>65670543.719999999</v>
      </c>
      <c r="M66" s="71">
        <v>0</v>
      </c>
      <c r="N66" s="70">
        <v>26001990.469999999</v>
      </c>
      <c r="O66" s="70">
        <v>5604414.54</v>
      </c>
      <c r="P66" s="72">
        <v>13704001.310000001</v>
      </c>
      <c r="Q66" s="70">
        <v>0</v>
      </c>
      <c r="R66" s="70">
        <v>2096090.26</v>
      </c>
      <c r="S66" s="70">
        <v>7379144.8700000001</v>
      </c>
      <c r="T66" s="70">
        <v>2814146.67</v>
      </c>
      <c r="U66" s="70">
        <v>0</v>
      </c>
      <c r="V66" s="70">
        <v>0</v>
      </c>
      <c r="W66" s="70">
        <v>3442588.44</v>
      </c>
      <c r="X66" s="71">
        <v>3708191.23</v>
      </c>
      <c r="Y66" s="71">
        <v>64750567.789999999</v>
      </c>
      <c r="Z66" s="61">
        <v>0.11478804543059297</v>
      </c>
      <c r="AA66" s="71">
        <v>3708191.23</v>
      </c>
      <c r="AB66" s="71">
        <v>0</v>
      </c>
      <c r="AC66" s="71">
        <v>0</v>
      </c>
      <c r="AD66" s="71">
        <v>0</v>
      </c>
      <c r="AE66" s="71">
        <v>0</v>
      </c>
      <c r="AF66" s="71">
        <f t="shared" si="32"/>
        <v>0</v>
      </c>
      <c r="AG66" s="71">
        <v>2536080.44</v>
      </c>
      <c r="AH66" s="70">
        <v>191220.7</v>
      </c>
      <c r="AI66" s="70">
        <v>588762.27</v>
      </c>
      <c r="AJ66" s="71">
        <v>0</v>
      </c>
      <c r="AK66" s="70">
        <v>161315.92000000001</v>
      </c>
      <c r="AL66" s="70">
        <v>13109.26</v>
      </c>
      <c r="AM66" s="70">
        <v>134616.10999999999</v>
      </c>
      <c r="AN66" s="70">
        <v>17070</v>
      </c>
      <c r="AO66" s="70">
        <v>0</v>
      </c>
      <c r="AP66" s="70">
        <v>0</v>
      </c>
      <c r="AQ66" s="70">
        <v>39747.43</v>
      </c>
      <c r="AR66" s="70">
        <v>21523.53</v>
      </c>
      <c r="AS66" s="70">
        <v>2250</v>
      </c>
      <c r="AT66" s="70">
        <v>10077.15</v>
      </c>
      <c r="AU66" s="70">
        <v>17848.37</v>
      </c>
      <c r="AV66" s="70">
        <v>95985.91</v>
      </c>
      <c r="AW66" s="70">
        <v>3829607.09</v>
      </c>
      <c r="AX66" s="70">
        <v>191386.3</v>
      </c>
      <c r="AY66" s="61">
        <f t="shared" si="33"/>
        <v>4.9975440169764254E-2</v>
      </c>
      <c r="AZ66" s="71">
        <v>0</v>
      </c>
      <c r="BA66" s="61">
        <v>6.0029864985121091E-2</v>
      </c>
      <c r="BB66" s="70">
        <v>1140749.71</v>
      </c>
      <c r="BC66" s="70">
        <v>5996030.9699999997</v>
      </c>
      <c r="BD66" s="71">
        <v>244766</v>
      </c>
      <c r="BE66" s="71">
        <v>2.91038304567337E-11</v>
      </c>
      <c r="BF66" s="71">
        <v>580111.16999999899</v>
      </c>
      <c r="BG66" s="71">
        <v>0</v>
      </c>
      <c r="BH66" s="71">
        <v>0</v>
      </c>
      <c r="BI66" s="71">
        <v>0</v>
      </c>
      <c r="BJ66" s="71">
        <f t="shared" si="34"/>
        <v>0</v>
      </c>
      <c r="BK66" s="71">
        <v>0</v>
      </c>
      <c r="BL66" s="60">
        <v>4219</v>
      </c>
      <c r="BM66" s="60">
        <v>980</v>
      </c>
      <c r="BN66" s="59">
        <v>1</v>
      </c>
      <c r="BO66" s="59">
        <v>-1</v>
      </c>
      <c r="BP66" s="59">
        <v>-25</v>
      </c>
      <c r="BQ66" s="59">
        <v>-43</v>
      </c>
      <c r="BR66" s="59">
        <v>-272</v>
      </c>
      <c r="BS66" s="59">
        <v>-348</v>
      </c>
      <c r="BT66" s="59">
        <v>3</v>
      </c>
      <c r="BU66" s="59">
        <v>-8</v>
      </c>
      <c r="BV66" s="59">
        <v>-241</v>
      </c>
      <c r="BW66" s="59">
        <v>-761</v>
      </c>
      <c r="BX66" s="59">
        <v>-1</v>
      </c>
      <c r="BY66" s="59">
        <v>3503</v>
      </c>
      <c r="BZ66" s="59">
        <v>12</v>
      </c>
      <c r="CA66" s="59">
        <v>67</v>
      </c>
      <c r="CB66" s="59">
        <v>110</v>
      </c>
      <c r="CC66" s="59">
        <v>64</v>
      </c>
      <c r="CD66" s="59">
        <v>569</v>
      </c>
      <c r="CE66" s="59">
        <v>10</v>
      </c>
      <c r="CF66" s="59">
        <v>9</v>
      </c>
    </row>
    <row r="67" spans="1:84" s="63" customFormat="1" ht="15.6" customHeight="1" x14ac:dyDescent="0.25">
      <c r="A67" s="33">
        <v>7</v>
      </c>
      <c r="B67" s="34" t="s">
        <v>232</v>
      </c>
      <c r="C67" s="55" t="s">
        <v>233</v>
      </c>
      <c r="D67" s="35" t="s">
        <v>234</v>
      </c>
      <c r="E67" s="35" t="s">
        <v>112</v>
      </c>
      <c r="F67" s="35" t="s">
        <v>217</v>
      </c>
      <c r="G67" s="70">
        <v>7150914.8300000001</v>
      </c>
      <c r="H67" s="70">
        <v>0</v>
      </c>
      <c r="I67" s="70">
        <v>318826.33</v>
      </c>
      <c r="J67" s="70">
        <v>0</v>
      </c>
      <c r="K67" s="71">
        <v>51.66</v>
      </c>
      <c r="L67" s="71">
        <v>7469792.8200000003</v>
      </c>
      <c r="M67" s="71">
        <v>0</v>
      </c>
      <c r="N67" s="70">
        <v>2275583.91</v>
      </c>
      <c r="O67" s="70">
        <v>522017.15</v>
      </c>
      <c r="P67" s="72">
        <v>1742108.67</v>
      </c>
      <c r="Q67" s="70">
        <v>0</v>
      </c>
      <c r="R67" s="70">
        <v>108581.15</v>
      </c>
      <c r="S67" s="70">
        <v>1540151.04</v>
      </c>
      <c r="T67" s="70">
        <v>185419.31</v>
      </c>
      <c r="U67" s="70">
        <v>0</v>
      </c>
      <c r="V67" s="70">
        <v>0</v>
      </c>
      <c r="W67" s="70">
        <v>358387.53</v>
      </c>
      <c r="X67" s="71">
        <v>715336.49</v>
      </c>
      <c r="Y67" s="71">
        <v>7447585.25</v>
      </c>
      <c r="Z67" s="61">
        <v>1.71545351771446E-2</v>
      </c>
      <c r="AA67" s="71">
        <v>715284.83</v>
      </c>
      <c r="AB67" s="71">
        <v>0</v>
      </c>
      <c r="AC67" s="71">
        <v>0</v>
      </c>
      <c r="AD67" s="71">
        <v>51.66</v>
      </c>
      <c r="AE67" s="71">
        <v>34.82</v>
      </c>
      <c r="AF67" s="71">
        <f t="shared" si="32"/>
        <v>86.47999999999999</v>
      </c>
      <c r="AG67" s="71">
        <v>217057.75</v>
      </c>
      <c r="AH67" s="70">
        <v>16814.669999999998</v>
      </c>
      <c r="AI67" s="70">
        <v>44691.7</v>
      </c>
      <c r="AJ67" s="71">
        <v>0</v>
      </c>
      <c r="AK67" s="70">
        <v>31152.43</v>
      </c>
      <c r="AL67" s="70">
        <v>39662.93</v>
      </c>
      <c r="AM67" s="70">
        <v>26372.41</v>
      </c>
      <c r="AN67" s="70">
        <v>3670</v>
      </c>
      <c r="AO67" s="70">
        <v>7752.47</v>
      </c>
      <c r="AP67" s="70">
        <v>0</v>
      </c>
      <c r="AQ67" s="70">
        <v>16841.54</v>
      </c>
      <c r="AR67" s="70">
        <v>4527.43</v>
      </c>
      <c r="AS67" s="70">
        <v>0</v>
      </c>
      <c r="AT67" s="70">
        <v>1195.21</v>
      </c>
      <c r="AU67" s="70">
        <v>13959</v>
      </c>
      <c r="AV67" s="70">
        <v>35032.94</v>
      </c>
      <c r="AW67" s="70">
        <v>458730.48</v>
      </c>
      <c r="AX67" s="70">
        <v>0</v>
      </c>
      <c r="AY67" s="61">
        <f t="shared" si="33"/>
        <v>0</v>
      </c>
      <c r="AZ67" s="71">
        <v>0</v>
      </c>
      <c r="BA67" s="61">
        <v>0.10002703807898659</v>
      </c>
      <c r="BB67" s="70">
        <v>51422.52</v>
      </c>
      <c r="BC67" s="70">
        <v>71248.100000000006</v>
      </c>
      <c r="BD67" s="71">
        <v>244766</v>
      </c>
      <c r="BE67" s="71">
        <v>5.8207660913467401E-11</v>
      </c>
      <c r="BF67" s="71">
        <v>405677.76</v>
      </c>
      <c r="BG67" s="71">
        <v>290995.14</v>
      </c>
      <c r="BH67" s="71">
        <v>0</v>
      </c>
      <c r="BI67" s="71">
        <v>0</v>
      </c>
      <c r="BJ67" s="71">
        <f t="shared" si="34"/>
        <v>0</v>
      </c>
      <c r="BK67" s="71">
        <v>0</v>
      </c>
      <c r="BL67" s="60">
        <v>418</v>
      </c>
      <c r="BM67" s="60">
        <v>181</v>
      </c>
      <c r="BN67" s="59">
        <v>0</v>
      </c>
      <c r="BO67" s="59">
        <v>0</v>
      </c>
      <c r="BP67" s="59">
        <v>-8</v>
      </c>
      <c r="BQ67" s="59">
        <v>-26</v>
      </c>
      <c r="BR67" s="59">
        <v>-57</v>
      </c>
      <c r="BS67" s="59">
        <v>-47</v>
      </c>
      <c r="BT67" s="59">
        <v>0</v>
      </c>
      <c r="BU67" s="59">
        <v>0</v>
      </c>
      <c r="BV67" s="59">
        <v>0</v>
      </c>
      <c r="BW67" s="59">
        <v>-70</v>
      </c>
      <c r="BX67" s="59">
        <v>-1</v>
      </c>
      <c r="BY67" s="59">
        <v>390</v>
      </c>
      <c r="BZ67" s="59">
        <v>0</v>
      </c>
      <c r="CA67" s="59">
        <v>30</v>
      </c>
      <c r="CB67" s="59">
        <v>39</v>
      </c>
      <c r="CC67" s="59">
        <v>6</v>
      </c>
      <c r="CD67" s="59">
        <v>22</v>
      </c>
      <c r="CE67" s="59">
        <v>1</v>
      </c>
      <c r="CF67" s="59">
        <v>2</v>
      </c>
    </row>
    <row r="68" spans="1:84" s="63" customFormat="1" ht="15.6" customHeight="1" x14ac:dyDescent="0.25">
      <c r="A68" s="33">
        <v>7</v>
      </c>
      <c r="B68" s="34" t="s">
        <v>235</v>
      </c>
      <c r="C68" s="55" t="s">
        <v>236</v>
      </c>
      <c r="D68" s="35" t="s">
        <v>234</v>
      </c>
      <c r="E68" s="35" t="s">
        <v>112</v>
      </c>
      <c r="F68" s="35" t="s">
        <v>217</v>
      </c>
      <c r="G68" s="70">
        <v>11999832.310000001</v>
      </c>
      <c r="H68" s="70">
        <v>0</v>
      </c>
      <c r="I68" s="70">
        <v>330890.60000000003</v>
      </c>
      <c r="J68" s="70">
        <v>0</v>
      </c>
      <c r="K68" s="71">
        <v>0</v>
      </c>
      <c r="L68" s="71">
        <v>12330722.91</v>
      </c>
      <c r="M68" s="71">
        <v>0</v>
      </c>
      <c r="N68" s="70">
        <v>3815763.55</v>
      </c>
      <c r="O68" s="70">
        <v>1036029.53</v>
      </c>
      <c r="P68" s="72">
        <v>2258651.48</v>
      </c>
      <c r="Q68" s="70">
        <v>19237.11</v>
      </c>
      <c r="R68" s="70">
        <v>495504.24</v>
      </c>
      <c r="S68" s="70">
        <v>3377943.95</v>
      </c>
      <c r="T68" s="70">
        <v>295282.13</v>
      </c>
      <c r="U68" s="70">
        <v>0</v>
      </c>
      <c r="V68" s="70">
        <v>0</v>
      </c>
      <c r="W68" s="70">
        <v>437843.22</v>
      </c>
      <c r="X68" s="71">
        <v>612304.53</v>
      </c>
      <c r="Y68" s="71">
        <v>12348559.74</v>
      </c>
      <c r="Z68" s="61">
        <v>1.3347296517346082E-2</v>
      </c>
      <c r="AA68" s="71">
        <v>612304.53</v>
      </c>
      <c r="AB68" s="71">
        <v>0</v>
      </c>
      <c r="AC68" s="71">
        <v>0</v>
      </c>
      <c r="AD68" s="71">
        <v>0</v>
      </c>
      <c r="AE68" s="71">
        <v>0</v>
      </c>
      <c r="AF68" s="71">
        <f t="shared" si="32"/>
        <v>0</v>
      </c>
      <c r="AG68" s="71">
        <v>324425.98</v>
      </c>
      <c r="AH68" s="70">
        <v>24731.43</v>
      </c>
      <c r="AI68" s="70">
        <v>40499.629999999997</v>
      </c>
      <c r="AJ68" s="71">
        <v>58760</v>
      </c>
      <c r="AK68" s="70">
        <v>24069.23</v>
      </c>
      <c r="AL68" s="70">
        <v>35512.720000000001</v>
      </c>
      <c r="AM68" s="70">
        <v>19730.48</v>
      </c>
      <c r="AN68" s="70">
        <v>4950</v>
      </c>
      <c r="AO68" s="70">
        <v>3700</v>
      </c>
      <c r="AP68" s="70">
        <v>0</v>
      </c>
      <c r="AQ68" s="70">
        <v>13786.279999999999</v>
      </c>
      <c r="AR68" s="70">
        <v>1630.13</v>
      </c>
      <c r="AS68" s="70">
        <v>0</v>
      </c>
      <c r="AT68" s="70">
        <v>2664.79</v>
      </c>
      <c r="AU68" s="70">
        <v>14844.21</v>
      </c>
      <c r="AV68" s="70">
        <v>44784.91</v>
      </c>
      <c r="AW68" s="70">
        <v>614089.79</v>
      </c>
      <c r="AX68" s="70">
        <v>0</v>
      </c>
      <c r="AY68" s="61">
        <f t="shared" si="33"/>
        <v>0</v>
      </c>
      <c r="AZ68" s="71">
        <v>0</v>
      </c>
      <c r="BA68" s="61">
        <v>5.1026090547093651E-2</v>
      </c>
      <c r="BB68" s="70">
        <v>29860.94</v>
      </c>
      <c r="BC68" s="70">
        <v>130304.38</v>
      </c>
      <c r="BD68" s="71">
        <v>244765.56</v>
      </c>
      <c r="BE68" s="71">
        <v>0</v>
      </c>
      <c r="BF68" s="71">
        <v>550596.41</v>
      </c>
      <c r="BG68" s="71">
        <v>397073.96250000002</v>
      </c>
      <c r="BH68" s="71">
        <v>0</v>
      </c>
      <c r="BI68" s="71">
        <v>0</v>
      </c>
      <c r="BJ68" s="71">
        <f t="shared" si="34"/>
        <v>0</v>
      </c>
      <c r="BK68" s="71">
        <v>0</v>
      </c>
      <c r="BL68" s="60">
        <v>542</v>
      </c>
      <c r="BM68" s="60">
        <v>221</v>
      </c>
      <c r="BN68" s="59">
        <v>0</v>
      </c>
      <c r="BO68" s="59">
        <v>3</v>
      </c>
      <c r="BP68" s="59">
        <v>-5</v>
      </c>
      <c r="BQ68" s="59">
        <v>-16</v>
      </c>
      <c r="BR68" s="59">
        <v>-66</v>
      </c>
      <c r="BS68" s="59">
        <v>-70</v>
      </c>
      <c r="BT68" s="59">
        <v>0</v>
      </c>
      <c r="BU68" s="59">
        <v>0</v>
      </c>
      <c r="BV68" s="59">
        <v>3</v>
      </c>
      <c r="BW68" s="59">
        <v>-89</v>
      </c>
      <c r="BX68" s="59">
        <v>0</v>
      </c>
      <c r="BY68" s="59">
        <v>523</v>
      </c>
      <c r="BZ68" s="59">
        <v>9</v>
      </c>
      <c r="CA68" s="59">
        <v>36</v>
      </c>
      <c r="CB68" s="59">
        <v>57</v>
      </c>
      <c r="CC68" s="59">
        <v>14</v>
      </c>
      <c r="CD68" s="59">
        <v>17</v>
      </c>
      <c r="CE68" s="59">
        <v>0</v>
      </c>
      <c r="CF68" s="59">
        <v>1</v>
      </c>
    </row>
    <row r="69" spans="1:84" s="50" customFormat="1" ht="15.6" customHeight="1" x14ac:dyDescent="0.25">
      <c r="A69" s="39">
        <v>7</v>
      </c>
      <c r="B69" s="51" t="s">
        <v>237</v>
      </c>
      <c r="C69" s="57" t="s">
        <v>238</v>
      </c>
      <c r="D69" s="42" t="s">
        <v>239</v>
      </c>
      <c r="E69" s="42" t="s">
        <v>112</v>
      </c>
      <c r="F69" s="42" t="s">
        <v>217</v>
      </c>
      <c r="G69" s="70">
        <v>1816167.1</v>
      </c>
      <c r="H69" s="70">
        <v>0</v>
      </c>
      <c r="I69" s="70">
        <v>18653.939999999999</v>
      </c>
      <c r="J69" s="70">
        <v>0</v>
      </c>
      <c r="K69" s="71">
        <v>73.53</v>
      </c>
      <c r="L69" s="71">
        <v>1834894.57</v>
      </c>
      <c r="M69" s="71">
        <v>0</v>
      </c>
      <c r="N69" s="70">
        <v>601711.12</v>
      </c>
      <c r="O69" s="70">
        <v>94369.65</v>
      </c>
      <c r="P69" s="72">
        <v>646522.4</v>
      </c>
      <c r="Q69" s="70">
        <v>0</v>
      </c>
      <c r="R69" s="70">
        <v>45548.25</v>
      </c>
      <c r="S69" s="70">
        <v>198380.9</v>
      </c>
      <c r="T69" s="70">
        <v>52535.519999999997</v>
      </c>
      <c r="U69" s="70">
        <v>0</v>
      </c>
      <c r="V69" s="70">
        <v>0</v>
      </c>
      <c r="W69" s="70">
        <v>32075.01</v>
      </c>
      <c r="X69" s="71">
        <v>181409.98</v>
      </c>
      <c r="Y69" s="71">
        <v>1852552.83</v>
      </c>
      <c r="Z69" s="61">
        <v>1.4287187561100626E-2</v>
      </c>
      <c r="AA69" s="71">
        <v>181317.32</v>
      </c>
      <c r="AB69" s="71">
        <v>0</v>
      </c>
      <c r="AC69" s="71">
        <v>0</v>
      </c>
      <c r="AD69" s="71">
        <v>92.66</v>
      </c>
      <c r="AE69" s="71">
        <v>3.03</v>
      </c>
      <c r="AF69" s="71">
        <f t="shared" si="32"/>
        <v>95.69</v>
      </c>
      <c r="AG69" s="71">
        <v>49223.15</v>
      </c>
      <c r="AH69" s="70">
        <v>3908.09</v>
      </c>
      <c r="AI69" s="70">
        <v>0</v>
      </c>
      <c r="AJ69" s="71">
        <v>0</v>
      </c>
      <c r="AK69" s="70">
        <v>21740</v>
      </c>
      <c r="AL69" s="70">
        <v>0</v>
      </c>
      <c r="AM69" s="70">
        <v>7109.24</v>
      </c>
      <c r="AN69" s="70">
        <v>3250</v>
      </c>
      <c r="AO69" s="70">
        <v>0</v>
      </c>
      <c r="AP69" s="70">
        <v>0</v>
      </c>
      <c r="AQ69" s="70">
        <v>7428.85</v>
      </c>
      <c r="AR69" s="70">
        <v>0</v>
      </c>
      <c r="AS69" s="70">
        <v>0</v>
      </c>
      <c r="AT69" s="70">
        <v>0</v>
      </c>
      <c r="AU69" s="70">
        <v>4838.43</v>
      </c>
      <c r="AV69" s="70">
        <v>11447</v>
      </c>
      <c r="AW69" s="70">
        <v>108944.76</v>
      </c>
      <c r="AX69" s="70">
        <v>29966.04</v>
      </c>
      <c r="AY69" s="61">
        <f t="shared" si="33"/>
        <v>0.27505719412296659</v>
      </c>
      <c r="AZ69" s="71">
        <v>0</v>
      </c>
      <c r="BA69" s="61">
        <v>9.9835152833679233E-2</v>
      </c>
      <c r="BB69" s="70">
        <v>11979.74</v>
      </c>
      <c r="BC69" s="70">
        <v>13968.18</v>
      </c>
      <c r="BD69" s="71">
        <v>70459</v>
      </c>
      <c r="BE69" s="71">
        <v>0</v>
      </c>
      <c r="BF69" s="71">
        <v>5432.2399999999598</v>
      </c>
      <c r="BG69" s="71">
        <v>0</v>
      </c>
      <c r="BH69" s="71">
        <v>0</v>
      </c>
      <c r="BI69" s="71">
        <v>0</v>
      </c>
      <c r="BJ69" s="71">
        <f t="shared" si="34"/>
        <v>0</v>
      </c>
      <c r="BK69" s="71">
        <v>0</v>
      </c>
      <c r="BL69" s="60">
        <v>89</v>
      </c>
      <c r="BM69" s="60">
        <v>63</v>
      </c>
      <c r="BN69" s="59">
        <v>0</v>
      </c>
      <c r="BO69" s="59">
        <v>0</v>
      </c>
      <c r="BP69" s="59">
        <v>-4</v>
      </c>
      <c r="BQ69" s="59">
        <v>-1</v>
      </c>
      <c r="BR69" s="59">
        <v>-17</v>
      </c>
      <c r="BS69" s="59">
        <v>-18</v>
      </c>
      <c r="BT69" s="59">
        <v>0</v>
      </c>
      <c r="BU69" s="59">
        <v>-2</v>
      </c>
      <c r="BV69" s="59">
        <v>2</v>
      </c>
      <c r="BW69" s="59">
        <v>-8</v>
      </c>
      <c r="BX69" s="59">
        <v>0</v>
      </c>
      <c r="BY69" s="59">
        <v>104</v>
      </c>
      <c r="BZ69" s="59">
        <v>3</v>
      </c>
      <c r="CA69" s="59">
        <v>2</v>
      </c>
      <c r="CB69" s="59">
        <v>5</v>
      </c>
      <c r="CC69" s="59">
        <v>1</v>
      </c>
      <c r="CD69" s="59">
        <v>2</v>
      </c>
      <c r="CE69" s="59">
        <v>0</v>
      </c>
      <c r="CF69" s="59">
        <v>0</v>
      </c>
    </row>
    <row r="70" spans="1:84" s="63" customFormat="1" ht="15.6" customHeight="1" x14ac:dyDescent="0.25">
      <c r="A70" s="33">
        <v>7</v>
      </c>
      <c r="B70" s="34" t="s">
        <v>240</v>
      </c>
      <c r="C70" s="55" t="s">
        <v>241</v>
      </c>
      <c r="D70" s="35" t="s">
        <v>231</v>
      </c>
      <c r="E70" s="35" t="s">
        <v>117</v>
      </c>
      <c r="F70" s="35" t="s">
        <v>217</v>
      </c>
      <c r="G70" s="70">
        <v>56879194.960000001</v>
      </c>
      <c r="H70" s="70">
        <v>0</v>
      </c>
      <c r="I70" s="70">
        <v>2869936.69</v>
      </c>
      <c r="J70" s="70">
        <v>0</v>
      </c>
      <c r="K70" s="71">
        <v>0</v>
      </c>
      <c r="L70" s="71">
        <v>59749131.649999999</v>
      </c>
      <c r="M70" s="71">
        <v>0</v>
      </c>
      <c r="N70" s="70">
        <v>26308245.949999999</v>
      </c>
      <c r="O70" s="70">
        <v>5361227.84</v>
      </c>
      <c r="P70" s="72">
        <v>11642267.619999999</v>
      </c>
      <c r="Q70" s="70">
        <v>0</v>
      </c>
      <c r="R70" s="70">
        <v>2224299.1800000002</v>
      </c>
      <c r="S70" s="70">
        <v>6249491.5599999996</v>
      </c>
      <c r="T70" s="70">
        <v>2864028.3</v>
      </c>
      <c r="U70" s="70">
        <v>0</v>
      </c>
      <c r="V70" s="70">
        <v>0</v>
      </c>
      <c r="W70" s="70">
        <v>2869936.69</v>
      </c>
      <c r="X70" s="71">
        <v>3354858.51</v>
      </c>
      <c r="Y70" s="71">
        <v>60874355.649999999</v>
      </c>
      <c r="Z70" s="61">
        <v>0.1891496765656755</v>
      </c>
      <c r="AA70" s="71">
        <v>3354858.51</v>
      </c>
      <c r="AB70" s="71">
        <v>0</v>
      </c>
      <c r="AC70" s="71">
        <v>0</v>
      </c>
      <c r="AD70" s="71">
        <v>0</v>
      </c>
      <c r="AE70" s="71">
        <v>0</v>
      </c>
      <c r="AF70" s="71">
        <f t="shared" si="32"/>
        <v>0</v>
      </c>
      <c r="AG70" s="71">
        <v>1762412.17</v>
      </c>
      <c r="AH70" s="70">
        <v>142924.07</v>
      </c>
      <c r="AI70" s="70">
        <v>508361.46</v>
      </c>
      <c r="AJ70" s="71">
        <v>0</v>
      </c>
      <c r="AK70" s="70">
        <v>253575.71</v>
      </c>
      <c r="AL70" s="70">
        <v>67210.22</v>
      </c>
      <c r="AM70" s="70">
        <v>136405.68</v>
      </c>
      <c r="AN70" s="70">
        <v>16740</v>
      </c>
      <c r="AO70" s="70">
        <v>0</v>
      </c>
      <c r="AP70" s="70">
        <v>16814.89</v>
      </c>
      <c r="AQ70" s="70">
        <v>84669.95</v>
      </c>
      <c r="AR70" s="70">
        <v>45718.38</v>
      </c>
      <c r="AS70" s="70">
        <v>3899</v>
      </c>
      <c r="AT70" s="70">
        <v>30065.33</v>
      </c>
      <c r="AU70" s="70">
        <v>30582.19</v>
      </c>
      <c r="AV70" s="70">
        <v>69476.789999999994</v>
      </c>
      <c r="AW70" s="70">
        <v>3168855.84</v>
      </c>
      <c r="AX70" s="70">
        <v>0</v>
      </c>
      <c r="AY70" s="61">
        <f t="shared" si="33"/>
        <v>0</v>
      </c>
      <c r="AZ70" s="71">
        <v>0</v>
      </c>
      <c r="BA70" s="61">
        <v>5.8982172872863031E-2</v>
      </c>
      <c r="BB70" s="70">
        <v>434840.53</v>
      </c>
      <c r="BC70" s="70">
        <v>10323840.800000001</v>
      </c>
      <c r="BD70" s="71">
        <v>245212.75</v>
      </c>
      <c r="BE70" s="71">
        <v>446.75</v>
      </c>
      <c r="BF70" s="71">
        <v>2082900.58</v>
      </c>
      <c r="BG70" s="71">
        <v>1290686.6200000001</v>
      </c>
      <c r="BH70" s="71">
        <v>0</v>
      </c>
      <c r="BI70" s="71">
        <v>0</v>
      </c>
      <c r="BJ70" s="71">
        <f t="shared" si="34"/>
        <v>0</v>
      </c>
      <c r="BK70" s="71">
        <v>0</v>
      </c>
      <c r="BL70" s="60">
        <v>4346</v>
      </c>
      <c r="BM70" s="60">
        <v>915</v>
      </c>
      <c r="BN70" s="59">
        <v>0</v>
      </c>
      <c r="BO70" s="59">
        <v>0</v>
      </c>
      <c r="BP70" s="59">
        <v>-17</v>
      </c>
      <c r="BQ70" s="59">
        <v>-26</v>
      </c>
      <c r="BR70" s="59">
        <v>-273</v>
      </c>
      <c r="BS70" s="59">
        <v>-337</v>
      </c>
      <c r="BT70" s="59">
        <v>0</v>
      </c>
      <c r="BU70" s="59">
        <v>-29</v>
      </c>
      <c r="BV70" s="59">
        <v>0</v>
      </c>
      <c r="BW70" s="59">
        <v>-606</v>
      </c>
      <c r="BX70" s="59">
        <v>-1</v>
      </c>
      <c r="BY70" s="59">
        <v>3972</v>
      </c>
      <c r="BZ70" s="59">
        <v>1</v>
      </c>
      <c r="CA70" s="59">
        <v>85</v>
      </c>
      <c r="CB70" s="59">
        <v>96</v>
      </c>
      <c r="CC70" s="59">
        <v>55</v>
      </c>
      <c r="CD70" s="59">
        <v>478</v>
      </c>
      <c r="CE70" s="59">
        <v>26</v>
      </c>
      <c r="CF70" s="59">
        <v>8</v>
      </c>
    </row>
    <row r="71" spans="1:84" s="63" customFormat="1" ht="15.6" customHeight="1" x14ac:dyDescent="0.25">
      <c r="A71" s="33">
        <v>7</v>
      </c>
      <c r="B71" s="34" t="s">
        <v>242</v>
      </c>
      <c r="C71" s="55" t="s">
        <v>243</v>
      </c>
      <c r="D71" s="35" t="s">
        <v>244</v>
      </c>
      <c r="E71" s="35" t="s">
        <v>112</v>
      </c>
      <c r="F71" s="35" t="s">
        <v>217</v>
      </c>
      <c r="G71" s="70">
        <v>19122793.48</v>
      </c>
      <c r="H71" s="70">
        <v>0</v>
      </c>
      <c r="I71" s="70">
        <v>491050.6</v>
      </c>
      <c r="J71" s="70">
        <v>0</v>
      </c>
      <c r="K71" s="71">
        <v>0</v>
      </c>
      <c r="L71" s="71">
        <v>19613844.079999998</v>
      </c>
      <c r="M71" s="71">
        <v>0</v>
      </c>
      <c r="N71" s="70">
        <v>7016084.6600000001</v>
      </c>
      <c r="O71" s="70">
        <v>2063719.67</v>
      </c>
      <c r="P71" s="72">
        <v>3209760.83</v>
      </c>
      <c r="Q71" s="70">
        <v>0</v>
      </c>
      <c r="R71" s="70">
        <v>367853.5</v>
      </c>
      <c r="S71" s="70">
        <v>3019976.4</v>
      </c>
      <c r="T71" s="70">
        <v>1268762.8899999999</v>
      </c>
      <c r="U71" s="70">
        <v>0</v>
      </c>
      <c r="V71" s="70">
        <v>0</v>
      </c>
      <c r="W71" s="70">
        <v>756103.79</v>
      </c>
      <c r="X71" s="71">
        <v>1911300.04</v>
      </c>
      <c r="Y71" s="71">
        <v>19613561.780000001</v>
      </c>
      <c r="Z71" s="61">
        <v>9.6645808675020012E-2</v>
      </c>
      <c r="AA71" s="71">
        <v>1911300.04</v>
      </c>
      <c r="AB71" s="71">
        <v>0</v>
      </c>
      <c r="AC71" s="71">
        <v>0</v>
      </c>
      <c r="AD71" s="71">
        <v>0</v>
      </c>
      <c r="AE71" s="71">
        <v>0</v>
      </c>
      <c r="AF71" s="71">
        <f t="shared" si="32"/>
        <v>0</v>
      </c>
      <c r="AG71" s="71">
        <v>992702.47</v>
      </c>
      <c r="AH71" s="70">
        <v>82872.210000000006</v>
      </c>
      <c r="AI71" s="70">
        <v>258755.13</v>
      </c>
      <c r="AJ71" s="71">
        <v>0</v>
      </c>
      <c r="AK71" s="70">
        <v>231635.71</v>
      </c>
      <c r="AL71" s="70">
        <v>6210.82</v>
      </c>
      <c r="AM71" s="70">
        <v>82635.42</v>
      </c>
      <c r="AN71" s="70">
        <v>8620</v>
      </c>
      <c r="AO71" s="70">
        <v>0</v>
      </c>
      <c r="AP71" s="70">
        <v>20250</v>
      </c>
      <c r="AQ71" s="70">
        <v>35314.720000000001</v>
      </c>
      <c r="AR71" s="70">
        <v>22842.35</v>
      </c>
      <c r="AS71" s="70">
        <v>1230</v>
      </c>
      <c r="AT71" s="70">
        <v>864.92</v>
      </c>
      <c r="AU71" s="70">
        <v>32196.38</v>
      </c>
      <c r="AV71" s="70">
        <v>74063.5</v>
      </c>
      <c r="AW71" s="70">
        <v>1850193.63</v>
      </c>
      <c r="AX71" s="70">
        <v>0</v>
      </c>
      <c r="AY71" s="61">
        <f t="shared" si="33"/>
        <v>0</v>
      </c>
      <c r="AZ71" s="71">
        <v>0</v>
      </c>
      <c r="BA71" s="61">
        <v>9.9948788444479922E-2</v>
      </c>
      <c r="BB71" s="70">
        <v>630282.35</v>
      </c>
      <c r="BC71" s="70">
        <v>1217855.49</v>
      </c>
      <c r="BD71" s="71">
        <v>244765.92</v>
      </c>
      <c r="BE71" s="71">
        <v>0</v>
      </c>
      <c r="BF71" s="71">
        <v>642192.05000000005</v>
      </c>
      <c r="BG71" s="71">
        <v>179643.64249999999</v>
      </c>
      <c r="BH71" s="71">
        <v>0</v>
      </c>
      <c r="BI71" s="71">
        <v>0</v>
      </c>
      <c r="BJ71" s="71">
        <f t="shared" si="34"/>
        <v>0</v>
      </c>
      <c r="BK71" s="71">
        <v>0</v>
      </c>
      <c r="BL71" s="60">
        <v>1315</v>
      </c>
      <c r="BM71" s="60">
        <v>523</v>
      </c>
      <c r="BN71" s="59">
        <v>1</v>
      </c>
      <c r="BO71" s="59">
        <v>0</v>
      </c>
      <c r="BP71" s="59">
        <v>-16</v>
      </c>
      <c r="BQ71" s="59">
        <v>-43</v>
      </c>
      <c r="BR71" s="59">
        <v>-182</v>
      </c>
      <c r="BS71" s="59">
        <v>-163</v>
      </c>
      <c r="BT71" s="59">
        <v>0</v>
      </c>
      <c r="BU71" s="59">
        <v>0</v>
      </c>
      <c r="BV71" s="59">
        <v>0</v>
      </c>
      <c r="BW71" s="59">
        <v>-192</v>
      </c>
      <c r="BX71" s="59">
        <v>-1</v>
      </c>
      <c r="BY71" s="59">
        <v>1242</v>
      </c>
      <c r="BZ71" s="59">
        <v>4</v>
      </c>
      <c r="CA71" s="59">
        <v>5</v>
      </c>
      <c r="CB71" s="59">
        <v>103</v>
      </c>
      <c r="CC71" s="59">
        <v>8</v>
      </c>
      <c r="CD71" s="59">
        <v>73</v>
      </c>
      <c r="CE71" s="59">
        <v>0</v>
      </c>
      <c r="CF71" s="59">
        <v>8</v>
      </c>
    </row>
    <row r="72" spans="1:84" s="50" customFormat="1" ht="15.6" customHeight="1" x14ac:dyDescent="0.25">
      <c r="A72" s="42">
        <v>8</v>
      </c>
      <c r="B72" s="38" t="s">
        <v>245</v>
      </c>
      <c r="C72" s="54" t="s">
        <v>246</v>
      </c>
      <c r="D72" s="40" t="s">
        <v>247</v>
      </c>
      <c r="E72" s="40" t="s">
        <v>112</v>
      </c>
      <c r="F72" s="40" t="s">
        <v>248</v>
      </c>
      <c r="G72" s="70">
        <v>38090435.57</v>
      </c>
      <c r="H72" s="70">
        <v>0</v>
      </c>
      <c r="I72" s="70">
        <v>2155026.23</v>
      </c>
      <c r="J72" s="70">
        <v>0</v>
      </c>
      <c r="K72" s="71">
        <v>0</v>
      </c>
      <c r="L72" s="71">
        <v>40245461.799999997</v>
      </c>
      <c r="M72" s="71">
        <v>0</v>
      </c>
      <c r="N72" s="70">
        <v>9027216.6699999999</v>
      </c>
      <c r="O72" s="70">
        <v>2428316.6</v>
      </c>
      <c r="P72" s="72">
        <v>9470383.0399999991</v>
      </c>
      <c r="Q72" s="70">
        <v>59933.75</v>
      </c>
      <c r="R72" s="70">
        <v>1384813.81</v>
      </c>
      <c r="S72" s="70">
        <v>8468617.4800000004</v>
      </c>
      <c r="T72" s="70">
        <v>2583609.4</v>
      </c>
      <c r="U72" s="70">
        <v>0</v>
      </c>
      <c r="V72" s="70">
        <v>0</v>
      </c>
      <c r="W72" s="70">
        <v>2153420.02</v>
      </c>
      <c r="X72" s="71">
        <v>4857517.93</v>
      </c>
      <c r="Y72" s="71">
        <v>40433828.700000003</v>
      </c>
      <c r="Z72" s="61">
        <v>9.3486852190385439E-2</v>
      </c>
      <c r="AA72" s="71">
        <v>3704758.23</v>
      </c>
      <c r="AB72" s="71">
        <v>0</v>
      </c>
      <c r="AC72" s="71">
        <v>0</v>
      </c>
      <c r="AD72" s="71">
        <v>0</v>
      </c>
      <c r="AE72" s="71">
        <v>0</v>
      </c>
      <c r="AF72" s="71">
        <f t="shared" ref="AF72:AF79" si="35">SUM(AD72:AE72)</f>
        <v>0</v>
      </c>
      <c r="AG72" s="71">
        <v>1950630.5</v>
      </c>
      <c r="AH72" s="70">
        <v>148220.84</v>
      </c>
      <c r="AI72" s="70">
        <v>807748.81</v>
      </c>
      <c r="AJ72" s="71">
        <v>0</v>
      </c>
      <c r="AK72" s="70">
        <v>372346.23</v>
      </c>
      <c r="AL72" s="70">
        <v>0</v>
      </c>
      <c r="AM72" s="70">
        <v>82479.67</v>
      </c>
      <c r="AN72" s="70">
        <v>9000</v>
      </c>
      <c r="AO72" s="70">
        <v>0</v>
      </c>
      <c r="AP72" s="70">
        <v>0</v>
      </c>
      <c r="AQ72" s="70">
        <v>54792.75</v>
      </c>
      <c r="AR72" s="70">
        <v>18163.349999999999</v>
      </c>
      <c r="AS72" s="70">
        <v>2430</v>
      </c>
      <c r="AT72" s="70">
        <v>9993.74</v>
      </c>
      <c r="AU72" s="70">
        <v>44504.11</v>
      </c>
      <c r="AV72" s="70">
        <v>128434.58</v>
      </c>
      <c r="AW72" s="70">
        <v>3628744.58</v>
      </c>
      <c r="AX72" s="70">
        <v>0</v>
      </c>
      <c r="AY72" s="61">
        <f t="shared" ref="AY72:AY79" si="36">AX72/AW72</f>
        <v>0</v>
      </c>
      <c r="AZ72" s="71">
        <v>0</v>
      </c>
      <c r="BA72" s="61">
        <v>9.726216501755798E-2</v>
      </c>
      <c r="BB72" s="70">
        <v>347519.13</v>
      </c>
      <c r="BC72" s="70">
        <v>3213435.79</v>
      </c>
      <c r="BD72" s="71">
        <v>244766</v>
      </c>
      <c r="BE72" s="71">
        <v>2.91038304567337E-11</v>
      </c>
      <c r="BF72" s="71">
        <v>799232.39999999898</v>
      </c>
      <c r="BG72" s="71">
        <v>0</v>
      </c>
      <c r="BH72" s="71">
        <v>0</v>
      </c>
      <c r="BI72" s="71">
        <v>0</v>
      </c>
      <c r="BJ72" s="71">
        <f t="shared" ref="BJ72:BJ79" si="37">SUM(BH72:BI72)</f>
        <v>0</v>
      </c>
      <c r="BK72" s="71">
        <v>0</v>
      </c>
      <c r="BL72" s="60">
        <v>5616</v>
      </c>
      <c r="BM72" s="60">
        <v>2102</v>
      </c>
      <c r="BN72" s="59">
        <v>0</v>
      </c>
      <c r="BO72" s="59">
        <v>1</v>
      </c>
      <c r="BP72" s="59">
        <v>-17</v>
      </c>
      <c r="BQ72" s="59">
        <v>-68</v>
      </c>
      <c r="BR72" s="59">
        <v>-757</v>
      </c>
      <c r="BS72" s="59">
        <v>-939</v>
      </c>
      <c r="BT72" s="59">
        <v>0</v>
      </c>
      <c r="BU72" s="59">
        <v>-1</v>
      </c>
      <c r="BV72" s="59">
        <v>4</v>
      </c>
      <c r="BW72" s="59">
        <v>-621</v>
      </c>
      <c r="BX72" s="59">
        <v>0</v>
      </c>
      <c r="BY72" s="59">
        <v>5320</v>
      </c>
      <c r="BZ72" s="59">
        <v>210</v>
      </c>
      <c r="CA72" s="59">
        <v>120</v>
      </c>
      <c r="CB72" s="59">
        <v>223</v>
      </c>
      <c r="CC72" s="59">
        <v>82</v>
      </c>
      <c r="CD72" s="59">
        <v>310</v>
      </c>
      <c r="CE72" s="59">
        <v>0</v>
      </c>
      <c r="CF72" s="59">
        <v>2</v>
      </c>
    </row>
    <row r="73" spans="1:84" s="50" customFormat="1" ht="15.6" customHeight="1" x14ac:dyDescent="0.25">
      <c r="A73" s="42">
        <v>8</v>
      </c>
      <c r="B73" s="38" t="s">
        <v>249</v>
      </c>
      <c r="C73" s="54" t="s">
        <v>250</v>
      </c>
      <c r="D73" s="40" t="s">
        <v>251</v>
      </c>
      <c r="E73" s="40" t="s">
        <v>106</v>
      </c>
      <c r="F73" s="40" t="s">
        <v>252</v>
      </c>
      <c r="G73" s="70">
        <v>38227736.579999998</v>
      </c>
      <c r="H73" s="70">
        <v>34792.28</v>
      </c>
      <c r="I73" s="70">
        <v>1803507.49</v>
      </c>
      <c r="J73" s="70">
        <v>0</v>
      </c>
      <c r="K73" s="71">
        <v>0</v>
      </c>
      <c r="L73" s="71">
        <v>40066036.350000001</v>
      </c>
      <c r="M73" s="71">
        <v>0</v>
      </c>
      <c r="N73" s="70">
        <v>105944.63</v>
      </c>
      <c r="O73" s="70">
        <v>2144669.7200000002</v>
      </c>
      <c r="P73" s="72">
        <v>16818476.66</v>
      </c>
      <c r="Q73" s="70">
        <v>0</v>
      </c>
      <c r="R73" s="70">
        <v>1885286.64</v>
      </c>
      <c r="S73" s="70">
        <v>11807341.34</v>
      </c>
      <c r="T73" s="70">
        <v>3062109.06</v>
      </c>
      <c r="U73" s="70">
        <v>0</v>
      </c>
      <c r="V73" s="70">
        <v>0</v>
      </c>
      <c r="W73" s="70">
        <v>1798429.86</v>
      </c>
      <c r="X73" s="71">
        <v>2493565.3699999996</v>
      </c>
      <c r="Y73" s="71">
        <v>40115823.280000001</v>
      </c>
      <c r="Z73" s="61">
        <v>4.9413888896835192E-2</v>
      </c>
      <c r="AA73" s="71">
        <v>2483530.09</v>
      </c>
      <c r="AB73" s="71">
        <v>0</v>
      </c>
      <c r="AC73" s="71">
        <v>0</v>
      </c>
      <c r="AD73" s="71">
        <v>0</v>
      </c>
      <c r="AE73" s="71">
        <v>0</v>
      </c>
      <c r="AF73" s="71">
        <f t="shared" si="35"/>
        <v>0</v>
      </c>
      <c r="AG73" s="71">
        <v>1533678.77</v>
      </c>
      <c r="AH73" s="70">
        <v>115156.13</v>
      </c>
      <c r="AI73" s="70">
        <v>369011.73</v>
      </c>
      <c r="AJ73" s="71">
        <v>0</v>
      </c>
      <c r="AK73" s="70">
        <v>130365.64</v>
      </c>
      <c r="AL73" s="70">
        <v>3710.48</v>
      </c>
      <c r="AM73" s="70">
        <v>95458.06</v>
      </c>
      <c r="AN73" s="70">
        <v>9000</v>
      </c>
      <c r="AO73" s="70">
        <v>0</v>
      </c>
      <c r="AP73" s="70">
        <v>0</v>
      </c>
      <c r="AQ73" s="70">
        <v>38227.619999999995</v>
      </c>
      <c r="AR73" s="70">
        <v>23740.959999999999</v>
      </c>
      <c r="AS73" s="70">
        <v>0</v>
      </c>
      <c r="AT73" s="70">
        <v>111903.77</v>
      </c>
      <c r="AU73" s="70">
        <v>82844.710000000006</v>
      </c>
      <c r="AV73" s="70">
        <v>104778.77</v>
      </c>
      <c r="AW73" s="70">
        <v>2617876.64</v>
      </c>
      <c r="AX73" s="70">
        <v>0</v>
      </c>
      <c r="AY73" s="61">
        <f t="shared" si="36"/>
        <v>0</v>
      </c>
      <c r="AZ73" s="71">
        <v>0</v>
      </c>
      <c r="BA73" s="61">
        <v>6.4966705125286808E-2</v>
      </c>
      <c r="BB73" s="70">
        <v>672736.95</v>
      </c>
      <c r="BC73" s="70">
        <v>1217963.3999999999</v>
      </c>
      <c r="BD73" s="71">
        <v>244766</v>
      </c>
      <c r="BE73" s="71">
        <v>0</v>
      </c>
      <c r="BF73" s="71">
        <v>942402.02</v>
      </c>
      <c r="BG73" s="71">
        <v>287932.86</v>
      </c>
      <c r="BH73" s="71">
        <v>0</v>
      </c>
      <c r="BI73" s="71">
        <v>0</v>
      </c>
      <c r="BJ73" s="71">
        <f t="shared" si="37"/>
        <v>0</v>
      </c>
      <c r="BK73" s="71">
        <v>0</v>
      </c>
      <c r="BL73" s="60">
        <v>6498</v>
      </c>
      <c r="BM73" s="60">
        <v>1159</v>
      </c>
      <c r="BN73" s="59">
        <v>6</v>
      </c>
      <c r="BO73" s="59">
        <v>-6</v>
      </c>
      <c r="BP73" s="59">
        <v>-31</v>
      </c>
      <c r="BQ73" s="59">
        <v>-134</v>
      </c>
      <c r="BR73" s="59">
        <v>-99</v>
      </c>
      <c r="BS73" s="59">
        <v>-332</v>
      </c>
      <c r="BT73" s="59">
        <v>0</v>
      </c>
      <c r="BU73" s="59">
        <v>0</v>
      </c>
      <c r="BV73" s="59">
        <v>18</v>
      </c>
      <c r="BW73" s="59">
        <v>-1240</v>
      </c>
      <c r="BX73" s="59">
        <v>-14</v>
      </c>
      <c r="BY73" s="59">
        <v>5825</v>
      </c>
      <c r="BZ73" s="59">
        <v>36</v>
      </c>
      <c r="CA73" s="59">
        <v>223</v>
      </c>
      <c r="CB73" s="59">
        <v>169</v>
      </c>
      <c r="CC73" s="59">
        <v>97</v>
      </c>
      <c r="CD73" s="59">
        <v>747</v>
      </c>
      <c r="CE73" s="59">
        <v>220</v>
      </c>
      <c r="CF73" s="59">
        <v>11</v>
      </c>
    </row>
    <row r="74" spans="1:84" s="50" customFormat="1" ht="15.6" customHeight="1" x14ac:dyDescent="0.25">
      <c r="A74" s="42">
        <v>8</v>
      </c>
      <c r="B74" s="38" t="s">
        <v>253</v>
      </c>
      <c r="C74" s="54" t="s">
        <v>254</v>
      </c>
      <c r="D74" s="40" t="s">
        <v>255</v>
      </c>
      <c r="E74" s="40" t="s">
        <v>132</v>
      </c>
      <c r="F74" s="40" t="s">
        <v>248</v>
      </c>
      <c r="G74" s="70">
        <v>118215439.13</v>
      </c>
      <c r="H74" s="70">
        <v>1065727.22</v>
      </c>
      <c r="I74" s="70">
        <v>10341603.93</v>
      </c>
      <c r="J74" s="70">
        <v>0</v>
      </c>
      <c r="K74" s="71">
        <v>0</v>
      </c>
      <c r="L74" s="71">
        <v>129622770.28</v>
      </c>
      <c r="M74" s="71">
        <v>0</v>
      </c>
      <c r="N74" s="70">
        <v>38370304.640000001</v>
      </c>
      <c r="O74" s="70">
        <v>3501884.4</v>
      </c>
      <c r="P74" s="72">
        <v>28610575.34</v>
      </c>
      <c r="Q74" s="70">
        <v>1527552.18</v>
      </c>
      <c r="R74" s="70">
        <v>2369808.5299999998</v>
      </c>
      <c r="S74" s="70">
        <v>33734787.049999997</v>
      </c>
      <c r="T74" s="70">
        <v>5248339.5599999996</v>
      </c>
      <c r="U74" s="70">
        <v>0</v>
      </c>
      <c r="V74" s="70">
        <v>0</v>
      </c>
      <c r="W74" s="70">
        <v>10502068.15</v>
      </c>
      <c r="X74" s="71">
        <v>6193613.2999999998</v>
      </c>
      <c r="Y74" s="71">
        <v>130058933.15000001</v>
      </c>
      <c r="Z74" s="61">
        <v>2.5125878474443336E-2</v>
      </c>
      <c r="AA74" s="71">
        <v>5617871.4500000002</v>
      </c>
      <c r="AB74" s="71">
        <v>0</v>
      </c>
      <c r="AC74" s="71">
        <v>0</v>
      </c>
      <c r="AD74" s="71">
        <v>0</v>
      </c>
      <c r="AE74" s="71">
        <v>0</v>
      </c>
      <c r="AF74" s="71">
        <f t="shared" si="35"/>
        <v>0</v>
      </c>
      <c r="AG74" s="71">
        <v>3086167.5</v>
      </c>
      <c r="AH74" s="70">
        <v>237259.11</v>
      </c>
      <c r="AI74" s="70">
        <v>745269.51</v>
      </c>
      <c r="AJ74" s="71">
        <v>0</v>
      </c>
      <c r="AK74" s="70">
        <v>526937.92000000004</v>
      </c>
      <c r="AL74" s="70">
        <v>8057.37</v>
      </c>
      <c r="AM74" s="70">
        <v>96164.04</v>
      </c>
      <c r="AN74" s="70">
        <v>9000</v>
      </c>
      <c r="AO74" s="70">
        <v>46622.82</v>
      </c>
      <c r="AP74" s="70">
        <v>0</v>
      </c>
      <c r="AQ74" s="70">
        <v>248109.43</v>
      </c>
      <c r="AR74" s="70">
        <v>15980.53</v>
      </c>
      <c r="AS74" s="70">
        <v>14625.69</v>
      </c>
      <c r="AT74" s="70">
        <v>39744.31</v>
      </c>
      <c r="AU74" s="70">
        <v>15960.99</v>
      </c>
      <c r="AV74" s="70">
        <v>133732.01</v>
      </c>
      <c r="AW74" s="70">
        <v>5223631.2300000004</v>
      </c>
      <c r="AX74" s="70">
        <v>0</v>
      </c>
      <c r="AY74" s="61">
        <f t="shared" si="36"/>
        <v>0</v>
      </c>
      <c r="AZ74" s="71">
        <v>0</v>
      </c>
      <c r="BA74" s="61">
        <v>4.752231596265611E-2</v>
      </c>
      <c r="BB74" s="70">
        <v>736811.46</v>
      </c>
      <c r="BC74" s="70">
        <v>2260232.63</v>
      </c>
      <c r="BD74" s="71">
        <v>244766</v>
      </c>
      <c r="BE74" s="71">
        <v>0</v>
      </c>
      <c r="BF74" s="71">
        <v>1650443.02</v>
      </c>
      <c r="BG74" s="71">
        <v>344535.21250000101</v>
      </c>
      <c r="BH74" s="71">
        <v>0</v>
      </c>
      <c r="BI74" s="71">
        <v>0</v>
      </c>
      <c r="BJ74" s="71">
        <f t="shared" si="37"/>
        <v>0</v>
      </c>
      <c r="BK74" s="71">
        <v>0</v>
      </c>
      <c r="BL74" s="60">
        <v>10687</v>
      </c>
      <c r="BM74" s="60">
        <v>2122</v>
      </c>
      <c r="BN74" s="59">
        <v>82</v>
      </c>
      <c r="BO74" s="59">
        <v>0</v>
      </c>
      <c r="BP74" s="59">
        <v>-25</v>
      </c>
      <c r="BQ74" s="59">
        <v>-125</v>
      </c>
      <c r="BR74" s="59">
        <v>-190</v>
      </c>
      <c r="BS74" s="59">
        <v>-1051</v>
      </c>
      <c r="BT74" s="59">
        <v>0</v>
      </c>
      <c r="BU74" s="59">
        <v>-1</v>
      </c>
      <c r="BV74" s="59">
        <v>0</v>
      </c>
      <c r="BW74" s="59">
        <v>-2003</v>
      </c>
      <c r="BX74" s="59">
        <v>-15</v>
      </c>
      <c r="BY74" s="59">
        <v>9481</v>
      </c>
      <c r="BZ74" s="59">
        <v>9</v>
      </c>
      <c r="CA74" s="59">
        <v>17</v>
      </c>
      <c r="CB74" s="59">
        <v>883</v>
      </c>
      <c r="CC74" s="59">
        <v>289</v>
      </c>
      <c r="CD74" s="59">
        <v>653</v>
      </c>
      <c r="CE74" s="59">
        <v>8</v>
      </c>
      <c r="CF74" s="59">
        <v>1</v>
      </c>
    </row>
    <row r="75" spans="1:84" s="50" customFormat="1" ht="15.6" customHeight="1" x14ac:dyDescent="0.25">
      <c r="A75" s="42">
        <v>8</v>
      </c>
      <c r="B75" s="38" t="s">
        <v>256</v>
      </c>
      <c r="C75" s="54" t="s">
        <v>157</v>
      </c>
      <c r="D75" s="40" t="s">
        <v>186</v>
      </c>
      <c r="E75" s="40" t="s">
        <v>112</v>
      </c>
      <c r="F75" s="40" t="s">
        <v>248</v>
      </c>
      <c r="G75" s="70">
        <v>26822069.719999999</v>
      </c>
      <c r="H75" s="70">
        <v>0</v>
      </c>
      <c r="I75" s="70">
        <v>1038547.4800000001</v>
      </c>
      <c r="J75" s="70">
        <v>0</v>
      </c>
      <c r="K75" s="71">
        <v>0</v>
      </c>
      <c r="L75" s="71">
        <v>27860617.199999999</v>
      </c>
      <c r="M75" s="71">
        <v>0</v>
      </c>
      <c r="N75" s="70">
        <v>5041490.53</v>
      </c>
      <c r="O75" s="70">
        <v>801897.74</v>
      </c>
      <c r="P75" s="72">
        <v>10318220.9</v>
      </c>
      <c r="Q75" s="70">
        <v>11400</v>
      </c>
      <c r="R75" s="70">
        <v>519520.67</v>
      </c>
      <c r="S75" s="70">
        <v>4837815.5999999996</v>
      </c>
      <c r="T75" s="70">
        <v>2661643.98</v>
      </c>
      <c r="U75" s="70">
        <v>0</v>
      </c>
      <c r="V75" s="70">
        <v>0</v>
      </c>
      <c r="W75" s="70">
        <v>1038695.48</v>
      </c>
      <c r="X75" s="71">
        <v>2640906.0099999998</v>
      </c>
      <c r="Y75" s="71">
        <v>27871590.91</v>
      </c>
      <c r="Z75" s="61">
        <v>7.9754160746398961E-2</v>
      </c>
      <c r="AA75" s="71">
        <v>2038500.89</v>
      </c>
      <c r="AB75" s="71">
        <v>0</v>
      </c>
      <c r="AC75" s="71">
        <v>0</v>
      </c>
      <c r="AD75" s="71">
        <v>0</v>
      </c>
      <c r="AE75" s="71">
        <v>0</v>
      </c>
      <c r="AF75" s="71">
        <f t="shared" si="35"/>
        <v>0</v>
      </c>
      <c r="AG75" s="71">
        <v>1111986.27</v>
      </c>
      <c r="AH75" s="70">
        <v>82669.5</v>
      </c>
      <c r="AI75" s="70">
        <v>185972.53</v>
      </c>
      <c r="AJ75" s="71">
        <v>0</v>
      </c>
      <c r="AK75" s="70">
        <v>118761.57</v>
      </c>
      <c r="AL75" s="70">
        <v>6890.46</v>
      </c>
      <c r="AM75" s="70">
        <v>84315.14</v>
      </c>
      <c r="AN75" s="70">
        <v>9000</v>
      </c>
      <c r="AO75" s="70">
        <v>3103</v>
      </c>
      <c r="AP75" s="70">
        <v>0</v>
      </c>
      <c r="AQ75" s="70">
        <v>47778.09</v>
      </c>
      <c r="AR75" s="70">
        <v>14900.76</v>
      </c>
      <c r="AS75" s="70">
        <v>0</v>
      </c>
      <c r="AT75" s="70">
        <v>8808.4500000000007</v>
      </c>
      <c r="AU75" s="70">
        <v>41033.589999999997</v>
      </c>
      <c r="AV75" s="70">
        <v>85450.94</v>
      </c>
      <c r="AW75" s="70">
        <v>1800670.3</v>
      </c>
      <c r="AX75" s="70">
        <v>0</v>
      </c>
      <c r="AY75" s="61">
        <f t="shared" si="36"/>
        <v>0</v>
      </c>
      <c r="AZ75" s="71">
        <v>0</v>
      </c>
      <c r="BA75" s="61">
        <v>7.6000879547337183E-2</v>
      </c>
      <c r="BB75" s="70">
        <v>196936.69</v>
      </c>
      <c r="BC75" s="70">
        <v>1942234.97</v>
      </c>
      <c r="BD75" s="71">
        <v>244766</v>
      </c>
      <c r="BE75" s="71">
        <v>2.91038304567337E-11</v>
      </c>
      <c r="BF75" s="71">
        <v>644602.31000000006</v>
      </c>
      <c r="BG75" s="71">
        <v>194434.73499999999</v>
      </c>
      <c r="BH75" s="71">
        <v>0</v>
      </c>
      <c r="BI75" s="71">
        <v>0</v>
      </c>
      <c r="BJ75" s="71">
        <f t="shared" si="37"/>
        <v>0</v>
      </c>
      <c r="BK75" s="71">
        <v>0</v>
      </c>
      <c r="BL75" s="60">
        <v>4614</v>
      </c>
      <c r="BM75" s="60">
        <v>1053</v>
      </c>
      <c r="BN75" s="59">
        <v>181</v>
      </c>
      <c r="BO75" s="59">
        <v>-9</v>
      </c>
      <c r="BP75" s="59">
        <v>-7</v>
      </c>
      <c r="BQ75" s="59">
        <v>-51</v>
      </c>
      <c r="BR75" s="59">
        <v>-159</v>
      </c>
      <c r="BS75" s="59">
        <v>-713</v>
      </c>
      <c r="BT75" s="59">
        <v>1</v>
      </c>
      <c r="BU75" s="59">
        <v>0</v>
      </c>
      <c r="BV75" s="59">
        <v>0</v>
      </c>
      <c r="BW75" s="59">
        <v>-725</v>
      </c>
      <c r="BX75" s="59">
        <v>0</v>
      </c>
      <c r="BY75" s="59">
        <v>4185</v>
      </c>
      <c r="BZ75" s="59">
        <v>25</v>
      </c>
      <c r="CA75" s="59">
        <v>47</v>
      </c>
      <c r="CB75" s="59">
        <v>223</v>
      </c>
      <c r="CC75" s="59">
        <v>87</v>
      </c>
      <c r="CD75" s="59">
        <v>410</v>
      </c>
      <c r="CE75" s="59">
        <v>0</v>
      </c>
      <c r="CF75" s="59">
        <v>1</v>
      </c>
    </row>
    <row r="76" spans="1:84" s="50" customFormat="1" ht="15.6" customHeight="1" x14ac:dyDescent="0.25">
      <c r="A76" s="42">
        <v>8</v>
      </c>
      <c r="B76" s="42" t="s">
        <v>257</v>
      </c>
      <c r="C76" s="57" t="s">
        <v>258</v>
      </c>
      <c r="D76" s="42" t="s">
        <v>259</v>
      </c>
      <c r="E76" s="42" t="s">
        <v>106</v>
      </c>
      <c r="F76" s="42" t="s">
        <v>248</v>
      </c>
      <c r="G76" s="70">
        <v>40492397.390000001</v>
      </c>
      <c r="H76" s="70">
        <v>1277028.1599999999</v>
      </c>
      <c r="I76" s="70">
        <v>1110</v>
      </c>
      <c r="J76" s="70">
        <v>0</v>
      </c>
      <c r="K76" s="71">
        <v>0</v>
      </c>
      <c r="L76" s="71">
        <v>41770535.549999997</v>
      </c>
      <c r="M76" s="71">
        <v>0</v>
      </c>
      <c r="N76" s="70">
        <v>11322957.960000001</v>
      </c>
      <c r="O76" s="70">
        <v>1508027.11</v>
      </c>
      <c r="P76" s="72">
        <v>9577189.3300000001</v>
      </c>
      <c r="Q76" s="70">
        <v>0</v>
      </c>
      <c r="R76" s="70">
        <v>692630.19</v>
      </c>
      <c r="S76" s="70">
        <v>12670437.810000001</v>
      </c>
      <c r="T76" s="70">
        <v>1761969.44</v>
      </c>
      <c r="U76" s="70">
        <v>0</v>
      </c>
      <c r="V76" s="70">
        <v>0</v>
      </c>
      <c r="W76" s="70">
        <v>1556613.38</v>
      </c>
      <c r="X76" s="71">
        <v>2821792.15</v>
      </c>
      <c r="Y76" s="71">
        <v>41911617.369999997</v>
      </c>
      <c r="Z76" s="61">
        <v>4.2993087081131767E-2</v>
      </c>
      <c r="AA76" s="71">
        <v>2631863.77</v>
      </c>
      <c r="AB76" s="71">
        <v>0</v>
      </c>
      <c r="AC76" s="71">
        <v>0</v>
      </c>
      <c r="AD76" s="71">
        <v>0</v>
      </c>
      <c r="AE76" s="71">
        <v>0</v>
      </c>
      <c r="AF76" s="71">
        <f t="shared" si="35"/>
        <v>0</v>
      </c>
      <c r="AG76" s="71">
        <v>937943.72</v>
      </c>
      <c r="AH76" s="70">
        <v>70422.34</v>
      </c>
      <c r="AI76" s="70">
        <v>252875.81</v>
      </c>
      <c r="AJ76" s="71">
        <v>0</v>
      </c>
      <c r="AK76" s="70">
        <v>112076.16</v>
      </c>
      <c r="AL76" s="70">
        <v>0</v>
      </c>
      <c r="AM76" s="70">
        <v>142968.16</v>
      </c>
      <c r="AN76" s="70">
        <v>9000</v>
      </c>
      <c r="AO76" s="70">
        <v>47827</v>
      </c>
      <c r="AP76" s="70">
        <v>0</v>
      </c>
      <c r="AQ76" s="70">
        <v>92153.89</v>
      </c>
      <c r="AR76" s="70">
        <v>16230.61</v>
      </c>
      <c r="AS76" s="70">
        <v>0</v>
      </c>
      <c r="AT76" s="70">
        <v>30432.15</v>
      </c>
      <c r="AU76" s="70">
        <v>37640.76</v>
      </c>
      <c r="AV76" s="70">
        <v>74224.990000000005</v>
      </c>
      <c r="AW76" s="70">
        <v>1823795.59</v>
      </c>
      <c r="AX76" s="70">
        <v>0</v>
      </c>
      <c r="AY76" s="61">
        <f t="shared" si="36"/>
        <v>0</v>
      </c>
      <c r="AZ76" s="71">
        <v>0</v>
      </c>
      <c r="BA76" s="61">
        <v>6.4996491678459251E-2</v>
      </c>
      <c r="BB76" s="70">
        <v>418805.62</v>
      </c>
      <c r="BC76" s="70">
        <v>1376990.93</v>
      </c>
      <c r="BD76" s="71">
        <v>244766</v>
      </c>
      <c r="BE76" s="71">
        <v>2.91038304567337E-11</v>
      </c>
      <c r="BF76" s="71">
        <v>1510285.63</v>
      </c>
      <c r="BG76" s="71">
        <v>1054336.7324999999</v>
      </c>
      <c r="BH76" s="71">
        <v>0</v>
      </c>
      <c r="BI76" s="71">
        <v>0</v>
      </c>
      <c r="BJ76" s="71">
        <f t="shared" si="37"/>
        <v>0</v>
      </c>
      <c r="BK76" s="71">
        <v>0</v>
      </c>
      <c r="BL76" s="60">
        <v>3541</v>
      </c>
      <c r="BM76" s="60">
        <v>887</v>
      </c>
      <c r="BN76" s="59">
        <v>17</v>
      </c>
      <c r="BO76" s="59">
        <v>0</v>
      </c>
      <c r="BP76" s="59">
        <v>-11</v>
      </c>
      <c r="BQ76" s="59">
        <v>-102</v>
      </c>
      <c r="BR76" s="59">
        <v>-180</v>
      </c>
      <c r="BS76" s="59">
        <v>-438</v>
      </c>
      <c r="BT76" s="59">
        <v>0</v>
      </c>
      <c r="BU76" s="59">
        <v>0</v>
      </c>
      <c r="BV76" s="59">
        <v>-1</v>
      </c>
      <c r="BW76" s="59">
        <v>-745</v>
      </c>
      <c r="BX76" s="59">
        <v>-1</v>
      </c>
      <c r="BY76" s="59">
        <v>2967</v>
      </c>
      <c r="BZ76" s="59">
        <v>0</v>
      </c>
      <c r="CA76" s="59">
        <v>1</v>
      </c>
      <c r="CB76" s="59">
        <v>455</v>
      </c>
      <c r="CC76" s="59">
        <v>86</v>
      </c>
      <c r="CD76" s="59">
        <v>183</v>
      </c>
      <c r="CE76" s="59">
        <v>0</v>
      </c>
      <c r="CF76" s="59">
        <v>21</v>
      </c>
    </row>
    <row r="77" spans="1:84" s="50" customFormat="1" ht="15.6" customHeight="1" x14ac:dyDescent="0.25">
      <c r="A77" s="42">
        <v>8</v>
      </c>
      <c r="B77" s="42" t="s">
        <v>97</v>
      </c>
      <c r="C77" s="57" t="s">
        <v>141</v>
      </c>
      <c r="D77" s="42" t="s">
        <v>260</v>
      </c>
      <c r="E77" s="42" t="s">
        <v>112</v>
      </c>
      <c r="F77" s="42" t="s">
        <v>252</v>
      </c>
      <c r="G77" s="70">
        <v>47269215.979999997</v>
      </c>
      <c r="H77" s="70">
        <v>0</v>
      </c>
      <c r="I77" s="70">
        <v>1043610.11</v>
      </c>
      <c r="J77" s="70">
        <v>0</v>
      </c>
      <c r="K77" s="71">
        <v>0</v>
      </c>
      <c r="L77" s="71">
        <v>48312826.090000004</v>
      </c>
      <c r="M77" s="71">
        <v>0</v>
      </c>
      <c r="N77" s="70">
        <v>17494.689999999999</v>
      </c>
      <c r="O77" s="70">
        <v>2726493.78</v>
      </c>
      <c r="P77" s="72">
        <v>15430654.050000001</v>
      </c>
      <c r="Q77" s="70">
        <v>0</v>
      </c>
      <c r="R77" s="70">
        <v>2155890.79</v>
      </c>
      <c r="S77" s="70">
        <v>19074875.73</v>
      </c>
      <c r="T77" s="70">
        <v>5928817</v>
      </c>
      <c r="U77" s="70">
        <v>0</v>
      </c>
      <c r="V77" s="70">
        <v>0</v>
      </c>
      <c r="W77" s="70">
        <v>1071981.06</v>
      </c>
      <c r="X77" s="71">
        <v>2008541.09</v>
      </c>
      <c r="Y77" s="71">
        <v>48414748.189999998</v>
      </c>
      <c r="Z77" s="61">
        <v>0.11003757714536141</v>
      </c>
      <c r="AA77" s="71">
        <v>2008541.09</v>
      </c>
      <c r="AB77" s="71">
        <v>0</v>
      </c>
      <c r="AC77" s="71">
        <v>0</v>
      </c>
      <c r="AD77" s="71">
        <v>0</v>
      </c>
      <c r="AE77" s="71">
        <v>0</v>
      </c>
      <c r="AF77" s="71">
        <f t="shared" si="35"/>
        <v>0</v>
      </c>
      <c r="AG77" s="71">
        <v>1153015.98</v>
      </c>
      <c r="AH77" s="70">
        <v>88779.43</v>
      </c>
      <c r="AI77" s="70">
        <v>425804.63</v>
      </c>
      <c r="AJ77" s="71">
        <v>0</v>
      </c>
      <c r="AK77" s="70">
        <v>147536.88</v>
      </c>
      <c r="AL77" s="70">
        <v>24680.48</v>
      </c>
      <c r="AM77" s="70">
        <v>84696.22</v>
      </c>
      <c r="AN77" s="70">
        <v>9000</v>
      </c>
      <c r="AO77" s="70">
        <v>25520</v>
      </c>
      <c r="AP77" s="70">
        <v>0</v>
      </c>
      <c r="AQ77" s="70">
        <v>47815.45</v>
      </c>
      <c r="AR77" s="70">
        <v>1332.46</v>
      </c>
      <c r="AS77" s="70">
        <v>0</v>
      </c>
      <c r="AT77" s="70">
        <v>10913.24</v>
      </c>
      <c r="AU77" s="70">
        <v>0</v>
      </c>
      <c r="AV77" s="70">
        <v>40213.5</v>
      </c>
      <c r="AW77" s="70">
        <v>2059308.27</v>
      </c>
      <c r="AX77" s="70">
        <v>80564.210000000006</v>
      </c>
      <c r="AY77" s="61">
        <f t="shared" si="36"/>
        <v>3.9121976623732978E-2</v>
      </c>
      <c r="AZ77" s="71">
        <v>0</v>
      </c>
      <c r="BA77" s="61">
        <v>4.2491525369276924E-2</v>
      </c>
      <c r="BB77" s="70">
        <v>0</v>
      </c>
      <c r="BC77" s="70">
        <v>5201390</v>
      </c>
      <c r="BD77" s="71">
        <v>244766</v>
      </c>
      <c r="BE77" s="71">
        <v>0</v>
      </c>
      <c r="BF77" s="71">
        <v>480418.47</v>
      </c>
      <c r="BG77" s="71">
        <v>0</v>
      </c>
      <c r="BH77" s="71">
        <v>0</v>
      </c>
      <c r="BI77" s="71">
        <v>0</v>
      </c>
      <c r="BJ77" s="71">
        <f t="shared" si="37"/>
        <v>0</v>
      </c>
      <c r="BK77" s="71">
        <v>0</v>
      </c>
      <c r="BL77" s="60">
        <v>7634</v>
      </c>
      <c r="BM77" s="60">
        <v>2269</v>
      </c>
      <c r="BN77" s="59">
        <v>24</v>
      </c>
      <c r="BO77" s="59">
        <v>0</v>
      </c>
      <c r="BP77" s="59">
        <v>-17</v>
      </c>
      <c r="BQ77" s="59">
        <v>-156</v>
      </c>
      <c r="BR77" s="59">
        <v>-115</v>
      </c>
      <c r="BS77" s="59">
        <v>-1093</v>
      </c>
      <c r="BT77" s="59">
        <v>2</v>
      </c>
      <c r="BU77" s="59">
        <v>0</v>
      </c>
      <c r="BV77" s="59">
        <v>19</v>
      </c>
      <c r="BW77" s="59">
        <v>-1089</v>
      </c>
      <c r="BX77" s="59">
        <v>-28</v>
      </c>
      <c r="BY77" s="59">
        <v>7450</v>
      </c>
      <c r="BZ77" s="59">
        <v>13</v>
      </c>
      <c r="CA77" s="59">
        <v>25</v>
      </c>
      <c r="CB77" s="59">
        <v>557</v>
      </c>
      <c r="CC77" s="59">
        <v>155</v>
      </c>
      <c r="CD77" s="59">
        <v>355</v>
      </c>
      <c r="CE77" s="59">
        <v>1</v>
      </c>
      <c r="CF77" s="59">
        <v>21</v>
      </c>
    </row>
    <row r="78" spans="1:84" s="50" customFormat="1" ht="15.6" customHeight="1" x14ac:dyDescent="0.25">
      <c r="A78" s="42">
        <v>8</v>
      </c>
      <c r="B78" s="38" t="s">
        <v>261</v>
      </c>
      <c r="C78" s="54" t="s">
        <v>114</v>
      </c>
      <c r="D78" s="40" t="s">
        <v>247</v>
      </c>
      <c r="E78" s="40" t="s">
        <v>112</v>
      </c>
      <c r="F78" s="40" t="s">
        <v>248</v>
      </c>
      <c r="G78" s="70">
        <v>38851101.469999999</v>
      </c>
      <c r="H78" s="70">
        <v>0</v>
      </c>
      <c r="I78" s="70">
        <v>2227439.44</v>
      </c>
      <c r="J78" s="70">
        <v>0</v>
      </c>
      <c r="K78" s="71">
        <v>0</v>
      </c>
      <c r="L78" s="71">
        <v>41078540.909999996</v>
      </c>
      <c r="M78" s="71">
        <v>0</v>
      </c>
      <c r="N78" s="70">
        <v>9298431.1300000008</v>
      </c>
      <c r="O78" s="70">
        <v>2302613.34</v>
      </c>
      <c r="P78" s="72">
        <v>9394330.0999999996</v>
      </c>
      <c r="Q78" s="70">
        <v>77429.17</v>
      </c>
      <c r="R78" s="70">
        <v>1229155.83</v>
      </c>
      <c r="S78" s="70">
        <v>9184456.8300000001</v>
      </c>
      <c r="T78" s="70">
        <v>2646988.65</v>
      </c>
      <c r="U78" s="70">
        <v>0</v>
      </c>
      <c r="V78" s="70">
        <v>0</v>
      </c>
      <c r="W78" s="70">
        <v>2227669.44</v>
      </c>
      <c r="X78" s="71">
        <v>4933348.1100000003</v>
      </c>
      <c r="Y78" s="71">
        <v>41294422.600000001</v>
      </c>
      <c r="Z78" s="61">
        <v>7.6264073035044885E-2</v>
      </c>
      <c r="AA78" s="71">
        <v>3691035.54</v>
      </c>
      <c r="AB78" s="71">
        <v>0</v>
      </c>
      <c r="AC78" s="71">
        <v>0</v>
      </c>
      <c r="AD78" s="71">
        <v>0</v>
      </c>
      <c r="AE78" s="71">
        <v>0</v>
      </c>
      <c r="AF78" s="71">
        <f t="shared" si="35"/>
        <v>0</v>
      </c>
      <c r="AG78" s="71">
        <v>2254080</v>
      </c>
      <c r="AH78" s="70">
        <v>169323.86</v>
      </c>
      <c r="AI78" s="70">
        <v>849441.6</v>
      </c>
      <c r="AJ78" s="71">
        <v>0</v>
      </c>
      <c r="AK78" s="70">
        <v>326459.65999999997</v>
      </c>
      <c r="AL78" s="70">
        <v>0</v>
      </c>
      <c r="AM78" s="70">
        <v>73939.23</v>
      </c>
      <c r="AN78" s="70">
        <v>9000</v>
      </c>
      <c r="AO78" s="70">
        <v>0</v>
      </c>
      <c r="AP78" s="70">
        <v>0</v>
      </c>
      <c r="AQ78" s="70">
        <v>44668.84</v>
      </c>
      <c r="AR78" s="70">
        <v>7962.21</v>
      </c>
      <c r="AS78" s="70">
        <v>3499.73</v>
      </c>
      <c r="AT78" s="70">
        <v>19322.560000000001</v>
      </c>
      <c r="AU78" s="70">
        <v>0</v>
      </c>
      <c r="AV78" s="70">
        <v>103979.69</v>
      </c>
      <c r="AW78" s="70">
        <v>3861677.38</v>
      </c>
      <c r="AX78" s="70">
        <v>211488.91</v>
      </c>
      <c r="AY78" s="61">
        <f t="shared" si="36"/>
        <v>5.4766074218245545E-2</v>
      </c>
      <c r="AZ78" s="71">
        <v>0</v>
      </c>
      <c r="BA78" s="61">
        <v>9.5004656247652072E-2</v>
      </c>
      <c r="BB78" s="70">
        <v>330466.78000000003</v>
      </c>
      <c r="BC78" s="70">
        <v>2632476.46</v>
      </c>
      <c r="BD78" s="71">
        <v>244766</v>
      </c>
      <c r="BE78" s="71">
        <v>0</v>
      </c>
      <c r="BF78" s="71">
        <v>534190.52</v>
      </c>
      <c r="BG78" s="71">
        <v>0</v>
      </c>
      <c r="BH78" s="71">
        <v>0</v>
      </c>
      <c r="BI78" s="71">
        <v>0</v>
      </c>
      <c r="BJ78" s="71">
        <f t="shared" si="37"/>
        <v>0</v>
      </c>
      <c r="BK78" s="71">
        <v>0</v>
      </c>
      <c r="BL78" s="60">
        <v>5863</v>
      </c>
      <c r="BM78" s="60">
        <v>2102</v>
      </c>
      <c r="BN78" s="59">
        <v>15</v>
      </c>
      <c r="BO78" s="59">
        <v>-18</v>
      </c>
      <c r="BP78" s="59">
        <v>-21</v>
      </c>
      <c r="BQ78" s="59">
        <v>-73</v>
      </c>
      <c r="BR78" s="59">
        <v>-742</v>
      </c>
      <c r="BS78" s="59">
        <v>-1044</v>
      </c>
      <c r="BT78" s="59">
        <v>1</v>
      </c>
      <c r="BU78" s="59">
        <v>-1</v>
      </c>
      <c r="BV78" s="59">
        <v>3</v>
      </c>
      <c r="BW78" s="59">
        <v>-826</v>
      </c>
      <c r="BX78" s="59">
        <v>0</v>
      </c>
      <c r="BY78" s="59">
        <v>5259</v>
      </c>
      <c r="BZ78" s="59">
        <v>123</v>
      </c>
      <c r="CA78" s="59">
        <v>67</v>
      </c>
      <c r="CB78" s="59">
        <v>301</v>
      </c>
      <c r="CC78" s="59">
        <v>126</v>
      </c>
      <c r="CD78" s="59">
        <v>401</v>
      </c>
      <c r="CE78" s="59">
        <v>0</v>
      </c>
      <c r="CF78" s="59">
        <v>5</v>
      </c>
    </row>
    <row r="79" spans="1:84" s="50" customFormat="1" ht="15.6" customHeight="1" x14ac:dyDescent="0.25">
      <c r="A79" s="42">
        <v>8</v>
      </c>
      <c r="B79" s="38" t="s">
        <v>499</v>
      </c>
      <c r="C79" s="54" t="s">
        <v>508</v>
      </c>
      <c r="D79" s="40" t="s">
        <v>493</v>
      </c>
      <c r="E79" s="40" t="s">
        <v>106</v>
      </c>
      <c r="F79" s="40" t="s">
        <v>248</v>
      </c>
      <c r="G79" s="70">
        <v>69996719.379999995</v>
      </c>
      <c r="H79" s="70">
        <v>0.06</v>
      </c>
      <c r="I79" s="70">
        <v>8432981.9100000001</v>
      </c>
      <c r="J79" s="70">
        <v>0</v>
      </c>
      <c r="K79" s="71">
        <v>0</v>
      </c>
      <c r="L79" s="71">
        <v>78429701.349999994</v>
      </c>
      <c r="M79" s="71">
        <v>0</v>
      </c>
      <c r="N79" s="70">
        <v>18925157.989999998</v>
      </c>
      <c r="O79" s="70">
        <v>2175408.8199999998</v>
      </c>
      <c r="P79" s="72">
        <v>19881557.969999999</v>
      </c>
      <c r="Q79" s="70">
        <v>176308.76</v>
      </c>
      <c r="R79" s="70">
        <v>1616300.86</v>
      </c>
      <c r="S79" s="70">
        <v>19373923.670000002</v>
      </c>
      <c r="T79" s="70">
        <v>4116978.42</v>
      </c>
      <c r="U79" s="70">
        <v>0</v>
      </c>
      <c r="V79" s="70">
        <v>0</v>
      </c>
      <c r="W79" s="70">
        <v>8880448.3200000003</v>
      </c>
      <c r="X79" s="71">
        <v>3656213.42</v>
      </c>
      <c r="Y79" s="71">
        <v>78802298.230000004</v>
      </c>
      <c r="Z79" s="61">
        <v>3.5386981558803467E-2</v>
      </c>
      <c r="AA79" s="71">
        <v>3197880.71</v>
      </c>
      <c r="AB79" s="71">
        <v>0</v>
      </c>
      <c r="AC79" s="71">
        <v>0</v>
      </c>
      <c r="AD79" s="71">
        <v>0</v>
      </c>
      <c r="AE79" s="71">
        <v>0</v>
      </c>
      <c r="AF79" s="71">
        <f t="shared" si="35"/>
        <v>0</v>
      </c>
      <c r="AG79" s="71">
        <v>1675682.13</v>
      </c>
      <c r="AH79" s="70">
        <v>129932.89</v>
      </c>
      <c r="AI79" s="70">
        <v>302814.39</v>
      </c>
      <c r="AJ79" s="71">
        <v>1155</v>
      </c>
      <c r="AK79" s="70">
        <v>202949.46</v>
      </c>
      <c r="AL79" s="70">
        <v>0</v>
      </c>
      <c r="AM79" s="70">
        <v>116745.84</v>
      </c>
      <c r="AN79" s="70">
        <v>9000</v>
      </c>
      <c r="AO79" s="70">
        <v>15738.75</v>
      </c>
      <c r="AP79" s="70">
        <v>0</v>
      </c>
      <c r="AQ79" s="70">
        <v>100691.26999999999</v>
      </c>
      <c r="AR79" s="70">
        <v>17488.63</v>
      </c>
      <c r="AS79" s="70">
        <v>0</v>
      </c>
      <c r="AT79" s="70">
        <v>6231.99</v>
      </c>
      <c r="AU79" s="70">
        <v>18000</v>
      </c>
      <c r="AV79" s="70">
        <v>105385.96</v>
      </c>
      <c r="AW79" s="70">
        <v>2701816.31</v>
      </c>
      <c r="AX79" s="70">
        <v>0</v>
      </c>
      <c r="AY79" s="61">
        <f t="shared" si="36"/>
        <v>0</v>
      </c>
      <c r="AZ79" s="71">
        <v>0</v>
      </c>
      <c r="BA79" s="61">
        <v>4.5686151270022568E-2</v>
      </c>
      <c r="BB79" s="70">
        <v>385740.62</v>
      </c>
      <c r="BC79" s="70">
        <v>2091232</v>
      </c>
      <c r="BD79" s="71">
        <v>241807</v>
      </c>
      <c r="BE79" s="71">
        <v>5.8207660913467401E-11</v>
      </c>
      <c r="BF79" s="71">
        <v>1212821.43</v>
      </c>
      <c r="BG79" s="71">
        <v>537367.35250000097</v>
      </c>
      <c r="BH79" s="71">
        <v>0</v>
      </c>
      <c r="BI79" s="71">
        <v>0</v>
      </c>
      <c r="BJ79" s="71">
        <f t="shared" si="37"/>
        <v>0</v>
      </c>
      <c r="BK79" s="71">
        <v>0</v>
      </c>
      <c r="BL79" s="60">
        <v>7534</v>
      </c>
      <c r="BM79" s="60">
        <v>1831</v>
      </c>
      <c r="BN79" s="59">
        <v>47</v>
      </c>
      <c r="BO79" s="59">
        <v>-54</v>
      </c>
      <c r="BP79" s="59">
        <v>-14</v>
      </c>
      <c r="BQ79" s="59">
        <v>-150</v>
      </c>
      <c r="BR79" s="59">
        <v>-162</v>
      </c>
      <c r="BS79" s="59">
        <v>-760</v>
      </c>
      <c r="BT79" s="59">
        <v>0</v>
      </c>
      <c r="BU79" s="59">
        <v>0</v>
      </c>
      <c r="BV79" s="59">
        <v>-1</v>
      </c>
      <c r="BW79" s="59">
        <v>-1380</v>
      </c>
      <c r="BX79" s="59">
        <v>-7</v>
      </c>
      <c r="BY79" s="59">
        <v>6884</v>
      </c>
      <c r="BZ79" s="59">
        <v>80</v>
      </c>
      <c r="CA79" s="59">
        <v>23</v>
      </c>
      <c r="CB79" s="59">
        <v>1000</v>
      </c>
      <c r="CC79" s="59">
        <v>103</v>
      </c>
      <c r="CD79" s="59">
        <v>229</v>
      </c>
      <c r="CE79" s="59">
        <v>36</v>
      </c>
      <c r="CF79" s="59">
        <v>12</v>
      </c>
    </row>
    <row r="80" spans="1:84" s="50" customFormat="1" ht="15.6" customHeight="1" x14ac:dyDescent="0.25">
      <c r="A80" s="42">
        <v>9</v>
      </c>
      <c r="B80" s="38" t="s">
        <v>553</v>
      </c>
      <c r="C80" s="54" t="s">
        <v>372</v>
      </c>
      <c r="D80" s="40" t="s">
        <v>556</v>
      </c>
      <c r="E80" s="40" t="s">
        <v>117</v>
      </c>
      <c r="F80" s="40" t="s">
        <v>268</v>
      </c>
      <c r="G80" s="70">
        <v>41226360.829999998</v>
      </c>
      <c r="H80" s="70">
        <v>28099.3</v>
      </c>
      <c r="I80" s="70">
        <v>1404772.76</v>
      </c>
      <c r="J80" s="70">
        <v>0</v>
      </c>
      <c r="K80" s="71">
        <v>0</v>
      </c>
      <c r="L80" s="71">
        <v>42659232.890000001</v>
      </c>
      <c r="M80" s="71">
        <v>0</v>
      </c>
      <c r="N80" s="70">
        <v>12647585.539999999</v>
      </c>
      <c r="O80" s="70">
        <v>2080728.35</v>
      </c>
      <c r="P80" s="72">
        <v>9442670.5700000003</v>
      </c>
      <c r="Q80" s="70">
        <v>0</v>
      </c>
      <c r="R80" s="70">
        <v>1629483.65</v>
      </c>
      <c r="S80" s="70">
        <v>10376262.24</v>
      </c>
      <c r="T80" s="70">
        <v>2179258.4300000002</v>
      </c>
      <c r="U80" s="70">
        <v>0</v>
      </c>
      <c r="V80" s="70">
        <v>28099.3</v>
      </c>
      <c r="W80" s="70">
        <v>1416155.46</v>
      </c>
      <c r="X80" s="71">
        <v>2690273.51</v>
      </c>
      <c r="Y80" s="71">
        <v>42490517.049999997</v>
      </c>
      <c r="Z80" s="61">
        <v>8.0401191036020239E-2</v>
      </c>
      <c r="AA80" s="71">
        <v>2687168.51</v>
      </c>
      <c r="AB80" s="71">
        <v>0</v>
      </c>
      <c r="AC80" s="71">
        <v>0</v>
      </c>
      <c r="AD80" s="71">
        <v>0</v>
      </c>
      <c r="AE80" s="71">
        <v>0</v>
      </c>
      <c r="AF80" s="71">
        <f t="shared" ref="AF80:AF95" si="38">SUM(AD80:AE80)</f>
        <v>0</v>
      </c>
      <c r="AG80" s="71">
        <v>1174353.51</v>
      </c>
      <c r="AH80" s="70">
        <v>69895.19</v>
      </c>
      <c r="AI80" s="70">
        <v>329000.32000000001</v>
      </c>
      <c r="AJ80" s="71">
        <v>0</v>
      </c>
      <c r="AK80" s="70">
        <v>162547.59</v>
      </c>
      <c r="AL80" s="70">
        <v>7597.81</v>
      </c>
      <c r="AM80" s="70">
        <v>80222.27</v>
      </c>
      <c r="AN80" s="70">
        <v>8000</v>
      </c>
      <c r="AO80" s="70">
        <v>0</v>
      </c>
      <c r="AP80" s="70">
        <v>45284.29</v>
      </c>
      <c r="AQ80" s="70">
        <v>77276.639999999999</v>
      </c>
      <c r="AR80" s="70">
        <v>23217.84</v>
      </c>
      <c r="AS80" s="70">
        <v>1965</v>
      </c>
      <c r="AT80" s="70">
        <v>164632.68</v>
      </c>
      <c r="AU80" s="70">
        <v>60766.32</v>
      </c>
      <c r="AV80" s="70">
        <v>172144.9</v>
      </c>
      <c r="AW80" s="70">
        <v>2376904.36</v>
      </c>
      <c r="AX80" s="70">
        <v>0</v>
      </c>
      <c r="AY80" s="61">
        <f t="shared" ref="AY80:AY95" si="39">AX80/AW80</f>
        <v>0</v>
      </c>
      <c r="AZ80" s="71">
        <v>0</v>
      </c>
      <c r="BA80" s="61">
        <v>6.5180832261201554E-2</v>
      </c>
      <c r="BB80" s="70">
        <v>339301.6</v>
      </c>
      <c r="BC80" s="70">
        <v>2977606.13</v>
      </c>
      <c r="BD80" s="71">
        <v>241807</v>
      </c>
      <c r="BE80" s="71">
        <v>0</v>
      </c>
      <c r="BF80" s="71">
        <v>2544363.87</v>
      </c>
      <c r="BG80" s="71">
        <v>1950137.78</v>
      </c>
      <c r="BH80" s="71">
        <v>0</v>
      </c>
      <c r="BI80" s="71">
        <v>0</v>
      </c>
      <c r="BJ80" s="71">
        <f t="shared" ref="BJ80:BJ95" si="40">SUM(BH80:BI80)</f>
        <v>0</v>
      </c>
      <c r="BK80" s="71">
        <v>0</v>
      </c>
      <c r="BL80" s="60">
        <v>3277</v>
      </c>
      <c r="BM80" s="60">
        <v>667</v>
      </c>
      <c r="BN80" s="59">
        <v>16</v>
      </c>
      <c r="BO80" s="59">
        <v>-17</v>
      </c>
      <c r="BP80" s="59">
        <v>-4</v>
      </c>
      <c r="BQ80" s="59">
        <v>-37</v>
      </c>
      <c r="BR80" s="59">
        <v>-83</v>
      </c>
      <c r="BS80" s="59">
        <v>-297</v>
      </c>
      <c r="BT80" s="59">
        <v>0</v>
      </c>
      <c r="BU80" s="59">
        <v>0</v>
      </c>
      <c r="BV80" s="59">
        <v>0</v>
      </c>
      <c r="BW80" s="59">
        <v>-709</v>
      </c>
      <c r="BX80" s="59">
        <v>-5</v>
      </c>
      <c r="BY80" s="59">
        <v>2808</v>
      </c>
      <c r="BZ80" s="59">
        <v>15</v>
      </c>
      <c r="CA80" s="59">
        <v>0</v>
      </c>
      <c r="CB80" s="59">
        <v>161</v>
      </c>
      <c r="CC80" s="59">
        <v>54</v>
      </c>
      <c r="CD80" s="59">
        <v>486</v>
      </c>
      <c r="CE80" s="59">
        <v>4</v>
      </c>
      <c r="CF80" s="59">
        <v>4</v>
      </c>
    </row>
    <row r="81" spans="1:84" s="50" customFormat="1" ht="15.6" customHeight="1" x14ac:dyDescent="0.25">
      <c r="A81" s="42">
        <v>9</v>
      </c>
      <c r="B81" s="38" t="s">
        <v>262</v>
      </c>
      <c r="C81" s="54" t="s">
        <v>150</v>
      </c>
      <c r="D81" s="40" t="s">
        <v>263</v>
      </c>
      <c r="E81" s="40" t="s">
        <v>106</v>
      </c>
      <c r="F81" s="40" t="s">
        <v>264</v>
      </c>
      <c r="G81" s="70">
        <v>20940609.699999999</v>
      </c>
      <c r="H81" s="70">
        <v>0</v>
      </c>
      <c r="I81" s="70">
        <v>616068.02</v>
      </c>
      <c r="J81" s="70">
        <v>0</v>
      </c>
      <c r="K81" s="71">
        <v>29406.799999999999</v>
      </c>
      <c r="L81" s="71">
        <v>21586084.52</v>
      </c>
      <c r="M81" s="71">
        <v>0</v>
      </c>
      <c r="N81" s="70">
        <v>6805311.8300000001</v>
      </c>
      <c r="O81" s="70">
        <v>781100.76</v>
      </c>
      <c r="P81" s="72">
        <v>3553424.24</v>
      </c>
      <c r="Q81" s="70">
        <v>28842.63</v>
      </c>
      <c r="R81" s="70">
        <v>884894.66</v>
      </c>
      <c r="S81" s="70">
        <v>4496850.72</v>
      </c>
      <c r="T81" s="70">
        <v>2306195.11</v>
      </c>
      <c r="U81" s="70">
        <v>0</v>
      </c>
      <c r="V81" s="70">
        <v>0</v>
      </c>
      <c r="W81" s="70">
        <v>681797.75</v>
      </c>
      <c r="X81" s="71">
        <v>2152054.92</v>
      </c>
      <c r="Y81" s="71">
        <v>21690472.620000001</v>
      </c>
      <c r="Z81" s="61">
        <v>0.1326868983189157</v>
      </c>
      <c r="AA81" s="71">
        <v>2110205.39</v>
      </c>
      <c r="AB81" s="71">
        <v>0</v>
      </c>
      <c r="AC81" s="71">
        <v>0</v>
      </c>
      <c r="AD81" s="71">
        <v>0</v>
      </c>
      <c r="AE81" s="71">
        <v>0</v>
      </c>
      <c r="AF81" s="71">
        <f t="shared" si="38"/>
        <v>0</v>
      </c>
      <c r="AG81" s="71">
        <v>1116452.1200000001</v>
      </c>
      <c r="AH81" s="70">
        <v>86433.51</v>
      </c>
      <c r="AI81" s="70">
        <v>388283.9</v>
      </c>
      <c r="AJ81" s="71">
        <v>0</v>
      </c>
      <c r="AK81" s="70">
        <v>94929.75</v>
      </c>
      <c r="AL81" s="70">
        <v>3280.05</v>
      </c>
      <c r="AM81" s="70">
        <v>73509.320000000007</v>
      </c>
      <c r="AN81" s="70">
        <v>8000</v>
      </c>
      <c r="AO81" s="70">
        <v>3170</v>
      </c>
      <c r="AP81" s="70">
        <v>0</v>
      </c>
      <c r="AQ81" s="70">
        <v>44954.130000000005</v>
      </c>
      <c r="AR81" s="70">
        <v>589.4</v>
      </c>
      <c r="AS81" s="70">
        <v>1420.89</v>
      </c>
      <c r="AT81" s="70">
        <v>122839.16</v>
      </c>
      <c r="AU81" s="70">
        <v>30306.15</v>
      </c>
      <c r="AV81" s="70">
        <v>102321.09</v>
      </c>
      <c r="AW81" s="70">
        <v>2076489.47</v>
      </c>
      <c r="AX81" s="70">
        <v>0</v>
      </c>
      <c r="AY81" s="61">
        <f t="shared" si="39"/>
        <v>0</v>
      </c>
      <c r="AZ81" s="71">
        <v>0</v>
      </c>
      <c r="BA81" s="61">
        <v>0.1</v>
      </c>
      <c r="BB81" s="70">
        <v>470028.73</v>
      </c>
      <c r="BC81" s="70">
        <v>2308515.8199999998</v>
      </c>
      <c r="BD81" s="71">
        <v>244766</v>
      </c>
      <c r="BE81" s="71">
        <v>0</v>
      </c>
      <c r="BF81" s="71">
        <v>347247.43000000098</v>
      </c>
      <c r="BG81" s="71">
        <v>0</v>
      </c>
      <c r="BH81" s="71">
        <v>0</v>
      </c>
      <c r="BI81" s="71">
        <v>0</v>
      </c>
      <c r="BJ81" s="71">
        <f t="shared" si="40"/>
        <v>0</v>
      </c>
      <c r="BK81" s="71">
        <v>0</v>
      </c>
      <c r="BL81" s="60">
        <v>2166</v>
      </c>
      <c r="BM81" s="60">
        <v>585</v>
      </c>
      <c r="BN81" s="59">
        <v>15</v>
      </c>
      <c r="BO81" s="59">
        <v>-28</v>
      </c>
      <c r="BP81" s="59">
        <v>-17</v>
      </c>
      <c r="BQ81" s="59">
        <v>-19</v>
      </c>
      <c r="BR81" s="59">
        <v>-152</v>
      </c>
      <c r="BS81" s="59">
        <v>-227</v>
      </c>
      <c r="BT81" s="59">
        <v>1</v>
      </c>
      <c r="BU81" s="59">
        <v>0</v>
      </c>
      <c r="BV81" s="59">
        <v>10</v>
      </c>
      <c r="BW81" s="59">
        <v>-391</v>
      </c>
      <c r="BX81" s="59">
        <v>-1</v>
      </c>
      <c r="BY81" s="59">
        <v>1942</v>
      </c>
      <c r="BZ81" s="59">
        <v>78</v>
      </c>
      <c r="CA81" s="59">
        <v>31</v>
      </c>
      <c r="CB81" s="59">
        <v>109</v>
      </c>
      <c r="CC81" s="59">
        <v>24</v>
      </c>
      <c r="CD81" s="59">
        <v>241</v>
      </c>
      <c r="CE81" s="59">
        <v>16</v>
      </c>
      <c r="CF81" s="59">
        <v>8</v>
      </c>
    </row>
    <row r="82" spans="1:84" s="50" customFormat="1" ht="15.6" customHeight="1" x14ac:dyDescent="0.25">
      <c r="A82" s="42">
        <v>9</v>
      </c>
      <c r="B82" s="42" t="s">
        <v>265</v>
      </c>
      <c r="C82" s="57" t="s">
        <v>266</v>
      </c>
      <c r="D82" s="42" t="s">
        <v>267</v>
      </c>
      <c r="E82" s="42" t="s">
        <v>117</v>
      </c>
      <c r="F82" s="42" t="s">
        <v>268</v>
      </c>
      <c r="G82" s="70">
        <v>36960306.18</v>
      </c>
      <c r="H82" s="70">
        <v>2416.9299999999998</v>
      </c>
      <c r="I82" s="70">
        <v>1087560.6599999999</v>
      </c>
      <c r="J82" s="70">
        <v>0</v>
      </c>
      <c r="K82" s="71">
        <v>0</v>
      </c>
      <c r="L82" s="71">
        <v>38050283.770000003</v>
      </c>
      <c r="M82" s="71">
        <v>0</v>
      </c>
      <c r="N82" s="70">
        <v>10656508.939999999</v>
      </c>
      <c r="O82" s="70">
        <v>2267021.62</v>
      </c>
      <c r="P82" s="72">
        <v>9822120.2599999998</v>
      </c>
      <c r="Q82" s="70">
        <v>8960.89</v>
      </c>
      <c r="R82" s="70">
        <v>1721206.91</v>
      </c>
      <c r="S82" s="70">
        <v>7829420.2800000003</v>
      </c>
      <c r="T82" s="70">
        <v>2208427.83</v>
      </c>
      <c r="U82" s="70">
        <v>0</v>
      </c>
      <c r="V82" s="70">
        <v>2416.9299999999998</v>
      </c>
      <c r="W82" s="70">
        <v>1153679.29</v>
      </c>
      <c r="X82" s="71">
        <v>2402408.17</v>
      </c>
      <c r="Y82" s="71">
        <v>38072171.119999997</v>
      </c>
      <c r="Z82" s="61">
        <v>3.835166326304848E-2</v>
      </c>
      <c r="AA82" s="71">
        <v>2402408.17</v>
      </c>
      <c r="AB82" s="71">
        <v>0</v>
      </c>
      <c r="AC82" s="71">
        <v>0</v>
      </c>
      <c r="AD82" s="71">
        <v>0</v>
      </c>
      <c r="AE82" s="71">
        <v>0</v>
      </c>
      <c r="AF82" s="71">
        <f t="shared" si="38"/>
        <v>0</v>
      </c>
      <c r="AG82" s="71">
        <v>1267781.06</v>
      </c>
      <c r="AH82" s="70">
        <v>98109.48</v>
      </c>
      <c r="AI82" s="70">
        <v>257948.13</v>
      </c>
      <c r="AJ82" s="71">
        <v>0</v>
      </c>
      <c r="AK82" s="70">
        <v>172055.92</v>
      </c>
      <c r="AL82" s="70">
        <v>17383.68</v>
      </c>
      <c r="AM82" s="70">
        <v>125025.53</v>
      </c>
      <c r="AN82" s="70">
        <v>8000</v>
      </c>
      <c r="AO82" s="70">
        <v>4588.5</v>
      </c>
      <c r="AP82" s="70">
        <v>12423.08</v>
      </c>
      <c r="AQ82" s="70">
        <v>29222.93</v>
      </c>
      <c r="AR82" s="70">
        <v>13283.44</v>
      </c>
      <c r="AS82" s="70">
        <v>2670</v>
      </c>
      <c r="AT82" s="70">
        <v>44161.760000000002</v>
      </c>
      <c r="AU82" s="70">
        <v>41225.360000000001</v>
      </c>
      <c r="AV82" s="70">
        <v>88860.22</v>
      </c>
      <c r="AW82" s="70">
        <v>2182739.09</v>
      </c>
      <c r="AX82" s="70">
        <v>0</v>
      </c>
      <c r="AY82" s="61">
        <f t="shared" si="39"/>
        <v>0</v>
      </c>
      <c r="AZ82" s="71">
        <v>0</v>
      </c>
      <c r="BA82" s="61">
        <v>6.4999682586503946E-2</v>
      </c>
      <c r="BB82" s="70">
        <v>259223.5</v>
      </c>
      <c r="BC82" s="70">
        <v>1158358.4099999999</v>
      </c>
      <c r="BD82" s="71">
        <v>244766</v>
      </c>
      <c r="BE82" s="71">
        <v>0</v>
      </c>
      <c r="BF82" s="71">
        <v>2353439.9300000002</v>
      </c>
      <c r="BG82" s="71">
        <v>1807755.1575</v>
      </c>
      <c r="BH82" s="71">
        <v>0</v>
      </c>
      <c r="BI82" s="71">
        <v>0</v>
      </c>
      <c r="BJ82" s="71">
        <f t="shared" si="40"/>
        <v>0</v>
      </c>
      <c r="BK82" s="71">
        <v>0</v>
      </c>
      <c r="BL82" s="60">
        <v>3172</v>
      </c>
      <c r="BM82" s="60">
        <v>716</v>
      </c>
      <c r="BN82" s="59">
        <v>8</v>
      </c>
      <c r="BO82" s="59">
        <v>-10</v>
      </c>
      <c r="BP82" s="59">
        <v>-7</v>
      </c>
      <c r="BQ82" s="59">
        <v>-51</v>
      </c>
      <c r="BR82" s="59">
        <v>-78</v>
      </c>
      <c r="BS82" s="59">
        <v>-294</v>
      </c>
      <c r="BT82" s="59">
        <v>1</v>
      </c>
      <c r="BU82" s="59">
        <v>0</v>
      </c>
      <c r="BV82" s="59">
        <v>9</v>
      </c>
      <c r="BW82" s="59">
        <v>-669</v>
      </c>
      <c r="BX82" s="59">
        <v>0</v>
      </c>
      <c r="BY82" s="59">
        <v>2797</v>
      </c>
      <c r="BZ82" s="59">
        <v>14</v>
      </c>
      <c r="CA82" s="59">
        <v>34</v>
      </c>
      <c r="CB82" s="59">
        <v>152</v>
      </c>
      <c r="CC82" s="59">
        <v>45</v>
      </c>
      <c r="CD82" s="59">
        <v>466</v>
      </c>
      <c r="CE82" s="59">
        <v>4</v>
      </c>
      <c r="CF82" s="59">
        <v>2</v>
      </c>
    </row>
    <row r="83" spans="1:84" s="50" customFormat="1" ht="15.6" customHeight="1" x14ac:dyDescent="0.25">
      <c r="A83" s="42">
        <v>9</v>
      </c>
      <c r="B83" s="38" t="s">
        <v>269</v>
      </c>
      <c r="C83" s="54" t="s">
        <v>270</v>
      </c>
      <c r="D83" s="40" t="s">
        <v>271</v>
      </c>
      <c r="E83" s="40" t="s">
        <v>106</v>
      </c>
      <c r="F83" s="40" t="s">
        <v>264</v>
      </c>
      <c r="G83" s="70">
        <v>37129118.189999998</v>
      </c>
      <c r="H83" s="70">
        <v>0</v>
      </c>
      <c r="I83" s="70">
        <v>720209.76</v>
      </c>
      <c r="J83" s="70">
        <v>0</v>
      </c>
      <c r="K83" s="71">
        <v>0</v>
      </c>
      <c r="L83" s="71">
        <v>37849327.950000003</v>
      </c>
      <c r="M83" s="71">
        <v>0</v>
      </c>
      <c r="N83" s="70">
        <v>11322774.380000001</v>
      </c>
      <c r="O83" s="70">
        <v>1443063.76</v>
      </c>
      <c r="P83" s="72">
        <v>5135531.51</v>
      </c>
      <c r="Q83" s="70">
        <v>5778.27</v>
      </c>
      <c r="R83" s="70">
        <v>1586106.6</v>
      </c>
      <c r="S83" s="70">
        <v>10676414.630000001</v>
      </c>
      <c r="T83" s="70">
        <v>4677258.6399999997</v>
      </c>
      <c r="U83" s="70">
        <v>0</v>
      </c>
      <c r="V83" s="70">
        <v>0</v>
      </c>
      <c r="W83" s="70">
        <v>1019314.96</v>
      </c>
      <c r="X83" s="71">
        <v>2599135.12</v>
      </c>
      <c r="Y83" s="71">
        <v>38465377.869999997</v>
      </c>
      <c r="Z83" s="61">
        <v>0.1054196628093957</v>
      </c>
      <c r="AA83" s="71">
        <v>2599031.12</v>
      </c>
      <c r="AB83" s="71">
        <v>0</v>
      </c>
      <c r="AC83" s="71">
        <v>0</v>
      </c>
      <c r="AD83" s="71">
        <v>0</v>
      </c>
      <c r="AE83" s="71">
        <v>445.97</v>
      </c>
      <c r="AF83" s="71">
        <f t="shared" si="38"/>
        <v>445.97</v>
      </c>
      <c r="AG83" s="71">
        <v>1520601.18</v>
      </c>
      <c r="AH83" s="70">
        <v>115403.97</v>
      </c>
      <c r="AI83" s="70">
        <v>436102.95</v>
      </c>
      <c r="AJ83" s="71">
        <v>0</v>
      </c>
      <c r="AK83" s="70">
        <v>232298.78</v>
      </c>
      <c r="AL83" s="70">
        <v>6626.28</v>
      </c>
      <c r="AM83" s="70">
        <v>101432.38</v>
      </c>
      <c r="AN83" s="70">
        <v>8000</v>
      </c>
      <c r="AO83" s="70">
        <v>5500</v>
      </c>
      <c r="AP83" s="70">
        <v>0</v>
      </c>
      <c r="AQ83" s="70">
        <v>45803.23</v>
      </c>
      <c r="AR83" s="70">
        <v>34771.370000000003</v>
      </c>
      <c r="AS83" s="70">
        <v>0</v>
      </c>
      <c r="AT83" s="70">
        <v>52121.14</v>
      </c>
      <c r="AU83" s="70">
        <v>37294.660000000003</v>
      </c>
      <c r="AV83" s="70">
        <v>97124.96</v>
      </c>
      <c r="AW83" s="70">
        <v>2693080.9</v>
      </c>
      <c r="AX83" s="70">
        <v>0</v>
      </c>
      <c r="AY83" s="61">
        <f t="shared" si="39"/>
        <v>0</v>
      </c>
      <c r="AZ83" s="71">
        <v>0</v>
      </c>
      <c r="BA83" s="61">
        <v>6.9999807339889863E-2</v>
      </c>
      <c r="BB83" s="70">
        <v>1035807.89</v>
      </c>
      <c r="BC83" s="70">
        <v>2878331.23</v>
      </c>
      <c r="BD83" s="71">
        <v>244766</v>
      </c>
      <c r="BE83" s="71">
        <v>5.8207660913467401E-11</v>
      </c>
      <c r="BF83" s="71">
        <v>823236.84000000102</v>
      </c>
      <c r="BG83" s="71">
        <v>149966.615000002</v>
      </c>
      <c r="BH83" s="71">
        <v>0</v>
      </c>
      <c r="BI83" s="71">
        <v>0</v>
      </c>
      <c r="BJ83" s="71">
        <f t="shared" si="40"/>
        <v>0</v>
      </c>
      <c r="BK83" s="71">
        <v>0</v>
      </c>
      <c r="BL83" s="60">
        <v>3469</v>
      </c>
      <c r="BM83" s="60">
        <v>933</v>
      </c>
      <c r="BN83" s="59">
        <v>26</v>
      </c>
      <c r="BO83" s="59">
        <v>-26</v>
      </c>
      <c r="BP83" s="59">
        <v>-16</v>
      </c>
      <c r="BQ83" s="59">
        <v>-31</v>
      </c>
      <c r="BR83" s="59">
        <v>-183</v>
      </c>
      <c r="BS83" s="59">
        <v>-317</v>
      </c>
      <c r="BT83" s="59">
        <v>8</v>
      </c>
      <c r="BU83" s="59">
        <v>-4</v>
      </c>
      <c r="BV83" s="59">
        <v>15</v>
      </c>
      <c r="BW83" s="59">
        <v>-490</v>
      </c>
      <c r="BX83" s="59">
        <v>-9</v>
      </c>
      <c r="BY83" s="59">
        <v>3375</v>
      </c>
      <c r="BZ83" s="59">
        <v>18</v>
      </c>
      <c r="CA83" s="59">
        <v>137</v>
      </c>
      <c r="CB83" s="59">
        <v>165</v>
      </c>
      <c r="CC83" s="59">
        <v>47</v>
      </c>
      <c r="CD83" s="59">
        <v>243</v>
      </c>
      <c r="CE83" s="59">
        <v>35</v>
      </c>
      <c r="CF83" s="59">
        <v>9</v>
      </c>
    </row>
    <row r="84" spans="1:84" s="50" customFormat="1" ht="15.6" customHeight="1" x14ac:dyDescent="0.25">
      <c r="A84" s="42">
        <v>9</v>
      </c>
      <c r="B84" s="42" t="s">
        <v>272</v>
      </c>
      <c r="C84" s="57" t="s">
        <v>273</v>
      </c>
      <c r="D84" s="42" t="s">
        <v>274</v>
      </c>
      <c r="E84" s="42" t="s">
        <v>117</v>
      </c>
      <c r="F84" s="42" t="s">
        <v>268</v>
      </c>
      <c r="G84" s="70">
        <v>37351452.200000003</v>
      </c>
      <c r="H84" s="70">
        <v>0</v>
      </c>
      <c r="I84" s="70">
        <v>1133649.93</v>
      </c>
      <c r="J84" s="70">
        <v>0</v>
      </c>
      <c r="K84" s="71">
        <v>0</v>
      </c>
      <c r="L84" s="71">
        <v>38485102.130000003</v>
      </c>
      <c r="M84" s="71">
        <v>0</v>
      </c>
      <c r="N84" s="70">
        <v>12029584.390000001</v>
      </c>
      <c r="O84" s="70">
        <v>1660092.04</v>
      </c>
      <c r="P84" s="72">
        <v>8662612.2699999996</v>
      </c>
      <c r="Q84" s="70">
        <v>0</v>
      </c>
      <c r="R84" s="70">
        <v>1469563.9</v>
      </c>
      <c r="S84" s="70">
        <v>9698997.0899999999</v>
      </c>
      <c r="T84" s="70">
        <v>2040554.83</v>
      </c>
      <c r="U84" s="70">
        <v>0</v>
      </c>
      <c r="V84" s="70">
        <v>0</v>
      </c>
      <c r="W84" s="70">
        <v>1344903.82</v>
      </c>
      <c r="X84" s="71">
        <v>2259854.5699999998</v>
      </c>
      <c r="Y84" s="71">
        <v>39166162.909999996</v>
      </c>
      <c r="Z84" s="61">
        <v>0.11087827878349506</v>
      </c>
      <c r="AA84" s="71">
        <v>2242521.8199999998</v>
      </c>
      <c r="AB84" s="71">
        <v>0</v>
      </c>
      <c r="AC84" s="71">
        <v>0</v>
      </c>
      <c r="AD84" s="71">
        <v>0</v>
      </c>
      <c r="AE84" s="71">
        <v>0</v>
      </c>
      <c r="AF84" s="71">
        <f t="shared" si="38"/>
        <v>0</v>
      </c>
      <c r="AG84" s="71">
        <v>1121660.73</v>
      </c>
      <c r="AH84" s="70">
        <v>86911.35</v>
      </c>
      <c r="AI84" s="70">
        <v>352489.01</v>
      </c>
      <c r="AJ84" s="71">
        <v>0</v>
      </c>
      <c r="AK84" s="70">
        <v>228300.13</v>
      </c>
      <c r="AL84" s="70">
        <v>18391.740000000002</v>
      </c>
      <c r="AM84" s="70">
        <v>98103.74</v>
      </c>
      <c r="AN84" s="70">
        <v>8000</v>
      </c>
      <c r="AO84" s="70">
        <v>5593.96</v>
      </c>
      <c r="AP84" s="70">
        <v>66625.850000000006</v>
      </c>
      <c r="AQ84" s="70">
        <v>99826.91</v>
      </c>
      <c r="AR84" s="70">
        <v>33775.81</v>
      </c>
      <c r="AS84" s="70">
        <v>2775</v>
      </c>
      <c r="AT84" s="70">
        <v>60492.69</v>
      </c>
      <c r="AU84" s="70">
        <v>50760.98</v>
      </c>
      <c r="AV84" s="70">
        <v>102469.43</v>
      </c>
      <c r="AW84" s="70">
        <v>2336177.33</v>
      </c>
      <c r="AX84" s="70">
        <v>0</v>
      </c>
      <c r="AY84" s="61">
        <f t="shared" si="39"/>
        <v>0</v>
      </c>
      <c r="AZ84" s="71">
        <v>0</v>
      </c>
      <c r="BA84" s="61">
        <v>6.0038410501212044E-2</v>
      </c>
      <c r="BB84" s="70">
        <v>516009.72</v>
      </c>
      <c r="BC84" s="70">
        <v>3625455.01</v>
      </c>
      <c r="BD84" s="71">
        <v>241807</v>
      </c>
      <c r="BE84" s="71">
        <v>0</v>
      </c>
      <c r="BF84" s="71">
        <v>1899320.15</v>
      </c>
      <c r="BG84" s="71">
        <v>1315275.8174999999</v>
      </c>
      <c r="BH84" s="71">
        <v>0</v>
      </c>
      <c r="BI84" s="71">
        <v>0</v>
      </c>
      <c r="BJ84" s="71">
        <f t="shared" si="40"/>
        <v>0</v>
      </c>
      <c r="BK84" s="71">
        <v>0</v>
      </c>
      <c r="BL84" s="60">
        <v>3241</v>
      </c>
      <c r="BM84" s="60">
        <v>685</v>
      </c>
      <c r="BN84" s="59">
        <v>0</v>
      </c>
      <c r="BO84" s="59">
        <v>0</v>
      </c>
      <c r="BP84" s="59">
        <v>-9</v>
      </c>
      <c r="BQ84" s="59">
        <v>-40</v>
      </c>
      <c r="BR84" s="59">
        <v>-84</v>
      </c>
      <c r="BS84" s="59">
        <v>-335</v>
      </c>
      <c r="BT84" s="59">
        <v>0</v>
      </c>
      <c r="BU84" s="59">
        <v>0</v>
      </c>
      <c r="BV84" s="59">
        <v>0</v>
      </c>
      <c r="BW84" s="59">
        <v>-677</v>
      </c>
      <c r="BX84" s="59">
        <v>-3</v>
      </c>
      <c r="BY84" s="59">
        <v>2778</v>
      </c>
      <c r="BZ84" s="59">
        <v>8</v>
      </c>
      <c r="CA84" s="59">
        <v>85</v>
      </c>
      <c r="CB84" s="59">
        <v>194</v>
      </c>
      <c r="CC84" s="59">
        <v>64</v>
      </c>
      <c r="CD84" s="59">
        <v>405</v>
      </c>
      <c r="CE84" s="59">
        <v>7</v>
      </c>
      <c r="CF84" s="59">
        <v>6</v>
      </c>
    </row>
    <row r="85" spans="1:84" s="50" customFormat="1" ht="15.6" customHeight="1" x14ac:dyDescent="0.25">
      <c r="A85" s="42">
        <v>9</v>
      </c>
      <c r="B85" s="42" t="s">
        <v>275</v>
      </c>
      <c r="C85" s="57" t="s">
        <v>276</v>
      </c>
      <c r="D85" s="42" t="s">
        <v>277</v>
      </c>
      <c r="E85" s="42" t="s">
        <v>112</v>
      </c>
      <c r="F85" s="42" t="s">
        <v>264</v>
      </c>
      <c r="G85" s="70">
        <v>15968120.59</v>
      </c>
      <c r="H85" s="70">
        <v>0</v>
      </c>
      <c r="I85" s="70">
        <v>198630.09999999998</v>
      </c>
      <c r="J85" s="70">
        <v>0</v>
      </c>
      <c r="K85" s="71">
        <v>0</v>
      </c>
      <c r="L85" s="71">
        <v>16166750.689999999</v>
      </c>
      <c r="M85" s="71">
        <v>0</v>
      </c>
      <c r="N85" s="70">
        <v>4161839.52</v>
      </c>
      <c r="O85" s="70">
        <v>855773.53</v>
      </c>
      <c r="P85" s="72">
        <v>2275450.9300000002</v>
      </c>
      <c r="Q85" s="70">
        <v>800</v>
      </c>
      <c r="R85" s="70">
        <v>893405.05</v>
      </c>
      <c r="S85" s="70">
        <v>4578098.22</v>
      </c>
      <c r="T85" s="70">
        <v>1483926.94</v>
      </c>
      <c r="U85" s="70">
        <v>0</v>
      </c>
      <c r="V85" s="70">
        <v>0</v>
      </c>
      <c r="W85" s="70">
        <v>578608.93000000005</v>
      </c>
      <c r="X85" s="71">
        <v>1579019.14</v>
      </c>
      <c r="Y85" s="71">
        <v>16406922.26</v>
      </c>
      <c r="Z85" s="61">
        <v>0.11650465623143193</v>
      </c>
      <c r="AA85" s="71">
        <v>1517482.96</v>
      </c>
      <c r="AB85" s="71">
        <v>0</v>
      </c>
      <c r="AC85" s="71">
        <v>0</v>
      </c>
      <c r="AD85" s="71">
        <v>0</v>
      </c>
      <c r="AE85" s="71">
        <v>0</v>
      </c>
      <c r="AF85" s="71">
        <f t="shared" si="38"/>
        <v>0</v>
      </c>
      <c r="AG85" s="71">
        <v>881838.07999999996</v>
      </c>
      <c r="AH85" s="70">
        <v>72764.639999999999</v>
      </c>
      <c r="AI85" s="70">
        <v>200520.78</v>
      </c>
      <c r="AJ85" s="71">
        <v>0</v>
      </c>
      <c r="AK85" s="70">
        <v>71623.350000000006</v>
      </c>
      <c r="AL85" s="70">
        <v>2327.56</v>
      </c>
      <c r="AM85" s="70">
        <v>41845.81</v>
      </c>
      <c r="AN85" s="70">
        <v>8000</v>
      </c>
      <c r="AO85" s="70">
        <v>0</v>
      </c>
      <c r="AP85" s="70">
        <v>0</v>
      </c>
      <c r="AQ85" s="70">
        <v>20988.82</v>
      </c>
      <c r="AR85" s="70">
        <v>9396.98</v>
      </c>
      <c r="AS85" s="70">
        <v>0</v>
      </c>
      <c r="AT85" s="70">
        <v>2531.88</v>
      </c>
      <c r="AU85" s="70">
        <v>19171.38</v>
      </c>
      <c r="AV85" s="70">
        <v>50078.12</v>
      </c>
      <c r="AW85" s="70">
        <v>1381087.4</v>
      </c>
      <c r="AX85" s="70">
        <v>0</v>
      </c>
      <c r="AY85" s="61">
        <f t="shared" si="39"/>
        <v>0</v>
      </c>
      <c r="AZ85" s="71">
        <v>0</v>
      </c>
      <c r="BA85" s="61">
        <v>9.503203282108981E-2</v>
      </c>
      <c r="BB85" s="70">
        <v>177592.84</v>
      </c>
      <c r="BC85" s="70">
        <v>1682767.56</v>
      </c>
      <c r="BD85" s="71">
        <v>244766</v>
      </c>
      <c r="BE85" s="71">
        <v>0</v>
      </c>
      <c r="BF85" s="71">
        <v>493297.14999999898</v>
      </c>
      <c r="BG85" s="71">
        <v>148025.299999999</v>
      </c>
      <c r="BH85" s="71">
        <v>0</v>
      </c>
      <c r="BI85" s="71">
        <v>0</v>
      </c>
      <c r="BJ85" s="71">
        <f t="shared" si="40"/>
        <v>0</v>
      </c>
      <c r="BK85" s="71">
        <v>0</v>
      </c>
      <c r="BL85" s="60">
        <v>1256</v>
      </c>
      <c r="BM85" s="60">
        <v>356</v>
      </c>
      <c r="BN85" s="59">
        <v>0</v>
      </c>
      <c r="BO85" s="59">
        <v>0</v>
      </c>
      <c r="BP85" s="59">
        <v>-6</v>
      </c>
      <c r="BQ85" s="59">
        <v>-22</v>
      </c>
      <c r="BR85" s="59">
        <v>-56</v>
      </c>
      <c r="BS85" s="59">
        <v>-127</v>
      </c>
      <c r="BT85" s="59">
        <v>0</v>
      </c>
      <c r="BU85" s="59">
        <v>0</v>
      </c>
      <c r="BV85" s="59">
        <v>5</v>
      </c>
      <c r="BW85" s="59">
        <v>-292</v>
      </c>
      <c r="BX85" s="59">
        <v>-2</v>
      </c>
      <c r="BY85" s="59">
        <v>1112</v>
      </c>
      <c r="BZ85" s="59">
        <v>7</v>
      </c>
      <c r="CA85" s="59">
        <v>9</v>
      </c>
      <c r="CB85" s="59">
        <v>85</v>
      </c>
      <c r="CC85" s="59">
        <v>27</v>
      </c>
      <c r="CD85" s="59">
        <v>135</v>
      </c>
      <c r="CE85" s="59">
        <v>44</v>
      </c>
      <c r="CF85" s="59">
        <v>1</v>
      </c>
    </row>
    <row r="86" spans="1:84" s="50" customFormat="1" ht="15.6" customHeight="1" x14ac:dyDescent="0.25">
      <c r="A86" s="42">
        <v>9</v>
      </c>
      <c r="B86" s="42" t="s">
        <v>278</v>
      </c>
      <c r="C86" s="57" t="s">
        <v>108</v>
      </c>
      <c r="D86" s="42" t="s">
        <v>279</v>
      </c>
      <c r="E86" s="42" t="s">
        <v>103</v>
      </c>
      <c r="F86" s="42" t="s">
        <v>268</v>
      </c>
      <c r="G86" s="70">
        <v>10396052.630000001</v>
      </c>
      <c r="H86" s="70">
        <v>4500</v>
      </c>
      <c r="I86" s="70">
        <v>223671.83</v>
      </c>
      <c r="J86" s="70">
        <v>0</v>
      </c>
      <c r="K86" s="71">
        <v>0</v>
      </c>
      <c r="L86" s="71">
        <v>10624224.460000001</v>
      </c>
      <c r="M86" s="71">
        <v>0</v>
      </c>
      <c r="N86" s="70">
        <v>192092.86</v>
      </c>
      <c r="O86" s="70">
        <v>381664.05</v>
      </c>
      <c r="P86" s="72">
        <v>3798689.67</v>
      </c>
      <c r="Q86" s="70">
        <v>7334.88</v>
      </c>
      <c r="R86" s="70">
        <v>353340.77</v>
      </c>
      <c r="S86" s="70">
        <v>3914244.67</v>
      </c>
      <c r="T86" s="70">
        <v>644110.26</v>
      </c>
      <c r="U86" s="70">
        <v>0</v>
      </c>
      <c r="V86" s="70">
        <v>0</v>
      </c>
      <c r="W86" s="70">
        <v>257714.89</v>
      </c>
      <c r="X86" s="71">
        <v>1022313.14</v>
      </c>
      <c r="Y86" s="71">
        <v>10571505.189999999</v>
      </c>
      <c r="Z86" s="61">
        <v>2.9494551002526775E-2</v>
      </c>
      <c r="AA86" s="71">
        <v>1022313.14</v>
      </c>
      <c r="AB86" s="71">
        <v>0</v>
      </c>
      <c r="AC86" s="71">
        <v>0</v>
      </c>
      <c r="AD86" s="71">
        <v>0</v>
      </c>
      <c r="AE86" s="71">
        <v>0</v>
      </c>
      <c r="AF86" s="71">
        <f t="shared" si="38"/>
        <v>0</v>
      </c>
      <c r="AG86" s="71">
        <v>537299.89</v>
      </c>
      <c r="AH86" s="70">
        <v>42989.99</v>
      </c>
      <c r="AI86" s="70">
        <v>84648.18</v>
      </c>
      <c r="AJ86" s="71">
        <v>0</v>
      </c>
      <c r="AK86" s="70">
        <v>68098.710000000006</v>
      </c>
      <c r="AL86" s="70">
        <v>4943.9399999999996</v>
      </c>
      <c r="AM86" s="70">
        <v>30688.45</v>
      </c>
      <c r="AN86" s="70">
        <v>8000</v>
      </c>
      <c r="AO86" s="70">
        <v>0</v>
      </c>
      <c r="AP86" s="70">
        <v>0</v>
      </c>
      <c r="AQ86" s="70">
        <v>26151.79</v>
      </c>
      <c r="AR86" s="70">
        <v>762.99</v>
      </c>
      <c r="AS86" s="70">
        <v>0</v>
      </c>
      <c r="AT86" s="70">
        <v>0</v>
      </c>
      <c r="AU86" s="70">
        <v>12000</v>
      </c>
      <c r="AV86" s="70">
        <v>27263.13</v>
      </c>
      <c r="AW86" s="70">
        <v>842847.07</v>
      </c>
      <c r="AX86" s="70">
        <v>0</v>
      </c>
      <c r="AY86" s="61">
        <f t="shared" si="39"/>
        <v>0</v>
      </c>
      <c r="AZ86" s="71">
        <v>0</v>
      </c>
      <c r="BA86" s="61">
        <v>9.833666453841336E-2</v>
      </c>
      <c r="BB86" s="70">
        <v>158971.44</v>
      </c>
      <c r="BC86" s="70">
        <v>147788.19</v>
      </c>
      <c r="BD86" s="71">
        <v>244766</v>
      </c>
      <c r="BE86" s="71">
        <v>5.8207660913467401E-11</v>
      </c>
      <c r="BF86" s="71">
        <v>227496.06000000099</v>
      </c>
      <c r="BG86" s="71">
        <v>16784.292500000502</v>
      </c>
      <c r="BH86" s="71">
        <v>0</v>
      </c>
      <c r="BI86" s="71">
        <v>0</v>
      </c>
      <c r="BJ86" s="71">
        <f t="shared" si="40"/>
        <v>0</v>
      </c>
      <c r="BK86" s="71">
        <v>0</v>
      </c>
      <c r="BL86" s="60">
        <v>1356</v>
      </c>
      <c r="BM86" s="60">
        <v>266</v>
      </c>
      <c r="BN86" s="59">
        <v>0</v>
      </c>
      <c r="BO86" s="59">
        <v>0</v>
      </c>
      <c r="BP86" s="59">
        <v>-2</v>
      </c>
      <c r="BQ86" s="59">
        <v>-25</v>
      </c>
      <c r="BR86" s="59">
        <v>-38</v>
      </c>
      <c r="BS86" s="59">
        <v>-111</v>
      </c>
      <c r="BT86" s="59">
        <v>0</v>
      </c>
      <c r="BU86" s="59">
        <v>0</v>
      </c>
      <c r="BV86" s="59">
        <v>0</v>
      </c>
      <c r="BW86" s="59">
        <v>-299</v>
      </c>
      <c r="BX86" s="59">
        <v>0</v>
      </c>
      <c r="BY86" s="59">
        <v>1147</v>
      </c>
      <c r="BZ86" s="59">
        <v>2</v>
      </c>
      <c r="CA86" s="59">
        <v>2</v>
      </c>
      <c r="CB86" s="59">
        <v>85</v>
      </c>
      <c r="CC86" s="59">
        <v>29</v>
      </c>
      <c r="CD86" s="59">
        <v>158</v>
      </c>
      <c r="CE86" s="59">
        <v>4</v>
      </c>
      <c r="CF86" s="59">
        <v>0</v>
      </c>
    </row>
    <row r="87" spans="1:84" s="50" customFormat="1" ht="15.6" customHeight="1" x14ac:dyDescent="0.25">
      <c r="A87" s="42">
        <v>9</v>
      </c>
      <c r="B87" s="38" t="s">
        <v>523</v>
      </c>
      <c r="C87" s="54" t="s">
        <v>525</v>
      </c>
      <c r="D87" s="40" t="s">
        <v>291</v>
      </c>
      <c r="E87" s="40" t="s">
        <v>103</v>
      </c>
      <c r="F87" s="40" t="s">
        <v>268</v>
      </c>
      <c r="G87" s="70">
        <v>36703190.600000001</v>
      </c>
      <c r="H87" s="70">
        <v>1157866.27</v>
      </c>
      <c r="I87" s="70">
        <v>0</v>
      </c>
      <c r="J87" s="70">
        <v>0</v>
      </c>
      <c r="K87" s="71">
        <v>0</v>
      </c>
      <c r="L87" s="71">
        <v>37861056.869999997</v>
      </c>
      <c r="M87" s="71">
        <v>0</v>
      </c>
      <c r="N87" s="70">
        <v>9383100.8900000006</v>
      </c>
      <c r="O87" s="70">
        <v>2211338.13</v>
      </c>
      <c r="P87" s="72">
        <v>9954393.4499999993</v>
      </c>
      <c r="Q87" s="70">
        <v>2729.73</v>
      </c>
      <c r="R87" s="70">
        <v>1562385.08</v>
      </c>
      <c r="S87" s="70">
        <v>10208396.390000001</v>
      </c>
      <c r="T87" s="70">
        <v>1429097.88</v>
      </c>
      <c r="U87" s="70">
        <v>0</v>
      </c>
      <c r="V87" s="70">
        <v>0</v>
      </c>
      <c r="W87" s="70">
        <v>1385302.95</v>
      </c>
      <c r="X87" s="71">
        <v>1511878.83</v>
      </c>
      <c r="Y87" s="71">
        <v>37648623.329999998</v>
      </c>
      <c r="Z87" s="61">
        <v>2.9836313177381994E-2</v>
      </c>
      <c r="AA87" s="71">
        <v>1509142.83</v>
      </c>
      <c r="AB87" s="71">
        <v>0</v>
      </c>
      <c r="AC87" s="71">
        <v>0</v>
      </c>
      <c r="AD87" s="71">
        <v>0</v>
      </c>
      <c r="AE87" s="71">
        <v>0</v>
      </c>
      <c r="AF87" s="71">
        <f t="shared" si="38"/>
        <v>0</v>
      </c>
      <c r="AG87" s="71">
        <v>1037340.36</v>
      </c>
      <c r="AH87" s="70">
        <v>78952.86</v>
      </c>
      <c r="AI87" s="70">
        <v>223556.4</v>
      </c>
      <c r="AJ87" s="71">
        <v>0</v>
      </c>
      <c r="AK87" s="70">
        <v>239607.58</v>
      </c>
      <c r="AL87" s="70">
        <v>11448.64</v>
      </c>
      <c r="AM87" s="70">
        <v>111688.17</v>
      </c>
      <c r="AN87" s="70">
        <v>8000</v>
      </c>
      <c r="AO87" s="70">
        <v>0</v>
      </c>
      <c r="AP87" s="70">
        <v>0</v>
      </c>
      <c r="AQ87" s="70">
        <v>37535.410000000003</v>
      </c>
      <c r="AR87" s="70">
        <v>23285.82</v>
      </c>
      <c r="AS87" s="70">
        <v>1695</v>
      </c>
      <c r="AT87" s="70">
        <v>13256.05</v>
      </c>
      <c r="AU87" s="70">
        <v>62279.06</v>
      </c>
      <c r="AV87" s="70">
        <v>53159.299999999996</v>
      </c>
      <c r="AW87" s="70">
        <v>1901804.65</v>
      </c>
      <c r="AX87" s="70">
        <v>0</v>
      </c>
      <c r="AY87" s="61">
        <f t="shared" si="39"/>
        <v>0</v>
      </c>
      <c r="AZ87" s="71">
        <v>0</v>
      </c>
      <c r="BA87" s="61">
        <v>4.1117483393936873E-2</v>
      </c>
      <c r="BB87" s="70">
        <v>582544.44999999995</v>
      </c>
      <c r="BC87" s="70">
        <v>547089.9</v>
      </c>
      <c r="BD87" s="71">
        <v>241806.96</v>
      </c>
      <c r="BE87" s="71">
        <v>2.91038304567337E-11</v>
      </c>
      <c r="BF87" s="71">
        <v>1440277.45</v>
      </c>
      <c r="BG87" s="71">
        <v>964826.28749999905</v>
      </c>
      <c r="BH87" s="71">
        <v>0</v>
      </c>
      <c r="BI87" s="71">
        <v>0</v>
      </c>
      <c r="BJ87" s="71">
        <f t="shared" si="40"/>
        <v>0</v>
      </c>
      <c r="BK87" s="71">
        <v>0</v>
      </c>
      <c r="BL87" s="60">
        <v>3339</v>
      </c>
      <c r="BM87" s="60">
        <v>964</v>
      </c>
      <c r="BN87" s="59">
        <v>36</v>
      </c>
      <c r="BO87" s="59">
        <v>-10</v>
      </c>
      <c r="BP87" s="59">
        <v>-31</v>
      </c>
      <c r="BQ87" s="59">
        <v>-86</v>
      </c>
      <c r="BR87" s="59">
        <v>-211</v>
      </c>
      <c r="BS87" s="59">
        <v>-413</v>
      </c>
      <c r="BT87" s="59">
        <v>0</v>
      </c>
      <c r="BU87" s="59">
        <v>0</v>
      </c>
      <c r="BV87" s="59">
        <v>0</v>
      </c>
      <c r="BW87" s="59">
        <v>-571</v>
      </c>
      <c r="BX87" s="59">
        <v>-1</v>
      </c>
      <c r="BY87" s="59">
        <v>3016</v>
      </c>
      <c r="BZ87" s="59">
        <v>36</v>
      </c>
      <c r="CA87" s="59">
        <v>167</v>
      </c>
      <c r="CB87" s="59">
        <v>267</v>
      </c>
      <c r="CC87" s="59">
        <v>54</v>
      </c>
      <c r="CD87" s="59">
        <v>178</v>
      </c>
      <c r="CE87" s="59">
        <v>72</v>
      </c>
      <c r="CF87" s="59">
        <v>2</v>
      </c>
    </row>
    <row r="88" spans="1:84" s="50" customFormat="1" ht="15.6" customHeight="1" x14ac:dyDescent="0.25">
      <c r="A88" s="42">
        <v>9</v>
      </c>
      <c r="B88" s="42" t="s">
        <v>550</v>
      </c>
      <c r="C88" s="57" t="s">
        <v>88</v>
      </c>
      <c r="D88" s="42" t="s">
        <v>280</v>
      </c>
      <c r="E88" s="42" t="s">
        <v>117</v>
      </c>
      <c r="F88" s="42" t="s">
        <v>268</v>
      </c>
      <c r="G88" s="70">
        <v>32663003.09</v>
      </c>
      <c r="H88" s="70">
        <v>0</v>
      </c>
      <c r="I88" s="70">
        <v>1769897.82</v>
      </c>
      <c r="J88" s="70">
        <v>31197.82</v>
      </c>
      <c r="K88" s="71">
        <v>0</v>
      </c>
      <c r="L88" s="71">
        <v>34464098.729999997</v>
      </c>
      <c r="M88" s="71">
        <v>389972.94</v>
      </c>
      <c r="N88" s="70">
        <v>8698499.25</v>
      </c>
      <c r="O88" s="70">
        <v>1539379.28</v>
      </c>
      <c r="P88" s="72">
        <v>9215480.5199999996</v>
      </c>
      <c r="Q88" s="70">
        <v>23829.91</v>
      </c>
      <c r="R88" s="70">
        <v>1203320.0900000001</v>
      </c>
      <c r="S88" s="70">
        <v>7352345.1900000004</v>
      </c>
      <c r="T88" s="70">
        <v>1609245.9</v>
      </c>
      <c r="U88" s="70">
        <v>0</v>
      </c>
      <c r="V88" s="70">
        <v>0</v>
      </c>
      <c r="W88" s="70">
        <v>2158918.62</v>
      </c>
      <c r="X88" s="71">
        <v>2644554.31</v>
      </c>
      <c r="Y88" s="71">
        <v>34445573.07</v>
      </c>
      <c r="Z88" s="61">
        <v>0.14306831913537962</v>
      </c>
      <c r="AA88" s="71">
        <v>2644554.31</v>
      </c>
      <c r="AB88" s="71">
        <v>0</v>
      </c>
      <c r="AC88" s="71">
        <v>0</v>
      </c>
      <c r="AD88" s="71">
        <v>0</v>
      </c>
      <c r="AE88" s="71">
        <v>0</v>
      </c>
      <c r="AF88" s="71">
        <f t="shared" si="38"/>
        <v>0</v>
      </c>
      <c r="AG88" s="71">
        <v>1326585.26</v>
      </c>
      <c r="AH88" s="70">
        <v>96792.05</v>
      </c>
      <c r="AI88" s="70">
        <v>345036.44</v>
      </c>
      <c r="AJ88" s="71">
        <v>0</v>
      </c>
      <c r="AK88" s="70">
        <v>203765.48</v>
      </c>
      <c r="AL88" s="70">
        <v>27280.34</v>
      </c>
      <c r="AM88" s="70">
        <v>87508.59</v>
      </c>
      <c r="AN88" s="70">
        <v>8000</v>
      </c>
      <c r="AO88" s="70">
        <v>6184.38</v>
      </c>
      <c r="AP88" s="70">
        <v>8635.24</v>
      </c>
      <c r="AQ88" s="70">
        <v>89341.81</v>
      </c>
      <c r="AR88" s="70">
        <v>30431.77</v>
      </c>
      <c r="AS88" s="70">
        <v>1935</v>
      </c>
      <c r="AT88" s="70">
        <v>106116.56</v>
      </c>
      <c r="AU88" s="70">
        <v>43511.39</v>
      </c>
      <c r="AV88" s="70">
        <v>96979.520000000004</v>
      </c>
      <c r="AW88" s="70">
        <v>2478103.83</v>
      </c>
      <c r="AX88" s="70">
        <v>0</v>
      </c>
      <c r="AY88" s="61">
        <f t="shared" si="39"/>
        <v>0</v>
      </c>
      <c r="AZ88" s="71">
        <v>0</v>
      </c>
      <c r="BA88" s="61">
        <v>8.0009567295837844E-2</v>
      </c>
      <c r="BB88" s="70">
        <v>321334.55</v>
      </c>
      <c r="BC88" s="70">
        <v>4351706.4000000004</v>
      </c>
      <c r="BD88" s="71">
        <v>241807</v>
      </c>
      <c r="BE88" s="71">
        <v>0</v>
      </c>
      <c r="BF88" s="71">
        <v>1635932.35</v>
      </c>
      <c r="BG88" s="71">
        <v>1016406.3925</v>
      </c>
      <c r="BH88" s="71">
        <v>0</v>
      </c>
      <c r="BI88" s="71">
        <v>0</v>
      </c>
      <c r="BJ88" s="71">
        <f t="shared" si="40"/>
        <v>0</v>
      </c>
      <c r="BK88" s="71">
        <v>0</v>
      </c>
      <c r="BL88" s="60">
        <v>3084</v>
      </c>
      <c r="BM88" s="60">
        <v>558</v>
      </c>
      <c r="BN88" s="59">
        <v>1</v>
      </c>
      <c r="BO88" s="59">
        <v>0</v>
      </c>
      <c r="BP88" s="59">
        <v>-10</v>
      </c>
      <c r="BQ88" s="59">
        <v>-33</v>
      </c>
      <c r="BR88" s="59">
        <v>-39</v>
      </c>
      <c r="BS88" s="59">
        <v>-210</v>
      </c>
      <c r="BT88" s="59">
        <v>0</v>
      </c>
      <c r="BU88" s="59">
        <v>-1</v>
      </c>
      <c r="BV88" s="59">
        <v>8</v>
      </c>
      <c r="BW88" s="59">
        <v>-559</v>
      </c>
      <c r="BX88" s="59">
        <v>0</v>
      </c>
      <c r="BY88" s="59">
        <v>2799</v>
      </c>
      <c r="BZ88" s="59">
        <v>82</v>
      </c>
      <c r="CA88" s="59">
        <v>0</v>
      </c>
      <c r="CB88" s="59">
        <v>88</v>
      </c>
      <c r="CC88" s="59">
        <v>40</v>
      </c>
      <c r="CD88" s="59">
        <v>340</v>
      </c>
      <c r="CE88" s="59">
        <v>86</v>
      </c>
      <c r="CF88" s="59">
        <v>5</v>
      </c>
    </row>
    <row r="89" spans="1:84" s="50" customFormat="1" ht="15.6" customHeight="1" x14ac:dyDescent="0.25">
      <c r="A89" s="42">
        <v>9</v>
      </c>
      <c r="B89" s="38" t="s">
        <v>281</v>
      </c>
      <c r="C89" s="54" t="s">
        <v>165</v>
      </c>
      <c r="D89" s="40" t="s">
        <v>282</v>
      </c>
      <c r="E89" s="40" t="s">
        <v>106</v>
      </c>
      <c r="F89" s="40" t="s">
        <v>264</v>
      </c>
      <c r="G89" s="70">
        <v>16715851.560000001</v>
      </c>
      <c r="H89" s="70">
        <v>9455.43</v>
      </c>
      <c r="I89" s="70">
        <v>945241.72</v>
      </c>
      <c r="J89" s="70">
        <v>0</v>
      </c>
      <c r="K89" s="71">
        <v>0</v>
      </c>
      <c r="L89" s="71">
        <v>17670548.710000001</v>
      </c>
      <c r="M89" s="71">
        <v>0</v>
      </c>
      <c r="N89" s="70">
        <v>5177395.09</v>
      </c>
      <c r="O89" s="70">
        <v>584800.84</v>
      </c>
      <c r="P89" s="72">
        <v>3940254.58</v>
      </c>
      <c r="Q89" s="70">
        <v>0</v>
      </c>
      <c r="R89" s="70">
        <v>747554.75</v>
      </c>
      <c r="S89" s="70">
        <v>3498770.22</v>
      </c>
      <c r="T89" s="70">
        <v>1685621.5</v>
      </c>
      <c r="U89" s="70">
        <v>0</v>
      </c>
      <c r="V89" s="70">
        <v>0</v>
      </c>
      <c r="W89" s="70">
        <v>955219.69</v>
      </c>
      <c r="X89" s="71">
        <v>1126277.6499999999</v>
      </c>
      <c r="Y89" s="71">
        <v>17715894.32</v>
      </c>
      <c r="Z89" s="61">
        <v>2.6165944234187059E-2</v>
      </c>
      <c r="AA89" s="71">
        <v>1124010.27</v>
      </c>
      <c r="AB89" s="71">
        <v>0</v>
      </c>
      <c r="AC89" s="71">
        <v>0</v>
      </c>
      <c r="AD89" s="71">
        <v>0</v>
      </c>
      <c r="AE89" s="71">
        <v>0</v>
      </c>
      <c r="AF89" s="71">
        <f t="shared" si="38"/>
        <v>0</v>
      </c>
      <c r="AG89" s="71">
        <v>453721.1</v>
      </c>
      <c r="AH89" s="70">
        <v>35187.11</v>
      </c>
      <c r="AI89" s="70">
        <v>90837.3</v>
      </c>
      <c r="AJ89" s="71">
        <v>323.73</v>
      </c>
      <c r="AK89" s="70">
        <v>28512</v>
      </c>
      <c r="AL89" s="70">
        <v>4668.0600000000004</v>
      </c>
      <c r="AM89" s="70">
        <v>97918.07</v>
      </c>
      <c r="AN89" s="70">
        <v>8000</v>
      </c>
      <c r="AO89" s="70">
        <v>-10974.07</v>
      </c>
      <c r="AP89" s="70">
        <v>0</v>
      </c>
      <c r="AQ89" s="70">
        <v>37194.54</v>
      </c>
      <c r="AR89" s="70">
        <v>2684.55</v>
      </c>
      <c r="AS89" s="70">
        <v>0</v>
      </c>
      <c r="AT89" s="70">
        <v>5573.11</v>
      </c>
      <c r="AU89" s="70">
        <v>30387.33</v>
      </c>
      <c r="AV89" s="70">
        <v>33460.21</v>
      </c>
      <c r="AW89" s="70">
        <v>817493.04</v>
      </c>
      <c r="AX89" s="70">
        <v>0</v>
      </c>
      <c r="AY89" s="61">
        <f t="shared" si="39"/>
        <v>0</v>
      </c>
      <c r="AZ89" s="71">
        <v>1383.16</v>
      </c>
      <c r="BA89" s="61">
        <v>6.7242178238151332E-2</v>
      </c>
      <c r="BB89" s="70">
        <v>112489.43</v>
      </c>
      <c r="BC89" s="70">
        <v>325144.02</v>
      </c>
      <c r="BD89" s="71">
        <v>244766</v>
      </c>
      <c r="BE89" s="71">
        <v>5.8207660913467401E-11</v>
      </c>
      <c r="BF89" s="71">
        <v>204613.92</v>
      </c>
      <c r="BG89" s="71">
        <v>240.65999999991601</v>
      </c>
      <c r="BH89" s="71">
        <v>0</v>
      </c>
      <c r="BI89" s="71">
        <v>0</v>
      </c>
      <c r="BJ89" s="71">
        <f t="shared" si="40"/>
        <v>0</v>
      </c>
      <c r="BK89" s="71">
        <v>0</v>
      </c>
      <c r="BL89" s="60">
        <v>1804</v>
      </c>
      <c r="BM89" s="60">
        <v>365</v>
      </c>
      <c r="BN89" s="59">
        <v>8</v>
      </c>
      <c r="BO89" s="59">
        <v>-8</v>
      </c>
      <c r="BP89" s="59">
        <v>-11</v>
      </c>
      <c r="BQ89" s="59">
        <v>-28</v>
      </c>
      <c r="BR89" s="59">
        <v>-36</v>
      </c>
      <c r="BS89" s="59">
        <v>-123</v>
      </c>
      <c r="BT89" s="59">
        <v>1</v>
      </c>
      <c r="BU89" s="59">
        <v>0</v>
      </c>
      <c r="BV89" s="59">
        <v>4</v>
      </c>
      <c r="BW89" s="59">
        <v>-340</v>
      </c>
      <c r="BX89" s="59">
        <v>-14</v>
      </c>
      <c r="BY89" s="59">
        <v>1622</v>
      </c>
      <c r="BZ89" s="59">
        <v>45</v>
      </c>
      <c r="CA89" s="59">
        <v>99</v>
      </c>
      <c r="CB89" s="59">
        <v>52</v>
      </c>
      <c r="CC89" s="59">
        <v>32</v>
      </c>
      <c r="CD89" s="59">
        <v>255</v>
      </c>
      <c r="CE89" s="59">
        <v>2</v>
      </c>
      <c r="CF89" s="59">
        <v>0</v>
      </c>
    </row>
    <row r="90" spans="1:84" s="50" customFormat="1" ht="15.6" customHeight="1" x14ac:dyDescent="0.25">
      <c r="A90" s="42">
        <v>9</v>
      </c>
      <c r="B90" s="42" t="s">
        <v>283</v>
      </c>
      <c r="C90" s="58" t="s">
        <v>284</v>
      </c>
      <c r="D90" s="42" t="s">
        <v>285</v>
      </c>
      <c r="E90" s="42" t="s">
        <v>112</v>
      </c>
      <c r="F90" s="42" t="s">
        <v>264</v>
      </c>
      <c r="G90" s="70">
        <v>17303347.809999999</v>
      </c>
      <c r="H90" s="70">
        <v>0</v>
      </c>
      <c r="I90" s="70">
        <v>377939.10000000003</v>
      </c>
      <c r="J90" s="70">
        <v>0</v>
      </c>
      <c r="K90" s="71">
        <v>0</v>
      </c>
      <c r="L90" s="71">
        <v>17681286.91</v>
      </c>
      <c r="M90" s="71">
        <v>0</v>
      </c>
      <c r="N90" s="70">
        <v>5316210.1500000004</v>
      </c>
      <c r="O90" s="70">
        <v>787022.94</v>
      </c>
      <c r="P90" s="72">
        <v>3017697.71</v>
      </c>
      <c r="Q90" s="70">
        <v>2686.3</v>
      </c>
      <c r="R90" s="70">
        <v>913915.46</v>
      </c>
      <c r="S90" s="70">
        <v>4546193.9800000004</v>
      </c>
      <c r="T90" s="70">
        <v>1317634.1299999999</v>
      </c>
      <c r="U90" s="70">
        <v>0</v>
      </c>
      <c r="V90" s="70">
        <v>0</v>
      </c>
      <c r="W90" s="70">
        <v>508667.13</v>
      </c>
      <c r="X90" s="71">
        <v>1349681.59</v>
      </c>
      <c r="Y90" s="71">
        <v>17759709.390000001</v>
      </c>
      <c r="Z90" s="61">
        <v>0.12734200480710328</v>
      </c>
      <c r="AA90" s="71">
        <v>1294127.8500000001</v>
      </c>
      <c r="AB90" s="71">
        <v>0</v>
      </c>
      <c r="AC90" s="71">
        <v>0</v>
      </c>
      <c r="AD90" s="71">
        <v>0</v>
      </c>
      <c r="AE90" s="71">
        <v>0</v>
      </c>
      <c r="AF90" s="71">
        <f t="shared" si="38"/>
        <v>0</v>
      </c>
      <c r="AG90" s="71">
        <v>582590.94999999995</v>
      </c>
      <c r="AH90" s="70">
        <v>44009.14</v>
      </c>
      <c r="AI90" s="70">
        <v>134182.97</v>
      </c>
      <c r="AJ90" s="71">
        <v>0</v>
      </c>
      <c r="AK90" s="70">
        <v>74492.789999999994</v>
      </c>
      <c r="AL90" s="70">
        <v>974.26</v>
      </c>
      <c r="AM90" s="70">
        <v>87726.54</v>
      </c>
      <c r="AN90" s="70">
        <v>8000</v>
      </c>
      <c r="AO90" s="70">
        <v>0</v>
      </c>
      <c r="AP90" s="70">
        <v>41.84</v>
      </c>
      <c r="AQ90" s="70">
        <v>21869.01</v>
      </c>
      <c r="AR90" s="70">
        <v>14101.49</v>
      </c>
      <c r="AS90" s="70">
        <v>0</v>
      </c>
      <c r="AT90" s="70">
        <v>4708.6099999999997</v>
      </c>
      <c r="AU90" s="70">
        <v>52973.4</v>
      </c>
      <c r="AV90" s="70">
        <v>31239.93</v>
      </c>
      <c r="AW90" s="70">
        <v>1056910.93</v>
      </c>
      <c r="AX90" s="70">
        <v>0</v>
      </c>
      <c r="AY90" s="61">
        <f t="shared" si="39"/>
        <v>0</v>
      </c>
      <c r="AZ90" s="71">
        <v>0</v>
      </c>
      <c r="BA90" s="61">
        <v>7.4790604928607757E-2</v>
      </c>
      <c r="BB90" s="70">
        <v>234290.98</v>
      </c>
      <c r="BC90" s="70">
        <v>1969152.02</v>
      </c>
      <c r="BD90" s="71">
        <v>244766</v>
      </c>
      <c r="BE90" s="71">
        <v>0</v>
      </c>
      <c r="BF90" s="71">
        <v>529068.93999999994</v>
      </c>
      <c r="BG90" s="71">
        <v>264841.20750000002</v>
      </c>
      <c r="BH90" s="71">
        <v>0</v>
      </c>
      <c r="BI90" s="71">
        <v>0</v>
      </c>
      <c r="BJ90" s="71">
        <f t="shared" si="40"/>
        <v>0</v>
      </c>
      <c r="BK90" s="71">
        <v>0</v>
      </c>
      <c r="BL90" s="60">
        <v>1511</v>
      </c>
      <c r="BM90" s="60">
        <v>328</v>
      </c>
      <c r="BN90" s="59">
        <v>0</v>
      </c>
      <c r="BO90" s="59">
        <v>0</v>
      </c>
      <c r="BP90" s="59">
        <v>-5</v>
      </c>
      <c r="BQ90" s="59">
        <v>-20</v>
      </c>
      <c r="BR90" s="59">
        <v>-54</v>
      </c>
      <c r="BS90" s="59">
        <v>-80</v>
      </c>
      <c r="BT90" s="59">
        <v>3</v>
      </c>
      <c r="BU90" s="59">
        <v>0</v>
      </c>
      <c r="BV90" s="59">
        <v>32</v>
      </c>
      <c r="BW90" s="59">
        <v>-377</v>
      </c>
      <c r="BX90" s="59">
        <v>0</v>
      </c>
      <c r="BY90" s="59">
        <v>1338</v>
      </c>
      <c r="BZ90" s="59">
        <v>8</v>
      </c>
      <c r="CA90" s="59">
        <v>100</v>
      </c>
      <c r="CB90" s="59">
        <v>105</v>
      </c>
      <c r="CC90" s="59">
        <v>29</v>
      </c>
      <c r="CD90" s="59">
        <v>192</v>
      </c>
      <c r="CE90" s="59">
        <v>50</v>
      </c>
      <c r="CF90" s="59">
        <v>1</v>
      </c>
    </row>
    <row r="91" spans="1:84" s="50" customFormat="1" ht="15.6" customHeight="1" x14ac:dyDescent="0.25">
      <c r="A91" s="42">
        <v>9</v>
      </c>
      <c r="B91" s="42" t="s">
        <v>287</v>
      </c>
      <c r="C91" s="57" t="s">
        <v>206</v>
      </c>
      <c r="D91" s="42" t="s">
        <v>288</v>
      </c>
      <c r="E91" s="42" t="s">
        <v>103</v>
      </c>
      <c r="F91" s="42" t="s">
        <v>268</v>
      </c>
      <c r="G91" s="70">
        <v>20037014.460000001</v>
      </c>
      <c r="H91" s="70">
        <v>0</v>
      </c>
      <c r="I91" s="70">
        <v>416996.76</v>
      </c>
      <c r="J91" s="70">
        <v>0</v>
      </c>
      <c r="K91" s="71">
        <v>0</v>
      </c>
      <c r="L91" s="71">
        <v>20454011.219999999</v>
      </c>
      <c r="M91" s="71">
        <v>0</v>
      </c>
      <c r="N91" s="70">
        <v>5411740.3600000003</v>
      </c>
      <c r="O91" s="70">
        <v>1001226.25</v>
      </c>
      <c r="P91" s="72">
        <v>4051089.35</v>
      </c>
      <c r="Q91" s="70">
        <v>0</v>
      </c>
      <c r="R91" s="70">
        <v>757845.09</v>
      </c>
      <c r="S91" s="70">
        <v>5417769.9100000001</v>
      </c>
      <c r="T91" s="70">
        <v>1060564.55</v>
      </c>
      <c r="U91" s="70">
        <v>0</v>
      </c>
      <c r="V91" s="70">
        <v>0</v>
      </c>
      <c r="W91" s="70">
        <v>847606.71</v>
      </c>
      <c r="X91" s="71">
        <v>1709709.0399999998</v>
      </c>
      <c r="Y91" s="71">
        <v>20257551.260000002</v>
      </c>
      <c r="Z91" s="61">
        <v>7.2275509053059295E-2</v>
      </c>
      <c r="AA91" s="71">
        <v>1702681.4</v>
      </c>
      <c r="AB91" s="71">
        <v>0</v>
      </c>
      <c r="AC91" s="71">
        <v>0</v>
      </c>
      <c r="AD91" s="71">
        <v>0</v>
      </c>
      <c r="AE91" s="71">
        <v>0</v>
      </c>
      <c r="AF91" s="71">
        <f t="shared" si="38"/>
        <v>0</v>
      </c>
      <c r="AG91" s="71">
        <v>690979.82</v>
      </c>
      <c r="AH91" s="70">
        <v>53706.46</v>
      </c>
      <c r="AI91" s="70">
        <v>205492.84</v>
      </c>
      <c r="AJ91" s="71">
        <v>0</v>
      </c>
      <c r="AK91" s="70">
        <v>92976</v>
      </c>
      <c r="AL91" s="70">
        <v>7871.27</v>
      </c>
      <c r="AM91" s="70">
        <v>77983.240000000005</v>
      </c>
      <c r="AN91" s="70">
        <v>8000</v>
      </c>
      <c r="AO91" s="70">
        <v>1500</v>
      </c>
      <c r="AP91" s="70">
        <v>12800</v>
      </c>
      <c r="AQ91" s="70">
        <v>17102.650000000001</v>
      </c>
      <c r="AR91" s="70">
        <v>16045.41</v>
      </c>
      <c r="AS91" s="70">
        <v>3360</v>
      </c>
      <c r="AT91" s="70">
        <v>3271.95</v>
      </c>
      <c r="AU91" s="70">
        <v>36606.699999999997</v>
      </c>
      <c r="AV91" s="70">
        <v>85518.1</v>
      </c>
      <c r="AW91" s="70">
        <v>1313214.44</v>
      </c>
      <c r="AX91" s="70">
        <v>0</v>
      </c>
      <c r="AY91" s="61">
        <f t="shared" si="39"/>
        <v>0</v>
      </c>
      <c r="AZ91" s="71">
        <v>0</v>
      </c>
      <c r="BA91" s="61">
        <v>8.4976801479036301E-2</v>
      </c>
      <c r="BB91" s="70">
        <v>0</v>
      </c>
      <c r="BC91" s="70">
        <v>1448185.42</v>
      </c>
      <c r="BD91" s="71">
        <v>244766</v>
      </c>
      <c r="BE91" s="71">
        <v>0</v>
      </c>
      <c r="BF91" s="71">
        <v>1122216.48</v>
      </c>
      <c r="BG91" s="71">
        <v>793912.87</v>
      </c>
      <c r="BH91" s="71">
        <v>0</v>
      </c>
      <c r="BI91" s="71">
        <v>0</v>
      </c>
      <c r="BJ91" s="71">
        <f t="shared" si="40"/>
        <v>0</v>
      </c>
      <c r="BK91" s="71">
        <v>0</v>
      </c>
      <c r="BL91" s="60">
        <v>2041</v>
      </c>
      <c r="BM91" s="60">
        <v>388</v>
      </c>
      <c r="BN91" s="59">
        <v>14</v>
      </c>
      <c r="BO91" s="59">
        <v>-15</v>
      </c>
      <c r="BP91" s="59">
        <v>-6</v>
      </c>
      <c r="BQ91" s="59">
        <v>-40</v>
      </c>
      <c r="BR91" s="59">
        <v>-76</v>
      </c>
      <c r="BS91" s="59">
        <v>-105</v>
      </c>
      <c r="BT91" s="59">
        <v>5</v>
      </c>
      <c r="BU91" s="59">
        <v>-2</v>
      </c>
      <c r="BV91" s="59">
        <v>0</v>
      </c>
      <c r="BW91" s="59">
        <v>-403</v>
      </c>
      <c r="BX91" s="59">
        <v>-7</v>
      </c>
      <c r="BY91" s="59">
        <v>1794</v>
      </c>
      <c r="BZ91" s="59">
        <v>66</v>
      </c>
      <c r="CA91" s="59">
        <v>133</v>
      </c>
      <c r="CB91" s="59">
        <v>95</v>
      </c>
      <c r="CC91" s="59">
        <v>44</v>
      </c>
      <c r="CD91" s="59">
        <v>244</v>
      </c>
      <c r="CE91" s="59">
        <v>15</v>
      </c>
      <c r="CF91" s="59">
        <v>5</v>
      </c>
    </row>
    <row r="92" spans="1:84" s="50" customFormat="1" ht="15.6" customHeight="1" x14ac:dyDescent="0.25">
      <c r="A92" s="42">
        <v>9</v>
      </c>
      <c r="B92" s="42" t="s">
        <v>289</v>
      </c>
      <c r="C92" s="57" t="s">
        <v>241</v>
      </c>
      <c r="D92" s="42" t="s">
        <v>290</v>
      </c>
      <c r="E92" s="42" t="s">
        <v>106</v>
      </c>
      <c r="F92" s="42" t="s">
        <v>264</v>
      </c>
      <c r="G92" s="70">
        <v>36094205.57</v>
      </c>
      <c r="H92" s="70">
        <v>0</v>
      </c>
      <c r="I92" s="70">
        <v>1130521.93</v>
      </c>
      <c r="J92" s="70">
        <v>0</v>
      </c>
      <c r="K92" s="71">
        <v>0</v>
      </c>
      <c r="L92" s="71">
        <v>37224727.5</v>
      </c>
      <c r="M92" s="71">
        <v>0</v>
      </c>
      <c r="N92" s="70">
        <v>10215673.26</v>
      </c>
      <c r="O92" s="70">
        <v>1237505.02</v>
      </c>
      <c r="P92" s="72">
        <v>5126135.16</v>
      </c>
      <c r="Q92" s="70">
        <v>0</v>
      </c>
      <c r="R92" s="70">
        <v>1574049.75</v>
      </c>
      <c r="S92" s="70">
        <v>9752663.9100000001</v>
      </c>
      <c r="T92" s="70">
        <v>4297683.37</v>
      </c>
      <c r="U92" s="70">
        <v>0</v>
      </c>
      <c r="V92" s="70">
        <v>0</v>
      </c>
      <c r="W92" s="70">
        <v>1203448.71</v>
      </c>
      <c r="X92" s="71">
        <v>3251705.31</v>
      </c>
      <c r="Y92" s="71">
        <v>36658864.490000002</v>
      </c>
      <c r="Z92" s="61">
        <v>0.12317816557501227</v>
      </c>
      <c r="AA92" s="71">
        <v>3248902.81</v>
      </c>
      <c r="AB92" s="71">
        <v>0</v>
      </c>
      <c r="AC92" s="71">
        <v>0</v>
      </c>
      <c r="AD92" s="71">
        <v>0</v>
      </c>
      <c r="AE92" s="71">
        <v>0</v>
      </c>
      <c r="AF92" s="71">
        <f t="shared" si="38"/>
        <v>0</v>
      </c>
      <c r="AG92" s="71">
        <v>1571479.31</v>
      </c>
      <c r="AH92" s="70">
        <v>122305.68</v>
      </c>
      <c r="AI92" s="70">
        <v>369823.67</v>
      </c>
      <c r="AJ92" s="71">
        <v>2782.9</v>
      </c>
      <c r="AK92" s="70">
        <v>228867.47</v>
      </c>
      <c r="AL92" s="70">
        <v>6117.79</v>
      </c>
      <c r="AM92" s="70">
        <v>94167.3</v>
      </c>
      <c r="AN92" s="70">
        <v>8000</v>
      </c>
      <c r="AO92" s="70">
        <v>7625.45</v>
      </c>
      <c r="AP92" s="70">
        <v>33094.379999999997</v>
      </c>
      <c r="AQ92" s="70">
        <v>63542.58</v>
      </c>
      <c r="AR92" s="70">
        <v>4224.78</v>
      </c>
      <c r="AS92" s="70">
        <v>0</v>
      </c>
      <c r="AT92" s="70">
        <v>24000.92</v>
      </c>
      <c r="AU92" s="70">
        <v>149959.51999999999</v>
      </c>
      <c r="AV92" s="70">
        <v>96221.53</v>
      </c>
      <c r="AW92" s="70">
        <v>2782213.28</v>
      </c>
      <c r="AX92" s="70">
        <v>12230.51</v>
      </c>
      <c r="AY92" s="61">
        <f t="shared" si="39"/>
        <v>4.3959642087539746E-3</v>
      </c>
      <c r="AZ92" s="71">
        <v>0</v>
      </c>
      <c r="BA92" s="61">
        <v>9.0011755590497122E-2</v>
      </c>
      <c r="BB92" s="70">
        <v>1058875.51</v>
      </c>
      <c r="BC92" s="70">
        <v>3387142.52</v>
      </c>
      <c r="BD92" s="71">
        <v>244766</v>
      </c>
      <c r="BE92" s="71">
        <v>5.8207660913467401E-11</v>
      </c>
      <c r="BF92" s="71">
        <v>1205774.2</v>
      </c>
      <c r="BG92" s="71">
        <v>510220.88</v>
      </c>
      <c r="BH92" s="71">
        <v>0</v>
      </c>
      <c r="BI92" s="71">
        <v>0</v>
      </c>
      <c r="BJ92" s="71">
        <f t="shared" si="40"/>
        <v>0</v>
      </c>
      <c r="BK92" s="71">
        <v>0</v>
      </c>
      <c r="BL92" s="60">
        <v>3437</v>
      </c>
      <c r="BM92" s="60">
        <v>1010</v>
      </c>
      <c r="BN92" s="59">
        <v>16</v>
      </c>
      <c r="BO92" s="59">
        <v>0</v>
      </c>
      <c r="BP92" s="59">
        <v>-12</v>
      </c>
      <c r="BQ92" s="59">
        <v>-37</v>
      </c>
      <c r="BR92" s="59">
        <v>-190</v>
      </c>
      <c r="BS92" s="59">
        <v>-329</v>
      </c>
      <c r="BT92" s="59">
        <v>0</v>
      </c>
      <c r="BU92" s="59">
        <v>0</v>
      </c>
      <c r="BV92" s="59">
        <v>-5</v>
      </c>
      <c r="BW92" s="59">
        <v>-460</v>
      </c>
      <c r="BX92" s="59">
        <v>-4</v>
      </c>
      <c r="BY92" s="59">
        <v>3426</v>
      </c>
      <c r="BZ92" s="59">
        <v>78</v>
      </c>
      <c r="CA92" s="59">
        <v>30</v>
      </c>
      <c r="CB92" s="59">
        <v>157</v>
      </c>
      <c r="CC92" s="59">
        <v>49</v>
      </c>
      <c r="CD92" s="59">
        <v>201</v>
      </c>
      <c r="CE92" s="59">
        <v>53</v>
      </c>
      <c r="CF92" s="59">
        <v>0</v>
      </c>
    </row>
    <row r="93" spans="1:84" s="50" customFormat="1" ht="15.6" customHeight="1" x14ac:dyDescent="0.25">
      <c r="A93" s="42">
        <v>9</v>
      </c>
      <c r="B93" s="38" t="s">
        <v>536</v>
      </c>
      <c r="C93" s="54" t="s">
        <v>539</v>
      </c>
      <c r="D93" s="40" t="s">
        <v>286</v>
      </c>
      <c r="E93" s="40" t="s">
        <v>103</v>
      </c>
      <c r="F93" s="40" t="s">
        <v>268</v>
      </c>
      <c r="G93" s="70">
        <v>11494989.560000001</v>
      </c>
      <c r="H93" s="70">
        <v>505862.98</v>
      </c>
      <c r="I93" s="70">
        <v>56.41</v>
      </c>
      <c r="J93" s="70">
        <v>0</v>
      </c>
      <c r="K93" s="71">
        <v>0</v>
      </c>
      <c r="L93" s="71">
        <v>12000908.949999999</v>
      </c>
      <c r="M93" s="71">
        <v>0</v>
      </c>
      <c r="N93" s="70">
        <v>3008300.06</v>
      </c>
      <c r="O93" s="70">
        <v>492942.64</v>
      </c>
      <c r="P93" s="72">
        <v>2205198.65</v>
      </c>
      <c r="Q93" s="70">
        <v>301130.25</v>
      </c>
      <c r="R93" s="70">
        <v>0</v>
      </c>
      <c r="S93" s="70">
        <v>4073401.25</v>
      </c>
      <c r="T93" s="70">
        <v>546787.62</v>
      </c>
      <c r="U93" s="70">
        <v>0</v>
      </c>
      <c r="V93" s="70">
        <v>0</v>
      </c>
      <c r="W93" s="70">
        <v>554768.97</v>
      </c>
      <c r="X93" s="71">
        <v>866281.58</v>
      </c>
      <c r="Y93" s="71">
        <v>12048811.02</v>
      </c>
      <c r="Z93" s="61">
        <v>1.8017480781411466E-2</v>
      </c>
      <c r="AA93" s="71">
        <v>862156.58</v>
      </c>
      <c r="AB93" s="71">
        <v>0</v>
      </c>
      <c r="AC93" s="71">
        <v>0</v>
      </c>
      <c r="AD93" s="71">
        <v>0</v>
      </c>
      <c r="AE93" s="71">
        <v>0</v>
      </c>
      <c r="AF93" s="71">
        <f t="shared" si="38"/>
        <v>0</v>
      </c>
      <c r="AG93" s="71">
        <v>323880.17</v>
      </c>
      <c r="AH93" s="70">
        <v>29275.66</v>
      </c>
      <c r="AI93" s="70">
        <v>102780.23</v>
      </c>
      <c r="AJ93" s="71">
        <v>0</v>
      </c>
      <c r="AK93" s="70">
        <v>33511.08</v>
      </c>
      <c r="AL93" s="70">
        <v>32525.62</v>
      </c>
      <c r="AM93" s="70">
        <v>36616.82</v>
      </c>
      <c r="AN93" s="70">
        <v>8000</v>
      </c>
      <c r="AO93" s="70">
        <v>0</v>
      </c>
      <c r="AP93" s="70">
        <v>0</v>
      </c>
      <c r="AQ93" s="70">
        <v>25917.82</v>
      </c>
      <c r="AR93" s="70">
        <v>17763.16</v>
      </c>
      <c r="AS93" s="70">
        <v>735</v>
      </c>
      <c r="AT93" s="70">
        <v>13681.49</v>
      </c>
      <c r="AU93" s="70">
        <v>20781.45</v>
      </c>
      <c r="AV93" s="70">
        <v>25396.25</v>
      </c>
      <c r="AW93" s="70">
        <v>670864.75</v>
      </c>
      <c r="AX93" s="70">
        <v>0</v>
      </c>
      <c r="AY93" s="61">
        <f t="shared" si="39"/>
        <v>0</v>
      </c>
      <c r="AZ93" s="71">
        <v>0</v>
      </c>
      <c r="BA93" s="61">
        <v>7.500281540055613E-2</v>
      </c>
      <c r="BB93" s="70">
        <v>83510.429999999993</v>
      </c>
      <c r="BC93" s="70">
        <v>132714.70000000001</v>
      </c>
      <c r="BD93" s="71">
        <v>241807</v>
      </c>
      <c r="BE93" s="71">
        <v>0</v>
      </c>
      <c r="BF93" s="71">
        <v>459414.76</v>
      </c>
      <c r="BG93" s="71">
        <v>291698.57250000001</v>
      </c>
      <c r="BH93" s="71">
        <v>0</v>
      </c>
      <c r="BI93" s="71">
        <v>0</v>
      </c>
      <c r="BJ93" s="71">
        <f t="shared" si="40"/>
        <v>0</v>
      </c>
      <c r="BK93" s="71">
        <v>0</v>
      </c>
      <c r="BL93" s="60">
        <v>971</v>
      </c>
      <c r="BM93" s="60">
        <v>218</v>
      </c>
      <c r="BN93" s="59">
        <v>11</v>
      </c>
      <c r="BO93" s="59">
        <v>0</v>
      </c>
      <c r="BP93" s="59">
        <v>-7</v>
      </c>
      <c r="BQ93" s="59">
        <v>-25</v>
      </c>
      <c r="BR93" s="59">
        <v>-53</v>
      </c>
      <c r="BS93" s="59">
        <v>-74</v>
      </c>
      <c r="BT93" s="59">
        <v>0</v>
      </c>
      <c r="BU93" s="59">
        <v>0</v>
      </c>
      <c r="BV93" s="59">
        <v>0</v>
      </c>
      <c r="BW93" s="59">
        <v>-236</v>
      </c>
      <c r="BX93" s="59">
        <v>-2</v>
      </c>
      <c r="BY93" s="59">
        <v>803</v>
      </c>
      <c r="BZ93" s="59">
        <v>0</v>
      </c>
      <c r="CA93" s="59">
        <v>48</v>
      </c>
      <c r="CB93" s="59">
        <v>82</v>
      </c>
      <c r="CC93" s="59">
        <v>25</v>
      </c>
      <c r="CD93" s="59">
        <v>97</v>
      </c>
      <c r="CE93" s="59">
        <v>26</v>
      </c>
      <c r="CF93" s="59">
        <v>7</v>
      </c>
    </row>
    <row r="94" spans="1:84" s="50" customFormat="1" ht="15.6" customHeight="1" x14ac:dyDescent="0.25">
      <c r="A94" s="42">
        <v>9</v>
      </c>
      <c r="B94" s="38" t="s">
        <v>292</v>
      </c>
      <c r="C94" s="54" t="s">
        <v>293</v>
      </c>
      <c r="D94" s="40" t="s">
        <v>271</v>
      </c>
      <c r="E94" s="40" t="s">
        <v>106</v>
      </c>
      <c r="F94" s="40" t="s">
        <v>264</v>
      </c>
      <c r="G94" s="70">
        <v>42601872.640000001</v>
      </c>
      <c r="H94" s="70">
        <v>0</v>
      </c>
      <c r="I94" s="70">
        <v>1358524.67</v>
      </c>
      <c r="J94" s="70">
        <v>0</v>
      </c>
      <c r="K94" s="71">
        <v>0</v>
      </c>
      <c r="L94" s="71">
        <v>43960397.310000002</v>
      </c>
      <c r="M94" s="71">
        <v>0</v>
      </c>
      <c r="N94" s="70">
        <v>12227676.619999999</v>
      </c>
      <c r="O94" s="70">
        <v>2064367</v>
      </c>
      <c r="P94" s="72">
        <v>5908951.6100000003</v>
      </c>
      <c r="Q94" s="70">
        <v>7833.45</v>
      </c>
      <c r="R94" s="70">
        <v>2194596.3199999998</v>
      </c>
      <c r="S94" s="70">
        <v>11292213.34</v>
      </c>
      <c r="T94" s="70">
        <v>4985940.75</v>
      </c>
      <c r="U94" s="70">
        <v>0</v>
      </c>
      <c r="V94" s="70">
        <v>0</v>
      </c>
      <c r="W94" s="70">
        <v>1464272.38</v>
      </c>
      <c r="X94" s="71">
        <v>3720418.38</v>
      </c>
      <c r="Y94" s="71">
        <v>43866269.850000001</v>
      </c>
      <c r="Z94" s="61">
        <v>0.11990497702215561</v>
      </c>
      <c r="AA94" s="71">
        <v>3620141.55</v>
      </c>
      <c r="AB94" s="71">
        <v>0</v>
      </c>
      <c r="AC94" s="71">
        <v>0</v>
      </c>
      <c r="AD94" s="71">
        <v>0</v>
      </c>
      <c r="AE94" s="71">
        <v>436.4</v>
      </c>
      <c r="AF94" s="71">
        <f t="shared" si="38"/>
        <v>436.4</v>
      </c>
      <c r="AG94" s="71">
        <v>1754937.06</v>
      </c>
      <c r="AH94" s="70">
        <v>136489.45000000001</v>
      </c>
      <c r="AI94" s="70">
        <v>521260.81</v>
      </c>
      <c r="AJ94" s="71">
        <v>0</v>
      </c>
      <c r="AK94" s="70">
        <v>372192.14</v>
      </c>
      <c r="AL94" s="70">
        <v>74783.539999999994</v>
      </c>
      <c r="AM94" s="70">
        <v>97959.09</v>
      </c>
      <c r="AN94" s="70">
        <v>8000</v>
      </c>
      <c r="AO94" s="70">
        <v>8750.34</v>
      </c>
      <c r="AP94" s="70">
        <v>0</v>
      </c>
      <c r="AQ94" s="70">
        <v>107506.82999999999</v>
      </c>
      <c r="AR94" s="70">
        <v>19280.32</v>
      </c>
      <c r="AS94" s="70">
        <v>0</v>
      </c>
      <c r="AT94" s="70">
        <v>47076.66</v>
      </c>
      <c r="AU94" s="70">
        <v>50630.42</v>
      </c>
      <c r="AV94" s="70">
        <v>111288.92</v>
      </c>
      <c r="AW94" s="70">
        <v>3310155.58</v>
      </c>
      <c r="AX94" s="70">
        <v>0</v>
      </c>
      <c r="AY94" s="61">
        <f t="shared" si="39"/>
        <v>0</v>
      </c>
      <c r="AZ94" s="71">
        <v>0</v>
      </c>
      <c r="BA94" s="61">
        <v>8.4976113153320765E-2</v>
      </c>
      <c r="BB94" s="70">
        <v>1012457.79</v>
      </c>
      <c r="BC94" s="70">
        <v>4095718.77</v>
      </c>
      <c r="BD94" s="71">
        <v>244766</v>
      </c>
      <c r="BE94" s="71">
        <v>2.91038304567337E-11</v>
      </c>
      <c r="BF94" s="71">
        <v>2856284.77</v>
      </c>
      <c r="BG94" s="71">
        <v>2028745.875</v>
      </c>
      <c r="BH94" s="71">
        <v>0</v>
      </c>
      <c r="BI94" s="71">
        <v>0</v>
      </c>
      <c r="BJ94" s="71">
        <f t="shared" si="40"/>
        <v>0</v>
      </c>
      <c r="BK94" s="71">
        <v>0</v>
      </c>
      <c r="BL94" s="60">
        <v>4586</v>
      </c>
      <c r="BM94" s="60">
        <v>940</v>
      </c>
      <c r="BN94" s="59">
        <v>17</v>
      </c>
      <c r="BO94" s="59">
        <v>-17</v>
      </c>
      <c r="BP94" s="59">
        <v>-10</v>
      </c>
      <c r="BQ94" s="59">
        <v>-26</v>
      </c>
      <c r="BR94" s="59">
        <v>-202</v>
      </c>
      <c r="BS94" s="59">
        <v>-424</v>
      </c>
      <c r="BT94" s="59">
        <v>9</v>
      </c>
      <c r="BU94" s="59">
        <v>-4</v>
      </c>
      <c r="BV94" s="59">
        <v>20</v>
      </c>
      <c r="BW94" s="59">
        <v>-690</v>
      </c>
      <c r="BX94" s="59">
        <v>-5</v>
      </c>
      <c r="BY94" s="59">
        <v>4194</v>
      </c>
      <c r="BZ94" s="59">
        <v>91</v>
      </c>
      <c r="CA94" s="59">
        <v>96</v>
      </c>
      <c r="CB94" s="59">
        <v>244</v>
      </c>
      <c r="CC94" s="59">
        <v>56</v>
      </c>
      <c r="CD94" s="59">
        <v>340</v>
      </c>
      <c r="CE94" s="59">
        <v>43</v>
      </c>
      <c r="CF94" s="59">
        <v>12</v>
      </c>
    </row>
    <row r="95" spans="1:84" s="50" customFormat="1" ht="15.6" customHeight="1" x14ac:dyDescent="0.25">
      <c r="A95" s="42">
        <v>9</v>
      </c>
      <c r="B95" s="38" t="s">
        <v>294</v>
      </c>
      <c r="C95" s="54" t="s">
        <v>295</v>
      </c>
      <c r="D95" s="40" t="s">
        <v>296</v>
      </c>
      <c r="E95" s="40" t="s">
        <v>103</v>
      </c>
      <c r="F95" s="40" t="s">
        <v>268</v>
      </c>
      <c r="G95" s="70">
        <v>8989768.0299999993</v>
      </c>
      <c r="H95" s="70">
        <v>130643.66</v>
      </c>
      <c r="I95" s="70">
        <v>0</v>
      </c>
      <c r="J95" s="70">
        <v>0</v>
      </c>
      <c r="K95" s="71">
        <v>0</v>
      </c>
      <c r="L95" s="71">
        <v>9120411.6899999995</v>
      </c>
      <c r="M95" s="71">
        <v>0</v>
      </c>
      <c r="N95" s="70">
        <v>1950500.55</v>
      </c>
      <c r="O95" s="70">
        <v>590088.05000000005</v>
      </c>
      <c r="P95" s="72">
        <v>741982.41</v>
      </c>
      <c r="Q95" s="70">
        <v>0</v>
      </c>
      <c r="R95" s="70">
        <v>407503.83</v>
      </c>
      <c r="S95" s="70">
        <v>4110843.29</v>
      </c>
      <c r="T95" s="70">
        <v>209401.33</v>
      </c>
      <c r="U95" s="70">
        <v>0</v>
      </c>
      <c r="V95" s="70">
        <v>0</v>
      </c>
      <c r="W95" s="70">
        <v>126807.12</v>
      </c>
      <c r="X95" s="71">
        <v>898161.25</v>
      </c>
      <c r="Y95" s="71">
        <v>9035287.8300000001</v>
      </c>
      <c r="Z95" s="61">
        <v>4.2024298137796019E-2</v>
      </c>
      <c r="AA95" s="71">
        <v>898161.25</v>
      </c>
      <c r="AB95" s="71">
        <v>0</v>
      </c>
      <c r="AC95" s="71">
        <v>0</v>
      </c>
      <c r="AD95" s="71">
        <v>0</v>
      </c>
      <c r="AE95" s="71">
        <v>0</v>
      </c>
      <c r="AF95" s="71">
        <f t="shared" si="38"/>
        <v>0</v>
      </c>
      <c r="AG95" s="71">
        <v>319727.68</v>
      </c>
      <c r="AH95" s="70">
        <v>25513.25</v>
      </c>
      <c r="AI95" s="70">
        <v>95683.96</v>
      </c>
      <c r="AJ95" s="71">
        <v>0</v>
      </c>
      <c r="AK95" s="70">
        <v>32807.61</v>
      </c>
      <c r="AL95" s="70">
        <v>5971.24</v>
      </c>
      <c r="AM95" s="70">
        <v>30875.32</v>
      </c>
      <c r="AN95" s="70">
        <v>8000</v>
      </c>
      <c r="AO95" s="70">
        <v>0</v>
      </c>
      <c r="AP95" s="70">
        <v>0</v>
      </c>
      <c r="AQ95" s="70">
        <v>20555.95</v>
      </c>
      <c r="AR95" s="70">
        <v>50</v>
      </c>
      <c r="AS95" s="70">
        <v>0</v>
      </c>
      <c r="AT95" s="70">
        <v>0</v>
      </c>
      <c r="AU95" s="70">
        <v>31211.27</v>
      </c>
      <c r="AV95" s="70">
        <v>31084.28</v>
      </c>
      <c r="AW95" s="70">
        <v>601480.56000000006</v>
      </c>
      <c r="AX95" s="70">
        <v>0</v>
      </c>
      <c r="AY95" s="61">
        <f t="shared" si="39"/>
        <v>0</v>
      </c>
      <c r="AZ95" s="71">
        <v>0</v>
      </c>
      <c r="BA95" s="61">
        <v>9.9909279861585043E-2</v>
      </c>
      <c r="BB95" s="70">
        <v>219721.38</v>
      </c>
      <c r="BC95" s="70">
        <v>163557.51999999999</v>
      </c>
      <c r="BD95" s="71">
        <v>241807</v>
      </c>
      <c r="BE95" s="71">
        <v>0</v>
      </c>
      <c r="BF95" s="71">
        <v>336773.56</v>
      </c>
      <c r="BG95" s="71">
        <v>186403.42</v>
      </c>
      <c r="BH95" s="71">
        <v>0</v>
      </c>
      <c r="BI95" s="71">
        <v>0</v>
      </c>
      <c r="BJ95" s="71">
        <f t="shared" si="40"/>
        <v>0</v>
      </c>
      <c r="BK95" s="71">
        <v>0</v>
      </c>
      <c r="BL95" s="60">
        <v>817</v>
      </c>
      <c r="BM95" s="60">
        <v>201</v>
      </c>
      <c r="BN95" s="59">
        <v>3</v>
      </c>
      <c r="BO95" s="59">
        <v>0</v>
      </c>
      <c r="BP95" s="59">
        <v>-2</v>
      </c>
      <c r="BQ95" s="59">
        <v>-8</v>
      </c>
      <c r="BR95" s="59">
        <v>-42</v>
      </c>
      <c r="BS95" s="59">
        <v>-53</v>
      </c>
      <c r="BT95" s="59">
        <v>0</v>
      </c>
      <c r="BU95" s="59">
        <v>0</v>
      </c>
      <c r="BV95" s="59">
        <v>0</v>
      </c>
      <c r="BW95" s="59">
        <v>-148</v>
      </c>
      <c r="BX95" s="59">
        <v>-1</v>
      </c>
      <c r="BY95" s="59">
        <v>767</v>
      </c>
      <c r="BZ95" s="59">
        <v>0</v>
      </c>
      <c r="CA95" s="59">
        <v>35</v>
      </c>
      <c r="CB95" s="59">
        <v>93</v>
      </c>
      <c r="CC95" s="59">
        <v>18</v>
      </c>
      <c r="CD95" s="59">
        <v>45</v>
      </c>
      <c r="CE95" s="59">
        <v>1</v>
      </c>
      <c r="CF95" s="59">
        <v>1</v>
      </c>
    </row>
    <row r="96" spans="1:84" s="63" customFormat="1" ht="15.6" customHeight="1" x14ac:dyDescent="0.25">
      <c r="A96" s="33">
        <v>10</v>
      </c>
      <c r="B96" s="67" t="s">
        <v>297</v>
      </c>
      <c r="C96" s="55" t="s">
        <v>137</v>
      </c>
      <c r="D96" s="35" t="s">
        <v>298</v>
      </c>
      <c r="E96" s="35" t="s">
        <v>117</v>
      </c>
      <c r="F96" s="35" t="s">
        <v>299</v>
      </c>
      <c r="G96" s="70">
        <v>23190472.890000001</v>
      </c>
      <c r="H96" s="70">
        <v>988.65</v>
      </c>
      <c r="I96" s="70">
        <v>318757.25</v>
      </c>
      <c r="J96" s="70">
        <v>0</v>
      </c>
      <c r="K96" s="71">
        <v>0</v>
      </c>
      <c r="L96" s="71">
        <v>23510218.789999999</v>
      </c>
      <c r="M96" s="71">
        <v>0</v>
      </c>
      <c r="N96" s="70">
        <v>4791166.6100000003</v>
      </c>
      <c r="O96" s="70">
        <v>725645.04</v>
      </c>
      <c r="P96" s="72">
        <v>7289199.0899999999</v>
      </c>
      <c r="Q96" s="70">
        <v>0</v>
      </c>
      <c r="R96" s="70">
        <v>610149.46</v>
      </c>
      <c r="S96" s="70">
        <v>5483751.8600000003</v>
      </c>
      <c r="T96" s="70">
        <v>2294461.64</v>
      </c>
      <c r="U96" s="70">
        <v>0</v>
      </c>
      <c r="V96" s="70">
        <v>0</v>
      </c>
      <c r="W96" s="70">
        <v>475052.63</v>
      </c>
      <c r="X96" s="71">
        <v>1906425.9</v>
      </c>
      <c r="Y96" s="71">
        <v>23575852.23</v>
      </c>
      <c r="Z96" s="61">
        <v>0.12848500922896125</v>
      </c>
      <c r="AA96" s="71">
        <v>1808852.18</v>
      </c>
      <c r="AB96" s="71">
        <v>0</v>
      </c>
      <c r="AC96" s="71">
        <v>0</v>
      </c>
      <c r="AD96" s="71">
        <v>0</v>
      </c>
      <c r="AE96" s="71">
        <v>0</v>
      </c>
      <c r="AF96" s="71">
        <f t="shared" ref="AF96:AF119" si="41">SUM(AD96:AE96)</f>
        <v>0</v>
      </c>
      <c r="AG96" s="71">
        <v>817346.66</v>
      </c>
      <c r="AH96" s="70">
        <v>64263.71</v>
      </c>
      <c r="AI96" s="70">
        <v>268462.12</v>
      </c>
      <c r="AJ96" s="71">
        <v>44995.49</v>
      </c>
      <c r="AK96" s="70">
        <v>78426.320000000007</v>
      </c>
      <c r="AL96" s="70">
        <v>1247.95</v>
      </c>
      <c r="AM96" s="70">
        <v>79523.320000000007</v>
      </c>
      <c r="AN96" s="70">
        <v>9100</v>
      </c>
      <c r="AO96" s="70">
        <v>4000</v>
      </c>
      <c r="AP96" s="70">
        <v>48079.44</v>
      </c>
      <c r="AQ96" s="70">
        <v>40449.040000000001</v>
      </c>
      <c r="AR96" s="70">
        <v>14788.47</v>
      </c>
      <c r="AS96" s="70">
        <v>0</v>
      </c>
      <c r="AT96" s="70">
        <v>849.83</v>
      </c>
      <c r="AU96" s="70">
        <v>19062.93</v>
      </c>
      <c r="AV96" s="70">
        <v>61734.03</v>
      </c>
      <c r="AW96" s="70">
        <v>1552329.31</v>
      </c>
      <c r="AX96" s="70">
        <v>154917.99</v>
      </c>
      <c r="AY96" s="61">
        <f t="shared" ref="AY96:AY119" si="42">AX96/AW96</f>
        <v>9.9797117146489991E-2</v>
      </c>
      <c r="AZ96" s="71">
        <v>0</v>
      </c>
      <c r="BA96" s="61">
        <v>7.7999797096849968E-2</v>
      </c>
      <c r="BB96" s="70">
        <v>0</v>
      </c>
      <c r="BC96" s="70">
        <v>2979755.15</v>
      </c>
      <c r="BD96" s="71">
        <v>244769.8</v>
      </c>
      <c r="BE96" s="71">
        <v>3.7999999999592502</v>
      </c>
      <c r="BF96" s="71">
        <v>806410.01999999897</v>
      </c>
      <c r="BG96" s="71">
        <v>418327.69249999902</v>
      </c>
      <c r="BH96" s="71">
        <v>0</v>
      </c>
      <c r="BI96" s="71">
        <v>0</v>
      </c>
      <c r="BJ96" s="71">
        <f t="shared" ref="BJ96:BJ119" si="43">SUM(BH96:BI96)</f>
        <v>0</v>
      </c>
      <c r="BK96" s="71">
        <v>0</v>
      </c>
      <c r="BL96" s="60">
        <v>3370</v>
      </c>
      <c r="BM96" s="60">
        <v>851</v>
      </c>
      <c r="BN96" s="59">
        <v>0</v>
      </c>
      <c r="BO96" s="59">
        <v>0</v>
      </c>
      <c r="BP96" s="59">
        <v>-9</v>
      </c>
      <c r="BQ96" s="59">
        <v>-60</v>
      </c>
      <c r="BR96" s="59">
        <v>-123</v>
      </c>
      <c r="BS96" s="59">
        <v>-249</v>
      </c>
      <c r="BT96" s="59">
        <v>1</v>
      </c>
      <c r="BU96" s="59">
        <v>-1</v>
      </c>
      <c r="BV96" s="59">
        <v>0</v>
      </c>
      <c r="BW96" s="59">
        <v>-680</v>
      </c>
      <c r="BX96" s="59">
        <v>-1</v>
      </c>
      <c r="BY96" s="59">
        <v>3099</v>
      </c>
      <c r="BZ96" s="59">
        <v>2</v>
      </c>
      <c r="CA96" s="59">
        <v>4</v>
      </c>
      <c r="CB96" s="59">
        <v>128</v>
      </c>
      <c r="CC96" s="59">
        <v>39</v>
      </c>
      <c r="CD96" s="59">
        <v>505</v>
      </c>
      <c r="CE96" s="59">
        <v>1</v>
      </c>
      <c r="CF96" s="59">
        <v>6</v>
      </c>
    </row>
    <row r="97" spans="1:84" s="50" customFormat="1" ht="15.6" customHeight="1" x14ac:dyDescent="0.25">
      <c r="A97" s="43">
        <v>10</v>
      </c>
      <c r="B97" s="44" t="s">
        <v>301</v>
      </c>
      <c r="C97" s="57" t="s">
        <v>302</v>
      </c>
      <c r="D97" s="42" t="s">
        <v>303</v>
      </c>
      <c r="E97" s="42" t="s">
        <v>103</v>
      </c>
      <c r="F97" s="42" t="s">
        <v>299</v>
      </c>
      <c r="G97" s="70">
        <v>63299940.579999998</v>
      </c>
      <c r="H97" s="70">
        <v>0</v>
      </c>
      <c r="I97" s="70">
        <v>22893.09</v>
      </c>
      <c r="J97" s="70">
        <v>0</v>
      </c>
      <c r="K97" s="71">
        <v>0</v>
      </c>
      <c r="L97" s="71">
        <v>63322833.670000002</v>
      </c>
      <c r="M97" s="71">
        <v>0</v>
      </c>
      <c r="N97" s="70">
        <v>22499991.879999999</v>
      </c>
      <c r="O97" s="70">
        <v>2153868.2799999998</v>
      </c>
      <c r="P97" s="72">
        <v>14614531.42</v>
      </c>
      <c r="Q97" s="70">
        <v>11300.35</v>
      </c>
      <c r="R97" s="70">
        <v>2980329.33</v>
      </c>
      <c r="S97" s="70">
        <v>12138771.16</v>
      </c>
      <c r="T97" s="70">
        <v>3049367.9</v>
      </c>
      <c r="U97" s="70">
        <v>0</v>
      </c>
      <c r="V97" s="70">
        <v>144849.63</v>
      </c>
      <c r="W97" s="70">
        <v>3074456.79</v>
      </c>
      <c r="X97" s="71">
        <v>2528914.69</v>
      </c>
      <c r="Y97" s="71">
        <v>63196381.43</v>
      </c>
      <c r="Z97" s="61">
        <v>2.7818508577816582E-2</v>
      </c>
      <c r="AA97" s="71">
        <v>2185519.4</v>
      </c>
      <c r="AB97" s="71">
        <v>0</v>
      </c>
      <c r="AC97" s="71">
        <v>0</v>
      </c>
      <c r="AD97" s="71">
        <v>0</v>
      </c>
      <c r="AE97" s="71">
        <v>0</v>
      </c>
      <c r="AF97" s="71">
        <f t="shared" si="41"/>
        <v>0</v>
      </c>
      <c r="AG97" s="71">
        <v>1327069.3799999999</v>
      </c>
      <c r="AH97" s="70">
        <v>103756.87</v>
      </c>
      <c r="AI97" s="70">
        <v>331247.62</v>
      </c>
      <c r="AJ97" s="71">
        <v>0</v>
      </c>
      <c r="AK97" s="70">
        <v>171100.08</v>
      </c>
      <c r="AL97" s="70">
        <v>33595.25</v>
      </c>
      <c r="AM97" s="70">
        <v>118877.17</v>
      </c>
      <c r="AN97" s="70">
        <v>9100</v>
      </c>
      <c r="AO97" s="70">
        <v>6050</v>
      </c>
      <c r="AP97" s="70">
        <v>66327.75</v>
      </c>
      <c r="AQ97" s="70">
        <v>128404.1</v>
      </c>
      <c r="AR97" s="70">
        <v>33800.769999999997</v>
      </c>
      <c r="AS97" s="70">
        <v>1290</v>
      </c>
      <c r="AT97" s="70">
        <v>11078.31</v>
      </c>
      <c r="AU97" s="70">
        <v>53360.01</v>
      </c>
      <c r="AV97" s="70">
        <v>85323.58</v>
      </c>
      <c r="AW97" s="70">
        <v>2480380.89</v>
      </c>
      <c r="AX97" s="70">
        <v>0</v>
      </c>
      <c r="AY97" s="61">
        <f t="shared" si="42"/>
        <v>0</v>
      </c>
      <c r="AZ97" s="71">
        <v>0</v>
      </c>
      <c r="BA97" s="61">
        <v>3.4526405237898884E-2</v>
      </c>
      <c r="BB97" s="70">
        <v>966229.41</v>
      </c>
      <c r="BC97" s="70">
        <v>794680.53</v>
      </c>
      <c r="BD97" s="71">
        <v>244766</v>
      </c>
      <c r="BE97" s="71">
        <v>0</v>
      </c>
      <c r="BF97" s="71">
        <v>585875.62</v>
      </c>
      <c r="BG97" s="71">
        <v>0</v>
      </c>
      <c r="BH97" s="71">
        <v>0</v>
      </c>
      <c r="BI97" s="71">
        <v>0</v>
      </c>
      <c r="BJ97" s="71">
        <f t="shared" si="43"/>
        <v>0</v>
      </c>
      <c r="BK97" s="71">
        <v>0</v>
      </c>
      <c r="BL97" s="60">
        <v>4617</v>
      </c>
      <c r="BM97" s="60">
        <v>1099</v>
      </c>
      <c r="BN97" s="59">
        <v>167</v>
      </c>
      <c r="BO97" s="59">
        <v>-242</v>
      </c>
      <c r="BP97" s="59">
        <v>-13</v>
      </c>
      <c r="BQ97" s="59">
        <v>-97</v>
      </c>
      <c r="BR97" s="59">
        <v>-135</v>
      </c>
      <c r="BS97" s="59">
        <v>-407</v>
      </c>
      <c r="BT97" s="59">
        <v>0</v>
      </c>
      <c r="BU97" s="59">
        <v>0</v>
      </c>
      <c r="BV97" s="59">
        <v>0</v>
      </c>
      <c r="BW97" s="59">
        <v>-822</v>
      </c>
      <c r="BX97" s="59">
        <v>-9</v>
      </c>
      <c r="BY97" s="59">
        <v>4158</v>
      </c>
      <c r="BZ97" s="59">
        <v>44</v>
      </c>
      <c r="CA97" s="59">
        <v>37</v>
      </c>
      <c r="CB97" s="59">
        <v>283</v>
      </c>
      <c r="CC97" s="59">
        <v>67</v>
      </c>
      <c r="CD97" s="59">
        <v>382</v>
      </c>
      <c r="CE97" s="59">
        <v>100</v>
      </c>
      <c r="CF97" s="59">
        <v>3</v>
      </c>
    </row>
    <row r="98" spans="1:84" s="50" customFormat="1" ht="15.6" customHeight="1" x14ac:dyDescent="0.25">
      <c r="A98" s="43">
        <v>10</v>
      </c>
      <c r="B98" s="44" t="s">
        <v>306</v>
      </c>
      <c r="C98" s="57" t="s">
        <v>307</v>
      </c>
      <c r="D98" s="42" t="s">
        <v>308</v>
      </c>
      <c r="E98" s="42" t="s">
        <v>304</v>
      </c>
      <c r="F98" s="42" t="s">
        <v>305</v>
      </c>
      <c r="G98" s="70">
        <v>20621064.370000001</v>
      </c>
      <c r="H98" s="70">
        <v>0</v>
      </c>
      <c r="I98" s="70">
        <v>0</v>
      </c>
      <c r="J98" s="70">
        <v>0</v>
      </c>
      <c r="K98" s="71">
        <v>0</v>
      </c>
      <c r="L98" s="71">
        <v>20621064.370000001</v>
      </c>
      <c r="M98" s="71">
        <v>0</v>
      </c>
      <c r="N98" s="70">
        <v>1175774.6599999999</v>
      </c>
      <c r="O98" s="70">
        <v>1217783.1200000001</v>
      </c>
      <c r="P98" s="72">
        <v>5848889.0999999996</v>
      </c>
      <c r="Q98" s="70">
        <v>1975.07</v>
      </c>
      <c r="R98" s="70">
        <v>887406.31</v>
      </c>
      <c r="S98" s="70">
        <v>8445766.7799999993</v>
      </c>
      <c r="T98" s="70">
        <v>1166585.56</v>
      </c>
      <c r="U98" s="70">
        <v>0</v>
      </c>
      <c r="V98" s="70">
        <v>0</v>
      </c>
      <c r="W98" s="70">
        <v>435953.47</v>
      </c>
      <c r="X98" s="71">
        <v>1506283.7100000002</v>
      </c>
      <c r="Y98" s="71">
        <v>20686417.780000001</v>
      </c>
      <c r="Z98" s="61">
        <v>5.2941447173223674E-2</v>
      </c>
      <c r="AA98" s="71">
        <v>1503387.36</v>
      </c>
      <c r="AB98" s="71">
        <v>396.77</v>
      </c>
      <c r="AC98" s="71">
        <v>4943.3999999999996</v>
      </c>
      <c r="AD98" s="71">
        <v>0</v>
      </c>
      <c r="AE98" s="71">
        <v>0</v>
      </c>
      <c r="AF98" s="71">
        <f t="shared" si="41"/>
        <v>0</v>
      </c>
      <c r="AG98" s="71">
        <v>967148.02</v>
      </c>
      <c r="AH98" s="70">
        <v>80496.56</v>
      </c>
      <c r="AI98" s="70">
        <v>231012.26</v>
      </c>
      <c r="AJ98" s="71">
        <v>0</v>
      </c>
      <c r="AK98" s="70">
        <v>25649.4</v>
      </c>
      <c r="AL98" s="70">
        <v>26560</v>
      </c>
      <c r="AM98" s="70">
        <v>68798.009999999995</v>
      </c>
      <c r="AN98" s="70">
        <v>9100</v>
      </c>
      <c r="AO98" s="70">
        <v>3938.2</v>
      </c>
      <c r="AP98" s="70">
        <v>0</v>
      </c>
      <c r="AQ98" s="70">
        <v>39485.599999999999</v>
      </c>
      <c r="AR98" s="70">
        <v>10799.36</v>
      </c>
      <c r="AS98" s="70">
        <v>810</v>
      </c>
      <c r="AT98" s="70">
        <v>5057.95</v>
      </c>
      <c r="AU98" s="70">
        <v>31029.64</v>
      </c>
      <c r="AV98" s="70">
        <v>53514.020000000004</v>
      </c>
      <c r="AW98" s="70">
        <v>1553399.02</v>
      </c>
      <c r="AX98" s="70">
        <v>0</v>
      </c>
      <c r="AY98" s="61">
        <f t="shared" si="42"/>
        <v>0</v>
      </c>
      <c r="AZ98" s="71">
        <v>0</v>
      </c>
      <c r="BA98" s="61">
        <v>7.29071833371078E-2</v>
      </c>
      <c r="BB98" s="70">
        <v>268471.48</v>
      </c>
      <c r="BC98" s="70">
        <v>823237.51</v>
      </c>
      <c r="BD98" s="71">
        <v>244766.04</v>
      </c>
      <c r="BE98" s="71">
        <v>3.9999999920837602E-2</v>
      </c>
      <c r="BF98" s="71">
        <v>1077314.1599999999</v>
      </c>
      <c r="BG98" s="71">
        <v>688964.40500000003</v>
      </c>
      <c r="BH98" s="71">
        <v>0</v>
      </c>
      <c r="BI98" s="71">
        <v>0</v>
      </c>
      <c r="BJ98" s="71">
        <f t="shared" si="43"/>
        <v>0</v>
      </c>
      <c r="BK98" s="71">
        <v>0</v>
      </c>
      <c r="BL98" s="60">
        <v>2385</v>
      </c>
      <c r="BM98" s="60">
        <v>487</v>
      </c>
      <c r="BN98" s="59">
        <v>69</v>
      </c>
      <c r="BO98" s="59">
        <v>0</v>
      </c>
      <c r="BP98" s="59">
        <v>-18</v>
      </c>
      <c r="BQ98" s="59">
        <v>-62</v>
      </c>
      <c r="BR98" s="59">
        <v>-78</v>
      </c>
      <c r="BS98" s="59">
        <v>-221</v>
      </c>
      <c r="BT98" s="59">
        <v>0</v>
      </c>
      <c r="BU98" s="59">
        <v>0</v>
      </c>
      <c r="BV98" s="59">
        <v>162</v>
      </c>
      <c r="BW98" s="59">
        <v>-687</v>
      </c>
      <c r="BX98" s="59">
        <v>0</v>
      </c>
      <c r="BY98" s="59">
        <v>2037</v>
      </c>
      <c r="BZ98" s="59">
        <v>3</v>
      </c>
      <c r="CA98" s="59">
        <v>6</v>
      </c>
      <c r="CB98" s="59">
        <v>185</v>
      </c>
      <c r="CC98" s="59">
        <v>42</v>
      </c>
      <c r="CD98" s="59">
        <v>243</v>
      </c>
      <c r="CE98" s="59">
        <v>8</v>
      </c>
      <c r="CF98" s="59">
        <v>10</v>
      </c>
    </row>
    <row r="99" spans="1:84" s="50" customFormat="1" ht="15.6" customHeight="1" x14ac:dyDescent="0.25">
      <c r="A99" s="43">
        <v>10</v>
      </c>
      <c r="B99" s="44" t="s">
        <v>309</v>
      </c>
      <c r="C99" s="57" t="s">
        <v>310</v>
      </c>
      <c r="D99" s="42" t="s">
        <v>311</v>
      </c>
      <c r="E99" s="42" t="s">
        <v>117</v>
      </c>
      <c r="F99" s="42" t="s">
        <v>299</v>
      </c>
      <c r="G99" s="70">
        <v>8905730.5299999993</v>
      </c>
      <c r="H99" s="70">
        <v>0</v>
      </c>
      <c r="I99" s="70">
        <v>78</v>
      </c>
      <c r="J99" s="70">
        <v>0</v>
      </c>
      <c r="K99" s="71">
        <v>0</v>
      </c>
      <c r="L99" s="71">
        <v>8905808.5299999993</v>
      </c>
      <c r="M99" s="71">
        <v>0</v>
      </c>
      <c r="N99" s="70">
        <v>1639130.65</v>
      </c>
      <c r="O99" s="70">
        <v>303533.40000000002</v>
      </c>
      <c r="P99" s="72">
        <v>2416548.04</v>
      </c>
      <c r="Q99" s="70">
        <v>0</v>
      </c>
      <c r="R99" s="70">
        <v>506548.79</v>
      </c>
      <c r="S99" s="70">
        <v>2657755.04</v>
      </c>
      <c r="T99" s="70">
        <v>681493.86</v>
      </c>
      <c r="U99" s="70">
        <v>0</v>
      </c>
      <c r="V99" s="70">
        <v>0</v>
      </c>
      <c r="W99" s="70">
        <v>183122.78</v>
      </c>
      <c r="X99" s="71">
        <v>523409.59</v>
      </c>
      <c r="Y99" s="71">
        <v>8911542.1500000004</v>
      </c>
      <c r="Z99" s="61">
        <v>1.0684791065646281E-2</v>
      </c>
      <c r="AA99" s="71">
        <v>523331.59</v>
      </c>
      <c r="AB99" s="71">
        <v>0</v>
      </c>
      <c r="AC99" s="71">
        <v>0</v>
      </c>
      <c r="AD99" s="71">
        <v>0</v>
      </c>
      <c r="AE99" s="71">
        <v>122.84</v>
      </c>
      <c r="AF99" s="71">
        <f t="shared" si="41"/>
        <v>122.84</v>
      </c>
      <c r="AG99" s="71">
        <v>230840.55</v>
      </c>
      <c r="AH99" s="70">
        <v>17666.330000000002</v>
      </c>
      <c r="AI99" s="70">
        <v>44370.58</v>
      </c>
      <c r="AJ99" s="71">
        <v>0</v>
      </c>
      <c r="AK99" s="70">
        <v>49298.14</v>
      </c>
      <c r="AL99" s="70">
        <v>23814</v>
      </c>
      <c r="AM99" s="70">
        <v>43135.39</v>
      </c>
      <c r="AN99" s="70">
        <v>9100</v>
      </c>
      <c r="AO99" s="70">
        <v>1500</v>
      </c>
      <c r="AP99" s="70">
        <v>21314.86</v>
      </c>
      <c r="AQ99" s="70">
        <v>23548.31</v>
      </c>
      <c r="AR99" s="70">
        <v>9890.35</v>
      </c>
      <c r="AS99" s="70">
        <v>0</v>
      </c>
      <c r="AT99" s="70">
        <v>390.55</v>
      </c>
      <c r="AU99" s="70">
        <v>16148.89</v>
      </c>
      <c r="AV99" s="70">
        <v>36821.760000000002</v>
      </c>
      <c r="AW99" s="70">
        <v>527839.71</v>
      </c>
      <c r="AX99" s="70">
        <v>0</v>
      </c>
      <c r="AY99" s="61">
        <f t="shared" si="42"/>
        <v>0</v>
      </c>
      <c r="AZ99" s="71">
        <v>0</v>
      </c>
      <c r="BA99" s="61">
        <v>5.8763465640139921E-2</v>
      </c>
      <c r="BB99" s="70">
        <v>35547.85</v>
      </c>
      <c r="BC99" s="70">
        <v>59608.02</v>
      </c>
      <c r="BD99" s="71">
        <v>244766</v>
      </c>
      <c r="BE99" s="71">
        <v>0</v>
      </c>
      <c r="BF99" s="71">
        <v>139674.32</v>
      </c>
      <c r="BG99" s="71">
        <v>7714.39250000007</v>
      </c>
      <c r="BH99" s="71">
        <v>0</v>
      </c>
      <c r="BI99" s="71">
        <v>0</v>
      </c>
      <c r="BJ99" s="71">
        <f t="shared" si="43"/>
        <v>0</v>
      </c>
      <c r="BK99" s="71">
        <v>0</v>
      </c>
      <c r="BL99" s="60">
        <v>961</v>
      </c>
      <c r="BM99" s="60">
        <v>233</v>
      </c>
      <c r="BN99" s="59">
        <v>2</v>
      </c>
      <c r="BO99" s="59">
        <v>-7</v>
      </c>
      <c r="BP99" s="59">
        <v>-5</v>
      </c>
      <c r="BQ99" s="59">
        <v>-14</v>
      </c>
      <c r="BR99" s="59">
        <v>-30</v>
      </c>
      <c r="BS99" s="59">
        <v>-51</v>
      </c>
      <c r="BT99" s="59">
        <v>0</v>
      </c>
      <c r="BU99" s="59">
        <v>0</v>
      </c>
      <c r="BV99" s="59">
        <v>18</v>
      </c>
      <c r="BW99" s="59">
        <v>-196</v>
      </c>
      <c r="BX99" s="59">
        <v>0</v>
      </c>
      <c r="BY99" s="59">
        <v>911</v>
      </c>
      <c r="BZ99" s="59">
        <v>0</v>
      </c>
      <c r="CA99" s="59">
        <v>3</v>
      </c>
      <c r="CB99" s="59">
        <v>56</v>
      </c>
      <c r="CC99" s="59">
        <v>23</v>
      </c>
      <c r="CD99" s="59">
        <v>134</v>
      </c>
      <c r="CE99" s="59">
        <v>2</v>
      </c>
      <c r="CF99" s="59">
        <v>3</v>
      </c>
    </row>
    <row r="100" spans="1:84" s="50" customFormat="1" ht="15.6" customHeight="1" x14ac:dyDescent="0.25">
      <c r="A100" s="43">
        <v>10</v>
      </c>
      <c r="B100" s="44" t="s">
        <v>312</v>
      </c>
      <c r="C100" s="57" t="s">
        <v>313</v>
      </c>
      <c r="D100" s="42" t="s">
        <v>300</v>
      </c>
      <c r="E100" s="42" t="s">
        <v>117</v>
      </c>
      <c r="F100" s="42" t="s">
        <v>299</v>
      </c>
      <c r="G100" s="70">
        <v>30083701.469999999</v>
      </c>
      <c r="H100" s="70">
        <v>0.01</v>
      </c>
      <c r="I100" s="70">
        <v>588062.27</v>
      </c>
      <c r="J100" s="70">
        <v>0</v>
      </c>
      <c r="K100" s="71">
        <v>0</v>
      </c>
      <c r="L100" s="71">
        <v>30671763.75</v>
      </c>
      <c r="M100" s="71">
        <v>0</v>
      </c>
      <c r="N100" s="70">
        <v>6396327.4699999997</v>
      </c>
      <c r="O100" s="70">
        <v>1442998.15</v>
      </c>
      <c r="P100" s="72">
        <v>7132519.8300000001</v>
      </c>
      <c r="Q100" s="70">
        <v>42324.6</v>
      </c>
      <c r="R100" s="70">
        <v>1433114.78</v>
      </c>
      <c r="S100" s="70">
        <v>9148271.9199999999</v>
      </c>
      <c r="T100" s="70">
        <v>2314143.96</v>
      </c>
      <c r="U100" s="70">
        <v>0</v>
      </c>
      <c r="V100" s="70">
        <v>68158.67</v>
      </c>
      <c r="W100" s="70">
        <v>798823</v>
      </c>
      <c r="X100" s="71">
        <v>2178443.27</v>
      </c>
      <c r="Y100" s="71">
        <v>30955125.649999999</v>
      </c>
      <c r="Z100" s="61">
        <v>6.3024318375864974E-2</v>
      </c>
      <c r="AA100" s="71">
        <v>2165956.9500000002</v>
      </c>
      <c r="AB100" s="71">
        <v>0</v>
      </c>
      <c r="AC100" s="71">
        <v>0</v>
      </c>
      <c r="AD100" s="71">
        <v>0</v>
      </c>
      <c r="AE100" s="71">
        <v>0</v>
      </c>
      <c r="AF100" s="71">
        <f t="shared" si="41"/>
        <v>0</v>
      </c>
      <c r="AG100" s="71">
        <v>1222101.32</v>
      </c>
      <c r="AH100" s="70">
        <v>91004.91</v>
      </c>
      <c r="AI100" s="70">
        <v>395026.05</v>
      </c>
      <c r="AJ100" s="71">
        <v>0</v>
      </c>
      <c r="AK100" s="70">
        <v>145904.25</v>
      </c>
      <c r="AL100" s="70">
        <v>17840.25</v>
      </c>
      <c r="AM100" s="70">
        <v>81141.509999999995</v>
      </c>
      <c r="AN100" s="70">
        <v>9100</v>
      </c>
      <c r="AO100" s="70">
        <v>0</v>
      </c>
      <c r="AP100" s="70">
        <v>72370.83</v>
      </c>
      <c r="AQ100" s="70">
        <v>50230.080000000002</v>
      </c>
      <c r="AR100" s="70">
        <v>10701.57</v>
      </c>
      <c r="AS100" s="70">
        <v>0</v>
      </c>
      <c r="AT100" s="70">
        <v>2519.83</v>
      </c>
      <c r="AU100" s="70">
        <v>23075.98</v>
      </c>
      <c r="AV100" s="70">
        <v>23812.35</v>
      </c>
      <c r="AW100" s="70">
        <v>2144828.9300000002</v>
      </c>
      <c r="AX100" s="70">
        <v>0</v>
      </c>
      <c r="AY100" s="61">
        <f t="shared" si="42"/>
        <v>0</v>
      </c>
      <c r="AZ100" s="71">
        <v>0</v>
      </c>
      <c r="BA100" s="61">
        <v>7.1997687922808667E-2</v>
      </c>
      <c r="BB100" s="70">
        <v>0</v>
      </c>
      <c r="BC100" s="70">
        <v>1896004.78</v>
      </c>
      <c r="BD100" s="71">
        <v>244766</v>
      </c>
      <c r="BE100" s="71">
        <v>0</v>
      </c>
      <c r="BF100" s="71">
        <v>278344.55</v>
      </c>
      <c r="BG100" s="71">
        <v>0</v>
      </c>
      <c r="BH100" s="71">
        <v>0</v>
      </c>
      <c r="BI100" s="71">
        <v>0</v>
      </c>
      <c r="BJ100" s="71">
        <f t="shared" si="43"/>
        <v>0</v>
      </c>
      <c r="BK100" s="71">
        <v>0</v>
      </c>
      <c r="BL100" s="60">
        <v>3575</v>
      </c>
      <c r="BM100" s="60">
        <v>809</v>
      </c>
      <c r="BN100" s="59">
        <v>21</v>
      </c>
      <c r="BO100" s="59">
        <v>-24</v>
      </c>
      <c r="BP100" s="59">
        <v>-24</v>
      </c>
      <c r="BQ100" s="59">
        <v>-65</v>
      </c>
      <c r="BR100" s="59">
        <v>-134</v>
      </c>
      <c r="BS100" s="59">
        <v>-291</v>
      </c>
      <c r="BT100" s="59">
        <v>0</v>
      </c>
      <c r="BU100" s="59">
        <v>0</v>
      </c>
      <c r="BV100" s="59">
        <v>79</v>
      </c>
      <c r="BW100" s="59">
        <v>-646</v>
      </c>
      <c r="BX100" s="59">
        <v>-4</v>
      </c>
      <c r="BY100" s="59">
        <v>3296</v>
      </c>
      <c r="BZ100" s="59">
        <v>10</v>
      </c>
      <c r="CA100" s="59">
        <v>8</v>
      </c>
      <c r="CB100" s="59">
        <v>235</v>
      </c>
      <c r="CC100" s="59">
        <v>71</v>
      </c>
      <c r="CD100" s="59">
        <v>325</v>
      </c>
      <c r="CE100" s="59">
        <v>3</v>
      </c>
      <c r="CF100" s="59">
        <v>8</v>
      </c>
    </row>
    <row r="101" spans="1:84" s="50" customFormat="1" ht="15.6" customHeight="1" x14ac:dyDescent="0.25">
      <c r="A101" s="39">
        <v>10</v>
      </c>
      <c r="B101" s="47" t="s">
        <v>500</v>
      </c>
      <c r="C101" s="57" t="s">
        <v>88</v>
      </c>
      <c r="D101" s="42" t="s">
        <v>300</v>
      </c>
      <c r="E101" s="42" t="s">
        <v>117</v>
      </c>
      <c r="F101" s="42" t="s">
        <v>299</v>
      </c>
      <c r="G101" s="70">
        <v>32389351.050000001</v>
      </c>
      <c r="H101" s="70">
        <v>70884.09</v>
      </c>
      <c r="I101" s="70">
        <v>973629.5</v>
      </c>
      <c r="J101" s="70">
        <v>0</v>
      </c>
      <c r="K101" s="71">
        <v>0</v>
      </c>
      <c r="L101" s="71">
        <v>33433864.640000001</v>
      </c>
      <c r="M101" s="71">
        <v>0</v>
      </c>
      <c r="N101" s="70">
        <v>7542833.2300000004</v>
      </c>
      <c r="O101" s="70">
        <v>1774176.17</v>
      </c>
      <c r="P101" s="72">
        <v>6748708.0800000001</v>
      </c>
      <c r="Q101" s="70">
        <v>130932.48</v>
      </c>
      <c r="R101" s="70">
        <v>1557503.58</v>
      </c>
      <c r="S101" s="70">
        <v>10142425.51</v>
      </c>
      <c r="T101" s="70">
        <v>2328152.25</v>
      </c>
      <c r="U101" s="70">
        <v>0</v>
      </c>
      <c r="V101" s="70">
        <v>70884.09</v>
      </c>
      <c r="W101" s="70">
        <v>1134894.8</v>
      </c>
      <c r="X101" s="71">
        <v>2418464.42</v>
      </c>
      <c r="Y101" s="71">
        <v>33848974.609999999</v>
      </c>
      <c r="Z101" s="61">
        <v>3.2482847257649286E-2</v>
      </c>
      <c r="AA101" s="71">
        <v>2418464.42</v>
      </c>
      <c r="AB101" s="71">
        <v>0</v>
      </c>
      <c r="AC101" s="71">
        <v>0</v>
      </c>
      <c r="AD101" s="71">
        <v>0</v>
      </c>
      <c r="AE101" s="71">
        <v>154.53</v>
      </c>
      <c r="AF101" s="71">
        <f t="shared" si="41"/>
        <v>154.53</v>
      </c>
      <c r="AG101" s="71">
        <v>1503727.64</v>
      </c>
      <c r="AH101" s="70">
        <v>112690.93</v>
      </c>
      <c r="AI101" s="70">
        <v>449145.92</v>
      </c>
      <c r="AJ101" s="71">
        <v>0</v>
      </c>
      <c r="AK101" s="70">
        <v>170094.44</v>
      </c>
      <c r="AL101" s="70">
        <v>20994.15</v>
      </c>
      <c r="AM101" s="70">
        <v>50400</v>
      </c>
      <c r="AN101" s="70">
        <v>9100</v>
      </c>
      <c r="AO101" s="70">
        <v>0</v>
      </c>
      <c r="AP101" s="70">
        <v>45436.86</v>
      </c>
      <c r="AQ101" s="70">
        <v>58642.61</v>
      </c>
      <c r="AR101" s="70">
        <v>11785.76</v>
      </c>
      <c r="AS101" s="70">
        <v>0</v>
      </c>
      <c r="AT101" s="70">
        <v>7297.4</v>
      </c>
      <c r="AU101" s="70">
        <v>25944.560000000001</v>
      </c>
      <c r="AV101" s="70">
        <v>87364.77</v>
      </c>
      <c r="AW101" s="70">
        <v>2552625.04</v>
      </c>
      <c r="AX101" s="70">
        <v>0</v>
      </c>
      <c r="AY101" s="61">
        <f t="shared" si="42"/>
        <v>0</v>
      </c>
      <c r="AZ101" s="71">
        <v>0</v>
      </c>
      <c r="BA101" s="61">
        <v>7.4668504974569408E-2</v>
      </c>
      <c r="BB101" s="70">
        <v>0</v>
      </c>
      <c r="BC101" s="70">
        <v>1054400.8600000001</v>
      </c>
      <c r="BD101" s="71">
        <v>241807</v>
      </c>
      <c r="BE101" s="71">
        <v>0</v>
      </c>
      <c r="BF101" s="71">
        <v>395874.69</v>
      </c>
      <c r="BG101" s="71">
        <v>0</v>
      </c>
      <c r="BH101" s="71">
        <v>0</v>
      </c>
      <c r="BI101" s="71">
        <v>0</v>
      </c>
      <c r="BJ101" s="71">
        <f t="shared" si="43"/>
        <v>0</v>
      </c>
      <c r="BK101" s="71">
        <v>0</v>
      </c>
      <c r="BL101" s="60">
        <v>4193</v>
      </c>
      <c r="BM101" s="60">
        <v>846</v>
      </c>
      <c r="BN101" s="59">
        <v>70</v>
      </c>
      <c r="BO101" s="59">
        <v>-4</v>
      </c>
      <c r="BP101" s="59">
        <v>-18</v>
      </c>
      <c r="BQ101" s="59">
        <v>-69</v>
      </c>
      <c r="BR101" s="59">
        <v>-124</v>
      </c>
      <c r="BS101" s="59">
        <v>-264</v>
      </c>
      <c r="BT101" s="59">
        <v>23</v>
      </c>
      <c r="BU101" s="59">
        <v>0</v>
      </c>
      <c r="BV101" s="59">
        <v>0</v>
      </c>
      <c r="BW101" s="59">
        <v>-745</v>
      </c>
      <c r="BX101" s="59">
        <v>-3</v>
      </c>
      <c r="BY101" s="59">
        <v>3905</v>
      </c>
      <c r="BZ101" s="59">
        <v>5</v>
      </c>
      <c r="CA101" s="59">
        <v>12</v>
      </c>
      <c r="CB101" s="59">
        <v>230</v>
      </c>
      <c r="CC101" s="59">
        <v>65</v>
      </c>
      <c r="CD101" s="59">
        <v>446</v>
      </c>
      <c r="CE101" s="59">
        <v>1</v>
      </c>
      <c r="CF101" s="59">
        <v>6</v>
      </c>
    </row>
    <row r="102" spans="1:84" s="50" customFormat="1" ht="15.6" customHeight="1" x14ac:dyDescent="0.25">
      <c r="A102" s="39">
        <v>10</v>
      </c>
      <c r="B102" s="51" t="s">
        <v>140</v>
      </c>
      <c r="C102" s="57" t="s">
        <v>314</v>
      </c>
      <c r="D102" s="42" t="s">
        <v>315</v>
      </c>
      <c r="E102" s="42" t="s">
        <v>103</v>
      </c>
      <c r="F102" s="42" t="s">
        <v>299</v>
      </c>
      <c r="G102" s="70">
        <v>24000357.32</v>
      </c>
      <c r="H102" s="70">
        <v>0</v>
      </c>
      <c r="I102" s="70">
        <v>808712.45</v>
      </c>
      <c r="J102" s="70">
        <v>0</v>
      </c>
      <c r="K102" s="71">
        <v>0</v>
      </c>
      <c r="L102" s="71">
        <v>24809069.77</v>
      </c>
      <c r="M102" s="71">
        <v>0</v>
      </c>
      <c r="N102" s="70">
        <v>7634374.2300000004</v>
      </c>
      <c r="O102" s="70">
        <v>1295492.3899999999</v>
      </c>
      <c r="P102" s="72">
        <v>4698261.66</v>
      </c>
      <c r="Q102" s="70">
        <v>0</v>
      </c>
      <c r="R102" s="70">
        <v>485622.12</v>
      </c>
      <c r="S102" s="70">
        <v>5774388.6399999997</v>
      </c>
      <c r="T102" s="70">
        <v>1600052.13</v>
      </c>
      <c r="U102" s="70">
        <v>0</v>
      </c>
      <c r="V102" s="70">
        <v>105810.42</v>
      </c>
      <c r="W102" s="70">
        <v>827469.27</v>
      </c>
      <c r="X102" s="71">
        <v>1821110.47</v>
      </c>
      <c r="Y102" s="71">
        <v>24242581.329999998</v>
      </c>
      <c r="Z102" s="61">
        <v>0.11683125057739764</v>
      </c>
      <c r="AA102" s="71">
        <v>1800024.84</v>
      </c>
      <c r="AB102" s="71">
        <v>0</v>
      </c>
      <c r="AC102" s="71">
        <v>0</v>
      </c>
      <c r="AD102" s="71">
        <v>0</v>
      </c>
      <c r="AE102" s="71">
        <v>0</v>
      </c>
      <c r="AF102" s="71">
        <f t="shared" si="41"/>
        <v>0</v>
      </c>
      <c r="AG102" s="71">
        <v>794730.99</v>
      </c>
      <c r="AH102" s="70">
        <v>60498.55</v>
      </c>
      <c r="AI102" s="70">
        <v>199675.58</v>
      </c>
      <c r="AJ102" s="71">
        <v>0</v>
      </c>
      <c r="AK102" s="70">
        <v>128564.59</v>
      </c>
      <c r="AL102" s="70">
        <v>40107.699999999997</v>
      </c>
      <c r="AM102" s="70">
        <v>67812.899999999994</v>
      </c>
      <c r="AN102" s="70">
        <v>16600</v>
      </c>
      <c r="AO102" s="70">
        <v>29653.77</v>
      </c>
      <c r="AP102" s="70">
        <v>10435.120000000001</v>
      </c>
      <c r="AQ102" s="70">
        <v>80094.12</v>
      </c>
      <c r="AR102" s="70">
        <v>15959.92</v>
      </c>
      <c r="AS102" s="70">
        <v>765</v>
      </c>
      <c r="AT102" s="70">
        <v>29978.19</v>
      </c>
      <c r="AU102" s="70">
        <v>18776.02</v>
      </c>
      <c r="AV102" s="70">
        <v>110358.83</v>
      </c>
      <c r="AW102" s="70">
        <v>1604011.28</v>
      </c>
      <c r="AX102" s="70">
        <v>0</v>
      </c>
      <c r="AY102" s="61">
        <f t="shared" si="42"/>
        <v>0</v>
      </c>
      <c r="AZ102" s="71">
        <v>0</v>
      </c>
      <c r="BA102" s="61">
        <v>7.4999918376215238E-2</v>
      </c>
      <c r="BB102" s="70">
        <v>700007.97</v>
      </c>
      <c r="BC102" s="70">
        <v>2103983.79</v>
      </c>
      <c r="BD102" s="71">
        <v>244766</v>
      </c>
      <c r="BE102" s="71">
        <v>0</v>
      </c>
      <c r="BF102" s="71">
        <v>909178.71</v>
      </c>
      <c r="BG102" s="71">
        <v>508175.89</v>
      </c>
      <c r="BH102" s="71">
        <v>0</v>
      </c>
      <c r="BI102" s="71">
        <v>0</v>
      </c>
      <c r="BJ102" s="71">
        <f t="shared" si="43"/>
        <v>0</v>
      </c>
      <c r="BK102" s="71">
        <v>0</v>
      </c>
      <c r="BL102" s="60">
        <v>1787</v>
      </c>
      <c r="BM102" s="60">
        <v>740</v>
      </c>
      <c r="BN102" s="59">
        <v>0</v>
      </c>
      <c r="BO102" s="59">
        <v>0</v>
      </c>
      <c r="BP102" s="59">
        <v>-13</v>
      </c>
      <c r="BQ102" s="59">
        <v>-19</v>
      </c>
      <c r="BR102" s="59">
        <v>-115</v>
      </c>
      <c r="BS102" s="59">
        <v>-241</v>
      </c>
      <c r="BT102" s="59">
        <v>7</v>
      </c>
      <c r="BU102" s="59">
        <v>-1</v>
      </c>
      <c r="BV102" s="59">
        <v>0</v>
      </c>
      <c r="BW102" s="59">
        <v>-299</v>
      </c>
      <c r="BX102" s="59">
        <v>-3</v>
      </c>
      <c r="BY102" s="59">
        <v>1843</v>
      </c>
      <c r="BZ102" s="59">
        <v>13</v>
      </c>
      <c r="CA102" s="59">
        <v>8</v>
      </c>
      <c r="CB102" s="59">
        <v>180</v>
      </c>
      <c r="CC102" s="59">
        <v>28</v>
      </c>
      <c r="CD102" s="59">
        <v>89</v>
      </c>
      <c r="CE102" s="59">
        <v>3</v>
      </c>
      <c r="CF102" s="59">
        <v>2</v>
      </c>
    </row>
    <row r="103" spans="1:84" s="50" customFormat="1" ht="15.6" customHeight="1" x14ac:dyDescent="0.25">
      <c r="A103" s="39">
        <v>10</v>
      </c>
      <c r="B103" s="51" t="s">
        <v>316</v>
      </c>
      <c r="C103" s="57" t="s">
        <v>224</v>
      </c>
      <c r="D103" s="42" t="s">
        <v>317</v>
      </c>
      <c r="E103" s="42" t="s">
        <v>117</v>
      </c>
      <c r="F103" s="42" t="s">
        <v>299</v>
      </c>
      <c r="G103" s="70">
        <v>13907462.73</v>
      </c>
      <c r="H103" s="70">
        <v>5104.7</v>
      </c>
      <c r="I103" s="70">
        <v>183153.63</v>
      </c>
      <c r="J103" s="70">
        <v>0</v>
      </c>
      <c r="K103" s="71">
        <v>0</v>
      </c>
      <c r="L103" s="71">
        <v>14095721.060000001</v>
      </c>
      <c r="M103" s="71">
        <v>0</v>
      </c>
      <c r="N103" s="70">
        <v>3174974.03</v>
      </c>
      <c r="O103" s="70">
        <v>415897.62</v>
      </c>
      <c r="P103" s="72">
        <v>3526161.95</v>
      </c>
      <c r="Q103" s="70">
        <v>0</v>
      </c>
      <c r="R103" s="70">
        <v>364014.21</v>
      </c>
      <c r="S103" s="70">
        <v>3987709.18</v>
      </c>
      <c r="T103" s="70">
        <v>1057332.3700000001</v>
      </c>
      <c r="U103" s="70">
        <v>0</v>
      </c>
      <c r="V103" s="70">
        <v>0</v>
      </c>
      <c r="W103" s="70">
        <v>448068.43</v>
      </c>
      <c r="X103" s="71">
        <v>1128948.54</v>
      </c>
      <c r="Y103" s="71">
        <v>14103106.33</v>
      </c>
      <c r="Z103" s="61">
        <v>2.2580224072990891E-2</v>
      </c>
      <c r="AA103" s="71">
        <v>1113531.49</v>
      </c>
      <c r="AB103" s="71">
        <v>0</v>
      </c>
      <c r="AC103" s="71">
        <v>0</v>
      </c>
      <c r="AD103" s="71">
        <v>0</v>
      </c>
      <c r="AE103" s="71">
        <v>0</v>
      </c>
      <c r="AF103" s="71">
        <f t="shared" si="41"/>
        <v>0</v>
      </c>
      <c r="AG103" s="71">
        <v>279111.7</v>
      </c>
      <c r="AH103" s="70">
        <v>23307.84</v>
      </c>
      <c r="AI103" s="70">
        <v>66151.3</v>
      </c>
      <c r="AJ103" s="71">
        <v>0</v>
      </c>
      <c r="AK103" s="70">
        <v>52295.48</v>
      </c>
      <c r="AL103" s="70">
        <v>31675.41</v>
      </c>
      <c r="AM103" s="70">
        <v>73476.679999999993</v>
      </c>
      <c r="AN103" s="70">
        <v>9100</v>
      </c>
      <c r="AO103" s="70">
        <v>8321.25</v>
      </c>
      <c r="AP103" s="70">
        <v>33138.01</v>
      </c>
      <c r="AQ103" s="70">
        <v>35995.94</v>
      </c>
      <c r="AR103" s="70">
        <v>11139.84</v>
      </c>
      <c r="AS103" s="70">
        <v>0</v>
      </c>
      <c r="AT103" s="70">
        <v>10424.31</v>
      </c>
      <c r="AU103" s="70">
        <v>29784.73</v>
      </c>
      <c r="AV103" s="70">
        <v>45509</v>
      </c>
      <c r="AW103" s="70">
        <v>709431.49</v>
      </c>
      <c r="AX103" s="70">
        <v>0</v>
      </c>
      <c r="AY103" s="61">
        <f t="shared" si="42"/>
        <v>0</v>
      </c>
      <c r="AZ103" s="71">
        <v>0</v>
      </c>
      <c r="BA103" s="61">
        <v>8.0067192098094514E-2</v>
      </c>
      <c r="BB103" s="70">
        <v>174920.26</v>
      </c>
      <c r="BC103" s="70">
        <v>139228.63</v>
      </c>
      <c r="BD103" s="71">
        <v>244766</v>
      </c>
      <c r="BE103" s="71">
        <v>0</v>
      </c>
      <c r="BF103" s="71">
        <v>624676.53</v>
      </c>
      <c r="BG103" s="71">
        <v>447318.65749999997</v>
      </c>
      <c r="BH103" s="71">
        <v>0</v>
      </c>
      <c r="BI103" s="71">
        <v>0</v>
      </c>
      <c r="BJ103" s="71">
        <f t="shared" si="43"/>
        <v>0</v>
      </c>
      <c r="BK103" s="71">
        <v>0</v>
      </c>
      <c r="BL103" s="60">
        <v>1595</v>
      </c>
      <c r="BM103" s="60">
        <v>283</v>
      </c>
      <c r="BN103" s="59">
        <v>3</v>
      </c>
      <c r="BO103" s="59">
        <v>-6</v>
      </c>
      <c r="BP103" s="59">
        <v>-4</v>
      </c>
      <c r="BQ103" s="59">
        <v>-24</v>
      </c>
      <c r="BR103" s="59">
        <v>-32</v>
      </c>
      <c r="BS103" s="59">
        <v>-140</v>
      </c>
      <c r="BT103" s="59">
        <v>0</v>
      </c>
      <c r="BU103" s="59">
        <v>0</v>
      </c>
      <c r="BV103" s="59">
        <v>77</v>
      </c>
      <c r="BW103" s="59">
        <v>-304</v>
      </c>
      <c r="BX103" s="59">
        <v>-4</v>
      </c>
      <c r="BY103" s="59">
        <v>1444</v>
      </c>
      <c r="BZ103" s="59">
        <v>9</v>
      </c>
      <c r="CA103" s="59">
        <v>6</v>
      </c>
      <c r="CB103" s="59">
        <v>81</v>
      </c>
      <c r="CC103" s="59">
        <v>32</v>
      </c>
      <c r="CD103" s="59">
        <v>170</v>
      </c>
      <c r="CE103" s="59">
        <v>17</v>
      </c>
      <c r="CF103" s="59">
        <v>0</v>
      </c>
    </row>
    <row r="104" spans="1:84" s="50" customFormat="1" ht="15.6" customHeight="1" x14ac:dyDescent="0.25">
      <c r="A104" s="39">
        <v>10</v>
      </c>
      <c r="B104" s="51" t="s">
        <v>318</v>
      </c>
      <c r="C104" s="57" t="s">
        <v>319</v>
      </c>
      <c r="D104" s="42" t="s">
        <v>320</v>
      </c>
      <c r="E104" s="42" t="s">
        <v>117</v>
      </c>
      <c r="F104" s="42" t="s">
        <v>305</v>
      </c>
      <c r="G104" s="70">
        <v>25989616.289999999</v>
      </c>
      <c r="H104" s="70">
        <v>0</v>
      </c>
      <c r="I104" s="70">
        <v>898173.83</v>
      </c>
      <c r="J104" s="70">
        <v>0</v>
      </c>
      <c r="K104" s="71">
        <v>0</v>
      </c>
      <c r="L104" s="71">
        <v>26887790.120000001</v>
      </c>
      <c r="M104" s="71">
        <v>0</v>
      </c>
      <c r="N104" s="70">
        <v>4813860.25</v>
      </c>
      <c r="O104" s="70">
        <v>1236463.02</v>
      </c>
      <c r="P104" s="72">
        <v>6666078.6100000003</v>
      </c>
      <c r="Q104" s="70">
        <v>0</v>
      </c>
      <c r="R104" s="70">
        <v>1054962.43</v>
      </c>
      <c r="S104" s="70">
        <v>8684096.4399999995</v>
      </c>
      <c r="T104" s="70">
        <v>1898224.09</v>
      </c>
      <c r="U104" s="70">
        <v>0</v>
      </c>
      <c r="V104" s="70">
        <v>54483.85</v>
      </c>
      <c r="W104" s="70">
        <v>1048191.84</v>
      </c>
      <c r="X104" s="71">
        <v>1576707.55</v>
      </c>
      <c r="Y104" s="71">
        <v>27033068.079999998</v>
      </c>
      <c r="Z104" s="61">
        <v>3.5692072928253493E-2</v>
      </c>
      <c r="AA104" s="71">
        <v>1553151.3</v>
      </c>
      <c r="AB104" s="71">
        <v>0</v>
      </c>
      <c r="AC104" s="71">
        <v>0</v>
      </c>
      <c r="AD104" s="71">
        <v>0</v>
      </c>
      <c r="AE104" s="71">
        <v>0</v>
      </c>
      <c r="AF104" s="71">
        <f t="shared" si="41"/>
        <v>0</v>
      </c>
      <c r="AG104" s="71">
        <v>823497.82</v>
      </c>
      <c r="AH104" s="70">
        <v>74241</v>
      </c>
      <c r="AI104" s="70">
        <v>262704.7</v>
      </c>
      <c r="AJ104" s="71">
        <v>0</v>
      </c>
      <c r="AK104" s="70">
        <v>110580.42</v>
      </c>
      <c r="AL104" s="70">
        <v>38589</v>
      </c>
      <c r="AM104" s="70">
        <v>71495.990000000005</v>
      </c>
      <c r="AN104" s="70">
        <v>9100</v>
      </c>
      <c r="AO104" s="70">
        <v>4848</v>
      </c>
      <c r="AP104" s="70">
        <v>12727.22</v>
      </c>
      <c r="AQ104" s="70">
        <v>57018.65</v>
      </c>
      <c r="AR104" s="70">
        <v>23801.98</v>
      </c>
      <c r="AS104" s="70">
        <v>930</v>
      </c>
      <c r="AT104" s="70">
        <v>14667.3</v>
      </c>
      <c r="AU104" s="70">
        <v>37100.49</v>
      </c>
      <c r="AV104" s="70">
        <v>79066.78</v>
      </c>
      <c r="AW104" s="70">
        <v>1620369.35</v>
      </c>
      <c r="AX104" s="70">
        <v>0</v>
      </c>
      <c r="AY104" s="61">
        <f t="shared" si="42"/>
        <v>0</v>
      </c>
      <c r="AZ104" s="71">
        <v>0</v>
      </c>
      <c r="BA104" s="61">
        <v>5.9760455201395363E-2</v>
      </c>
      <c r="BB104" s="70">
        <v>124777.82</v>
      </c>
      <c r="BC104" s="70">
        <v>802845.46</v>
      </c>
      <c r="BD104" s="71">
        <v>244766</v>
      </c>
      <c r="BE104" s="71">
        <v>0</v>
      </c>
      <c r="BF104" s="71">
        <v>1070794.08</v>
      </c>
      <c r="BG104" s="71">
        <v>665701.74250000005</v>
      </c>
      <c r="BH104" s="71">
        <v>0</v>
      </c>
      <c r="BI104" s="71">
        <v>0</v>
      </c>
      <c r="BJ104" s="71">
        <f t="shared" si="43"/>
        <v>0</v>
      </c>
      <c r="BK104" s="71">
        <v>0</v>
      </c>
      <c r="BL104" s="60">
        <v>2570</v>
      </c>
      <c r="BM104" s="60">
        <v>679</v>
      </c>
      <c r="BN104" s="59">
        <v>9</v>
      </c>
      <c r="BO104" s="59">
        <v>-8</v>
      </c>
      <c r="BP104" s="59">
        <v>-8</v>
      </c>
      <c r="BQ104" s="59">
        <v>-38</v>
      </c>
      <c r="BR104" s="59">
        <v>-74</v>
      </c>
      <c r="BS104" s="59">
        <v>-216</v>
      </c>
      <c r="BT104" s="59">
        <v>3</v>
      </c>
      <c r="BU104" s="59">
        <v>0</v>
      </c>
      <c r="BV104" s="59">
        <v>4</v>
      </c>
      <c r="BW104" s="59">
        <v>-526</v>
      </c>
      <c r="BX104" s="59">
        <v>-5</v>
      </c>
      <c r="BY104" s="59">
        <v>2390</v>
      </c>
      <c r="BZ104" s="59">
        <v>8</v>
      </c>
      <c r="CA104" s="59">
        <v>6</v>
      </c>
      <c r="CB104" s="59">
        <v>210</v>
      </c>
      <c r="CC104" s="59">
        <v>59</v>
      </c>
      <c r="CD104" s="59">
        <v>261</v>
      </c>
      <c r="CE104" s="59">
        <v>1</v>
      </c>
      <c r="CF104" s="59">
        <v>2</v>
      </c>
    </row>
    <row r="105" spans="1:84" s="50" customFormat="1" ht="15.6" customHeight="1" x14ac:dyDescent="0.25">
      <c r="A105" s="39">
        <v>11</v>
      </c>
      <c r="B105" s="51" t="s">
        <v>501</v>
      </c>
      <c r="C105" s="57" t="s">
        <v>549</v>
      </c>
      <c r="D105" s="42" t="s">
        <v>494</v>
      </c>
      <c r="E105" s="42" t="s">
        <v>106</v>
      </c>
      <c r="F105" s="42" t="s">
        <v>321</v>
      </c>
      <c r="G105" s="70">
        <v>23922077.52</v>
      </c>
      <c r="H105" s="70">
        <v>0</v>
      </c>
      <c r="I105" s="70">
        <v>397077.2</v>
      </c>
      <c r="J105" s="70">
        <v>0</v>
      </c>
      <c r="K105" s="71">
        <v>22369.99</v>
      </c>
      <c r="L105" s="71">
        <v>24341524.710000001</v>
      </c>
      <c r="M105" s="71">
        <v>0</v>
      </c>
      <c r="N105" s="70">
        <v>0</v>
      </c>
      <c r="O105" s="70">
        <v>138966.5</v>
      </c>
      <c r="P105" s="72">
        <v>10797330.32</v>
      </c>
      <c r="Q105" s="70">
        <v>0</v>
      </c>
      <c r="R105" s="70">
        <v>2073230.77</v>
      </c>
      <c r="S105" s="70">
        <v>7228207.7400000002</v>
      </c>
      <c r="T105" s="70">
        <v>2369119.2000000002</v>
      </c>
      <c r="U105" s="70">
        <v>0</v>
      </c>
      <c r="V105" s="70">
        <v>15</v>
      </c>
      <c r="W105" s="70">
        <v>517931.73</v>
      </c>
      <c r="X105" s="71">
        <v>1143029.19</v>
      </c>
      <c r="Y105" s="71">
        <v>24267830.449999999</v>
      </c>
      <c r="Z105" s="61">
        <v>5.3916304255835802E-2</v>
      </c>
      <c r="AA105" s="71">
        <v>1143029.19</v>
      </c>
      <c r="AB105" s="71">
        <v>0</v>
      </c>
      <c r="AC105" s="71">
        <v>0</v>
      </c>
      <c r="AD105" s="71">
        <v>0</v>
      </c>
      <c r="AE105" s="71">
        <v>0</v>
      </c>
      <c r="AF105" s="71">
        <f t="shared" si="41"/>
        <v>0</v>
      </c>
      <c r="AG105" s="71">
        <v>850054.76</v>
      </c>
      <c r="AH105" s="70">
        <v>65963.199999999997</v>
      </c>
      <c r="AI105" s="70">
        <v>171740.82</v>
      </c>
      <c r="AJ105" s="71">
        <v>0</v>
      </c>
      <c r="AK105" s="70">
        <v>67744.97</v>
      </c>
      <c r="AL105" s="70">
        <v>0</v>
      </c>
      <c r="AM105" s="70">
        <v>91708.58</v>
      </c>
      <c r="AN105" s="70">
        <v>8300</v>
      </c>
      <c r="AO105" s="70">
        <v>2840</v>
      </c>
      <c r="AP105" s="70">
        <v>2331.16</v>
      </c>
      <c r="AQ105" s="70">
        <v>38011.96</v>
      </c>
      <c r="AR105" s="70">
        <v>25587.59</v>
      </c>
      <c r="AS105" s="70">
        <v>2400</v>
      </c>
      <c r="AT105" s="70">
        <v>27252.37</v>
      </c>
      <c r="AU105" s="70">
        <v>47848.07</v>
      </c>
      <c r="AV105" s="70">
        <v>65735.3</v>
      </c>
      <c r="AW105" s="70">
        <v>1467518.78</v>
      </c>
      <c r="AX105" s="70">
        <v>0</v>
      </c>
      <c r="AY105" s="61">
        <f t="shared" si="42"/>
        <v>0</v>
      </c>
      <c r="AZ105" s="71">
        <v>15.56</v>
      </c>
      <c r="BA105" s="61">
        <v>4.7781351307986226E-2</v>
      </c>
      <c r="BB105" s="70">
        <v>330723.33</v>
      </c>
      <c r="BC105" s="70">
        <v>959066.68</v>
      </c>
      <c r="BD105" s="71">
        <v>241806.96</v>
      </c>
      <c r="BE105" s="71">
        <v>0</v>
      </c>
      <c r="BF105" s="71">
        <v>867444.75</v>
      </c>
      <c r="BG105" s="71">
        <v>500565.05499999999</v>
      </c>
      <c r="BH105" s="71">
        <v>0</v>
      </c>
      <c r="BI105" s="71">
        <v>0</v>
      </c>
      <c r="BJ105" s="71">
        <f t="shared" si="43"/>
        <v>0</v>
      </c>
      <c r="BK105" s="71">
        <v>0</v>
      </c>
      <c r="BL105" s="60">
        <v>3383</v>
      </c>
      <c r="BM105" s="60">
        <v>751</v>
      </c>
      <c r="BN105" s="59">
        <v>0</v>
      </c>
      <c r="BO105" s="59">
        <v>-2</v>
      </c>
      <c r="BP105" s="59">
        <v>-12</v>
      </c>
      <c r="BQ105" s="59">
        <v>-61</v>
      </c>
      <c r="BR105" s="59">
        <v>-98</v>
      </c>
      <c r="BS105" s="59">
        <v>-289</v>
      </c>
      <c r="BT105" s="59">
        <v>1</v>
      </c>
      <c r="BU105" s="59">
        <v>0</v>
      </c>
      <c r="BV105" s="59">
        <v>2</v>
      </c>
      <c r="BW105" s="59">
        <v>-582</v>
      </c>
      <c r="BX105" s="59">
        <v>3</v>
      </c>
      <c r="BY105" s="59">
        <v>3096</v>
      </c>
      <c r="BZ105" s="59">
        <v>32</v>
      </c>
      <c r="CA105" s="59">
        <v>10</v>
      </c>
      <c r="CB105" s="59">
        <v>179</v>
      </c>
      <c r="CC105" s="59">
        <v>39</v>
      </c>
      <c r="CD105" s="59">
        <v>306</v>
      </c>
      <c r="CE105" s="59">
        <v>58</v>
      </c>
      <c r="CF105" s="59">
        <v>0</v>
      </c>
    </row>
    <row r="106" spans="1:84" s="50" customFormat="1" ht="15.6" customHeight="1" x14ac:dyDescent="0.25">
      <c r="A106" s="39">
        <v>11</v>
      </c>
      <c r="B106" s="51" t="s">
        <v>323</v>
      </c>
      <c r="C106" s="57" t="s">
        <v>123</v>
      </c>
      <c r="D106" s="42" t="s">
        <v>324</v>
      </c>
      <c r="E106" s="42" t="s">
        <v>112</v>
      </c>
      <c r="F106" s="42" t="s">
        <v>321</v>
      </c>
      <c r="G106" s="70">
        <v>18762005.760000002</v>
      </c>
      <c r="H106" s="70">
        <v>251174.49</v>
      </c>
      <c r="I106" s="70">
        <v>0</v>
      </c>
      <c r="J106" s="70">
        <v>0</v>
      </c>
      <c r="K106" s="71">
        <v>0</v>
      </c>
      <c r="L106" s="71">
        <v>19013180.25</v>
      </c>
      <c r="M106" s="71">
        <v>0</v>
      </c>
      <c r="N106" s="70">
        <v>651330.43999999994</v>
      </c>
      <c r="O106" s="70">
        <v>1594668.49</v>
      </c>
      <c r="P106" s="72">
        <v>6223520.1299999999</v>
      </c>
      <c r="Q106" s="70">
        <v>0</v>
      </c>
      <c r="R106" s="70">
        <v>1652228.61</v>
      </c>
      <c r="S106" s="70">
        <v>5597247.5700000003</v>
      </c>
      <c r="T106" s="70">
        <v>1686646.1</v>
      </c>
      <c r="U106" s="70">
        <v>0</v>
      </c>
      <c r="V106" s="70">
        <v>0</v>
      </c>
      <c r="W106" s="70">
        <v>386168.76</v>
      </c>
      <c r="X106" s="71">
        <v>1144643.75</v>
      </c>
      <c r="Y106" s="71">
        <v>18936453.850000001</v>
      </c>
      <c r="Z106" s="61">
        <v>1.4503248608290659E-2</v>
      </c>
      <c r="AA106" s="71">
        <v>1106826.54</v>
      </c>
      <c r="AB106" s="71">
        <v>0</v>
      </c>
      <c r="AC106" s="71">
        <v>0</v>
      </c>
      <c r="AD106" s="71">
        <v>0</v>
      </c>
      <c r="AE106" s="71">
        <v>0</v>
      </c>
      <c r="AF106" s="71">
        <f t="shared" si="41"/>
        <v>0</v>
      </c>
      <c r="AG106" s="71">
        <v>457297.25</v>
      </c>
      <c r="AH106" s="70">
        <v>34573.019999999997</v>
      </c>
      <c r="AI106" s="70">
        <v>110733.96</v>
      </c>
      <c r="AJ106" s="71">
        <v>0</v>
      </c>
      <c r="AK106" s="70">
        <v>63176.22</v>
      </c>
      <c r="AL106" s="70">
        <v>11798.57</v>
      </c>
      <c r="AM106" s="70">
        <v>50438.83</v>
      </c>
      <c r="AN106" s="70">
        <v>8300</v>
      </c>
      <c r="AO106" s="70">
        <v>275</v>
      </c>
      <c r="AP106" s="70">
        <v>0</v>
      </c>
      <c r="AQ106" s="70">
        <v>37112.69</v>
      </c>
      <c r="AR106" s="70">
        <v>14991.88</v>
      </c>
      <c r="AS106" s="70">
        <v>0</v>
      </c>
      <c r="AT106" s="70">
        <v>7951.46</v>
      </c>
      <c r="AU106" s="70">
        <v>61642.05</v>
      </c>
      <c r="AV106" s="70">
        <v>30994.690000000002</v>
      </c>
      <c r="AW106" s="70">
        <v>889285.62</v>
      </c>
      <c r="AX106" s="70">
        <v>0</v>
      </c>
      <c r="AY106" s="61">
        <f t="shared" si="42"/>
        <v>0</v>
      </c>
      <c r="AZ106" s="71">
        <v>0</v>
      </c>
      <c r="BA106" s="61">
        <v>5.8992975173247149E-2</v>
      </c>
      <c r="BB106" s="70">
        <v>191289.17</v>
      </c>
      <c r="BC106" s="70">
        <v>84463.71</v>
      </c>
      <c r="BD106" s="71">
        <v>241807</v>
      </c>
      <c r="BE106" s="71">
        <v>0</v>
      </c>
      <c r="BF106" s="71">
        <v>598630.10000000102</v>
      </c>
      <c r="BG106" s="71">
        <v>376308.695000001</v>
      </c>
      <c r="BH106" s="71">
        <v>0</v>
      </c>
      <c r="BI106" s="71">
        <v>0</v>
      </c>
      <c r="BJ106" s="71">
        <f t="shared" si="43"/>
        <v>0</v>
      </c>
      <c r="BK106" s="71">
        <v>0</v>
      </c>
      <c r="BL106" s="60">
        <v>2074</v>
      </c>
      <c r="BM106" s="60">
        <v>597</v>
      </c>
      <c r="BN106" s="59">
        <v>0</v>
      </c>
      <c r="BO106" s="59">
        <v>0</v>
      </c>
      <c r="BP106" s="59">
        <v>-7</v>
      </c>
      <c r="BQ106" s="59">
        <v>-25</v>
      </c>
      <c r="BR106" s="59">
        <v>-99</v>
      </c>
      <c r="BS106" s="59">
        <v>-138</v>
      </c>
      <c r="BT106" s="59">
        <v>0</v>
      </c>
      <c r="BU106" s="59">
        <v>0</v>
      </c>
      <c r="BV106" s="59">
        <v>0</v>
      </c>
      <c r="BW106" s="59">
        <v>-430</v>
      </c>
      <c r="BX106" s="59">
        <v>-4</v>
      </c>
      <c r="BY106" s="59">
        <v>1968</v>
      </c>
      <c r="BZ106" s="59">
        <v>0</v>
      </c>
      <c r="CA106" s="59">
        <v>0</v>
      </c>
      <c r="CB106" s="59">
        <v>108</v>
      </c>
      <c r="CC106" s="59">
        <v>30</v>
      </c>
      <c r="CD106" s="59">
        <v>271</v>
      </c>
      <c r="CE106" s="59">
        <v>25</v>
      </c>
      <c r="CF106" s="59">
        <v>1</v>
      </c>
    </row>
    <row r="107" spans="1:84" s="50" customFormat="1" ht="15.6" customHeight="1" x14ac:dyDescent="0.25">
      <c r="A107" s="69">
        <v>11</v>
      </c>
      <c r="B107" s="37" t="s">
        <v>575</v>
      </c>
      <c r="C107" s="69" t="s">
        <v>165</v>
      </c>
      <c r="D107" s="69" t="s">
        <v>327</v>
      </c>
      <c r="E107" s="69" t="s">
        <v>103</v>
      </c>
      <c r="F107" s="69" t="s">
        <v>305</v>
      </c>
      <c r="G107" s="71">
        <v>59513836.380000003</v>
      </c>
      <c r="H107" s="71">
        <v>0</v>
      </c>
      <c r="I107" s="71">
        <v>3886905.7</v>
      </c>
      <c r="J107" s="71">
        <v>0</v>
      </c>
      <c r="K107" s="71">
        <v>0</v>
      </c>
      <c r="L107" s="71">
        <v>63400742.079999998</v>
      </c>
      <c r="M107" s="71">
        <v>0</v>
      </c>
      <c r="N107" s="71">
        <v>2192067.19</v>
      </c>
      <c r="O107" s="71">
        <v>4849893.92</v>
      </c>
      <c r="P107" s="71">
        <v>16076410.35</v>
      </c>
      <c r="Q107" s="71">
        <v>0</v>
      </c>
      <c r="R107" s="71">
        <v>3875909.46</v>
      </c>
      <c r="S107" s="71">
        <v>24351220.16</v>
      </c>
      <c r="T107" s="71">
        <v>5191324.7</v>
      </c>
      <c r="U107" s="71">
        <v>0</v>
      </c>
      <c r="V107" s="71">
        <v>0</v>
      </c>
      <c r="W107" s="71">
        <v>3993814.67</v>
      </c>
      <c r="X107" s="71">
        <v>3094891.88</v>
      </c>
      <c r="Y107" s="71">
        <v>63625532.329999998</v>
      </c>
      <c r="Z107" s="61">
        <v>6.5565429274045392E-2</v>
      </c>
      <c r="AA107" s="71">
        <v>3094891.88</v>
      </c>
      <c r="AB107" s="71">
        <v>0</v>
      </c>
      <c r="AC107" s="71">
        <v>0</v>
      </c>
      <c r="AD107" s="71">
        <v>0</v>
      </c>
      <c r="AE107" s="71">
        <v>0</v>
      </c>
      <c r="AF107" s="71">
        <f t="shared" si="41"/>
        <v>0</v>
      </c>
      <c r="AG107" s="71">
        <v>1545649.85</v>
      </c>
      <c r="AH107" s="71">
        <v>134451.99</v>
      </c>
      <c r="AI107" s="71">
        <v>355805.35</v>
      </c>
      <c r="AJ107" s="71">
        <v>0</v>
      </c>
      <c r="AK107" s="71">
        <v>561252.68000000005</v>
      </c>
      <c r="AL107" s="71">
        <v>5237.8500000000004</v>
      </c>
      <c r="AM107" s="71">
        <v>84391.1</v>
      </c>
      <c r="AN107" s="71">
        <v>8300</v>
      </c>
      <c r="AO107" s="71">
        <v>9720</v>
      </c>
      <c r="AP107" s="71">
        <v>0</v>
      </c>
      <c r="AQ107" s="71">
        <v>88149.65</v>
      </c>
      <c r="AR107" s="71">
        <v>12898.93</v>
      </c>
      <c r="AS107" s="71">
        <v>1125</v>
      </c>
      <c r="AT107" s="71">
        <v>0</v>
      </c>
      <c r="AU107" s="71">
        <v>95558.14</v>
      </c>
      <c r="AV107" s="71">
        <v>118809.58</v>
      </c>
      <c r="AW107" s="71">
        <v>3021350.12</v>
      </c>
      <c r="AX107" s="71">
        <v>0</v>
      </c>
      <c r="AY107" s="61">
        <f t="shared" si="42"/>
        <v>0</v>
      </c>
      <c r="AZ107" s="71">
        <v>2000</v>
      </c>
      <c r="BA107" s="61">
        <v>5.2002896607755193E-2</v>
      </c>
      <c r="BB107" s="71">
        <v>876080.7</v>
      </c>
      <c r="BC107" s="71">
        <v>3025969.53</v>
      </c>
      <c r="BD107" s="71">
        <v>241807</v>
      </c>
      <c r="BE107" s="71">
        <v>0</v>
      </c>
      <c r="BF107" s="71">
        <v>841077.87999999803</v>
      </c>
      <c r="BG107" s="71">
        <v>85740.349999998303</v>
      </c>
      <c r="BH107" s="71">
        <v>0</v>
      </c>
      <c r="BI107" s="71">
        <v>0</v>
      </c>
      <c r="BJ107" s="71">
        <f t="shared" si="43"/>
        <v>0</v>
      </c>
      <c r="BK107" s="71">
        <v>0</v>
      </c>
      <c r="BL107" s="60">
        <v>12028</v>
      </c>
      <c r="BM107" s="60">
        <v>2311</v>
      </c>
      <c r="BN107" s="60">
        <v>1</v>
      </c>
      <c r="BO107" s="60">
        <v>0</v>
      </c>
      <c r="BP107" s="60">
        <v>-31</v>
      </c>
      <c r="BQ107" s="60">
        <v>-197</v>
      </c>
      <c r="BR107" s="60">
        <v>-412</v>
      </c>
      <c r="BS107" s="60">
        <v>-1738</v>
      </c>
      <c r="BT107" s="60">
        <v>6</v>
      </c>
      <c r="BU107" s="60">
        <v>-5</v>
      </c>
      <c r="BV107" s="60">
        <v>0</v>
      </c>
      <c r="BW107" s="60">
        <v>-2853</v>
      </c>
      <c r="BX107" s="60">
        <v>0</v>
      </c>
      <c r="BY107" s="60">
        <v>9110</v>
      </c>
      <c r="BZ107" s="60">
        <v>222</v>
      </c>
      <c r="CA107" s="60">
        <v>81</v>
      </c>
      <c r="CB107" s="60">
        <v>654</v>
      </c>
      <c r="CC107" s="60">
        <v>221</v>
      </c>
      <c r="CD107" s="60">
        <v>1935</v>
      </c>
      <c r="CE107" s="60">
        <v>8</v>
      </c>
      <c r="CF107" s="60">
        <v>33</v>
      </c>
    </row>
    <row r="108" spans="1:84" s="50" customFormat="1" ht="15.6" customHeight="1" x14ac:dyDescent="0.25">
      <c r="A108" s="39">
        <v>11</v>
      </c>
      <c r="B108" s="51" t="s">
        <v>530</v>
      </c>
      <c r="C108" s="58" t="s">
        <v>514</v>
      </c>
      <c r="D108" s="42" t="s">
        <v>322</v>
      </c>
      <c r="E108" s="37" t="s">
        <v>106</v>
      </c>
      <c r="F108" s="42" t="s">
        <v>321</v>
      </c>
      <c r="G108" s="70">
        <v>44170479.579999998</v>
      </c>
      <c r="H108" s="70">
        <v>-1141.5</v>
      </c>
      <c r="I108" s="70">
        <v>1080887.6500000001</v>
      </c>
      <c r="J108" s="70">
        <v>0</v>
      </c>
      <c r="K108" s="71">
        <v>0</v>
      </c>
      <c r="L108" s="71">
        <v>45250225.729999997</v>
      </c>
      <c r="M108" s="71">
        <v>0</v>
      </c>
      <c r="N108" s="70">
        <v>0</v>
      </c>
      <c r="O108" s="70">
        <v>5226672.51</v>
      </c>
      <c r="P108" s="72">
        <v>14289760.08</v>
      </c>
      <c r="Q108" s="70">
        <v>0</v>
      </c>
      <c r="R108" s="70">
        <v>4526426.32</v>
      </c>
      <c r="S108" s="70">
        <v>12483285.779999999</v>
      </c>
      <c r="T108" s="70">
        <v>4406014.72</v>
      </c>
      <c r="U108" s="70">
        <v>0</v>
      </c>
      <c r="V108" s="70">
        <v>0</v>
      </c>
      <c r="W108" s="70">
        <v>1436009.4</v>
      </c>
      <c r="X108" s="71">
        <v>2473952.9300000002</v>
      </c>
      <c r="Y108" s="71">
        <v>44842121.740000002</v>
      </c>
      <c r="Z108" s="61">
        <v>6.4522667621556992E-2</v>
      </c>
      <c r="AA108" s="71">
        <v>2473267.9300000002</v>
      </c>
      <c r="AB108" s="71">
        <v>0</v>
      </c>
      <c r="AC108" s="71">
        <v>0</v>
      </c>
      <c r="AD108" s="71">
        <v>0</v>
      </c>
      <c r="AE108" s="71">
        <v>0</v>
      </c>
      <c r="AF108" s="71">
        <f t="shared" si="41"/>
        <v>0</v>
      </c>
      <c r="AG108" s="71">
        <v>1383530.56</v>
      </c>
      <c r="AH108" s="70">
        <v>108006.01</v>
      </c>
      <c r="AI108" s="70">
        <v>406301.91</v>
      </c>
      <c r="AJ108" s="71">
        <v>0</v>
      </c>
      <c r="AK108" s="70">
        <v>130093.27</v>
      </c>
      <c r="AL108" s="70">
        <v>14304.05</v>
      </c>
      <c r="AM108" s="70">
        <v>156608.6</v>
      </c>
      <c r="AN108" s="70">
        <v>8300</v>
      </c>
      <c r="AO108" s="70">
        <v>6504</v>
      </c>
      <c r="AP108" s="70">
        <v>0</v>
      </c>
      <c r="AQ108" s="70">
        <v>56395.39</v>
      </c>
      <c r="AR108" s="70">
        <v>27976.880000000001</v>
      </c>
      <c r="AS108" s="70">
        <v>3645</v>
      </c>
      <c r="AT108" s="70">
        <v>72344.350000000006</v>
      </c>
      <c r="AU108" s="70">
        <v>64365.42</v>
      </c>
      <c r="AV108" s="70">
        <v>74119.62</v>
      </c>
      <c r="AW108" s="70">
        <v>2512495.06</v>
      </c>
      <c r="AX108" s="70">
        <v>0</v>
      </c>
      <c r="AY108" s="61">
        <f t="shared" si="42"/>
        <v>0</v>
      </c>
      <c r="AZ108" s="71">
        <v>0</v>
      </c>
      <c r="BA108" s="61">
        <v>5.5993685228626633E-2</v>
      </c>
      <c r="BB108" s="70">
        <v>1149018.7</v>
      </c>
      <c r="BC108" s="70">
        <v>1700904.82</v>
      </c>
      <c r="BD108" s="71">
        <v>241807</v>
      </c>
      <c r="BE108" s="71">
        <v>8.7311491370201098E-11</v>
      </c>
      <c r="BF108" s="71">
        <v>1620658.65</v>
      </c>
      <c r="BG108" s="71">
        <v>992534.88500000001</v>
      </c>
      <c r="BH108" s="71">
        <v>0</v>
      </c>
      <c r="BI108" s="71">
        <v>0</v>
      </c>
      <c r="BJ108" s="71">
        <f t="shared" si="43"/>
        <v>0</v>
      </c>
      <c r="BK108" s="71">
        <v>0</v>
      </c>
      <c r="BL108" s="60">
        <v>6206</v>
      </c>
      <c r="BM108" s="60">
        <v>1475</v>
      </c>
      <c r="BN108" s="59">
        <v>1</v>
      </c>
      <c r="BO108" s="59">
        <v>0</v>
      </c>
      <c r="BP108" s="59">
        <v>-14</v>
      </c>
      <c r="BQ108" s="59">
        <v>-78</v>
      </c>
      <c r="BR108" s="59">
        <v>-330</v>
      </c>
      <c r="BS108" s="59">
        <v>-650</v>
      </c>
      <c r="BT108" s="59">
        <v>6</v>
      </c>
      <c r="BU108" s="59">
        <v>-1</v>
      </c>
      <c r="BV108" s="59">
        <v>-1</v>
      </c>
      <c r="BW108" s="59">
        <v>-1124</v>
      </c>
      <c r="BX108" s="59">
        <v>0</v>
      </c>
      <c r="BY108" s="59">
        <v>5490</v>
      </c>
      <c r="BZ108" s="59">
        <v>35</v>
      </c>
      <c r="CA108" s="59">
        <v>26</v>
      </c>
      <c r="CB108" s="59">
        <v>333</v>
      </c>
      <c r="CC108" s="59">
        <v>48</v>
      </c>
      <c r="CD108" s="59">
        <v>560</v>
      </c>
      <c r="CE108" s="59">
        <v>168</v>
      </c>
      <c r="CF108" s="59">
        <v>13</v>
      </c>
    </row>
    <row r="109" spans="1:84" s="50" customFormat="1" ht="15.6" customHeight="1" x14ac:dyDescent="0.25">
      <c r="A109" s="39">
        <v>11</v>
      </c>
      <c r="B109" s="51" t="s">
        <v>325</v>
      </c>
      <c r="C109" s="57" t="s">
        <v>326</v>
      </c>
      <c r="D109" s="42" t="s">
        <v>327</v>
      </c>
      <c r="E109" s="37" t="s">
        <v>103</v>
      </c>
      <c r="F109" s="42" t="s">
        <v>305</v>
      </c>
      <c r="G109" s="70">
        <v>50683502.530000001</v>
      </c>
      <c r="H109" s="70">
        <v>0</v>
      </c>
      <c r="I109" s="70">
        <v>4647287.96</v>
      </c>
      <c r="J109" s="70">
        <v>0</v>
      </c>
      <c r="K109" s="71">
        <v>1700.44</v>
      </c>
      <c r="L109" s="71">
        <v>55332490.93</v>
      </c>
      <c r="M109" s="71">
        <v>0</v>
      </c>
      <c r="N109" s="70">
        <v>1194647.56</v>
      </c>
      <c r="O109" s="70">
        <v>4278495.01</v>
      </c>
      <c r="P109" s="72">
        <v>12960227.880000001</v>
      </c>
      <c r="Q109" s="70">
        <v>0</v>
      </c>
      <c r="R109" s="70">
        <v>3009263.4</v>
      </c>
      <c r="S109" s="70">
        <v>22134656.219999999</v>
      </c>
      <c r="T109" s="70">
        <v>5036202.26</v>
      </c>
      <c r="U109" s="70">
        <v>0</v>
      </c>
      <c r="V109" s="70">
        <v>0</v>
      </c>
      <c r="W109" s="70">
        <v>4933424.9800000004</v>
      </c>
      <c r="X109" s="71">
        <v>2834666.923</v>
      </c>
      <c r="Y109" s="71">
        <v>56381584.233000003</v>
      </c>
      <c r="Z109" s="61">
        <v>0.11298145382929201</v>
      </c>
      <c r="AA109" s="71">
        <v>2832966.483</v>
      </c>
      <c r="AB109" s="71">
        <v>0</v>
      </c>
      <c r="AC109" s="71">
        <v>0</v>
      </c>
      <c r="AD109" s="71">
        <v>1700.44</v>
      </c>
      <c r="AE109" s="71">
        <v>0</v>
      </c>
      <c r="AF109" s="71">
        <f t="shared" si="41"/>
        <v>1700.44</v>
      </c>
      <c r="AG109" s="71">
        <v>1341728.02</v>
      </c>
      <c r="AH109" s="70">
        <v>117601.37</v>
      </c>
      <c r="AI109" s="70">
        <v>322390.39</v>
      </c>
      <c r="AJ109" s="71">
        <v>0</v>
      </c>
      <c r="AK109" s="70">
        <v>613577.24</v>
      </c>
      <c r="AL109" s="70">
        <v>24472.799999999999</v>
      </c>
      <c r="AM109" s="70">
        <v>108444.88</v>
      </c>
      <c r="AN109" s="70">
        <v>8300</v>
      </c>
      <c r="AO109" s="70">
        <v>6809</v>
      </c>
      <c r="AP109" s="70">
        <v>0</v>
      </c>
      <c r="AQ109" s="70">
        <v>72241.67</v>
      </c>
      <c r="AR109" s="70">
        <v>0</v>
      </c>
      <c r="AS109" s="70">
        <v>2025</v>
      </c>
      <c r="AT109" s="70">
        <v>26441.55</v>
      </c>
      <c r="AU109" s="70">
        <v>94277.51</v>
      </c>
      <c r="AV109" s="70">
        <v>75226.2</v>
      </c>
      <c r="AW109" s="70">
        <v>2813535.63</v>
      </c>
      <c r="AX109" s="70">
        <v>0</v>
      </c>
      <c r="AY109" s="61">
        <f t="shared" si="42"/>
        <v>0</v>
      </c>
      <c r="AZ109" s="71">
        <v>0</v>
      </c>
      <c r="BA109" s="61">
        <v>5.5895238836801829E-2</v>
      </c>
      <c r="BB109" s="70">
        <v>979379.13</v>
      </c>
      <c r="BC109" s="70">
        <v>4746916.67</v>
      </c>
      <c r="BD109" s="71">
        <v>244766</v>
      </c>
      <c r="BE109" s="71">
        <v>0</v>
      </c>
      <c r="BF109" s="71">
        <v>661651.93200000003</v>
      </c>
      <c r="BG109" s="71">
        <v>0</v>
      </c>
      <c r="BH109" s="71">
        <v>0</v>
      </c>
      <c r="BI109" s="71">
        <v>0</v>
      </c>
      <c r="BJ109" s="71">
        <f t="shared" si="43"/>
        <v>0</v>
      </c>
      <c r="BK109" s="71">
        <v>0</v>
      </c>
      <c r="BL109" s="60">
        <v>8887</v>
      </c>
      <c r="BM109" s="60">
        <v>2403</v>
      </c>
      <c r="BN109" s="59">
        <v>75</v>
      </c>
      <c r="BO109" s="59">
        <v>-99</v>
      </c>
      <c r="BP109" s="59">
        <v>-27</v>
      </c>
      <c r="BQ109" s="59">
        <v>-127</v>
      </c>
      <c r="BR109" s="59">
        <v>-729</v>
      </c>
      <c r="BS109" s="59">
        <v>-1274</v>
      </c>
      <c r="BT109" s="59">
        <v>0</v>
      </c>
      <c r="BU109" s="59">
        <v>-3</v>
      </c>
      <c r="BV109" s="59">
        <v>0</v>
      </c>
      <c r="BW109" s="59">
        <v>-1760</v>
      </c>
      <c r="BX109" s="59">
        <v>0</v>
      </c>
      <c r="BY109" s="59">
        <v>7346</v>
      </c>
      <c r="BZ109" s="59">
        <v>154</v>
      </c>
      <c r="CA109" s="59">
        <v>31</v>
      </c>
      <c r="CB109" s="59">
        <v>588</v>
      </c>
      <c r="CC109" s="59">
        <v>158</v>
      </c>
      <c r="CD109" s="59">
        <v>1070</v>
      </c>
      <c r="CE109" s="59">
        <v>3</v>
      </c>
      <c r="CF109" s="59">
        <v>11</v>
      </c>
    </row>
    <row r="110" spans="1:84" s="50" customFormat="1" ht="15.6" customHeight="1" x14ac:dyDescent="0.25">
      <c r="A110" s="39">
        <v>11</v>
      </c>
      <c r="B110" s="51" t="s">
        <v>328</v>
      </c>
      <c r="C110" s="57" t="s">
        <v>329</v>
      </c>
      <c r="D110" s="42" t="s">
        <v>330</v>
      </c>
      <c r="E110" s="42" t="s">
        <v>103</v>
      </c>
      <c r="F110" s="42" t="s">
        <v>305</v>
      </c>
      <c r="G110" s="70">
        <v>12472868.380000001</v>
      </c>
      <c r="H110" s="70">
        <v>0</v>
      </c>
      <c r="I110" s="70">
        <v>198136.07</v>
      </c>
      <c r="J110" s="70">
        <v>0</v>
      </c>
      <c r="K110" s="71">
        <v>0</v>
      </c>
      <c r="L110" s="71">
        <v>12671004.449999999</v>
      </c>
      <c r="M110" s="71">
        <v>0</v>
      </c>
      <c r="N110" s="70">
        <v>37673.33</v>
      </c>
      <c r="O110" s="70">
        <v>792203.27</v>
      </c>
      <c r="P110" s="72">
        <v>2436405.5699999998</v>
      </c>
      <c r="Q110" s="70">
        <v>0</v>
      </c>
      <c r="R110" s="70">
        <v>510392.66</v>
      </c>
      <c r="S110" s="70">
        <v>6730425.9500000002</v>
      </c>
      <c r="T110" s="70">
        <v>1301705.2</v>
      </c>
      <c r="U110" s="70">
        <v>0</v>
      </c>
      <c r="V110" s="70">
        <v>0</v>
      </c>
      <c r="W110" s="70">
        <v>269893.65000000002</v>
      </c>
      <c r="X110" s="71">
        <v>872685.54999999993</v>
      </c>
      <c r="Y110" s="71">
        <v>12951385.18</v>
      </c>
      <c r="Z110" s="61">
        <v>8.2888253006643209E-2</v>
      </c>
      <c r="AA110" s="71">
        <v>872605.33</v>
      </c>
      <c r="AB110" s="71">
        <v>0</v>
      </c>
      <c r="AC110" s="71">
        <v>0</v>
      </c>
      <c r="AD110" s="71">
        <v>0</v>
      </c>
      <c r="AE110" s="71">
        <v>363.01</v>
      </c>
      <c r="AF110" s="71">
        <f t="shared" si="41"/>
        <v>363.01</v>
      </c>
      <c r="AG110" s="71">
        <v>339391.12</v>
      </c>
      <c r="AH110" s="70">
        <v>28069.82</v>
      </c>
      <c r="AI110" s="70">
        <v>91480.73</v>
      </c>
      <c r="AJ110" s="71">
        <v>0</v>
      </c>
      <c r="AK110" s="70">
        <v>36609</v>
      </c>
      <c r="AL110" s="70">
        <v>14371.7</v>
      </c>
      <c r="AM110" s="70">
        <v>89368.07</v>
      </c>
      <c r="AN110" s="70">
        <v>8300</v>
      </c>
      <c r="AO110" s="70">
        <v>0</v>
      </c>
      <c r="AP110" s="70">
        <v>3636</v>
      </c>
      <c r="AQ110" s="70">
        <v>33703.39</v>
      </c>
      <c r="AR110" s="70">
        <v>150</v>
      </c>
      <c r="AS110" s="70">
        <v>0</v>
      </c>
      <c r="AT110" s="70">
        <v>3586.71</v>
      </c>
      <c r="AU110" s="70">
        <v>12881.56</v>
      </c>
      <c r="AV110" s="70">
        <v>32636.2</v>
      </c>
      <c r="AW110" s="70">
        <v>694184.3</v>
      </c>
      <c r="AX110" s="70">
        <v>0</v>
      </c>
      <c r="AY110" s="61">
        <f t="shared" si="42"/>
        <v>0</v>
      </c>
      <c r="AZ110" s="71">
        <v>0</v>
      </c>
      <c r="BA110" s="61">
        <v>6.9960277252600969E-2</v>
      </c>
      <c r="BB110" s="70">
        <v>158103.24</v>
      </c>
      <c r="BC110" s="70">
        <v>875751.03</v>
      </c>
      <c r="BD110" s="71">
        <v>244766</v>
      </c>
      <c r="BE110" s="71">
        <v>0</v>
      </c>
      <c r="BF110" s="71">
        <v>707319.18999999901</v>
      </c>
      <c r="BG110" s="71">
        <v>533773.11499999894</v>
      </c>
      <c r="BH110" s="71">
        <v>0</v>
      </c>
      <c r="BI110" s="71">
        <v>0</v>
      </c>
      <c r="BJ110" s="71">
        <f t="shared" si="43"/>
        <v>0</v>
      </c>
      <c r="BK110" s="71">
        <v>0</v>
      </c>
      <c r="BL110" s="60">
        <v>1675</v>
      </c>
      <c r="BM110" s="60">
        <v>439</v>
      </c>
      <c r="BN110" s="59">
        <v>7</v>
      </c>
      <c r="BO110" s="59">
        <v>0</v>
      </c>
      <c r="BP110" s="59">
        <v>-4</v>
      </c>
      <c r="BQ110" s="59">
        <v>-9</v>
      </c>
      <c r="BR110" s="59">
        <v>-88</v>
      </c>
      <c r="BS110" s="59">
        <v>-126</v>
      </c>
      <c r="BT110" s="59">
        <v>0</v>
      </c>
      <c r="BU110" s="59">
        <v>0</v>
      </c>
      <c r="BV110" s="59">
        <v>7</v>
      </c>
      <c r="BW110" s="59">
        <v>-354</v>
      </c>
      <c r="BX110" s="59">
        <v>-2</v>
      </c>
      <c r="BY110" s="59">
        <v>1545</v>
      </c>
      <c r="BZ110" s="59">
        <v>1</v>
      </c>
      <c r="CA110" s="59">
        <v>1</v>
      </c>
      <c r="CB110" s="59">
        <v>160</v>
      </c>
      <c r="CC110" s="59">
        <v>24</v>
      </c>
      <c r="CD110" s="59">
        <v>139</v>
      </c>
      <c r="CE110" s="59">
        <v>23</v>
      </c>
      <c r="CF110" s="59">
        <v>6</v>
      </c>
    </row>
    <row r="111" spans="1:84" s="50" customFormat="1" ht="15.6" customHeight="1" x14ac:dyDescent="0.25">
      <c r="A111" s="39">
        <v>11</v>
      </c>
      <c r="B111" s="51" t="s">
        <v>331</v>
      </c>
      <c r="C111" s="57" t="s">
        <v>332</v>
      </c>
      <c r="D111" s="42" t="s">
        <v>333</v>
      </c>
      <c r="E111" s="42" t="s">
        <v>103</v>
      </c>
      <c r="F111" s="42" t="s">
        <v>305</v>
      </c>
      <c r="G111" s="70">
        <v>56042671.119999997</v>
      </c>
      <c r="H111" s="70">
        <v>0</v>
      </c>
      <c r="I111" s="70">
        <v>1395623.23</v>
      </c>
      <c r="J111" s="70">
        <v>0</v>
      </c>
      <c r="K111" s="71">
        <v>0</v>
      </c>
      <c r="L111" s="71">
        <v>57438294.350000001</v>
      </c>
      <c r="M111" s="71">
        <v>0</v>
      </c>
      <c r="N111" s="70">
        <v>501378.84</v>
      </c>
      <c r="O111" s="70">
        <v>5193797.07</v>
      </c>
      <c r="P111" s="72">
        <v>10338372.66</v>
      </c>
      <c r="Q111" s="70">
        <v>0</v>
      </c>
      <c r="R111" s="70">
        <v>3231635.83</v>
      </c>
      <c r="S111" s="70">
        <v>28439774.48</v>
      </c>
      <c r="T111" s="70">
        <v>4306852.41</v>
      </c>
      <c r="U111" s="70">
        <v>0</v>
      </c>
      <c r="V111" s="70">
        <v>0</v>
      </c>
      <c r="W111" s="70">
        <v>1493490.2</v>
      </c>
      <c r="X111" s="71">
        <v>3760294.74</v>
      </c>
      <c r="Y111" s="71">
        <v>57265596.229999997</v>
      </c>
      <c r="Z111" s="61">
        <v>6.7262374805949654E-2</v>
      </c>
      <c r="AA111" s="71">
        <v>3720675.79</v>
      </c>
      <c r="AB111" s="71">
        <v>0</v>
      </c>
      <c r="AC111" s="71">
        <v>0</v>
      </c>
      <c r="AD111" s="71">
        <v>0</v>
      </c>
      <c r="AE111" s="71">
        <v>0</v>
      </c>
      <c r="AF111" s="71">
        <f t="shared" si="41"/>
        <v>0</v>
      </c>
      <c r="AG111" s="71">
        <v>1628310.16</v>
      </c>
      <c r="AH111" s="70">
        <v>135191</v>
      </c>
      <c r="AI111" s="70">
        <v>513227.22</v>
      </c>
      <c r="AJ111" s="71">
        <v>0</v>
      </c>
      <c r="AK111" s="70">
        <v>249588.13</v>
      </c>
      <c r="AL111" s="70">
        <v>5013.91</v>
      </c>
      <c r="AM111" s="70">
        <v>76864</v>
      </c>
      <c r="AN111" s="70">
        <v>8300</v>
      </c>
      <c r="AO111" s="70">
        <v>5641</v>
      </c>
      <c r="AP111" s="70">
        <v>2249.06</v>
      </c>
      <c r="AQ111" s="70">
        <v>50433.43</v>
      </c>
      <c r="AR111" s="70">
        <v>33747.660000000003</v>
      </c>
      <c r="AS111" s="70">
        <v>4440</v>
      </c>
      <c r="AT111" s="70">
        <v>9837.7000000000007</v>
      </c>
      <c r="AU111" s="70">
        <v>57828.59</v>
      </c>
      <c r="AV111" s="70">
        <v>90363.650000000009</v>
      </c>
      <c r="AW111" s="70">
        <v>2871035.51</v>
      </c>
      <c r="AX111" s="70">
        <v>0</v>
      </c>
      <c r="AY111" s="61">
        <f t="shared" si="42"/>
        <v>0</v>
      </c>
      <c r="AZ111" s="71">
        <v>0</v>
      </c>
      <c r="BA111" s="61">
        <v>6.6390050931605202E-2</v>
      </c>
      <c r="BB111" s="70">
        <v>648213.62</v>
      </c>
      <c r="BC111" s="70">
        <v>3121349.53</v>
      </c>
      <c r="BD111" s="71">
        <v>244766</v>
      </c>
      <c r="BE111" s="71">
        <v>0</v>
      </c>
      <c r="BF111" s="71">
        <v>1977293.29</v>
      </c>
      <c r="BG111" s="71">
        <v>1259534.4125000001</v>
      </c>
      <c r="BH111" s="71">
        <v>0</v>
      </c>
      <c r="BI111" s="71">
        <v>0</v>
      </c>
      <c r="BJ111" s="71">
        <f t="shared" si="43"/>
        <v>0</v>
      </c>
      <c r="BK111" s="71">
        <v>0</v>
      </c>
      <c r="BL111" s="60">
        <v>6408</v>
      </c>
      <c r="BM111" s="60">
        <v>1721</v>
      </c>
      <c r="BN111" s="59">
        <v>0</v>
      </c>
      <c r="BO111" s="59">
        <v>0</v>
      </c>
      <c r="BP111" s="59">
        <v>-15</v>
      </c>
      <c r="BQ111" s="59">
        <v>-51</v>
      </c>
      <c r="BR111" s="59">
        <v>-276</v>
      </c>
      <c r="BS111" s="59">
        <v>-450</v>
      </c>
      <c r="BT111" s="59">
        <v>18</v>
      </c>
      <c r="BU111" s="59">
        <v>-2</v>
      </c>
      <c r="BV111" s="59">
        <v>0</v>
      </c>
      <c r="BW111" s="59">
        <v>-1383</v>
      </c>
      <c r="BX111" s="59">
        <v>-3</v>
      </c>
      <c r="BY111" s="59">
        <v>5967</v>
      </c>
      <c r="BZ111" s="59">
        <v>10</v>
      </c>
      <c r="CA111" s="59">
        <v>20</v>
      </c>
      <c r="CB111" s="59">
        <v>578</v>
      </c>
      <c r="CC111" s="59">
        <v>129</v>
      </c>
      <c r="CD111" s="59">
        <v>658</v>
      </c>
      <c r="CE111" s="59">
        <v>3</v>
      </c>
      <c r="CF111" s="59">
        <v>15</v>
      </c>
    </row>
    <row r="112" spans="1:84" s="50" customFormat="1" ht="15.6" customHeight="1" x14ac:dyDescent="0.25">
      <c r="A112" s="39">
        <v>12</v>
      </c>
      <c r="B112" s="51" t="s">
        <v>334</v>
      </c>
      <c r="C112" s="57" t="s">
        <v>335</v>
      </c>
      <c r="D112" s="42" t="s">
        <v>336</v>
      </c>
      <c r="E112" s="37" t="s">
        <v>85</v>
      </c>
      <c r="F112" s="42" t="s">
        <v>337</v>
      </c>
      <c r="G112" s="70">
        <v>27958906.550000001</v>
      </c>
      <c r="H112" s="70">
        <v>0.02</v>
      </c>
      <c r="I112" s="70">
        <v>106964.63</v>
      </c>
      <c r="J112" s="70">
        <v>0</v>
      </c>
      <c r="K112" s="71">
        <v>6294.45</v>
      </c>
      <c r="L112" s="71">
        <v>28072165.649999999</v>
      </c>
      <c r="M112" s="71">
        <v>0</v>
      </c>
      <c r="N112" s="70">
        <v>0</v>
      </c>
      <c r="O112" s="70">
        <v>2164505.09</v>
      </c>
      <c r="P112" s="72">
        <v>3596016.93</v>
      </c>
      <c r="Q112" s="70">
        <v>70780.66</v>
      </c>
      <c r="R112" s="70">
        <v>3803511.17</v>
      </c>
      <c r="S112" s="70">
        <v>13107256.130000001</v>
      </c>
      <c r="T112" s="70">
        <v>2651118.7999999998</v>
      </c>
      <c r="U112" s="70">
        <v>0</v>
      </c>
      <c r="V112" s="70">
        <v>0</v>
      </c>
      <c r="W112" s="70">
        <v>203109.29</v>
      </c>
      <c r="X112" s="71">
        <v>2437733.7400000002</v>
      </c>
      <c r="Y112" s="71">
        <v>28034031.809999999</v>
      </c>
      <c r="Z112" s="61">
        <v>4.4618792114658863E-2</v>
      </c>
      <c r="AA112" s="71">
        <v>2431439.29</v>
      </c>
      <c r="AB112" s="71">
        <v>0</v>
      </c>
      <c r="AC112" s="71">
        <v>0</v>
      </c>
      <c r="AD112" s="71">
        <v>6294.45</v>
      </c>
      <c r="AE112" s="71">
        <v>0</v>
      </c>
      <c r="AF112" s="71">
        <f t="shared" si="41"/>
        <v>6294.45</v>
      </c>
      <c r="AG112" s="71">
        <v>985436.91</v>
      </c>
      <c r="AH112" s="70">
        <v>74446.080000000002</v>
      </c>
      <c r="AI112" s="70">
        <v>234613.18</v>
      </c>
      <c r="AJ112" s="71">
        <v>0</v>
      </c>
      <c r="AK112" s="70">
        <v>173909.31</v>
      </c>
      <c r="AL112" s="70">
        <v>44957.65</v>
      </c>
      <c r="AM112" s="70">
        <v>74070.53</v>
      </c>
      <c r="AN112" s="70">
        <v>17486</v>
      </c>
      <c r="AO112" s="70">
        <v>0</v>
      </c>
      <c r="AP112" s="70">
        <v>0</v>
      </c>
      <c r="AQ112" s="70">
        <v>42427.42</v>
      </c>
      <c r="AR112" s="70">
        <v>29655.7</v>
      </c>
      <c r="AS112" s="70">
        <v>0</v>
      </c>
      <c r="AT112" s="70">
        <v>20506.96</v>
      </c>
      <c r="AU112" s="70">
        <v>64569.63</v>
      </c>
      <c r="AV112" s="70">
        <v>62972.21</v>
      </c>
      <c r="AW112" s="70">
        <v>1825051.58</v>
      </c>
      <c r="AX112" s="70">
        <v>0</v>
      </c>
      <c r="AY112" s="61">
        <f t="shared" si="42"/>
        <v>0</v>
      </c>
      <c r="AZ112" s="71">
        <v>0</v>
      </c>
      <c r="BA112" s="61">
        <v>8.6964748984434084E-2</v>
      </c>
      <c r="BB112" s="70">
        <v>416528.81</v>
      </c>
      <c r="BC112" s="70">
        <v>830963.83</v>
      </c>
      <c r="BD112" s="71">
        <v>241807</v>
      </c>
      <c r="BE112" s="71">
        <v>0</v>
      </c>
      <c r="BF112" s="71">
        <v>1901064.99</v>
      </c>
      <c r="BG112" s="71">
        <v>1444802.095</v>
      </c>
      <c r="BH112" s="71">
        <v>0</v>
      </c>
      <c r="BI112" s="71">
        <v>0</v>
      </c>
      <c r="BJ112" s="71">
        <f t="shared" si="43"/>
        <v>0</v>
      </c>
      <c r="BK112" s="71">
        <v>0</v>
      </c>
      <c r="BL112" s="60">
        <v>3961</v>
      </c>
      <c r="BM112" s="60">
        <v>872</v>
      </c>
      <c r="BN112" s="59">
        <v>0</v>
      </c>
      <c r="BO112" s="59">
        <v>0</v>
      </c>
      <c r="BP112" s="59">
        <v>-10</v>
      </c>
      <c r="BQ112" s="59">
        <v>-57</v>
      </c>
      <c r="BR112" s="59">
        <v>-87</v>
      </c>
      <c r="BS112" s="59">
        <v>-207</v>
      </c>
      <c r="BT112" s="59">
        <v>18</v>
      </c>
      <c r="BU112" s="59">
        <v>0</v>
      </c>
      <c r="BV112" s="59">
        <v>1</v>
      </c>
      <c r="BW112" s="59">
        <v>-790</v>
      </c>
      <c r="BX112" s="59">
        <v>-4</v>
      </c>
      <c r="BY112" s="59">
        <v>3697</v>
      </c>
      <c r="BZ112" s="59">
        <v>18</v>
      </c>
      <c r="CA112" s="59">
        <v>186</v>
      </c>
      <c r="CB112" s="59">
        <v>145</v>
      </c>
      <c r="CC112" s="59">
        <v>95</v>
      </c>
      <c r="CD112" s="59">
        <v>534</v>
      </c>
      <c r="CE112" s="59">
        <v>18</v>
      </c>
      <c r="CF112" s="59">
        <v>2</v>
      </c>
    </row>
    <row r="113" spans="1:84" s="50" customFormat="1" ht="15.6" customHeight="1" x14ac:dyDescent="0.25">
      <c r="A113" s="39">
        <v>12</v>
      </c>
      <c r="B113" s="51" t="s">
        <v>338</v>
      </c>
      <c r="C113" s="57" t="s">
        <v>339</v>
      </c>
      <c r="D113" s="42" t="s">
        <v>340</v>
      </c>
      <c r="E113" s="37" t="s">
        <v>85</v>
      </c>
      <c r="F113" s="42" t="s">
        <v>341</v>
      </c>
      <c r="G113" s="70">
        <v>13478192.18</v>
      </c>
      <c r="H113" s="70">
        <v>0</v>
      </c>
      <c r="I113" s="70">
        <v>111170.3</v>
      </c>
      <c r="J113" s="70">
        <v>0</v>
      </c>
      <c r="K113" s="71">
        <v>11645.49</v>
      </c>
      <c r="L113" s="71">
        <v>13601007.970000001</v>
      </c>
      <c r="M113" s="71">
        <v>0</v>
      </c>
      <c r="N113" s="70">
        <v>0</v>
      </c>
      <c r="O113" s="70">
        <v>658311.5</v>
      </c>
      <c r="P113" s="72">
        <v>2831727.68</v>
      </c>
      <c r="Q113" s="70">
        <v>0</v>
      </c>
      <c r="R113" s="70">
        <v>1536117.42</v>
      </c>
      <c r="S113" s="70">
        <v>5956774.8099999996</v>
      </c>
      <c r="T113" s="70">
        <v>1377367.87</v>
      </c>
      <c r="U113" s="70">
        <v>4225.71</v>
      </c>
      <c r="V113" s="70">
        <v>0</v>
      </c>
      <c r="W113" s="70">
        <v>126295.75</v>
      </c>
      <c r="X113" s="71">
        <v>1236935.1000000001</v>
      </c>
      <c r="Y113" s="71">
        <v>13727755.84</v>
      </c>
      <c r="Z113" s="61">
        <v>5.5353946585438955E-2</v>
      </c>
      <c r="AA113" s="71">
        <v>1225289.6100000001</v>
      </c>
      <c r="AB113" s="71">
        <v>0</v>
      </c>
      <c r="AC113" s="71">
        <v>0</v>
      </c>
      <c r="AD113" s="71">
        <v>0</v>
      </c>
      <c r="AE113" s="71">
        <v>0</v>
      </c>
      <c r="AF113" s="71">
        <f t="shared" si="41"/>
        <v>0</v>
      </c>
      <c r="AG113" s="71">
        <v>566150.43000000005</v>
      </c>
      <c r="AH113" s="70">
        <v>49163.64</v>
      </c>
      <c r="AI113" s="70">
        <v>157187.4</v>
      </c>
      <c r="AJ113" s="71">
        <v>0</v>
      </c>
      <c r="AK113" s="70">
        <v>34695</v>
      </c>
      <c r="AL113" s="70">
        <v>0</v>
      </c>
      <c r="AM113" s="70">
        <v>76125.460000000006</v>
      </c>
      <c r="AN113" s="70">
        <v>7450</v>
      </c>
      <c r="AO113" s="70">
        <v>4612.5</v>
      </c>
      <c r="AP113" s="70">
        <v>1551.38</v>
      </c>
      <c r="AQ113" s="70">
        <v>24079.01</v>
      </c>
      <c r="AR113" s="70">
        <v>5</v>
      </c>
      <c r="AS113" s="70">
        <v>0</v>
      </c>
      <c r="AT113" s="70">
        <v>878.27</v>
      </c>
      <c r="AU113" s="70">
        <v>17293.23</v>
      </c>
      <c r="AV113" s="70">
        <v>48988.060000000005</v>
      </c>
      <c r="AW113" s="70">
        <v>988179.38</v>
      </c>
      <c r="AX113" s="70">
        <v>0</v>
      </c>
      <c r="AY113" s="61">
        <f t="shared" si="42"/>
        <v>0</v>
      </c>
      <c r="AZ113" s="71">
        <v>0</v>
      </c>
      <c r="BA113" s="61">
        <v>9.090904726957233E-2</v>
      </c>
      <c r="BB113" s="70">
        <v>135610.23000000001</v>
      </c>
      <c r="BC113" s="70">
        <v>610460.9</v>
      </c>
      <c r="BD113" s="71">
        <v>244766</v>
      </c>
      <c r="BE113" s="71">
        <v>0</v>
      </c>
      <c r="BF113" s="71">
        <v>364941.28</v>
      </c>
      <c r="BG113" s="71">
        <v>117896.435</v>
      </c>
      <c r="BH113" s="71">
        <v>0</v>
      </c>
      <c r="BI113" s="71">
        <v>0</v>
      </c>
      <c r="BJ113" s="71">
        <f t="shared" si="43"/>
        <v>0</v>
      </c>
      <c r="BK113" s="71">
        <v>0</v>
      </c>
      <c r="BL113" s="60">
        <v>1652</v>
      </c>
      <c r="BM113" s="60">
        <v>492</v>
      </c>
      <c r="BN113" s="59">
        <v>0</v>
      </c>
      <c r="BO113" s="59">
        <v>0</v>
      </c>
      <c r="BP113" s="59">
        <v>-5</v>
      </c>
      <c r="BQ113" s="59">
        <v>-23</v>
      </c>
      <c r="BR113" s="59">
        <v>-51</v>
      </c>
      <c r="BS113" s="59">
        <v>-91</v>
      </c>
      <c r="BT113" s="59">
        <v>0</v>
      </c>
      <c r="BU113" s="59">
        <v>0</v>
      </c>
      <c r="BV113" s="59">
        <v>49</v>
      </c>
      <c r="BW113" s="59">
        <v>-312</v>
      </c>
      <c r="BX113" s="59">
        <v>-41</v>
      </c>
      <c r="BY113" s="59">
        <v>1670</v>
      </c>
      <c r="BZ113" s="59">
        <v>0</v>
      </c>
      <c r="CA113" s="59">
        <v>12</v>
      </c>
      <c r="CB113" s="59">
        <v>82</v>
      </c>
      <c r="CC113" s="59">
        <v>39</v>
      </c>
      <c r="CD113" s="59">
        <v>179</v>
      </c>
      <c r="CE113" s="59">
        <v>6</v>
      </c>
      <c r="CF113" s="59">
        <v>6</v>
      </c>
    </row>
    <row r="114" spans="1:84" s="50" customFormat="1" ht="15.6" customHeight="1" x14ac:dyDescent="0.25">
      <c r="A114" s="42">
        <v>12</v>
      </c>
      <c r="B114" s="42" t="s">
        <v>342</v>
      </c>
      <c r="C114" s="56" t="s">
        <v>343</v>
      </c>
      <c r="D114" s="42" t="s">
        <v>344</v>
      </c>
      <c r="E114" s="42" t="s">
        <v>178</v>
      </c>
      <c r="F114" s="42" t="s">
        <v>345</v>
      </c>
      <c r="G114" s="70">
        <v>10529584.02</v>
      </c>
      <c r="H114" s="70">
        <v>0</v>
      </c>
      <c r="I114" s="70">
        <v>76271.83</v>
      </c>
      <c r="J114" s="70">
        <v>0</v>
      </c>
      <c r="K114" s="71">
        <v>9176</v>
      </c>
      <c r="L114" s="71">
        <v>10615031.85</v>
      </c>
      <c r="M114" s="71">
        <v>0</v>
      </c>
      <c r="N114" s="70">
        <v>122670.64</v>
      </c>
      <c r="O114" s="70">
        <v>1260208.22</v>
      </c>
      <c r="P114" s="72">
        <v>2172742.54</v>
      </c>
      <c r="Q114" s="70">
        <v>21886.3</v>
      </c>
      <c r="R114" s="70">
        <v>716948.16</v>
      </c>
      <c r="S114" s="70">
        <v>4627296.22</v>
      </c>
      <c r="T114" s="70">
        <v>767439.2</v>
      </c>
      <c r="U114" s="70">
        <v>0</v>
      </c>
      <c r="V114" s="70">
        <v>0</v>
      </c>
      <c r="W114" s="70">
        <v>100070.76</v>
      </c>
      <c r="X114" s="71">
        <v>791061.08</v>
      </c>
      <c r="Y114" s="71">
        <v>10580323.119999999</v>
      </c>
      <c r="Z114" s="61">
        <v>1.3353133393773423E-2</v>
      </c>
      <c r="AA114" s="71">
        <v>779968.83</v>
      </c>
      <c r="AB114" s="71">
        <v>0</v>
      </c>
      <c r="AC114" s="71">
        <v>0</v>
      </c>
      <c r="AD114" s="71">
        <v>0</v>
      </c>
      <c r="AE114" s="71">
        <v>0</v>
      </c>
      <c r="AF114" s="71">
        <f t="shared" si="41"/>
        <v>0</v>
      </c>
      <c r="AG114" s="71">
        <v>277773.31</v>
      </c>
      <c r="AH114" s="70">
        <v>27976.84</v>
      </c>
      <c r="AI114" s="70">
        <v>48186.9</v>
      </c>
      <c r="AJ114" s="71">
        <v>0</v>
      </c>
      <c r="AK114" s="70">
        <v>34318</v>
      </c>
      <c r="AL114" s="70">
        <v>8953.7999999999993</v>
      </c>
      <c r="AM114" s="70">
        <v>53022.38</v>
      </c>
      <c r="AN114" s="70">
        <v>6263</v>
      </c>
      <c r="AO114" s="70">
        <v>0</v>
      </c>
      <c r="AP114" s="70">
        <v>2544.66</v>
      </c>
      <c r="AQ114" s="70">
        <v>12327.35</v>
      </c>
      <c r="AR114" s="70">
        <v>9927.7199999999993</v>
      </c>
      <c r="AS114" s="70">
        <v>0</v>
      </c>
      <c r="AT114" s="70">
        <v>4427.16</v>
      </c>
      <c r="AU114" s="70">
        <v>14827.54</v>
      </c>
      <c r="AV114" s="70">
        <v>38766.26</v>
      </c>
      <c r="AW114" s="70">
        <v>539314.92000000004</v>
      </c>
      <c r="AX114" s="70">
        <v>-27565.78</v>
      </c>
      <c r="AY114" s="61">
        <f t="shared" si="42"/>
        <v>-5.1112585574306008E-2</v>
      </c>
      <c r="AZ114" s="71">
        <v>0</v>
      </c>
      <c r="BA114" s="61">
        <v>7.4074040201257643E-2</v>
      </c>
      <c r="BB114" s="70">
        <v>74951.02</v>
      </c>
      <c r="BC114" s="70">
        <v>65651.92</v>
      </c>
      <c r="BD114" s="71">
        <v>244766.04</v>
      </c>
      <c r="BE114" s="71">
        <v>3.9999999920837602E-2</v>
      </c>
      <c r="BF114" s="71">
        <v>464229.91</v>
      </c>
      <c r="BG114" s="71">
        <v>329401.18</v>
      </c>
      <c r="BH114" s="71">
        <v>0</v>
      </c>
      <c r="BI114" s="71">
        <v>0</v>
      </c>
      <c r="BJ114" s="71">
        <f t="shared" si="43"/>
        <v>0</v>
      </c>
      <c r="BK114" s="71">
        <v>0</v>
      </c>
      <c r="BL114" s="60">
        <v>1202</v>
      </c>
      <c r="BM114" s="60">
        <v>330</v>
      </c>
      <c r="BN114" s="59">
        <v>1</v>
      </c>
      <c r="BO114" s="59">
        <v>0</v>
      </c>
      <c r="BP114" s="59">
        <v>-21</v>
      </c>
      <c r="BQ114" s="59">
        <v>-40</v>
      </c>
      <c r="BR114" s="59">
        <v>-79</v>
      </c>
      <c r="BS114" s="59">
        <v>-77</v>
      </c>
      <c r="BT114" s="59">
        <v>0</v>
      </c>
      <c r="BU114" s="59">
        <v>0</v>
      </c>
      <c r="BV114" s="59">
        <v>0</v>
      </c>
      <c r="BW114" s="59">
        <v>-213</v>
      </c>
      <c r="BX114" s="59">
        <v>-5</v>
      </c>
      <c r="BY114" s="59">
        <v>1098</v>
      </c>
      <c r="BZ114" s="59">
        <v>0</v>
      </c>
      <c r="CA114" s="59">
        <v>4</v>
      </c>
      <c r="CB114" s="59">
        <v>92</v>
      </c>
      <c r="CC114" s="59">
        <v>16</v>
      </c>
      <c r="CD114" s="59">
        <v>101</v>
      </c>
      <c r="CE114" s="59">
        <v>7</v>
      </c>
      <c r="CF114" s="59">
        <v>5</v>
      </c>
    </row>
    <row r="115" spans="1:84" s="50" customFormat="1" ht="15.6" customHeight="1" x14ac:dyDescent="0.25">
      <c r="A115" s="42">
        <v>12</v>
      </c>
      <c r="B115" s="42" t="s">
        <v>346</v>
      </c>
      <c r="C115" s="56" t="s">
        <v>347</v>
      </c>
      <c r="D115" s="42" t="s">
        <v>348</v>
      </c>
      <c r="E115" s="42" t="s">
        <v>85</v>
      </c>
      <c r="F115" s="42" t="s">
        <v>349</v>
      </c>
      <c r="G115" s="70">
        <v>2493891.56</v>
      </c>
      <c r="H115" s="70">
        <v>0</v>
      </c>
      <c r="I115" s="70">
        <v>6491.89</v>
      </c>
      <c r="J115" s="70">
        <v>0</v>
      </c>
      <c r="K115" s="71">
        <v>0</v>
      </c>
      <c r="L115" s="71">
        <v>2500383.4500000002</v>
      </c>
      <c r="M115" s="71">
        <v>0</v>
      </c>
      <c r="N115" s="70">
        <v>0</v>
      </c>
      <c r="O115" s="70">
        <v>113654.18</v>
      </c>
      <c r="P115" s="72">
        <v>290140.67</v>
      </c>
      <c r="Q115" s="70">
        <v>0</v>
      </c>
      <c r="R115" s="70">
        <v>95917.01</v>
      </c>
      <c r="S115" s="70">
        <v>1710533.59</v>
      </c>
      <c r="T115" s="70">
        <v>185879.86</v>
      </c>
      <c r="U115" s="70">
        <v>0</v>
      </c>
      <c r="V115" s="70">
        <v>0</v>
      </c>
      <c r="W115" s="70">
        <v>15017.43</v>
      </c>
      <c r="X115" s="71">
        <v>226682.16</v>
      </c>
      <c r="Y115" s="71">
        <v>2637824.9</v>
      </c>
      <c r="Z115" s="61">
        <v>8.4474563120138221E-2</v>
      </c>
      <c r="AA115" s="71">
        <v>226682.16</v>
      </c>
      <c r="AB115" s="71">
        <v>0</v>
      </c>
      <c r="AC115" s="71">
        <v>0</v>
      </c>
      <c r="AD115" s="71">
        <v>0</v>
      </c>
      <c r="AE115" s="71">
        <v>0</v>
      </c>
      <c r="AF115" s="71">
        <f t="shared" si="41"/>
        <v>0</v>
      </c>
      <c r="AG115" s="71">
        <v>75266.13</v>
      </c>
      <c r="AH115" s="70">
        <v>6034.11</v>
      </c>
      <c r="AI115" s="70">
        <v>19676.060000000001</v>
      </c>
      <c r="AJ115" s="71">
        <v>0</v>
      </c>
      <c r="AK115" s="70">
        <v>24560</v>
      </c>
      <c r="AL115" s="70">
        <v>13601.04</v>
      </c>
      <c r="AM115" s="70">
        <v>8432.7199999999993</v>
      </c>
      <c r="AN115" s="70">
        <v>1401</v>
      </c>
      <c r="AO115" s="70">
        <v>0</v>
      </c>
      <c r="AP115" s="70">
        <v>1258.03</v>
      </c>
      <c r="AQ115" s="70">
        <v>8723.31</v>
      </c>
      <c r="AR115" s="70">
        <v>0</v>
      </c>
      <c r="AS115" s="70">
        <v>0</v>
      </c>
      <c r="AT115" s="70">
        <v>0</v>
      </c>
      <c r="AU115" s="70">
        <v>2100</v>
      </c>
      <c r="AV115" s="70">
        <v>3630.9700000000003</v>
      </c>
      <c r="AW115" s="70">
        <v>164683.37</v>
      </c>
      <c r="AX115" s="70">
        <v>0</v>
      </c>
      <c r="AY115" s="61">
        <f t="shared" si="42"/>
        <v>0</v>
      </c>
      <c r="AZ115" s="71">
        <v>0</v>
      </c>
      <c r="BA115" s="61">
        <v>9.0894954550469712E-2</v>
      </c>
      <c r="BB115" s="70">
        <v>15096.01</v>
      </c>
      <c r="BC115" s="70">
        <v>195574.39</v>
      </c>
      <c r="BD115" s="71">
        <v>62683.1</v>
      </c>
      <c r="BE115" s="71">
        <v>2.18278728425503E-11</v>
      </c>
      <c r="BF115" s="71">
        <v>0</v>
      </c>
      <c r="BG115" s="71">
        <v>0</v>
      </c>
      <c r="BH115" s="71">
        <v>0</v>
      </c>
      <c r="BI115" s="71">
        <v>0</v>
      </c>
      <c r="BJ115" s="71">
        <f t="shared" si="43"/>
        <v>0</v>
      </c>
      <c r="BK115" s="71">
        <v>0</v>
      </c>
      <c r="BL115" s="60">
        <v>261</v>
      </c>
      <c r="BM115" s="60">
        <v>63</v>
      </c>
      <c r="BN115" s="59">
        <v>0</v>
      </c>
      <c r="BO115" s="59">
        <v>0</v>
      </c>
      <c r="BP115" s="59">
        <v>-1</v>
      </c>
      <c r="BQ115" s="59">
        <v>-2</v>
      </c>
      <c r="BR115" s="59">
        <v>-7</v>
      </c>
      <c r="BS115" s="59">
        <v>-13</v>
      </c>
      <c r="BT115" s="59">
        <v>0</v>
      </c>
      <c r="BU115" s="59">
        <v>0</v>
      </c>
      <c r="BV115" s="59">
        <v>0</v>
      </c>
      <c r="BW115" s="59">
        <v>-95</v>
      </c>
      <c r="BX115" s="59">
        <v>0</v>
      </c>
      <c r="BY115" s="59">
        <v>206</v>
      </c>
      <c r="BZ115" s="59">
        <v>21</v>
      </c>
      <c r="CA115" s="59">
        <v>0</v>
      </c>
      <c r="CB115" s="59">
        <v>22</v>
      </c>
      <c r="CC115" s="59">
        <v>13</v>
      </c>
      <c r="CD115" s="59">
        <v>55</v>
      </c>
      <c r="CE115" s="59">
        <v>0</v>
      </c>
      <c r="CF115" s="59">
        <v>1</v>
      </c>
    </row>
    <row r="116" spans="1:84" s="50" customFormat="1" ht="15.6" customHeight="1" x14ac:dyDescent="0.25">
      <c r="A116" s="42">
        <v>13</v>
      </c>
      <c r="B116" s="42" t="s">
        <v>350</v>
      </c>
      <c r="C116" s="56" t="s">
        <v>351</v>
      </c>
      <c r="D116" s="42" t="s">
        <v>352</v>
      </c>
      <c r="E116" s="42" t="s">
        <v>353</v>
      </c>
      <c r="F116" s="42" t="s">
        <v>354</v>
      </c>
      <c r="G116" s="70">
        <v>35137069.060000002</v>
      </c>
      <c r="H116" s="70">
        <v>0</v>
      </c>
      <c r="I116" s="70">
        <v>1786293.47</v>
      </c>
      <c r="J116" s="70">
        <v>0</v>
      </c>
      <c r="K116" s="71">
        <v>0</v>
      </c>
      <c r="L116" s="71">
        <v>36923362.530000001</v>
      </c>
      <c r="M116" s="71">
        <v>0</v>
      </c>
      <c r="N116" s="70">
        <v>8202524.4000000004</v>
      </c>
      <c r="O116" s="70">
        <v>1146154.78</v>
      </c>
      <c r="P116" s="72">
        <v>12434494.92</v>
      </c>
      <c r="Q116" s="70">
        <v>274.8</v>
      </c>
      <c r="R116" s="70">
        <v>1862038.67</v>
      </c>
      <c r="S116" s="70">
        <v>6637936.75</v>
      </c>
      <c r="T116" s="70">
        <v>3123303.43</v>
      </c>
      <c r="U116" s="70">
        <v>0</v>
      </c>
      <c r="V116" s="70">
        <v>0</v>
      </c>
      <c r="W116" s="70">
        <v>1856896.29</v>
      </c>
      <c r="X116" s="71">
        <v>2464223.3199999998</v>
      </c>
      <c r="Y116" s="71">
        <v>37727847.359999999</v>
      </c>
      <c r="Z116" s="61">
        <v>0.13142168039442045</v>
      </c>
      <c r="AA116" s="71">
        <v>2463699.3199999998</v>
      </c>
      <c r="AB116" s="71">
        <v>0</v>
      </c>
      <c r="AC116" s="71">
        <v>0</v>
      </c>
      <c r="AD116" s="71">
        <v>0</v>
      </c>
      <c r="AE116" s="71">
        <v>0</v>
      </c>
      <c r="AF116" s="71">
        <f t="shared" si="41"/>
        <v>0</v>
      </c>
      <c r="AG116" s="71">
        <v>1256039.8899999999</v>
      </c>
      <c r="AH116" s="70">
        <v>89633.18</v>
      </c>
      <c r="AI116" s="70">
        <v>263156.44</v>
      </c>
      <c r="AJ116" s="71">
        <v>0</v>
      </c>
      <c r="AK116" s="70">
        <v>163137.25</v>
      </c>
      <c r="AL116" s="70">
        <v>4101.6499999999996</v>
      </c>
      <c r="AM116" s="70">
        <v>85740.69</v>
      </c>
      <c r="AN116" s="70">
        <v>8500</v>
      </c>
      <c r="AO116" s="70">
        <v>34762.5</v>
      </c>
      <c r="AP116" s="70">
        <v>0</v>
      </c>
      <c r="AQ116" s="70">
        <v>49803.11</v>
      </c>
      <c r="AR116" s="70">
        <v>21005.59</v>
      </c>
      <c r="AS116" s="70">
        <v>2820</v>
      </c>
      <c r="AT116" s="70">
        <v>34620.97</v>
      </c>
      <c r="AU116" s="70">
        <v>35872.21</v>
      </c>
      <c r="AV116" s="70">
        <v>77929.31</v>
      </c>
      <c r="AW116" s="70">
        <v>2127122.79</v>
      </c>
      <c r="AX116" s="70">
        <v>0</v>
      </c>
      <c r="AY116" s="61">
        <f t="shared" si="42"/>
        <v>0</v>
      </c>
      <c r="AZ116" s="71">
        <v>252.65</v>
      </c>
      <c r="BA116" s="61">
        <v>7.0116813550754359E-2</v>
      </c>
      <c r="BB116" s="70">
        <v>755527.74</v>
      </c>
      <c r="BC116" s="70">
        <v>3862244.92</v>
      </c>
      <c r="BD116" s="71">
        <v>244766.01</v>
      </c>
      <c r="BE116" s="71">
        <v>1.0000000067520901E-2</v>
      </c>
      <c r="BF116" s="71">
        <v>1304944.6000000001</v>
      </c>
      <c r="BG116" s="71">
        <v>773163.90250000195</v>
      </c>
      <c r="BH116" s="71">
        <v>0</v>
      </c>
      <c r="BI116" s="71">
        <v>0</v>
      </c>
      <c r="BJ116" s="71">
        <f t="shared" si="43"/>
        <v>0</v>
      </c>
      <c r="BK116" s="71">
        <v>0</v>
      </c>
      <c r="BL116" s="60">
        <v>4245</v>
      </c>
      <c r="BM116" s="60">
        <v>994</v>
      </c>
      <c r="BN116" s="59">
        <v>11</v>
      </c>
      <c r="BO116" s="59">
        <v>0</v>
      </c>
      <c r="BP116" s="59">
        <v>-17</v>
      </c>
      <c r="BQ116" s="59">
        <v>-43</v>
      </c>
      <c r="BR116" s="59">
        <v>-161</v>
      </c>
      <c r="BS116" s="59">
        <v>-418</v>
      </c>
      <c r="BT116" s="59">
        <v>0</v>
      </c>
      <c r="BU116" s="59">
        <v>0</v>
      </c>
      <c r="BV116" s="59">
        <v>15</v>
      </c>
      <c r="BW116" s="59">
        <v>-593</v>
      </c>
      <c r="BX116" s="59">
        <v>-5</v>
      </c>
      <c r="BY116" s="59">
        <v>4028</v>
      </c>
      <c r="BZ116" s="59">
        <v>32</v>
      </c>
      <c r="CA116" s="59">
        <v>73</v>
      </c>
      <c r="CB116" s="59">
        <v>117</v>
      </c>
      <c r="CC116" s="59">
        <v>48</v>
      </c>
      <c r="CD116" s="59">
        <v>319</v>
      </c>
      <c r="CE116" s="59">
        <v>109</v>
      </c>
      <c r="CF116" s="59">
        <v>0</v>
      </c>
    </row>
    <row r="117" spans="1:84" s="50" customFormat="1" ht="15.6" customHeight="1" x14ac:dyDescent="0.25">
      <c r="A117" s="42">
        <v>13</v>
      </c>
      <c r="B117" s="42" t="s">
        <v>526</v>
      </c>
      <c r="C117" s="57" t="s">
        <v>515</v>
      </c>
      <c r="D117" s="42" t="s">
        <v>361</v>
      </c>
      <c r="E117" s="37" t="s">
        <v>106</v>
      </c>
      <c r="F117" s="42" t="s">
        <v>358</v>
      </c>
      <c r="G117" s="70">
        <v>53575516.329999998</v>
      </c>
      <c r="H117" s="70">
        <v>0</v>
      </c>
      <c r="I117" s="70">
        <v>1292806.76</v>
      </c>
      <c r="J117" s="70">
        <v>0</v>
      </c>
      <c r="K117" s="71">
        <v>0</v>
      </c>
      <c r="L117" s="71">
        <v>54868323.090000004</v>
      </c>
      <c r="M117" s="71">
        <v>0</v>
      </c>
      <c r="N117" s="70">
        <v>2686916.41</v>
      </c>
      <c r="O117" s="70">
        <v>3177170.79</v>
      </c>
      <c r="P117" s="72">
        <v>19109560.84</v>
      </c>
      <c r="Q117" s="70">
        <v>0</v>
      </c>
      <c r="R117" s="70">
        <v>4206403.4400000004</v>
      </c>
      <c r="S117" s="70">
        <v>14983540.08</v>
      </c>
      <c r="T117" s="70">
        <v>5799546.21</v>
      </c>
      <c r="U117" s="70">
        <v>0</v>
      </c>
      <c r="V117" s="70">
        <v>0</v>
      </c>
      <c r="W117" s="70">
        <v>1470997.28</v>
      </c>
      <c r="X117" s="71">
        <v>3535940.49</v>
      </c>
      <c r="Y117" s="71">
        <v>54970075.539999999</v>
      </c>
      <c r="Z117" s="61">
        <v>5.4378672004858311E-2</v>
      </c>
      <c r="AA117" s="71">
        <v>3536084.49</v>
      </c>
      <c r="AB117" s="71">
        <v>0</v>
      </c>
      <c r="AC117" s="71">
        <v>0</v>
      </c>
      <c r="AD117" s="71">
        <v>0</v>
      </c>
      <c r="AE117" s="71">
        <v>0</v>
      </c>
      <c r="AF117" s="71">
        <f t="shared" si="41"/>
        <v>0</v>
      </c>
      <c r="AG117" s="71">
        <v>1830357.22</v>
      </c>
      <c r="AH117" s="70">
        <v>136206.67000000001</v>
      </c>
      <c r="AI117" s="70">
        <v>552091.32999999996</v>
      </c>
      <c r="AJ117" s="71">
        <v>0</v>
      </c>
      <c r="AK117" s="70">
        <v>168666.7</v>
      </c>
      <c r="AL117" s="70">
        <v>7464.28</v>
      </c>
      <c r="AM117" s="70">
        <v>50507.35</v>
      </c>
      <c r="AN117" s="70">
        <v>8500</v>
      </c>
      <c r="AO117" s="70">
        <v>89</v>
      </c>
      <c r="AP117" s="70">
        <v>0</v>
      </c>
      <c r="AQ117" s="70">
        <v>91981.759999999995</v>
      </c>
      <c r="AR117" s="70">
        <v>7059.69</v>
      </c>
      <c r="AS117" s="70">
        <v>2895</v>
      </c>
      <c r="AT117" s="70">
        <v>1965.22</v>
      </c>
      <c r="AU117" s="70">
        <v>26397.81</v>
      </c>
      <c r="AV117" s="70">
        <v>72264.11</v>
      </c>
      <c r="AW117" s="70">
        <v>2956446.14</v>
      </c>
      <c r="AX117" s="70">
        <v>0</v>
      </c>
      <c r="AY117" s="61">
        <f t="shared" si="42"/>
        <v>0</v>
      </c>
      <c r="AZ117" s="71">
        <v>0</v>
      </c>
      <c r="BA117" s="61">
        <v>6.6001874218428097E-2</v>
      </c>
      <c r="BB117" s="70">
        <v>503460.85</v>
      </c>
      <c r="BC117" s="70">
        <v>2409904.58</v>
      </c>
      <c r="BD117" s="71">
        <v>241806.22</v>
      </c>
      <c r="BE117" s="71">
        <v>0</v>
      </c>
      <c r="BF117" s="71">
        <v>1967987.64</v>
      </c>
      <c r="BG117" s="71">
        <v>1228876.105</v>
      </c>
      <c r="BH117" s="71">
        <v>0</v>
      </c>
      <c r="BI117" s="71">
        <v>0</v>
      </c>
      <c r="BJ117" s="71">
        <f t="shared" si="43"/>
        <v>0</v>
      </c>
      <c r="BK117" s="71">
        <v>0</v>
      </c>
      <c r="BL117" s="60">
        <v>7528</v>
      </c>
      <c r="BM117" s="60">
        <v>2113</v>
      </c>
      <c r="BN117" s="59">
        <v>0</v>
      </c>
      <c r="BO117" s="59">
        <v>0</v>
      </c>
      <c r="BP117" s="59">
        <v>-31</v>
      </c>
      <c r="BQ117" s="59">
        <v>-125</v>
      </c>
      <c r="BR117" s="59">
        <v>-372</v>
      </c>
      <c r="BS117" s="59">
        <v>-884</v>
      </c>
      <c r="BT117" s="59">
        <v>1</v>
      </c>
      <c r="BU117" s="59">
        <v>0</v>
      </c>
      <c r="BV117" s="59">
        <v>1</v>
      </c>
      <c r="BW117" s="59">
        <v>-1286</v>
      </c>
      <c r="BX117" s="59">
        <v>-5</v>
      </c>
      <c r="BY117" s="59">
        <v>6940</v>
      </c>
      <c r="BZ117" s="59">
        <v>63</v>
      </c>
      <c r="CA117" s="59">
        <v>48</v>
      </c>
      <c r="CB117" s="59">
        <v>265</v>
      </c>
      <c r="CC117" s="59">
        <v>139</v>
      </c>
      <c r="CD117" s="59">
        <v>861</v>
      </c>
      <c r="CE117" s="59">
        <v>12</v>
      </c>
      <c r="CF117" s="59">
        <v>9</v>
      </c>
    </row>
    <row r="118" spans="1:84" s="50" customFormat="1" ht="15.6" customHeight="1" x14ac:dyDescent="0.25">
      <c r="A118" s="42">
        <v>13</v>
      </c>
      <c r="B118" s="42" t="s">
        <v>355</v>
      </c>
      <c r="C118" s="57" t="s">
        <v>356</v>
      </c>
      <c r="D118" s="42" t="s">
        <v>357</v>
      </c>
      <c r="E118" s="37" t="s">
        <v>112</v>
      </c>
      <c r="F118" s="42" t="s">
        <v>358</v>
      </c>
      <c r="G118" s="70">
        <v>64231004.07</v>
      </c>
      <c r="H118" s="70">
        <v>0</v>
      </c>
      <c r="I118" s="70">
        <v>1444836.59</v>
      </c>
      <c r="J118" s="70">
        <v>37766.35</v>
      </c>
      <c r="K118" s="71">
        <v>0</v>
      </c>
      <c r="L118" s="71">
        <v>65713607.009999998</v>
      </c>
      <c r="M118" s="71">
        <v>472081.17</v>
      </c>
      <c r="N118" s="70">
        <v>12083382.539999999</v>
      </c>
      <c r="O118" s="70">
        <v>1686591.88</v>
      </c>
      <c r="P118" s="72">
        <v>19853974.359999999</v>
      </c>
      <c r="Q118" s="70">
        <v>0</v>
      </c>
      <c r="R118" s="70">
        <v>4530719.54</v>
      </c>
      <c r="S118" s="70">
        <v>15637718.460000001</v>
      </c>
      <c r="T118" s="70">
        <v>5846288.7599999998</v>
      </c>
      <c r="U118" s="70">
        <v>0</v>
      </c>
      <c r="V118" s="70">
        <v>0</v>
      </c>
      <c r="W118" s="70">
        <v>1441508.59</v>
      </c>
      <c r="X118" s="71">
        <v>5180278.97</v>
      </c>
      <c r="Y118" s="71">
        <v>66260463.100000001</v>
      </c>
      <c r="Z118" s="61">
        <v>0.13285908765648244</v>
      </c>
      <c r="AA118" s="71">
        <v>5176950.97</v>
      </c>
      <c r="AB118" s="71">
        <v>0</v>
      </c>
      <c r="AC118" s="71">
        <v>0</v>
      </c>
      <c r="AD118" s="71">
        <v>0</v>
      </c>
      <c r="AE118" s="71">
        <v>0</v>
      </c>
      <c r="AF118" s="71">
        <f t="shared" si="41"/>
        <v>0</v>
      </c>
      <c r="AG118" s="71">
        <v>2180751.39</v>
      </c>
      <c r="AH118" s="70">
        <v>159453.64000000001</v>
      </c>
      <c r="AI118" s="70">
        <v>579245.63</v>
      </c>
      <c r="AJ118" s="71">
        <v>14300.04</v>
      </c>
      <c r="AK118" s="70">
        <v>277271.93</v>
      </c>
      <c r="AL118" s="70">
        <v>27806.080000000002</v>
      </c>
      <c r="AM118" s="70">
        <v>92725.9</v>
      </c>
      <c r="AN118" s="70">
        <v>8500</v>
      </c>
      <c r="AO118" s="70">
        <v>30951.5</v>
      </c>
      <c r="AP118" s="70">
        <v>359558.15</v>
      </c>
      <c r="AQ118" s="70">
        <v>71443.89</v>
      </c>
      <c r="AR118" s="70">
        <v>10379.5</v>
      </c>
      <c r="AS118" s="70">
        <v>3645</v>
      </c>
      <c r="AT118" s="70">
        <v>34301.919999999998</v>
      </c>
      <c r="AU118" s="70">
        <v>51429.15</v>
      </c>
      <c r="AV118" s="70">
        <v>146160.41</v>
      </c>
      <c r="AW118" s="70">
        <v>4047924.13</v>
      </c>
      <c r="AX118" s="70">
        <v>1276.99</v>
      </c>
      <c r="AY118" s="61">
        <f t="shared" si="42"/>
        <v>3.1546786920633321E-4</v>
      </c>
      <c r="AZ118" s="71">
        <v>2780.35</v>
      </c>
      <c r="BA118" s="61">
        <v>8.001088280098835E-2</v>
      </c>
      <c r="BB118" s="70">
        <v>732480.05</v>
      </c>
      <c r="BC118" s="70">
        <v>7801192.5499999998</v>
      </c>
      <c r="BD118" s="71">
        <v>244766</v>
      </c>
      <c r="BE118" s="71">
        <v>0</v>
      </c>
      <c r="BF118" s="71">
        <v>3329933.99</v>
      </c>
      <c r="BG118" s="71">
        <v>2317952.9575</v>
      </c>
      <c r="BH118" s="71">
        <v>0</v>
      </c>
      <c r="BI118" s="71">
        <v>0</v>
      </c>
      <c r="BJ118" s="71">
        <f t="shared" si="43"/>
        <v>0</v>
      </c>
      <c r="BK118" s="71">
        <v>0</v>
      </c>
      <c r="BL118" s="60">
        <v>7026</v>
      </c>
      <c r="BM118" s="60">
        <v>1722</v>
      </c>
      <c r="BN118" s="59">
        <v>0</v>
      </c>
      <c r="BO118" s="59">
        <v>0</v>
      </c>
      <c r="BP118" s="59">
        <v>-10</v>
      </c>
      <c r="BQ118" s="59">
        <v>-44</v>
      </c>
      <c r="BR118" s="59">
        <v>-252</v>
      </c>
      <c r="BS118" s="59">
        <v>-489</v>
      </c>
      <c r="BT118" s="59">
        <v>0</v>
      </c>
      <c r="BU118" s="59">
        <v>-4</v>
      </c>
      <c r="BV118" s="59">
        <v>18</v>
      </c>
      <c r="BW118" s="59">
        <v>-1320</v>
      </c>
      <c r="BX118" s="59">
        <v>-8</v>
      </c>
      <c r="BY118" s="59">
        <v>6639</v>
      </c>
      <c r="BZ118" s="59">
        <v>4</v>
      </c>
      <c r="CA118" s="59">
        <v>56</v>
      </c>
      <c r="CB118" s="59">
        <v>280</v>
      </c>
      <c r="CC118" s="59">
        <v>101</v>
      </c>
      <c r="CD118" s="59">
        <v>520</v>
      </c>
      <c r="CE118" s="59">
        <v>416</v>
      </c>
      <c r="CF118" s="59">
        <v>3</v>
      </c>
    </row>
    <row r="119" spans="1:84" s="50" customFormat="1" ht="15.6" customHeight="1" x14ac:dyDescent="0.25">
      <c r="A119" s="42">
        <v>13</v>
      </c>
      <c r="B119" s="42" t="s">
        <v>359</v>
      </c>
      <c r="C119" s="57" t="s">
        <v>360</v>
      </c>
      <c r="D119" s="42" t="s">
        <v>352</v>
      </c>
      <c r="E119" s="37" t="s">
        <v>353</v>
      </c>
      <c r="F119" s="42" t="s">
        <v>354</v>
      </c>
      <c r="G119" s="70">
        <v>31890765.48</v>
      </c>
      <c r="H119" s="70">
        <v>0</v>
      </c>
      <c r="I119" s="70">
        <v>1457052.25</v>
      </c>
      <c r="J119" s="70">
        <v>0</v>
      </c>
      <c r="K119" s="71">
        <v>0</v>
      </c>
      <c r="L119" s="71">
        <v>33347817.73</v>
      </c>
      <c r="M119" s="71">
        <v>0</v>
      </c>
      <c r="N119" s="70">
        <v>7183733.5</v>
      </c>
      <c r="O119" s="70">
        <v>836859.24</v>
      </c>
      <c r="P119" s="72">
        <v>12139120.18</v>
      </c>
      <c r="Q119" s="70">
        <v>16092.66</v>
      </c>
      <c r="R119" s="70">
        <v>1590936.16</v>
      </c>
      <c r="S119" s="70">
        <v>4891334.8499999996</v>
      </c>
      <c r="T119" s="70">
        <v>2607300.64</v>
      </c>
      <c r="U119" s="70">
        <v>0</v>
      </c>
      <c r="V119" s="70">
        <v>0</v>
      </c>
      <c r="W119" s="70">
        <v>1479726.59</v>
      </c>
      <c r="X119" s="71">
        <v>2607167.09</v>
      </c>
      <c r="Y119" s="71">
        <v>33352270.91</v>
      </c>
      <c r="Z119" s="61">
        <v>0.12855583045101618</v>
      </c>
      <c r="AA119" s="71">
        <v>2607167.09</v>
      </c>
      <c r="AB119" s="71">
        <v>0</v>
      </c>
      <c r="AC119" s="71">
        <v>0</v>
      </c>
      <c r="AD119" s="71">
        <v>0</v>
      </c>
      <c r="AE119" s="71">
        <v>0</v>
      </c>
      <c r="AF119" s="71">
        <f t="shared" si="41"/>
        <v>0</v>
      </c>
      <c r="AG119" s="71">
        <v>1354043</v>
      </c>
      <c r="AH119" s="70">
        <v>97483.64</v>
      </c>
      <c r="AI119" s="70">
        <v>268060.02</v>
      </c>
      <c r="AJ119" s="71">
        <v>0</v>
      </c>
      <c r="AK119" s="70">
        <v>211727.27</v>
      </c>
      <c r="AL119" s="70">
        <v>18633.650000000001</v>
      </c>
      <c r="AM119" s="70">
        <v>79442.13</v>
      </c>
      <c r="AN119" s="70">
        <v>8500</v>
      </c>
      <c r="AO119" s="70">
        <v>1187.5</v>
      </c>
      <c r="AP119" s="70">
        <v>0</v>
      </c>
      <c r="AQ119" s="70">
        <v>52232.78</v>
      </c>
      <c r="AR119" s="70">
        <v>9429.65</v>
      </c>
      <c r="AS119" s="70">
        <v>1920</v>
      </c>
      <c r="AT119" s="70">
        <v>0</v>
      </c>
      <c r="AU119" s="70">
        <v>42848.07</v>
      </c>
      <c r="AV119" s="70">
        <v>77442.45</v>
      </c>
      <c r="AW119" s="70">
        <v>2222950.16</v>
      </c>
      <c r="AX119" s="70">
        <v>0</v>
      </c>
      <c r="AY119" s="61">
        <f t="shared" si="42"/>
        <v>0</v>
      </c>
      <c r="AZ119" s="71">
        <v>0</v>
      </c>
      <c r="BA119" s="61">
        <v>8.1753042009451313E-2</v>
      </c>
      <c r="BB119" s="70">
        <v>1173488.8600000001</v>
      </c>
      <c r="BC119" s="70">
        <v>2926254.98</v>
      </c>
      <c r="BD119" s="71">
        <v>244766</v>
      </c>
      <c r="BE119" s="71">
        <v>0</v>
      </c>
      <c r="BF119" s="71">
        <v>1442450.92</v>
      </c>
      <c r="BG119" s="71">
        <v>886713.38</v>
      </c>
      <c r="BH119" s="71">
        <v>0</v>
      </c>
      <c r="BI119" s="71">
        <v>0</v>
      </c>
      <c r="BJ119" s="71">
        <f t="shared" si="43"/>
        <v>0</v>
      </c>
      <c r="BK119" s="71">
        <v>0</v>
      </c>
      <c r="BL119" s="60">
        <v>4246</v>
      </c>
      <c r="BM119" s="60">
        <v>933</v>
      </c>
      <c r="BN119" s="59">
        <v>4</v>
      </c>
      <c r="BO119" s="59">
        <v>-4</v>
      </c>
      <c r="BP119" s="59">
        <v>-16</v>
      </c>
      <c r="BQ119" s="59">
        <v>-53</v>
      </c>
      <c r="BR119" s="59">
        <v>-141</v>
      </c>
      <c r="BS119" s="59">
        <v>-440</v>
      </c>
      <c r="BT119" s="59">
        <v>0</v>
      </c>
      <c r="BU119" s="59">
        <v>0</v>
      </c>
      <c r="BV119" s="59">
        <v>0</v>
      </c>
      <c r="BW119" s="59">
        <v>-766</v>
      </c>
      <c r="BX119" s="59">
        <v>-4</v>
      </c>
      <c r="BY119" s="59">
        <v>3759</v>
      </c>
      <c r="BZ119" s="59">
        <v>14</v>
      </c>
      <c r="CA119" s="59">
        <v>63</v>
      </c>
      <c r="CB119" s="59">
        <v>138</v>
      </c>
      <c r="CC119" s="59">
        <v>40</v>
      </c>
      <c r="CD119" s="59">
        <v>485</v>
      </c>
      <c r="CE119" s="59">
        <v>107</v>
      </c>
      <c r="CF119" s="59">
        <v>1</v>
      </c>
    </row>
    <row r="120" spans="1:84" s="50" customFormat="1" ht="15.6" customHeight="1" x14ac:dyDescent="0.25">
      <c r="A120" s="52">
        <v>13</v>
      </c>
      <c r="B120" s="53" t="s">
        <v>576</v>
      </c>
      <c r="C120" s="57" t="s">
        <v>577</v>
      </c>
      <c r="D120" s="42" t="s">
        <v>363</v>
      </c>
      <c r="E120" s="37" t="s">
        <v>85</v>
      </c>
      <c r="F120" s="42" t="s">
        <v>364</v>
      </c>
      <c r="G120" s="70">
        <v>22845243.690000001</v>
      </c>
      <c r="H120" s="70">
        <v>0</v>
      </c>
      <c r="I120" s="70">
        <v>4936</v>
      </c>
      <c r="J120" s="70">
        <v>0</v>
      </c>
      <c r="K120" s="71">
        <f>152+567064</f>
        <v>567216</v>
      </c>
      <c r="L120" s="71">
        <v>23416855.710000005</v>
      </c>
      <c r="M120" s="71">
        <v>0</v>
      </c>
      <c r="N120" s="70">
        <v>167699.65000000002</v>
      </c>
      <c r="O120" s="70">
        <v>1206119.3600000001</v>
      </c>
      <c r="P120" s="72">
        <v>8297295.5100000007</v>
      </c>
      <c r="Q120" s="70">
        <v>0</v>
      </c>
      <c r="R120" s="70">
        <v>1508989.7000000002</v>
      </c>
      <c r="S120" s="70">
        <v>7212860.5599999996</v>
      </c>
      <c r="T120" s="70">
        <v>2477081.9</v>
      </c>
      <c r="U120" s="70">
        <v>2958</v>
      </c>
      <c r="V120" s="70">
        <v>0</v>
      </c>
      <c r="W120" s="70">
        <v>567064.02</v>
      </c>
      <c r="X120" s="71">
        <f>152+4396+1981772</f>
        <v>1986320</v>
      </c>
      <c r="Y120" s="71">
        <v>23426388.390000001</v>
      </c>
      <c r="Z120" s="61">
        <f>1056091/22845244</f>
        <v>4.6228046415262625E-2</v>
      </c>
      <c r="AA120" s="71">
        <v>1981771.69</v>
      </c>
      <c r="AB120" s="71">
        <v>0</v>
      </c>
      <c r="AC120" s="71">
        <v>0</v>
      </c>
      <c r="AD120" s="71">
        <v>152</v>
      </c>
      <c r="AE120" s="71">
        <v>319</v>
      </c>
      <c r="AF120" s="71">
        <f t="shared" ref="AF120" si="44">SUM(AD120:AE120)</f>
        <v>471</v>
      </c>
      <c r="AG120" s="71">
        <v>980045.97</v>
      </c>
      <c r="AH120" s="70">
        <v>81091.95</v>
      </c>
      <c r="AI120" s="70">
        <v>261729.74000000002</v>
      </c>
      <c r="AJ120" s="71">
        <v>0</v>
      </c>
      <c r="AK120" s="70">
        <v>87250.66</v>
      </c>
      <c r="AL120" s="70">
        <v>17412.5</v>
      </c>
      <c r="AM120" s="70">
        <v>89536.26</v>
      </c>
      <c r="AN120" s="70">
        <v>14100</v>
      </c>
      <c r="AO120" s="70">
        <v>20552</v>
      </c>
      <c r="AP120" s="70">
        <v>0</v>
      </c>
      <c r="AQ120" s="70">
        <f>8560+18469+16536</f>
        <v>43565</v>
      </c>
      <c r="AR120" s="70">
        <v>10721.56</v>
      </c>
      <c r="AS120" s="70">
        <v>0</v>
      </c>
      <c r="AT120" s="70">
        <v>22045.14</v>
      </c>
      <c r="AU120" s="70">
        <v>48778.41</v>
      </c>
      <c r="AV120" s="70">
        <f>AW120-(AG120+AH120+AI120+AK120+AL120+AM120+AN120+AO120+AP120+AQ120+AR120+AT120+AU120)</f>
        <v>107175.30000000028</v>
      </c>
      <c r="AW120" s="70">
        <v>1784004.49</v>
      </c>
      <c r="AX120" s="70">
        <v>0</v>
      </c>
      <c r="AY120" s="61">
        <f t="shared" ref="AY120" si="45">AX120/AW120</f>
        <v>0</v>
      </c>
      <c r="AZ120" s="71">
        <v>0</v>
      </c>
      <c r="BA120" s="61">
        <f>1981772/22845244</f>
        <v>8.6747683675429343E-2</v>
      </c>
      <c r="BB120" s="70">
        <v>166785</v>
      </c>
      <c r="BC120" s="70">
        <v>839305</v>
      </c>
      <c r="BD120" s="71">
        <v>242539</v>
      </c>
      <c r="BE120" s="71">
        <v>0</v>
      </c>
      <c r="BF120" s="71">
        <v>909419.55</v>
      </c>
      <c r="BG120" s="71">
        <v>463418.42750000005</v>
      </c>
      <c r="BH120" s="71">
        <v>0</v>
      </c>
      <c r="BI120" s="71">
        <v>0</v>
      </c>
      <c r="BJ120" s="71">
        <f t="shared" ref="BJ120" si="46">SUM(BH120:BI120)</f>
        <v>0</v>
      </c>
      <c r="BK120" s="71">
        <v>0</v>
      </c>
      <c r="BL120" s="60">
        <v>3495</v>
      </c>
      <c r="BM120" s="60">
        <v>697</v>
      </c>
      <c r="BN120" s="59">
        <v>5</v>
      </c>
      <c r="BO120" s="59">
        <v>-4</v>
      </c>
      <c r="BP120" s="59">
        <v>-9</v>
      </c>
      <c r="BQ120" s="59">
        <v>-58</v>
      </c>
      <c r="BR120" s="59">
        <v>-65</v>
      </c>
      <c r="BS120" s="59">
        <v>-196</v>
      </c>
      <c r="BT120" s="59">
        <v>0</v>
      </c>
      <c r="BU120" s="59">
        <v>0</v>
      </c>
      <c r="BV120" s="59">
        <v>15</v>
      </c>
      <c r="BW120" s="59">
        <v>-764</v>
      </c>
      <c r="BX120" s="59">
        <v>-2</v>
      </c>
      <c r="BY120" s="59">
        <v>3114</v>
      </c>
      <c r="BZ120" s="59">
        <v>3</v>
      </c>
      <c r="CA120" s="59">
        <v>16</v>
      </c>
      <c r="CB120" s="59">
        <v>196</v>
      </c>
      <c r="CC120" s="59">
        <v>69</v>
      </c>
      <c r="CD120" s="59">
        <v>482</v>
      </c>
      <c r="CE120" s="59">
        <v>15</v>
      </c>
      <c r="CF120" s="59">
        <v>4</v>
      </c>
    </row>
    <row r="121" spans="1:84" s="50" customFormat="1" ht="15.6" customHeight="1" x14ac:dyDescent="0.25">
      <c r="A121" s="52">
        <v>13</v>
      </c>
      <c r="B121" s="53" t="s">
        <v>365</v>
      </c>
      <c r="C121" s="57" t="s">
        <v>123</v>
      </c>
      <c r="D121" s="42" t="s">
        <v>352</v>
      </c>
      <c r="E121" s="37" t="s">
        <v>353</v>
      </c>
      <c r="F121" s="42" t="s">
        <v>354</v>
      </c>
      <c r="G121" s="70">
        <v>33432837.73</v>
      </c>
      <c r="H121" s="70">
        <v>0</v>
      </c>
      <c r="I121" s="70">
        <v>1340335.4099999999</v>
      </c>
      <c r="J121" s="70">
        <v>0</v>
      </c>
      <c r="K121" s="71">
        <v>0</v>
      </c>
      <c r="L121" s="71">
        <v>34773173.140000001</v>
      </c>
      <c r="M121" s="71">
        <v>0</v>
      </c>
      <c r="N121" s="70">
        <v>7812338.3799999999</v>
      </c>
      <c r="O121" s="70">
        <v>1303582.78</v>
      </c>
      <c r="P121" s="72">
        <v>12300943.26</v>
      </c>
      <c r="Q121" s="70">
        <v>25928.53</v>
      </c>
      <c r="R121" s="70">
        <v>1688059.34</v>
      </c>
      <c r="S121" s="70">
        <v>5450047.3099999996</v>
      </c>
      <c r="T121" s="70">
        <v>2830650</v>
      </c>
      <c r="U121" s="70">
        <v>0</v>
      </c>
      <c r="V121" s="70">
        <v>0</v>
      </c>
      <c r="W121" s="70">
        <v>1388289.65</v>
      </c>
      <c r="X121" s="71">
        <v>2349771.77</v>
      </c>
      <c r="Y121" s="71">
        <v>35149611.020000003</v>
      </c>
      <c r="Z121" s="61">
        <v>0.11980589360519084</v>
      </c>
      <c r="AA121" s="71">
        <v>2349771.77</v>
      </c>
      <c r="AB121" s="71">
        <v>0</v>
      </c>
      <c r="AC121" s="71">
        <v>0</v>
      </c>
      <c r="AD121" s="71">
        <v>0</v>
      </c>
      <c r="AE121" s="71">
        <v>0</v>
      </c>
      <c r="AF121" s="71">
        <f>SUM(AD121:AE121)</f>
        <v>0</v>
      </c>
      <c r="AG121" s="71">
        <v>1215128.21</v>
      </c>
      <c r="AH121" s="70">
        <v>88561.98</v>
      </c>
      <c r="AI121" s="70">
        <v>246878.35</v>
      </c>
      <c r="AJ121" s="71">
        <v>0</v>
      </c>
      <c r="AK121" s="70">
        <v>164838</v>
      </c>
      <c r="AL121" s="70">
        <v>7078.5</v>
      </c>
      <c r="AM121" s="70">
        <v>131181.95000000001</v>
      </c>
      <c r="AN121" s="70">
        <v>8500</v>
      </c>
      <c r="AO121" s="70">
        <v>32497.79</v>
      </c>
      <c r="AP121" s="70">
        <v>0</v>
      </c>
      <c r="AQ121" s="70">
        <v>61411.5</v>
      </c>
      <c r="AR121" s="70">
        <v>18451.68</v>
      </c>
      <c r="AS121" s="70">
        <v>2505</v>
      </c>
      <c r="AT121" s="70">
        <v>12247.02</v>
      </c>
      <c r="AU121" s="70">
        <v>37498.629999999997</v>
      </c>
      <c r="AV121" s="70">
        <v>76652.305999999997</v>
      </c>
      <c r="AW121" s="70">
        <v>2103430.9160000002</v>
      </c>
      <c r="AX121" s="70">
        <v>0</v>
      </c>
      <c r="AY121" s="61">
        <f>AX121/AW121</f>
        <v>0</v>
      </c>
      <c r="AZ121" s="71">
        <v>0</v>
      </c>
      <c r="BA121" s="61">
        <v>7.0283348035739712E-2</v>
      </c>
      <c r="BB121" s="70">
        <v>658580.12</v>
      </c>
      <c r="BC121" s="70">
        <v>3346870.88</v>
      </c>
      <c r="BD121" s="71">
        <v>244766</v>
      </c>
      <c r="BE121" s="71">
        <v>0</v>
      </c>
      <c r="BF121" s="71">
        <v>1171538.824</v>
      </c>
      <c r="BG121" s="71">
        <v>645681.09499999997</v>
      </c>
      <c r="BH121" s="71">
        <v>0</v>
      </c>
      <c r="BI121" s="71">
        <v>0</v>
      </c>
      <c r="BJ121" s="71">
        <f>SUM(BH121:BI121)</f>
        <v>0</v>
      </c>
      <c r="BK121" s="71">
        <v>0</v>
      </c>
      <c r="BL121" s="60">
        <v>3668</v>
      </c>
      <c r="BM121" s="60">
        <v>1136</v>
      </c>
      <c r="BN121" s="59">
        <v>37</v>
      </c>
      <c r="BO121" s="59">
        <v>-25</v>
      </c>
      <c r="BP121" s="59">
        <v>-19</v>
      </c>
      <c r="BQ121" s="59">
        <v>-45</v>
      </c>
      <c r="BR121" s="59">
        <v>-210</v>
      </c>
      <c r="BS121" s="59">
        <v>-393</v>
      </c>
      <c r="BT121" s="59">
        <v>1</v>
      </c>
      <c r="BU121" s="59">
        <v>-2</v>
      </c>
      <c r="BV121" s="59">
        <v>-2</v>
      </c>
      <c r="BW121" s="59">
        <v>-548</v>
      </c>
      <c r="BX121" s="59">
        <v>-1</v>
      </c>
      <c r="BY121" s="59">
        <v>3597</v>
      </c>
      <c r="BZ121" s="59">
        <v>14</v>
      </c>
      <c r="CA121" s="59">
        <v>47</v>
      </c>
      <c r="CB121" s="59">
        <v>153</v>
      </c>
      <c r="CC121" s="59">
        <v>27</v>
      </c>
      <c r="CD121" s="59">
        <v>274</v>
      </c>
      <c r="CE121" s="59">
        <v>98</v>
      </c>
      <c r="CF121" s="59">
        <v>0</v>
      </c>
    </row>
    <row r="122" spans="1:84" s="50" customFormat="1" ht="15.6" customHeight="1" x14ac:dyDescent="0.25">
      <c r="A122" s="52">
        <v>14</v>
      </c>
      <c r="B122" s="53" t="s">
        <v>245</v>
      </c>
      <c r="C122" s="57" t="s">
        <v>319</v>
      </c>
      <c r="D122" s="42" t="s">
        <v>366</v>
      </c>
      <c r="E122" s="37" t="s">
        <v>85</v>
      </c>
      <c r="F122" s="42" t="s">
        <v>367</v>
      </c>
      <c r="G122" s="70">
        <v>25556141.850000001</v>
      </c>
      <c r="H122" s="70">
        <v>69.23</v>
      </c>
      <c r="I122" s="70">
        <v>606421.06000000006</v>
      </c>
      <c r="J122" s="70">
        <v>0</v>
      </c>
      <c r="K122" s="71">
        <v>0</v>
      </c>
      <c r="L122" s="71">
        <v>26162632.140000001</v>
      </c>
      <c r="M122" s="71">
        <v>0</v>
      </c>
      <c r="N122" s="70">
        <v>4132346.13</v>
      </c>
      <c r="O122" s="70">
        <v>831644.74</v>
      </c>
      <c r="P122" s="72">
        <v>7158154.6100000003</v>
      </c>
      <c r="Q122" s="70">
        <v>0</v>
      </c>
      <c r="R122" s="70">
        <v>2248436.2999999998</v>
      </c>
      <c r="S122" s="70">
        <v>7348514.3799999999</v>
      </c>
      <c r="T122" s="70">
        <v>1692152.38</v>
      </c>
      <c r="U122" s="70">
        <v>0</v>
      </c>
      <c r="V122" s="70">
        <v>0</v>
      </c>
      <c r="W122" s="70">
        <v>787984.78</v>
      </c>
      <c r="X122" s="71">
        <v>1923105.96</v>
      </c>
      <c r="Y122" s="71">
        <v>26122339.280000001</v>
      </c>
      <c r="Z122" s="61">
        <v>8.1580298561221232E-2</v>
      </c>
      <c r="AA122" s="71">
        <v>1916757.06</v>
      </c>
      <c r="AB122" s="71">
        <v>0</v>
      </c>
      <c r="AC122" s="71">
        <v>0</v>
      </c>
      <c r="AD122" s="71">
        <v>0</v>
      </c>
      <c r="AE122" s="71">
        <v>0</v>
      </c>
      <c r="AF122" s="71">
        <f>SUM(AD122:AE122)</f>
        <v>0</v>
      </c>
      <c r="AG122" s="71">
        <v>670938.1</v>
      </c>
      <c r="AH122" s="70">
        <v>52317.31</v>
      </c>
      <c r="AI122" s="70">
        <v>135458</v>
      </c>
      <c r="AJ122" s="71">
        <v>0</v>
      </c>
      <c r="AK122" s="70">
        <v>122705.64</v>
      </c>
      <c r="AL122" s="70">
        <v>19126.11</v>
      </c>
      <c r="AM122" s="70">
        <v>140239.22</v>
      </c>
      <c r="AN122" s="70">
        <v>8500</v>
      </c>
      <c r="AO122" s="70">
        <v>8500</v>
      </c>
      <c r="AP122" s="70">
        <v>0</v>
      </c>
      <c r="AQ122" s="70">
        <v>32446.239999999998</v>
      </c>
      <c r="AR122" s="70">
        <v>26645.23</v>
      </c>
      <c r="AS122" s="70">
        <v>4575</v>
      </c>
      <c r="AT122" s="70">
        <v>13154.79</v>
      </c>
      <c r="AU122" s="70">
        <v>23551.86</v>
      </c>
      <c r="AV122" s="70">
        <v>74439.850000000006</v>
      </c>
      <c r="AW122" s="70">
        <v>1332597.3500000001</v>
      </c>
      <c r="AX122" s="70">
        <v>0</v>
      </c>
      <c r="AY122" s="61">
        <f>AX122/AW122</f>
        <v>0</v>
      </c>
      <c r="AZ122" s="71">
        <v>0</v>
      </c>
      <c r="BA122" s="61">
        <v>7.5001816442022917E-2</v>
      </c>
      <c r="BB122" s="70">
        <v>1589477.18</v>
      </c>
      <c r="BC122" s="70">
        <v>495406.15</v>
      </c>
      <c r="BD122" s="71">
        <v>244766</v>
      </c>
      <c r="BE122" s="71">
        <v>2.91038304567337E-11</v>
      </c>
      <c r="BF122" s="71">
        <v>1005272.29</v>
      </c>
      <c r="BG122" s="71">
        <v>672122.95250000001</v>
      </c>
      <c r="BH122" s="71">
        <v>0</v>
      </c>
      <c r="BI122" s="71">
        <v>0</v>
      </c>
      <c r="BJ122" s="71">
        <f>SUM(BH122:BI122)</f>
        <v>0</v>
      </c>
      <c r="BK122" s="71">
        <v>0</v>
      </c>
      <c r="BL122" s="60">
        <v>2287</v>
      </c>
      <c r="BM122" s="60">
        <v>533</v>
      </c>
      <c r="BN122" s="59">
        <v>0</v>
      </c>
      <c r="BO122" s="59">
        <v>0</v>
      </c>
      <c r="BP122" s="59">
        <v>-10</v>
      </c>
      <c r="BQ122" s="59">
        <v>-24</v>
      </c>
      <c r="BR122" s="59">
        <v>-191</v>
      </c>
      <c r="BS122" s="59">
        <v>-108</v>
      </c>
      <c r="BT122" s="59">
        <v>7</v>
      </c>
      <c r="BU122" s="59">
        <v>0</v>
      </c>
      <c r="BV122" s="59">
        <v>0</v>
      </c>
      <c r="BW122" s="59">
        <v>-367</v>
      </c>
      <c r="BX122" s="59">
        <v>-5</v>
      </c>
      <c r="BY122" s="59">
        <v>2122</v>
      </c>
      <c r="BZ122" s="59">
        <v>12</v>
      </c>
      <c r="CA122" s="59">
        <v>0</v>
      </c>
      <c r="CB122" s="59">
        <v>101</v>
      </c>
      <c r="CC122" s="59">
        <v>39</v>
      </c>
      <c r="CD122" s="59">
        <v>217</v>
      </c>
      <c r="CE122" s="59">
        <v>9</v>
      </c>
      <c r="CF122" s="59">
        <v>4</v>
      </c>
    </row>
    <row r="123" spans="1:84" s="50" customFormat="1" ht="15.6" customHeight="1" x14ac:dyDescent="0.25">
      <c r="A123" s="52">
        <v>14</v>
      </c>
      <c r="B123" s="53" t="s">
        <v>368</v>
      </c>
      <c r="C123" s="57" t="s">
        <v>369</v>
      </c>
      <c r="D123" s="42" t="s">
        <v>370</v>
      </c>
      <c r="E123" s="37" t="s">
        <v>85</v>
      </c>
      <c r="F123" s="42" t="s">
        <v>367</v>
      </c>
      <c r="G123" s="70">
        <v>17496605.93</v>
      </c>
      <c r="H123" s="70">
        <v>0</v>
      </c>
      <c r="I123" s="70">
        <v>311188.90999999997</v>
      </c>
      <c r="J123" s="70">
        <v>3121.16</v>
      </c>
      <c r="K123" s="71">
        <v>0</v>
      </c>
      <c r="L123" s="71">
        <v>17810916</v>
      </c>
      <c r="M123" s="71">
        <v>28090.43</v>
      </c>
      <c r="N123" s="70">
        <v>3401836.34</v>
      </c>
      <c r="O123" s="70">
        <v>793446.14</v>
      </c>
      <c r="P123" s="72">
        <v>4788996.99</v>
      </c>
      <c r="Q123" s="70">
        <v>0</v>
      </c>
      <c r="R123" s="70">
        <v>1272968.1599999999</v>
      </c>
      <c r="S123" s="70">
        <v>5180762.1399999997</v>
      </c>
      <c r="T123" s="70">
        <v>1088809.21</v>
      </c>
      <c r="U123" s="70">
        <v>0</v>
      </c>
      <c r="V123" s="70">
        <v>0</v>
      </c>
      <c r="W123" s="70">
        <v>530667.82999999996</v>
      </c>
      <c r="X123" s="71">
        <v>1450354.86</v>
      </c>
      <c r="Y123" s="71">
        <v>18507841.670000002</v>
      </c>
      <c r="Z123" s="61">
        <v>0.11572905442924437</v>
      </c>
      <c r="AA123" s="71">
        <v>1440163.5</v>
      </c>
      <c r="AB123" s="71">
        <v>0</v>
      </c>
      <c r="AC123" s="71">
        <v>0</v>
      </c>
      <c r="AD123" s="71">
        <v>0</v>
      </c>
      <c r="AE123" s="71">
        <v>657.05</v>
      </c>
      <c r="AF123" s="71">
        <f>SUM(AD123:AE123)</f>
        <v>657.05</v>
      </c>
      <c r="AG123" s="71">
        <v>650165.55000000005</v>
      </c>
      <c r="AH123" s="70">
        <v>53569.16</v>
      </c>
      <c r="AI123" s="70">
        <v>128264.11</v>
      </c>
      <c r="AJ123" s="71">
        <v>0</v>
      </c>
      <c r="AK123" s="70">
        <v>82771.56</v>
      </c>
      <c r="AL123" s="70">
        <v>61132.87</v>
      </c>
      <c r="AM123" s="70">
        <v>75735.8</v>
      </c>
      <c r="AN123" s="70">
        <v>8500</v>
      </c>
      <c r="AO123" s="70">
        <v>0</v>
      </c>
      <c r="AP123" s="70">
        <v>0</v>
      </c>
      <c r="AQ123" s="70">
        <v>16760.37</v>
      </c>
      <c r="AR123" s="70">
        <v>13293.19</v>
      </c>
      <c r="AS123" s="70">
        <v>0</v>
      </c>
      <c r="AT123" s="70">
        <v>18318.43</v>
      </c>
      <c r="AU123" s="70">
        <v>7198.06</v>
      </c>
      <c r="AV123" s="70">
        <v>63034.35</v>
      </c>
      <c r="AW123" s="70">
        <v>1178743.45</v>
      </c>
      <c r="AX123" s="70">
        <v>0</v>
      </c>
      <c r="AY123" s="61">
        <f>AX123/AW123</f>
        <v>0</v>
      </c>
      <c r="AZ123" s="71">
        <v>0</v>
      </c>
      <c r="BA123" s="61">
        <v>8.2179084328511592E-2</v>
      </c>
      <c r="BB123" s="70">
        <v>673108.18</v>
      </c>
      <c r="BC123" s="70">
        <v>1351757.48</v>
      </c>
      <c r="BD123" s="71">
        <v>244766</v>
      </c>
      <c r="BE123" s="71">
        <v>0</v>
      </c>
      <c r="BF123" s="71">
        <v>1272097.25</v>
      </c>
      <c r="BG123" s="71">
        <v>977411.38749999995</v>
      </c>
      <c r="BH123" s="71">
        <v>0</v>
      </c>
      <c r="BI123" s="71">
        <v>0</v>
      </c>
      <c r="BJ123" s="71">
        <f>SUM(BH123:BI123)</f>
        <v>0</v>
      </c>
      <c r="BK123" s="71">
        <v>0</v>
      </c>
      <c r="BL123" s="60">
        <v>1718</v>
      </c>
      <c r="BM123" s="60">
        <v>384</v>
      </c>
      <c r="BN123" s="59">
        <v>11</v>
      </c>
      <c r="BO123" s="59">
        <v>0</v>
      </c>
      <c r="BP123" s="59">
        <v>-11</v>
      </c>
      <c r="BQ123" s="59">
        <v>-13</v>
      </c>
      <c r="BR123" s="59">
        <v>-127</v>
      </c>
      <c r="BS123" s="59">
        <v>-107</v>
      </c>
      <c r="BT123" s="59">
        <v>0</v>
      </c>
      <c r="BU123" s="59">
        <v>0</v>
      </c>
      <c r="BV123" s="59">
        <v>0</v>
      </c>
      <c r="BW123" s="59">
        <v>-350</v>
      </c>
      <c r="BX123" s="59">
        <v>0</v>
      </c>
      <c r="BY123" s="59">
        <v>1505</v>
      </c>
      <c r="BZ123" s="59">
        <v>0</v>
      </c>
      <c r="CA123" s="59">
        <v>14</v>
      </c>
      <c r="CB123" s="59">
        <v>83</v>
      </c>
      <c r="CC123" s="59">
        <v>25</v>
      </c>
      <c r="CD123" s="59">
        <v>237</v>
      </c>
      <c r="CE123" s="59">
        <v>1</v>
      </c>
      <c r="CF123" s="59">
        <v>4</v>
      </c>
    </row>
    <row r="124" spans="1:84" s="50" customFormat="1" ht="15.6" customHeight="1" x14ac:dyDescent="0.25">
      <c r="A124" s="52">
        <v>14</v>
      </c>
      <c r="B124" s="53" t="s">
        <v>371</v>
      </c>
      <c r="C124" s="57" t="s">
        <v>372</v>
      </c>
      <c r="D124" s="42" t="s">
        <v>366</v>
      </c>
      <c r="E124" s="37" t="s">
        <v>85</v>
      </c>
      <c r="F124" s="42" t="s">
        <v>367</v>
      </c>
      <c r="G124" s="70">
        <v>26219039.07</v>
      </c>
      <c r="H124" s="70">
        <v>156860.10999999999</v>
      </c>
      <c r="I124" s="70">
        <v>426062.28</v>
      </c>
      <c r="J124" s="70">
        <v>0</v>
      </c>
      <c r="K124" s="71">
        <v>0</v>
      </c>
      <c r="L124" s="71">
        <v>26801961.460000001</v>
      </c>
      <c r="M124" s="71">
        <v>0</v>
      </c>
      <c r="N124" s="70">
        <v>3880644.17</v>
      </c>
      <c r="O124" s="70">
        <v>1059428.3799999999</v>
      </c>
      <c r="P124" s="72">
        <v>8281091.1100000003</v>
      </c>
      <c r="Q124" s="70">
        <v>0</v>
      </c>
      <c r="R124" s="70">
        <v>2123510.59</v>
      </c>
      <c r="S124" s="70">
        <v>7409981.7800000003</v>
      </c>
      <c r="T124" s="70">
        <v>1788467.44</v>
      </c>
      <c r="U124" s="70">
        <v>0</v>
      </c>
      <c r="V124" s="70">
        <v>0</v>
      </c>
      <c r="W124" s="70">
        <v>1169384.25</v>
      </c>
      <c r="X124" s="71">
        <v>1916086.17</v>
      </c>
      <c r="Y124" s="71">
        <v>27628593.890000001</v>
      </c>
      <c r="Z124" s="61">
        <v>0.13673516968607097</v>
      </c>
      <c r="AA124" s="71">
        <v>1703089.63</v>
      </c>
      <c r="AB124" s="71">
        <v>0</v>
      </c>
      <c r="AC124" s="71">
        <v>0</v>
      </c>
      <c r="AD124" s="71">
        <v>0</v>
      </c>
      <c r="AE124" s="71">
        <v>0</v>
      </c>
      <c r="AF124" s="71">
        <f>SUM(AD124:AE124)</f>
        <v>0</v>
      </c>
      <c r="AG124" s="71">
        <v>769588.2</v>
      </c>
      <c r="AH124" s="70">
        <v>59843.8</v>
      </c>
      <c r="AI124" s="70">
        <v>196731.15</v>
      </c>
      <c r="AJ124" s="71">
        <v>0</v>
      </c>
      <c r="AK124" s="70">
        <v>152882.93</v>
      </c>
      <c r="AL124" s="70">
        <v>37192.26</v>
      </c>
      <c r="AM124" s="70">
        <v>113314.76</v>
      </c>
      <c r="AN124" s="70">
        <v>8500</v>
      </c>
      <c r="AO124" s="70">
        <v>6783.75</v>
      </c>
      <c r="AP124" s="70">
        <v>0</v>
      </c>
      <c r="AQ124" s="70">
        <v>35677.629999999997</v>
      </c>
      <c r="AR124" s="70">
        <v>24993.07</v>
      </c>
      <c r="AS124" s="70">
        <v>3255</v>
      </c>
      <c r="AT124" s="70">
        <v>5660.96</v>
      </c>
      <c r="AU124" s="70">
        <v>24203.13</v>
      </c>
      <c r="AV124" s="70">
        <v>56674.39</v>
      </c>
      <c r="AW124" s="70">
        <v>1495301.03</v>
      </c>
      <c r="AX124" s="70">
        <v>0</v>
      </c>
      <c r="AY124" s="61">
        <f>AX124/AW124</f>
        <v>0</v>
      </c>
      <c r="AZ124" s="71">
        <v>0</v>
      </c>
      <c r="BA124" s="61">
        <v>6.4956218473646743E-2</v>
      </c>
      <c r="BB124" s="70">
        <v>867372.43</v>
      </c>
      <c r="BC124" s="70">
        <v>2739140.62</v>
      </c>
      <c r="BD124" s="71">
        <v>244766</v>
      </c>
      <c r="BE124" s="71">
        <v>0</v>
      </c>
      <c r="BF124" s="71">
        <v>679153.78</v>
      </c>
      <c r="BG124" s="71">
        <v>305328.52250000002</v>
      </c>
      <c r="BH124" s="71">
        <v>0</v>
      </c>
      <c r="BI124" s="71">
        <v>0</v>
      </c>
      <c r="BJ124" s="71">
        <f>SUM(BH124:BI124)</f>
        <v>0</v>
      </c>
      <c r="BK124" s="71">
        <v>0</v>
      </c>
      <c r="BL124" s="60">
        <v>2240</v>
      </c>
      <c r="BM124" s="60">
        <v>517</v>
      </c>
      <c r="BN124" s="59">
        <v>40</v>
      </c>
      <c r="BO124" s="59">
        <v>-30</v>
      </c>
      <c r="BP124" s="59">
        <v>-16</v>
      </c>
      <c r="BQ124" s="59">
        <v>-37</v>
      </c>
      <c r="BR124" s="59">
        <v>-177</v>
      </c>
      <c r="BS124" s="59">
        <v>-191</v>
      </c>
      <c r="BT124" s="59">
        <v>7</v>
      </c>
      <c r="BU124" s="59">
        <v>0</v>
      </c>
      <c r="BV124" s="59">
        <v>40</v>
      </c>
      <c r="BW124" s="59">
        <v>-369</v>
      </c>
      <c r="BX124" s="59">
        <v>-3</v>
      </c>
      <c r="BY124" s="59">
        <v>2021</v>
      </c>
      <c r="BZ124" s="59">
        <v>8</v>
      </c>
      <c r="CA124" s="59">
        <v>70</v>
      </c>
      <c r="CB124" s="59">
        <v>111</v>
      </c>
      <c r="CC124" s="59">
        <v>35</v>
      </c>
      <c r="CD124" s="59">
        <v>211</v>
      </c>
      <c r="CE124" s="59">
        <v>1</v>
      </c>
      <c r="CF124" s="59">
        <v>1</v>
      </c>
    </row>
    <row r="125" spans="1:84" s="50" customFormat="1" ht="15.6" customHeight="1" x14ac:dyDescent="0.25">
      <c r="A125" s="39">
        <v>15</v>
      </c>
      <c r="B125" s="51" t="s">
        <v>373</v>
      </c>
      <c r="C125" s="57" t="s">
        <v>165</v>
      </c>
      <c r="D125" s="42" t="s">
        <v>374</v>
      </c>
      <c r="E125" s="42" t="s">
        <v>117</v>
      </c>
      <c r="F125" s="42" t="s">
        <v>375</v>
      </c>
      <c r="G125" s="70">
        <v>11915423.890000001</v>
      </c>
      <c r="H125" s="70">
        <v>0</v>
      </c>
      <c r="I125" s="70">
        <v>360594.54</v>
      </c>
      <c r="J125" s="70">
        <v>11602.75</v>
      </c>
      <c r="K125" s="71">
        <v>0</v>
      </c>
      <c r="L125" s="71">
        <v>12287621.18</v>
      </c>
      <c r="M125" s="71">
        <v>125267.51</v>
      </c>
      <c r="N125" s="70">
        <v>0</v>
      </c>
      <c r="O125" s="70">
        <v>1769325.85</v>
      </c>
      <c r="P125" s="72">
        <v>2278305.37</v>
      </c>
      <c r="Q125" s="70">
        <v>0</v>
      </c>
      <c r="R125" s="70">
        <v>1393080.68</v>
      </c>
      <c r="S125" s="70">
        <v>4949822.6500000004</v>
      </c>
      <c r="T125" s="70">
        <v>517668.79</v>
      </c>
      <c r="U125" s="70">
        <v>0</v>
      </c>
      <c r="V125" s="70">
        <v>0</v>
      </c>
      <c r="W125" s="70">
        <v>368201.13</v>
      </c>
      <c r="X125" s="71">
        <v>1142585.98</v>
      </c>
      <c r="Y125" s="71">
        <v>12418990.449999999</v>
      </c>
      <c r="Z125" s="61">
        <v>8.2297401171180659E-2</v>
      </c>
      <c r="AA125" s="71">
        <v>1142585.98</v>
      </c>
      <c r="AB125" s="71">
        <v>0</v>
      </c>
      <c r="AC125" s="71">
        <v>0</v>
      </c>
      <c r="AD125" s="71">
        <v>0</v>
      </c>
      <c r="AE125" s="71">
        <v>470.27</v>
      </c>
      <c r="AF125" s="71">
        <f>SUM(AD125:AE125)</f>
        <v>470.27</v>
      </c>
      <c r="AG125" s="71">
        <v>517650.75</v>
      </c>
      <c r="AH125" s="70">
        <v>42058.74</v>
      </c>
      <c r="AI125" s="70">
        <v>110490.31</v>
      </c>
      <c r="AJ125" s="71">
        <v>0</v>
      </c>
      <c r="AK125" s="70">
        <v>134198.84</v>
      </c>
      <c r="AL125" s="70">
        <v>25235.18</v>
      </c>
      <c r="AM125" s="70">
        <v>52589.55</v>
      </c>
      <c r="AN125" s="70">
        <v>7500</v>
      </c>
      <c r="AO125" s="70">
        <v>0</v>
      </c>
      <c r="AP125" s="70">
        <v>0</v>
      </c>
      <c r="AQ125" s="70">
        <v>29210.36</v>
      </c>
      <c r="AR125" s="70">
        <v>0</v>
      </c>
      <c r="AS125" s="70">
        <v>0</v>
      </c>
      <c r="AT125" s="70">
        <v>2758.94</v>
      </c>
      <c r="AU125" s="70">
        <v>20538.53</v>
      </c>
      <c r="AV125" s="70">
        <v>55113.54</v>
      </c>
      <c r="AW125" s="70">
        <v>997344.74</v>
      </c>
      <c r="AX125" s="70">
        <v>0</v>
      </c>
      <c r="AY125" s="61">
        <f>AX125/AW125</f>
        <v>0</v>
      </c>
      <c r="AZ125" s="71">
        <v>0</v>
      </c>
      <c r="BA125" s="61">
        <v>9.4893718478658129E-2</v>
      </c>
      <c r="BB125" s="70">
        <v>182903.11</v>
      </c>
      <c r="BC125" s="70">
        <v>797705.31</v>
      </c>
      <c r="BD125" s="71">
        <v>244362.01</v>
      </c>
      <c r="BE125" s="71">
        <v>0</v>
      </c>
      <c r="BF125" s="71">
        <v>620324.68999999994</v>
      </c>
      <c r="BG125" s="71">
        <v>370988.505</v>
      </c>
      <c r="BH125" s="71">
        <v>0</v>
      </c>
      <c r="BI125" s="71">
        <v>0</v>
      </c>
      <c r="BJ125" s="71">
        <f>SUM(BH125:BI125)</f>
        <v>0</v>
      </c>
      <c r="BK125" s="71">
        <v>0</v>
      </c>
      <c r="BL125" s="60">
        <v>1120</v>
      </c>
      <c r="BM125" s="60">
        <v>226</v>
      </c>
      <c r="BN125" s="59">
        <v>2</v>
      </c>
      <c r="BO125" s="59">
        <v>0</v>
      </c>
      <c r="BP125" s="59">
        <v>-4</v>
      </c>
      <c r="BQ125" s="59">
        <v>-1</v>
      </c>
      <c r="BR125" s="59">
        <v>-83</v>
      </c>
      <c r="BS125" s="59">
        <v>-65</v>
      </c>
      <c r="BT125" s="59">
        <v>3</v>
      </c>
      <c r="BU125" s="59">
        <v>0</v>
      </c>
      <c r="BV125" s="59">
        <v>1</v>
      </c>
      <c r="BW125" s="59">
        <v>-222</v>
      </c>
      <c r="BX125" s="59">
        <v>-1</v>
      </c>
      <c r="BY125" s="59">
        <v>976</v>
      </c>
      <c r="BZ125" s="59">
        <v>20</v>
      </c>
      <c r="CA125" s="59">
        <v>57</v>
      </c>
      <c r="CB125" s="59">
        <v>77</v>
      </c>
      <c r="CC125" s="59">
        <v>15</v>
      </c>
      <c r="CD125" s="59">
        <v>68</v>
      </c>
      <c r="CE125" s="59">
        <v>60</v>
      </c>
      <c r="CF125" s="59">
        <v>0</v>
      </c>
    </row>
    <row r="126" spans="1:84" s="50" customFormat="1" ht="15.6" customHeight="1" x14ac:dyDescent="0.25">
      <c r="A126" s="39">
        <v>15</v>
      </c>
      <c r="B126" s="47" t="s">
        <v>578</v>
      </c>
      <c r="C126" s="57" t="s">
        <v>579</v>
      </c>
      <c r="D126" s="42" t="s">
        <v>376</v>
      </c>
      <c r="E126" s="42" t="s">
        <v>85</v>
      </c>
      <c r="F126" s="42" t="s">
        <v>377</v>
      </c>
      <c r="G126" s="70">
        <v>12193250.85</v>
      </c>
      <c r="H126" s="70">
        <v>1259743.3400000001</v>
      </c>
      <c r="I126" s="70">
        <v>0</v>
      </c>
      <c r="J126" s="70">
        <v>0</v>
      </c>
      <c r="K126" s="71">
        <v>0</v>
      </c>
      <c r="L126" s="71">
        <v>13452994.189999999</v>
      </c>
      <c r="M126" s="71">
        <v>0</v>
      </c>
      <c r="N126" s="70">
        <v>0</v>
      </c>
      <c r="O126" s="70">
        <v>650704.32999999996</v>
      </c>
      <c r="P126" s="72">
        <v>3273595.4</v>
      </c>
      <c r="Q126" s="70">
        <v>0</v>
      </c>
      <c r="R126" s="70">
        <v>1091385.9200000002</v>
      </c>
      <c r="S126" s="70">
        <v>4990433.17</v>
      </c>
      <c r="T126" s="70">
        <v>1166894.6100000001</v>
      </c>
      <c r="U126" s="70">
        <v>0</v>
      </c>
      <c r="V126" s="70">
        <v>0</v>
      </c>
      <c r="W126" s="70">
        <v>1309481.5699999998</v>
      </c>
      <c r="X126" s="71">
        <v>1220359.0000000002</v>
      </c>
      <c r="Y126" s="71">
        <v>13702854</v>
      </c>
      <c r="Z126" s="61">
        <f>634129/13452994</f>
        <v>4.7136644824193039E-2</v>
      </c>
      <c r="AA126" s="71">
        <v>1220359.0000000002</v>
      </c>
      <c r="AB126" s="71">
        <v>0</v>
      </c>
      <c r="AC126" s="71">
        <v>0</v>
      </c>
      <c r="AD126" s="71">
        <v>0</v>
      </c>
      <c r="AE126" s="71">
        <v>0</v>
      </c>
      <c r="AF126" s="71">
        <f t="shared" ref="AF126" si="47">SUM(AD126:AE126)</f>
        <v>0</v>
      </c>
      <c r="AG126" s="71">
        <v>291511.43</v>
      </c>
      <c r="AH126" s="70">
        <v>30858.05</v>
      </c>
      <c r="AI126" s="70">
        <v>67471.39</v>
      </c>
      <c r="AJ126" s="71">
        <v>0</v>
      </c>
      <c r="AK126" s="70">
        <v>72620.659999999989</v>
      </c>
      <c r="AL126" s="70">
        <v>24946.560000000001</v>
      </c>
      <c r="AM126" s="70">
        <v>55461.2</v>
      </c>
      <c r="AN126" s="70">
        <v>10750</v>
      </c>
      <c r="AO126" s="70">
        <v>70934.100000000006</v>
      </c>
      <c r="AP126" s="70">
        <v>0</v>
      </c>
      <c r="AQ126" s="70">
        <f>6455+9413+8690</f>
        <v>24558</v>
      </c>
      <c r="AR126" s="70">
        <v>12882</v>
      </c>
      <c r="AS126" s="70">
        <v>0</v>
      </c>
      <c r="AT126" s="70">
        <v>14795</v>
      </c>
      <c r="AU126" s="70">
        <v>12430</v>
      </c>
      <c r="AV126" s="71">
        <f>AW126-AG126-AH126-AI126-AK126-AL126-AM126-AN126-AO126-AP126-AQ126-AR126-AT126-AU126</f>
        <v>85711.370000000024</v>
      </c>
      <c r="AW126" s="70">
        <v>774929.76</v>
      </c>
      <c r="AX126" s="70">
        <v>0</v>
      </c>
      <c r="AY126" s="61">
        <f t="shared" ref="AY126" si="48">AX126/AW126</f>
        <v>0</v>
      </c>
      <c r="AZ126" s="71">
        <v>0</v>
      </c>
      <c r="BA126" s="61">
        <f>1220359/12193251</f>
        <v>0.10008479280874313</v>
      </c>
      <c r="BB126" s="59">
        <v>124601.74</v>
      </c>
      <c r="BC126" s="59">
        <v>509527.03999999998</v>
      </c>
      <c r="BD126" s="60">
        <v>241806.87999999995</v>
      </c>
      <c r="BE126" s="60">
        <v>0</v>
      </c>
      <c r="BF126" s="60">
        <v>562352.52000000048</v>
      </c>
      <c r="BG126" s="60">
        <v>368620.08000000048</v>
      </c>
      <c r="BH126" s="60">
        <v>0</v>
      </c>
      <c r="BI126" s="60">
        <v>0</v>
      </c>
      <c r="BJ126" s="60">
        <f t="shared" ref="BJ126" si="49">SUM(BH126:BI126)</f>
        <v>0</v>
      </c>
      <c r="BK126" s="60">
        <v>0</v>
      </c>
      <c r="BL126" s="60">
        <v>1394</v>
      </c>
      <c r="BM126" s="60">
        <v>339</v>
      </c>
      <c r="BN126" s="59">
        <v>67</v>
      </c>
      <c r="BO126" s="59">
        <v>0</v>
      </c>
      <c r="BP126" s="59">
        <v>-5</v>
      </c>
      <c r="BQ126" s="59">
        <v>-23</v>
      </c>
      <c r="BR126" s="59">
        <v>-42</v>
      </c>
      <c r="BS126" s="59">
        <v>-67</v>
      </c>
      <c r="BT126" s="59">
        <v>0</v>
      </c>
      <c r="BU126" s="59">
        <v>0</v>
      </c>
      <c r="BV126" s="59">
        <v>0</v>
      </c>
      <c r="BW126" s="59">
        <v>-212</v>
      </c>
      <c r="BX126" s="59">
        <v>-3</v>
      </c>
      <c r="BY126" s="59">
        <v>1448</v>
      </c>
      <c r="BZ126" s="59">
        <v>3</v>
      </c>
      <c r="CA126" s="59">
        <v>12</v>
      </c>
      <c r="CB126" s="59">
        <v>63</v>
      </c>
      <c r="CC126" s="59">
        <v>21</v>
      </c>
      <c r="CD126" s="59">
        <v>119</v>
      </c>
      <c r="CE126" s="59">
        <v>9</v>
      </c>
      <c r="CF126" s="59">
        <v>1</v>
      </c>
    </row>
    <row r="127" spans="1:84" s="50" customFormat="1" ht="15.6" customHeight="1" x14ac:dyDescent="0.25">
      <c r="A127" s="39">
        <v>15</v>
      </c>
      <c r="B127" s="51" t="s">
        <v>378</v>
      </c>
      <c r="C127" s="57" t="s">
        <v>241</v>
      </c>
      <c r="D127" s="42" t="s">
        <v>374</v>
      </c>
      <c r="E127" s="42" t="s">
        <v>117</v>
      </c>
      <c r="F127" s="42" t="s">
        <v>375</v>
      </c>
      <c r="G127" s="70">
        <v>11195473.710000001</v>
      </c>
      <c r="H127" s="70">
        <v>0</v>
      </c>
      <c r="I127" s="70">
        <v>363015.56</v>
      </c>
      <c r="J127" s="70">
        <v>16418.599999999999</v>
      </c>
      <c r="K127" s="71">
        <v>0</v>
      </c>
      <c r="L127" s="71">
        <v>11574907.869999999</v>
      </c>
      <c r="M127" s="71">
        <v>164186</v>
      </c>
      <c r="N127" s="70">
        <v>0</v>
      </c>
      <c r="O127" s="70">
        <v>1737627.97</v>
      </c>
      <c r="P127" s="72">
        <v>2078688.02</v>
      </c>
      <c r="Q127" s="70">
        <v>0</v>
      </c>
      <c r="R127" s="70">
        <v>1056226.18</v>
      </c>
      <c r="S127" s="70">
        <v>4531259.07</v>
      </c>
      <c r="T127" s="70">
        <v>495214.48</v>
      </c>
      <c r="U127" s="70">
        <v>0</v>
      </c>
      <c r="V127" s="70">
        <v>0</v>
      </c>
      <c r="W127" s="70">
        <v>342850.97</v>
      </c>
      <c r="X127" s="71">
        <v>1182009.6399999999</v>
      </c>
      <c r="Y127" s="71">
        <v>11423876.33</v>
      </c>
      <c r="Z127" s="61">
        <v>3.6779948813795746E-2</v>
      </c>
      <c r="AA127" s="71">
        <v>1135940.25</v>
      </c>
      <c r="AB127" s="71">
        <v>0</v>
      </c>
      <c r="AC127" s="71">
        <v>0</v>
      </c>
      <c r="AD127" s="71">
        <v>0</v>
      </c>
      <c r="AE127" s="71">
        <v>0</v>
      </c>
      <c r="AF127" s="71">
        <f>SUM(AD127:AE127)</f>
        <v>0</v>
      </c>
      <c r="AG127" s="71">
        <v>480614.08</v>
      </c>
      <c r="AH127" s="70">
        <v>38216.93</v>
      </c>
      <c r="AI127" s="70">
        <v>69164.070000000007</v>
      </c>
      <c r="AJ127" s="71">
        <v>10427.200000000001</v>
      </c>
      <c r="AK127" s="70">
        <v>123594.87</v>
      </c>
      <c r="AL127" s="70">
        <v>16863.71</v>
      </c>
      <c r="AM127" s="70">
        <v>32905.58</v>
      </c>
      <c r="AN127" s="70">
        <v>7500</v>
      </c>
      <c r="AO127" s="70">
        <v>0</v>
      </c>
      <c r="AP127" s="70">
        <v>0</v>
      </c>
      <c r="AQ127" s="70">
        <v>11080.25</v>
      </c>
      <c r="AR127" s="70">
        <v>6183.62</v>
      </c>
      <c r="AS127" s="70">
        <v>0</v>
      </c>
      <c r="AT127" s="70">
        <v>0</v>
      </c>
      <c r="AU127" s="70">
        <v>8632.7900000000009</v>
      </c>
      <c r="AV127" s="70">
        <v>54445.440000000002</v>
      </c>
      <c r="AW127" s="70">
        <v>859628.54</v>
      </c>
      <c r="AX127" s="70">
        <v>0</v>
      </c>
      <c r="AY127" s="61">
        <f>AX127/AW127</f>
        <v>0</v>
      </c>
      <c r="AZ127" s="71">
        <v>0</v>
      </c>
      <c r="BA127" s="61">
        <v>9.9997735759639217E-2</v>
      </c>
      <c r="BB127" s="70">
        <v>257083.48</v>
      </c>
      <c r="BC127" s="70">
        <v>154685.47</v>
      </c>
      <c r="BD127" s="71">
        <v>244766</v>
      </c>
      <c r="BE127" s="71">
        <v>0</v>
      </c>
      <c r="BF127" s="71">
        <v>785855.61</v>
      </c>
      <c r="BG127" s="71">
        <v>570948.47499999998</v>
      </c>
      <c r="BH127" s="71">
        <v>0</v>
      </c>
      <c r="BI127" s="71">
        <v>0</v>
      </c>
      <c r="BJ127" s="71">
        <f>SUM(BH127:BI127)</f>
        <v>0</v>
      </c>
      <c r="BK127" s="71">
        <v>0</v>
      </c>
      <c r="BL127" s="60">
        <v>1080</v>
      </c>
      <c r="BM127" s="60">
        <v>225</v>
      </c>
      <c r="BN127" s="59">
        <v>5</v>
      </c>
      <c r="BO127" s="59">
        <v>0</v>
      </c>
      <c r="BP127" s="59">
        <v>-8</v>
      </c>
      <c r="BQ127" s="59">
        <v>-12</v>
      </c>
      <c r="BR127" s="59">
        <v>-79</v>
      </c>
      <c r="BS127" s="59">
        <v>-120</v>
      </c>
      <c r="BT127" s="59">
        <v>0</v>
      </c>
      <c r="BU127" s="59">
        <v>0</v>
      </c>
      <c r="BV127" s="59">
        <v>0</v>
      </c>
      <c r="BW127" s="59">
        <v>-240</v>
      </c>
      <c r="BX127" s="59">
        <v>0</v>
      </c>
      <c r="BY127" s="59">
        <v>851</v>
      </c>
      <c r="BZ127" s="59">
        <v>5</v>
      </c>
      <c r="CA127" s="59">
        <v>13</v>
      </c>
      <c r="CB127" s="59">
        <v>88</v>
      </c>
      <c r="CC127" s="59">
        <v>21</v>
      </c>
      <c r="CD127" s="59">
        <v>65</v>
      </c>
      <c r="CE127" s="59">
        <v>62</v>
      </c>
      <c r="CF127" s="59">
        <v>3</v>
      </c>
    </row>
    <row r="128" spans="1:84" s="50" customFormat="1" ht="15.6" customHeight="1" x14ac:dyDescent="0.25">
      <c r="A128" s="39">
        <v>16</v>
      </c>
      <c r="B128" s="51" t="s">
        <v>379</v>
      </c>
      <c r="C128" s="57" t="s">
        <v>380</v>
      </c>
      <c r="D128" s="42" t="s">
        <v>381</v>
      </c>
      <c r="E128" s="42" t="s">
        <v>304</v>
      </c>
      <c r="F128" s="42" t="s">
        <v>375</v>
      </c>
      <c r="G128" s="70">
        <v>13278767.18</v>
      </c>
      <c r="H128" s="70">
        <v>0</v>
      </c>
      <c r="I128" s="70">
        <v>1050198.1299999999</v>
      </c>
      <c r="J128" s="70">
        <v>70398.673999999999</v>
      </c>
      <c r="K128" s="71">
        <v>0</v>
      </c>
      <c r="L128" s="71">
        <v>14399363.983999999</v>
      </c>
      <c r="M128" s="71">
        <v>703986.66</v>
      </c>
      <c r="N128" s="70">
        <v>26653.08</v>
      </c>
      <c r="O128" s="70">
        <v>2819460.1</v>
      </c>
      <c r="P128" s="72">
        <v>1234234.8400000001</v>
      </c>
      <c r="Q128" s="70">
        <v>0</v>
      </c>
      <c r="R128" s="70">
        <v>938843.63</v>
      </c>
      <c r="S128" s="70">
        <v>6098842.7800000003</v>
      </c>
      <c r="T128" s="70">
        <v>1026973.43</v>
      </c>
      <c r="U128" s="70">
        <v>0</v>
      </c>
      <c r="V128" s="70">
        <v>0</v>
      </c>
      <c r="W128" s="70">
        <v>1246612.7</v>
      </c>
      <c r="X128" s="71">
        <v>1395766.7540000002</v>
      </c>
      <c r="Y128" s="71">
        <v>14787387.313999999</v>
      </c>
      <c r="Z128" s="61">
        <v>8.0276573536550253E-2</v>
      </c>
      <c r="AA128" s="71">
        <v>1395766.754</v>
      </c>
      <c r="AB128" s="71">
        <v>0</v>
      </c>
      <c r="AC128" s="71">
        <v>0</v>
      </c>
      <c r="AD128" s="71">
        <v>0</v>
      </c>
      <c r="AE128" s="71">
        <v>0</v>
      </c>
      <c r="AF128" s="71">
        <f t="shared" ref="AF128:AF159" si="50">SUM(AD128:AE128)</f>
        <v>0</v>
      </c>
      <c r="AG128" s="71">
        <v>737099.27</v>
      </c>
      <c r="AH128" s="70">
        <v>61521.01</v>
      </c>
      <c r="AI128" s="70">
        <v>194453.09</v>
      </c>
      <c r="AJ128" s="71">
        <v>0</v>
      </c>
      <c r="AK128" s="70">
        <v>99336.77</v>
      </c>
      <c r="AL128" s="70">
        <v>41106.92</v>
      </c>
      <c r="AM128" s="70">
        <v>53813.41</v>
      </c>
      <c r="AN128" s="70">
        <v>8500</v>
      </c>
      <c r="AO128" s="70">
        <v>4000</v>
      </c>
      <c r="AP128" s="70">
        <v>0</v>
      </c>
      <c r="AQ128" s="70">
        <v>14738.7</v>
      </c>
      <c r="AR128" s="70">
        <v>15524.75</v>
      </c>
      <c r="AS128" s="70">
        <v>0</v>
      </c>
      <c r="AT128" s="70">
        <v>2804.14</v>
      </c>
      <c r="AU128" s="70">
        <v>8547.07</v>
      </c>
      <c r="AV128" s="70">
        <v>85589</v>
      </c>
      <c r="AW128" s="70">
        <v>1327034.1299999999</v>
      </c>
      <c r="AX128" s="70">
        <v>0</v>
      </c>
      <c r="AY128" s="61">
        <f t="shared" ref="AY128:AY159" si="51">AX128/AW128</f>
        <v>0</v>
      </c>
      <c r="AZ128" s="71">
        <v>0</v>
      </c>
      <c r="BA128" s="61">
        <v>9.9820591134714559E-2</v>
      </c>
      <c r="BB128" s="70">
        <v>197365.48</v>
      </c>
      <c r="BC128" s="70">
        <v>868608.45</v>
      </c>
      <c r="BD128" s="71">
        <v>244731.58</v>
      </c>
      <c r="BE128" s="71">
        <v>0</v>
      </c>
      <c r="BF128" s="71">
        <v>436139.82400000002</v>
      </c>
      <c r="BG128" s="71">
        <v>104381.291500001</v>
      </c>
      <c r="BH128" s="71">
        <v>0</v>
      </c>
      <c r="BI128" s="71">
        <v>0</v>
      </c>
      <c r="BJ128" s="71">
        <f t="shared" ref="BJ128:BJ159" si="52">SUM(BH128:BI128)</f>
        <v>0</v>
      </c>
      <c r="BK128" s="71">
        <v>0</v>
      </c>
      <c r="BL128" s="60">
        <v>1456</v>
      </c>
      <c r="BM128" s="60">
        <v>317</v>
      </c>
      <c r="BN128" s="59">
        <v>0</v>
      </c>
      <c r="BO128" s="59">
        <v>0</v>
      </c>
      <c r="BP128" s="59">
        <v>-13</v>
      </c>
      <c r="BQ128" s="59">
        <v>-20</v>
      </c>
      <c r="BR128" s="59">
        <v>-129</v>
      </c>
      <c r="BS128" s="59">
        <v>-81</v>
      </c>
      <c r="BT128" s="59">
        <v>0</v>
      </c>
      <c r="BU128" s="59">
        <v>-1</v>
      </c>
      <c r="BV128" s="59">
        <v>0</v>
      </c>
      <c r="BW128" s="59">
        <v>-182</v>
      </c>
      <c r="BX128" s="59">
        <v>-1</v>
      </c>
      <c r="BY128" s="59">
        <v>1346</v>
      </c>
      <c r="BZ128" s="59">
        <v>1</v>
      </c>
      <c r="CA128" s="59">
        <v>125</v>
      </c>
      <c r="CB128" s="59">
        <v>99</v>
      </c>
      <c r="CC128" s="59">
        <v>23</v>
      </c>
      <c r="CD128" s="59">
        <v>42</v>
      </c>
      <c r="CE128" s="59">
        <v>9</v>
      </c>
      <c r="CF128" s="59">
        <v>13</v>
      </c>
    </row>
    <row r="129" spans="1:84" s="50" customFormat="1" ht="15.6" customHeight="1" x14ac:dyDescent="0.25">
      <c r="A129" s="39">
        <v>16</v>
      </c>
      <c r="B129" s="51" t="s">
        <v>382</v>
      </c>
      <c r="C129" s="57" t="s">
        <v>167</v>
      </c>
      <c r="D129" s="42" t="s">
        <v>383</v>
      </c>
      <c r="E129" s="42" t="s">
        <v>304</v>
      </c>
      <c r="F129" s="42" t="s">
        <v>375</v>
      </c>
      <c r="G129" s="70">
        <v>24069023.91</v>
      </c>
      <c r="H129" s="70">
        <v>0</v>
      </c>
      <c r="I129" s="70">
        <v>0</v>
      </c>
      <c r="J129" s="70">
        <v>2681.49</v>
      </c>
      <c r="K129" s="71">
        <v>0</v>
      </c>
      <c r="L129" s="71">
        <v>24071705.399999999</v>
      </c>
      <c r="M129" s="71">
        <v>28226.25</v>
      </c>
      <c r="N129" s="70">
        <v>0</v>
      </c>
      <c r="O129" s="70">
        <v>5196188.45</v>
      </c>
      <c r="P129" s="72">
        <v>2504632.34</v>
      </c>
      <c r="Q129" s="70">
        <v>0</v>
      </c>
      <c r="R129" s="70">
        <v>2174126.7599999998</v>
      </c>
      <c r="S129" s="70">
        <v>10222589.82</v>
      </c>
      <c r="T129" s="70">
        <v>1502301.18</v>
      </c>
      <c r="U129" s="70">
        <v>0</v>
      </c>
      <c r="V129" s="70">
        <v>0</v>
      </c>
      <c r="W129" s="70">
        <v>1047047.22</v>
      </c>
      <c r="X129" s="71">
        <v>1786930.38</v>
      </c>
      <c r="Y129" s="71">
        <v>24433816.149999999</v>
      </c>
      <c r="Z129" s="61">
        <v>8.7147715164657039E-2</v>
      </c>
      <c r="AA129" s="71">
        <v>1786930.38</v>
      </c>
      <c r="AB129" s="71">
        <v>0</v>
      </c>
      <c r="AC129" s="71">
        <v>0</v>
      </c>
      <c r="AD129" s="71">
        <v>0</v>
      </c>
      <c r="AE129" s="71">
        <v>0</v>
      </c>
      <c r="AF129" s="71">
        <f t="shared" si="50"/>
        <v>0</v>
      </c>
      <c r="AG129" s="71">
        <v>813136.67</v>
      </c>
      <c r="AH129" s="70">
        <v>65985.03</v>
      </c>
      <c r="AI129" s="70">
        <v>180722.24</v>
      </c>
      <c r="AJ129" s="71">
        <v>0</v>
      </c>
      <c r="AK129" s="70">
        <v>225120.99</v>
      </c>
      <c r="AL129" s="70">
        <v>32756.07</v>
      </c>
      <c r="AM129" s="70">
        <v>76025.8</v>
      </c>
      <c r="AN129" s="70">
        <v>8500</v>
      </c>
      <c r="AO129" s="70">
        <v>0</v>
      </c>
      <c r="AP129" s="70">
        <v>0</v>
      </c>
      <c r="AQ129" s="70">
        <v>43272.369999999995</v>
      </c>
      <c r="AR129" s="70">
        <v>1250</v>
      </c>
      <c r="AS129" s="70">
        <v>0</v>
      </c>
      <c r="AT129" s="70">
        <v>6075.94</v>
      </c>
      <c r="AU129" s="70">
        <v>11184.37</v>
      </c>
      <c r="AV129" s="70">
        <v>98557.36</v>
      </c>
      <c r="AW129" s="70">
        <v>1562586.84</v>
      </c>
      <c r="AX129" s="70">
        <v>0</v>
      </c>
      <c r="AY129" s="61">
        <f t="shared" si="51"/>
        <v>0</v>
      </c>
      <c r="AZ129" s="71">
        <v>0</v>
      </c>
      <c r="BA129" s="61">
        <v>7.4154949968780998E-2</v>
      </c>
      <c r="BB129" s="70">
        <v>314674.07</v>
      </c>
      <c r="BC129" s="70">
        <v>1782886.37</v>
      </c>
      <c r="BD129" s="71">
        <v>244766</v>
      </c>
      <c r="BE129" s="71">
        <v>0</v>
      </c>
      <c r="BF129" s="71">
        <v>902288.91</v>
      </c>
      <c r="BG129" s="71">
        <v>511642.2</v>
      </c>
      <c r="BH129" s="71">
        <v>0</v>
      </c>
      <c r="BI129" s="71">
        <v>0</v>
      </c>
      <c r="BJ129" s="71">
        <f t="shared" si="52"/>
        <v>0</v>
      </c>
      <c r="BK129" s="71">
        <v>0</v>
      </c>
      <c r="BL129" s="60">
        <v>2414</v>
      </c>
      <c r="BM129" s="60">
        <v>601</v>
      </c>
      <c r="BN129" s="59">
        <v>8</v>
      </c>
      <c r="BO129" s="59">
        <v>-7</v>
      </c>
      <c r="BP129" s="59">
        <v>-12</v>
      </c>
      <c r="BQ129" s="59">
        <v>-11</v>
      </c>
      <c r="BR129" s="59">
        <v>-280</v>
      </c>
      <c r="BS129" s="59">
        <v>-242</v>
      </c>
      <c r="BT129" s="59">
        <v>3</v>
      </c>
      <c r="BU129" s="59">
        <v>0</v>
      </c>
      <c r="BV129" s="59">
        <v>0</v>
      </c>
      <c r="BW129" s="59">
        <v>-385</v>
      </c>
      <c r="BX129" s="59">
        <v>-2</v>
      </c>
      <c r="BY129" s="59">
        <v>2087</v>
      </c>
      <c r="BZ129" s="59">
        <v>10</v>
      </c>
      <c r="CA129" s="59">
        <v>66</v>
      </c>
      <c r="CB129" s="59">
        <v>199</v>
      </c>
      <c r="CC129" s="59">
        <v>35</v>
      </c>
      <c r="CD129" s="59">
        <v>145</v>
      </c>
      <c r="CE129" s="59">
        <v>6</v>
      </c>
      <c r="CF129" s="59">
        <v>0</v>
      </c>
    </row>
    <row r="130" spans="1:84" s="50" customFormat="1" ht="15.6" customHeight="1" x14ac:dyDescent="0.25">
      <c r="A130" s="39">
        <v>16</v>
      </c>
      <c r="B130" s="51" t="s">
        <v>384</v>
      </c>
      <c r="C130" s="57" t="s">
        <v>385</v>
      </c>
      <c r="D130" s="42" t="s">
        <v>386</v>
      </c>
      <c r="E130" s="42" t="s">
        <v>304</v>
      </c>
      <c r="F130" s="42" t="s">
        <v>375</v>
      </c>
      <c r="G130" s="70">
        <v>37813245.219999999</v>
      </c>
      <c r="H130" s="70">
        <v>0</v>
      </c>
      <c r="I130" s="70">
        <v>1158190.99</v>
      </c>
      <c r="J130" s="70">
        <v>0</v>
      </c>
      <c r="K130" s="71">
        <v>0</v>
      </c>
      <c r="L130" s="71">
        <v>38971436.210000001</v>
      </c>
      <c r="M130" s="71">
        <v>0</v>
      </c>
      <c r="N130" s="70">
        <v>4764122.75</v>
      </c>
      <c r="O130" s="70">
        <v>4534563.71</v>
      </c>
      <c r="P130" s="72">
        <v>5152864.53</v>
      </c>
      <c r="Q130" s="70">
        <v>31320.42</v>
      </c>
      <c r="R130" s="70">
        <v>2293104.59</v>
      </c>
      <c r="S130" s="70">
        <v>17983060.280000001</v>
      </c>
      <c r="T130" s="70">
        <v>1439415.65</v>
      </c>
      <c r="U130" s="70">
        <v>0</v>
      </c>
      <c r="V130" s="70">
        <v>0</v>
      </c>
      <c r="W130" s="70">
        <v>1594729.44</v>
      </c>
      <c r="X130" s="71">
        <v>1723665.85</v>
      </c>
      <c r="Y130" s="71">
        <v>39516847.219999999</v>
      </c>
      <c r="Z130" s="61">
        <v>6.4935286450931079E-2</v>
      </c>
      <c r="AA130" s="71">
        <v>1723665.85</v>
      </c>
      <c r="AB130" s="71">
        <v>0</v>
      </c>
      <c r="AC130" s="71">
        <v>0</v>
      </c>
      <c r="AD130" s="71">
        <v>0</v>
      </c>
      <c r="AE130" s="71">
        <v>0</v>
      </c>
      <c r="AF130" s="71">
        <f t="shared" si="50"/>
        <v>0</v>
      </c>
      <c r="AG130" s="71">
        <v>1339365.03</v>
      </c>
      <c r="AH130" s="70">
        <v>107056.94</v>
      </c>
      <c r="AI130" s="70">
        <v>265623.31</v>
      </c>
      <c r="AJ130" s="71">
        <v>19424.16</v>
      </c>
      <c r="AK130" s="70">
        <v>196595.42</v>
      </c>
      <c r="AL130" s="70">
        <v>19706.45</v>
      </c>
      <c r="AM130" s="70">
        <v>60688.160000000003</v>
      </c>
      <c r="AN130" s="70">
        <v>8500</v>
      </c>
      <c r="AO130" s="70">
        <v>6120</v>
      </c>
      <c r="AP130" s="70">
        <v>0</v>
      </c>
      <c r="AQ130" s="70">
        <v>101904.13</v>
      </c>
      <c r="AR130" s="70">
        <v>19628.25</v>
      </c>
      <c r="AS130" s="70">
        <v>0</v>
      </c>
      <c r="AT130" s="70">
        <v>14249.59</v>
      </c>
      <c r="AU130" s="70">
        <v>21746.400000000001</v>
      </c>
      <c r="AV130" s="70">
        <v>124989.28</v>
      </c>
      <c r="AW130" s="70">
        <v>2305597.12</v>
      </c>
      <c r="AX130" s="70">
        <v>0</v>
      </c>
      <c r="AY130" s="61">
        <f t="shared" si="51"/>
        <v>0</v>
      </c>
      <c r="AZ130" s="71">
        <v>0</v>
      </c>
      <c r="BA130" s="61">
        <v>4.5583653028762709E-2</v>
      </c>
      <c r="BB130" s="70">
        <v>245484.91</v>
      </c>
      <c r="BC130" s="70">
        <v>2209929</v>
      </c>
      <c r="BD130" s="71">
        <v>244766</v>
      </c>
      <c r="BE130" s="71">
        <v>0</v>
      </c>
      <c r="BF130" s="71">
        <v>663251.64</v>
      </c>
      <c r="BG130" s="71">
        <v>86852.360000000204</v>
      </c>
      <c r="BH130" s="71">
        <v>0</v>
      </c>
      <c r="BI130" s="71">
        <v>0</v>
      </c>
      <c r="BJ130" s="71">
        <f t="shared" si="52"/>
        <v>0</v>
      </c>
      <c r="BK130" s="71">
        <v>0</v>
      </c>
      <c r="BL130" s="60">
        <v>2453</v>
      </c>
      <c r="BM130" s="60">
        <v>760</v>
      </c>
      <c r="BN130" s="59">
        <v>0</v>
      </c>
      <c r="BO130" s="59">
        <v>0</v>
      </c>
      <c r="BP130" s="59">
        <v>-31</v>
      </c>
      <c r="BQ130" s="59">
        <v>-20</v>
      </c>
      <c r="BR130" s="59">
        <v>-370</v>
      </c>
      <c r="BS130" s="59">
        <v>-234</v>
      </c>
      <c r="BT130" s="59">
        <v>3</v>
      </c>
      <c r="BU130" s="59">
        <v>0</v>
      </c>
      <c r="BV130" s="59">
        <v>11</v>
      </c>
      <c r="BW130" s="59">
        <v>-508</v>
      </c>
      <c r="BX130" s="59">
        <v>-1</v>
      </c>
      <c r="BY130" s="59">
        <v>2063</v>
      </c>
      <c r="BZ130" s="59">
        <v>25</v>
      </c>
      <c r="CA130" s="59">
        <v>62</v>
      </c>
      <c r="CB130" s="59">
        <v>328</v>
      </c>
      <c r="CC130" s="59">
        <v>50</v>
      </c>
      <c r="CD130" s="59">
        <v>103</v>
      </c>
      <c r="CE130" s="59">
        <v>6</v>
      </c>
      <c r="CF130" s="59">
        <v>21</v>
      </c>
    </row>
    <row r="131" spans="1:84" s="50" customFormat="1" ht="15.6" customHeight="1" x14ac:dyDescent="0.25">
      <c r="A131" s="39">
        <v>16</v>
      </c>
      <c r="B131" s="51" t="s">
        <v>387</v>
      </c>
      <c r="C131" s="57" t="s">
        <v>388</v>
      </c>
      <c r="D131" s="42" t="s">
        <v>383</v>
      </c>
      <c r="E131" s="42" t="s">
        <v>304</v>
      </c>
      <c r="F131" s="42" t="s">
        <v>375</v>
      </c>
      <c r="G131" s="70">
        <v>25851381.5</v>
      </c>
      <c r="H131" s="70">
        <v>0</v>
      </c>
      <c r="I131" s="70">
        <v>92295.7</v>
      </c>
      <c r="J131" s="70">
        <v>77863.850000000006</v>
      </c>
      <c r="K131" s="71">
        <v>0</v>
      </c>
      <c r="L131" s="71">
        <v>26021541.050000001</v>
      </c>
      <c r="M131" s="71">
        <v>674857.61</v>
      </c>
      <c r="N131" s="70">
        <v>44607.519999999997</v>
      </c>
      <c r="O131" s="70">
        <v>6130810.0099999998</v>
      </c>
      <c r="P131" s="72">
        <v>2969278.07</v>
      </c>
      <c r="Q131" s="70">
        <v>0</v>
      </c>
      <c r="R131" s="70">
        <v>2661226.2999999998</v>
      </c>
      <c r="S131" s="70">
        <v>10046470.73</v>
      </c>
      <c r="T131" s="70">
        <v>1536393.2</v>
      </c>
      <c r="U131" s="70">
        <v>0</v>
      </c>
      <c r="V131" s="70">
        <v>0</v>
      </c>
      <c r="W131" s="70">
        <v>698626.72</v>
      </c>
      <c r="X131" s="71">
        <v>2629578.61</v>
      </c>
      <c r="Y131" s="71">
        <v>26716991.16</v>
      </c>
      <c r="Z131" s="61">
        <v>4.4598864861439227E-2</v>
      </c>
      <c r="AA131" s="71">
        <v>2629578.61</v>
      </c>
      <c r="AB131" s="71">
        <v>0</v>
      </c>
      <c r="AC131" s="71">
        <v>0</v>
      </c>
      <c r="AD131" s="71">
        <v>0</v>
      </c>
      <c r="AE131" s="71">
        <v>0</v>
      </c>
      <c r="AF131" s="71">
        <f t="shared" si="50"/>
        <v>0</v>
      </c>
      <c r="AG131" s="71">
        <v>997697.04</v>
      </c>
      <c r="AH131" s="70">
        <v>81186.649999999994</v>
      </c>
      <c r="AI131" s="70">
        <v>235996.15</v>
      </c>
      <c r="AJ131" s="71">
        <v>14008.8</v>
      </c>
      <c r="AK131" s="70">
        <v>276113.09999999998</v>
      </c>
      <c r="AL131" s="70">
        <v>24370.44</v>
      </c>
      <c r="AM131" s="70">
        <v>106307.94</v>
      </c>
      <c r="AN131" s="70">
        <v>8500</v>
      </c>
      <c r="AO131" s="70">
        <v>0</v>
      </c>
      <c r="AP131" s="70">
        <v>0</v>
      </c>
      <c r="AQ131" s="70">
        <v>78556.539999999994</v>
      </c>
      <c r="AR131" s="70">
        <v>6584.55</v>
      </c>
      <c r="AS131" s="70">
        <v>0</v>
      </c>
      <c r="AT131" s="70">
        <v>0</v>
      </c>
      <c r="AU131" s="70">
        <v>22968.41</v>
      </c>
      <c r="AV131" s="70">
        <v>104210.68</v>
      </c>
      <c r="AW131" s="70">
        <v>1956500.3</v>
      </c>
      <c r="AX131" s="70">
        <v>0</v>
      </c>
      <c r="AY131" s="61">
        <f t="shared" si="51"/>
        <v>0</v>
      </c>
      <c r="AZ131" s="71">
        <v>0</v>
      </c>
      <c r="BA131" s="61">
        <v>9.9131226220783311E-2</v>
      </c>
      <c r="BB131" s="70">
        <v>243058.02</v>
      </c>
      <c r="BC131" s="70">
        <v>909884.25</v>
      </c>
      <c r="BD131" s="71">
        <v>244766</v>
      </c>
      <c r="BE131" s="71">
        <v>0</v>
      </c>
      <c r="BF131" s="71">
        <v>1633668.55</v>
      </c>
      <c r="BG131" s="71">
        <v>1144543.4750000001</v>
      </c>
      <c r="BH131" s="71">
        <v>0</v>
      </c>
      <c r="BI131" s="71">
        <v>0</v>
      </c>
      <c r="BJ131" s="71">
        <f t="shared" si="52"/>
        <v>0</v>
      </c>
      <c r="BK131" s="71">
        <v>0</v>
      </c>
      <c r="BL131" s="60">
        <v>2334</v>
      </c>
      <c r="BM131" s="60">
        <v>620</v>
      </c>
      <c r="BN131" s="59">
        <v>1</v>
      </c>
      <c r="BO131" s="59">
        <v>0</v>
      </c>
      <c r="BP131" s="59">
        <v>-17</v>
      </c>
      <c r="BQ131" s="59">
        <v>-26</v>
      </c>
      <c r="BR131" s="59">
        <v>-260</v>
      </c>
      <c r="BS131" s="59">
        <v>-181</v>
      </c>
      <c r="BT131" s="59">
        <v>0</v>
      </c>
      <c r="BU131" s="59">
        <v>-7</v>
      </c>
      <c r="BV131" s="59">
        <v>0</v>
      </c>
      <c r="BW131" s="59">
        <v>-522</v>
      </c>
      <c r="BX131" s="59">
        <v>-4</v>
      </c>
      <c r="BY131" s="59">
        <v>1938</v>
      </c>
      <c r="BZ131" s="59">
        <v>7</v>
      </c>
      <c r="CA131" s="59">
        <v>119</v>
      </c>
      <c r="CB131" s="59">
        <v>297</v>
      </c>
      <c r="CC131" s="59">
        <v>50</v>
      </c>
      <c r="CD131" s="59">
        <v>166</v>
      </c>
      <c r="CE131" s="59">
        <v>9</v>
      </c>
      <c r="CF131" s="59">
        <v>0</v>
      </c>
    </row>
    <row r="132" spans="1:84" s="50" customFormat="1" ht="15.6" customHeight="1" x14ac:dyDescent="0.25">
      <c r="A132" s="39">
        <v>16</v>
      </c>
      <c r="B132" s="51" t="s">
        <v>389</v>
      </c>
      <c r="C132" s="57" t="s">
        <v>295</v>
      </c>
      <c r="D132" s="42" t="s">
        <v>390</v>
      </c>
      <c r="E132" s="42" t="s">
        <v>304</v>
      </c>
      <c r="F132" s="42" t="s">
        <v>375</v>
      </c>
      <c r="G132" s="70">
        <v>17590228.289999999</v>
      </c>
      <c r="H132" s="70">
        <v>-700</v>
      </c>
      <c r="I132" s="70">
        <v>516547.3</v>
      </c>
      <c r="J132" s="70">
        <v>-22005.79</v>
      </c>
      <c r="K132" s="71">
        <v>0</v>
      </c>
      <c r="L132" s="71">
        <v>18084069.800000001</v>
      </c>
      <c r="M132" s="71">
        <v>-226189.359200662</v>
      </c>
      <c r="N132" s="70">
        <v>0</v>
      </c>
      <c r="O132" s="70">
        <v>4408972.1100000003</v>
      </c>
      <c r="P132" s="72">
        <v>1343568.16</v>
      </c>
      <c r="Q132" s="70">
        <v>0</v>
      </c>
      <c r="R132" s="70">
        <v>2020107.88</v>
      </c>
      <c r="S132" s="70">
        <v>6758836.0499999998</v>
      </c>
      <c r="T132" s="70">
        <v>1472931.42</v>
      </c>
      <c r="U132" s="70">
        <v>0</v>
      </c>
      <c r="V132" s="70">
        <v>0</v>
      </c>
      <c r="W132" s="70">
        <v>776974.03</v>
      </c>
      <c r="X132" s="71">
        <v>1737250.1099999999</v>
      </c>
      <c r="Y132" s="71">
        <v>18518639.760000002</v>
      </c>
      <c r="Z132" s="61">
        <v>8.7273268541273666E-2</v>
      </c>
      <c r="AA132" s="71">
        <v>1737250.11</v>
      </c>
      <c r="AB132" s="71">
        <v>0</v>
      </c>
      <c r="AC132" s="71">
        <v>0</v>
      </c>
      <c r="AD132" s="71">
        <v>0</v>
      </c>
      <c r="AE132" s="71">
        <v>0</v>
      </c>
      <c r="AF132" s="71">
        <f t="shared" si="50"/>
        <v>0</v>
      </c>
      <c r="AG132" s="71">
        <v>1003666.84</v>
      </c>
      <c r="AH132" s="70">
        <v>77099.31</v>
      </c>
      <c r="AI132" s="70">
        <v>201030.69</v>
      </c>
      <c r="AJ132" s="71">
        <v>0</v>
      </c>
      <c r="AK132" s="70">
        <v>196065.52</v>
      </c>
      <c r="AL132" s="70">
        <v>23659.17</v>
      </c>
      <c r="AM132" s="70">
        <v>115345.16</v>
      </c>
      <c r="AN132" s="70">
        <v>8500</v>
      </c>
      <c r="AO132" s="70">
        <v>0</v>
      </c>
      <c r="AP132" s="70">
        <v>0</v>
      </c>
      <c r="AQ132" s="70">
        <v>60131.259999999995</v>
      </c>
      <c r="AR132" s="70">
        <v>13513.39</v>
      </c>
      <c r="AS132" s="70">
        <v>0</v>
      </c>
      <c r="AT132" s="70">
        <v>2178.85</v>
      </c>
      <c r="AU132" s="70">
        <v>25671.8</v>
      </c>
      <c r="AV132" s="70">
        <v>68298.680000000008</v>
      </c>
      <c r="AW132" s="70">
        <v>1795160.67</v>
      </c>
      <c r="AX132" s="70">
        <v>0</v>
      </c>
      <c r="AY132" s="61">
        <f t="shared" si="51"/>
        <v>0</v>
      </c>
      <c r="AZ132" s="71">
        <v>0</v>
      </c>
      <c r="BA132" s="61">
        <v>0.10004873387599754</v>
      </c>
      <c r="BB132" s="70">
        <v>560247.27</v>
      </c>
      <c r="BC132" s="70">
        <v>974848.36</v>
      </c>
      <c r="BD132" s="71">
        <v>244766</v>
      </c>
      <c r="BE132" s="71">
        <v>0</v>
      </c>
      <c r="BF132" s="71">
        <v>563887.9</v>
      </c>
      <c r="BG132" s="71">
        <v>115097.7325</v>
      </c>
      <c r="BH132" s="71">
        <v>0</v>
      </c>
      <c r="BI132" s="71">
        <v>0</v>
      </c>
      <c r="BJ132" s="71">
        <f t="shared" si="52"/>
        <v>0</v>
      </c>
      <c r="BK132" s="71">
        <v>0</v>
      </c>
      <c r="BL132" s="60">
        <v>1562</v>
      </c>
      <c r="BM132" s="60">
        <v>432</v>
      </c>
      <c r="BN132" s="59">
        <v>5</v>
      </c>
      <c r="BO132" s="59">
        <v>-11</v>
      </c>
      <c r="BP132" s="59">
        <v>-21</v>
      </c>
      <c r="BQ132" s="59">
        <v>-10</v>
      </c>
      <c r="BR132" s="59">
        <v>-165</v>
      </c>
      <c r="BS132" s="59">
        <v>-111</v>
      </c>
      <c r="BT132" s="59">
        <v>0</v>
      </c>
      <c r="BU132" s="59">
        <v>0</v>
      </c>
      <c r="BV132" s="59">
        <v>0</v>
      </c>
      <c r="BW132" s="59">
        <v>-338</v>
      </c>
      <c r="BX132" s="59">
        <v>0</v>
      </c>
      <c r="BY132" s="59">
        <v>1343</v>
      </c>
      <c r="BZ132" s="59">
        <v>1</v>
      </c>
      <c r="CA132" s="59">
        <v>105</v>
      </c>
      <c r="CB132" s="59">
        <v>155</v>
      </c>
      <c r="CC132" s="59">
        <v>34</v>
      </c>
      <c r="CD132" s="59">
        <v>120</v>
      </c>
      <c r="CE132" s="59">
        <v>22</v>
      </c>
      <c r="CF132" s="59">
        <v>12</v>
      </c>
    </row>
    <row r="133" spans="1:84" s="50" customFormat="1" ht="15.6" customHeight="1" x14ac:dyDescent="0.25">
      <c r="A133" s="52">
        <v>17</v>
      </c>
      <c r="B133" s="53" t="s">
        <v>391</v>
      </c>
      <c r="C133" s="57" t="s">
        <v>392</v>
      </c>
      <c r="D133" s="42" t="s">
        <v>393</v>
      </c>
      <c r="E133" s="42" t="s">
        <v>103</v>
      </c>
      <c r="F133" s="42" t="s">
        <v>375</v>
      </c>
      <c r="G133" s="70">
        <v>22529362.84</v>
      </c>
      <c r="H133" s="70">
        <v>0</v>
      </c>
      <c r="I133" s="70">
        <v>499424.58</v>
      </c>
      <c r="J133" s="70">
        <v>93600.74</v>
      </c>
      <c r="K133" s="71">
        <v>0.3</v>
      </c>
      <c r="L133" s="71">
        <v>23122388.460000001</v>
      </c>
      <c r="M133" s="71">
        <v>981798.62</v>
      </c>
      <c r="N133" s="70">
        <v>4756578.41</v>
      </c>
      <c r="O133" s="70">
        <v>2410216.61</v>
      </c>
      <c r="P133" s="72">
        <v>3298215.37</v>
      </c>
      <c r="Q133" s="70">
        <v>0</v>
      </c>
      <c r="R133" s="70">
        <v>2696633.33</v>
      </c>
      <c r="S133" s="70">
        <v>5947145.6100000003</v>
      </c>
      <c r="T133" s="70">
        <v>1385013.17</v>
      </c>
      <c r="U133" s="70">
        <v>0</v>
      </c>
      <c r="V133" s="70">
        <v>0</v>
      </c>
      <c r="W133" s="70">
        <v>718509.6</v>
      </c>
      <c r="X133" s="71">
        <v>2150657.6999999997</v>
      </c>
      <c r="Y133" s="71">
        <v>23362969.800000001</v>
      </c>
      <c r="Z133" s="61">
        <v>9.0133162860454863E-2</v>
      </c>
      <c r="AA133" s="71">
        <v>2150657.4</v>
      </c>
      <c r="AB133" s="71">
        <v>0</v>
      </c>
      <c r="AC133" s="71">
        <v>0</v>
      </c>
      <c r="AD133" s="71">
        <v>0</v>
      </c>
      <c r="AE133" s="71">
        <v>0</v>
      </c>
      <c r="AF133" s="71">
        <f t="shared" si="50"/>
        <v>0</v>
      </c>
      <c r="AG133" s="71">
        <v>1326714.3899999999</v>
      </c>
      <c r="AH133" s="70">
        <v>103422.02</v>
      </c>
      <c r="AI133" s="70">
        <v>238155.39</v>
      </c>
      <c r="AJ133" s="71">
        <v>0</v>
      </c>
      <c r="AK133" s="70">
        <v>227785.39</v>
      </c>
      <c r="AL133" s="70">
        <v>9073.9</v>
      </c>
      <c r="AM133" s="70">
        <v>149447.14000000001</v>
      </c>
      <c r="AN133" s="70">
        <v>9250</v>
      </c>
      <c r="AO133" s="70">
        <v>0</v>
      </c>
      <c r="AP133" s="70">
        <v>0</v>
      </c>
      <c r="AQ133" s="70">
        <v>77805.56</v>
      </c>
      <c r="AR133" s="70">
        <v>18658</v>
      </c>
      <c r="AS133" s="70">
        <v>0</v>
      </c>
      <c r="AT133" s="70">
        <v>16140.35</v>
      </c>
      <c r="AU133" s="70">
        <v>27069.279999999999</v>
      </c>
      <c r="AV133" s="70">
        <v>94085.84</v>
      </c>
      <c r="AW133" s="70">
        <v>2297607.2599999998</v>
      </c>
      <c r="AX133" s="70">
        <v>0</v>
      </c>
      <c r="AY133" s="61">
        <f t="shared" si="51"/>
        <v>0</v>
      </c>
      <c r="AZ133" s="71">
        <v>0</v>
      </c>
      <c r="BA133" s="61">
        <v>9.1473890120611676E-2</v>
      </c>
      <c r="BB133" s="70">
        <v>340733.5</v>
      </c>
      <c r="BC133" s="70">
        <v>1689909.23</v>
      </c>
      <c r="BD133" s="71">
        <v>244765.92</v>
      </c>
      <c r="BE133" s="71">
        <v>0</v>
      </c>
      <c r="BF133" s="71">
        <v>695359.99</v>
      </c>
      <c r="BG133" s="71">
        <v>120958.175</v>
      </c>
      <c r="BH133" s="71">
        <v>0</v>
      </c>
      <c r="BI133" s="71">
        <v>0</v>
      </c>
      <c r="BJ133" s="71">
        <f t="shared" si="52"/>
        <v>0</v>
      </c>
      <c r="BK133" s="71">
        <v>0</v>
      </c>
      <c r="BL133" s="60">
        <v>1867</v>
      </c>
      <c r="BM133" s="60">
        <v>440</v>
      </c>
      <c r="BN133" s="59">
        <v>3</v>
      </c>
      <c r="BO133" s="59">
        <v>-1</v>
      </c>
      <c r="BP133" s="59">
        <v>-7</v>
      </c>
      <c r="BQ133" s="59">
        <v>-5</v>
      </c>
      <c r="BR133" s="59">
        <v>-207</v>
      </c>
      <c r="BS133" s="59">
        <v>-109</v>
      </c>
      <c r="BT133" s="59">
        <v>0</v>
      </c>
      <c r="BU133" s="59">
        <v>-2</v>
      </c>
      <c r="BV133" s="59">
        <v>0</v>
      </c>
      <c r="BW133" s="59">
        <v>-537</v>
      </c>
      <c r="BX133" s="59">
        <v>-1</v>
      </c>
      <c r="BY133" s="59">
        <v>1441</v>
      </c>
      <c r="BZ133" s="59">
        <v>26</v>
      </c>
      <c r="CA133" s="59">
        <v>134</v>
      </c>
      <c r="CB133" s="59">
        <v>111</v>
      </c>
      <c r="CC133" s="59">
        <v>32</v>
      </c>
      <c r="CD133" s="59">
        <v>358</v>
      </c>
      <c r="CE133" s="59">
        <v>17</v>
      </c>
      <c r="CF133" s="59">
        <v>18</v>
      </c>
    </row>
    <row r="134" spans="1:84" s="50" customFormat="1" ht="15.6" customHeight="1" x14ac:dyDescent="0.25">
      <c r="A134" s="39">
        <v>17</v>
      </c>
      <c r="B134" s="51" t="s">
        <v>394</v>
      </c>
      <c r="C134" s="57" t="s">
        <v>241</v>
      </c>
      <c r="D134" s="42" t="s">
        <v>395</v>
      </c>
      <c r="E134" s="42" t="s">
        <v>103</v>
      </c>
      <c r="F134" s="42" t="s">
        <v>375</v>
      </c>
      <c r="G134" s="70">
        <v>14365180.33</v>
      </c>
      <c r="H134" s="70">
        <v>0</v>
      </c>
      <c r="I134" s="70">
        <v>361573.26</v>
      </c>
      <c r="J134" s="70">
        <v>0</v>
      </c>
      <c r="K134" s="71">
        <v>0</v>
      </c>
      <c r="L134" s="71">
        <v>14726753.59</v>
      </c>
      <c r="M134" s="71">
        <v>0</v>
      </c>
      <c r="N134" s="70">
        <v>2108696.6800000002</v>
      </c>
      <c r="O134" s="70">
        <v>2026152.06</v>
      </c>
      <c r="P134" s="72">
        <v>2339568.84</v>
      </c>
      <c r="Q134" s="70">
        <v>0</v>
      </c>
      <c r="R134" s="70">
        <v>1298696.1399999999</v>
      </c>
      <c r="S134" s="70">
        <v>3876680.95</v>
      </c>
      <c r="T134" s="70">
        <v>971379.41</v>
      </c>
      <c r="U134" s="70">
        <v>0</v>
      </c>
      <c r="V134" s="70">
        <v>0</v>
      </c>
      <c r="W134" s="70">
        <v>611085.24</v>
      </c>
      <c r="X134" s="71">
        <v>1441724.73</v>
      </c>
      <c r="Y134" s="71">
        <v>14673984.050000001</v>
      </c>
      <c r="Z134" s="61">
        <v>3.4144419264662447E-2</v>
      </c>
      <c r="AA134" s="71">
        <v>1437663.54</v>
      </c>
      <c r="AB134" s="71">
        <v>0</v>
      </c>
      <c r="AC134" s="71">
        <v>0</v>
      </c>
      <c r="AD134" s="71">
        <v>0</v>
      </c>
      <c r="AE134" s="71">
        <v>197.68</v>
      </c>
      <c r="AF134" s="71">
        <f t="shared" si="50"/>
        <v>197.68</v>
      </c>
      <c r="AG134" s="71">
        <v>688444.68</v>
      </c>
      <c r="AH134" s="70">
        <v>53518.86</v>
      </c>
      <c r="AI134" s="70">
        <v>138123.01999999999</v>
      </c>
      <c r="AJ134" s="71">
        <v>0</v>
      </c>
      <c r="AK134" s="70">
        <v>260593.7</v>
      </c>
      <c r="AL134" s="70">
        <v>5199.49</v>
      </c>
      <c r="AM134" s="70">
        <v>68779.02</v>
      </c>
      <c r="AN134" s="70">
        <v>8050</v>
      </c>
      <c r="AO134" s="70">
        <v>0</v>
      </c>
      <c r="AP134" s="70">
        <v>0</v>
      </c>
      <c r="AQ134" s="70">
        <v>3492.04</v>
      </c>
      <c r="AR134" s="70">
        <v>1185</v>
      </c>
      <c r="AS134" s="70">
        <v>0</v>
      </c>
      <c r="AT134" s="70">
        <v>0</v>
      </c>
      <c r="AU134" s="70">
        <v>15694.23</v>
      </c>
      <c r="AV134" s="70">
        <v>48549.49</v>
      </c>
      <c r="AW134" s="70">
        <v>1291629.53</v>
      </c>
      <c r="AX134" s="70">
        <v>0</v>
      </c>
      <c r="AY134" s="61">
        <f t="shared" si="51"/>
        <v>0</v>
      </c>
      <c r="AZ134" s="71">
        <v>0</v>
      </c>
      <c r="BA134" s="61">
        <v>0.10007974191577726</v>
      </c>
      <c r="BB134" s="70">
        <v>269526.46000000002</v>
      </c>
      <c r="BC134" s="70">
        <v>220964.28</v>
      </c>
      <c r="BD134" s="71">
        <v>244766</v>
      </c>
      <c r="BE134" s="71">
        <v>0</v>
      </c>
      <c r="BF134" s="71">
        <v>390039.51</v>
      </c>
      <c r="BG134" s="71">
        <v>67132.127499999493</v>
      </c>
      <c r="BH134" s="71">
        <v>0</v>
      </c>
      <c r="BI134" s="71">
        <v>0</v>
      </c>
      <c r="BJ134" s="71">
        <f t="shared" si="52"/>
        <v>0</v>
      </c>
      <c r="BK134" s="71">
        <v>0</v>
      </c>
      <c r="BL134" s="60">
        <v>1536</v>
      </c>
      <c r="BM134" s="60">
        <v>309</v>
      </c>
      <c r="BN134" s="59">
        <v>10</v>
      </c>
      <c r="BO134" s="59">
        <v>0</v>
      </c>
      <c r="BP134" s="59">
        <v>-4</v>
      </c>
      <c r="BQ134" s="59">
        <v>-7</v>
      </c>
      <c r="BR134" s="59">
        <v>-115</v>
      </c>
      <c r="BS134" s="59">
        <v>-72</v>
      </c>
      <c r="BT134" s="59">
        <v>0</v>
      </c>
      <c r="BU134" s="59">
        <v>0</v>
      </c>
      <c r="BV134" s="59">
        <v>0</v>
      </c>
      <c r="BW134" s="59">
        <v>-294</v>
      </c>
      <c r="BX134" s="59">
        <v>-4</v>
      </c>
      <c r="BY134" s="59">
        <v>1359</v>
      </c>
      <c r="BZ134" s="59">
        <v>26</v>
      </c>
      <c r="CA134" s="59">
        <v>106</v>
      </c>
      <c r="CB134" s="59">
        <v>85</v>
      </c>
      <c r="CC134" s="59">
        <v>26</v>
      </c>
      <c r="CD134" s="59">
        <v>195</v>
      </c>
      <c r="CE134" s="59">
        <v>1</v>
      </c>
      <c r="CF134" s="59">
        <v>9</v>
      </c>
    </row>
    <row r="135" spans="1:84" s="50" customFormat="1" ht="15.6" customHeight="1" x14ac:dyDescent="0.25">
      <c r="A135" s="39">
        <v>17</v>
      </c>
      <c r="B135" s="51" t="s">
        <v>396</v>
      </c>
      <c r="C135" s="57" t="s">
        <v>241</v>
      </c>
      <c r="D135" s="42" t="s">
        <v>397</v>
      </c>
      <c r="E135" s="42" t="s">
        <v>106</v>
      </c>
      <c r="F135" s="42" t="s">
        <v>375</v>
      </c>
      <c r="G135" s="70">
        <v>34863208.68</v>
      </c>
      <c r="H135" s="70">
        <v>0</v>
      </c>
      <c r="I135" s="70">
        <v>1017702.61</v>
      </c>
      <c r="J135" s="70">
        <v>0</v>
      </c>
      <c r="K135" s="71">
        <v>366.72</v>
      </c>
      <c r="L135" s="71">
        <v>35881278.009999998</v>
      </c>
      <c r="M135" s="71">
        <v>0</v>
      </c>
      <c r="N135" s="70">
        <v>9593421.5299999993</v>
      </c>
      <c r="O135" s="70">
        <v>3490327.5</v>
      </c>
      <c r="P135" s="72">
        <v>6573591.6299999999</v>
      </c>
      <c r="Q135" s="70">
        <v>0</v>
      </c>
      <c r="R135" s="70">
        <v>2620088.4</v>
      </c>
      <c r="S135" s="70">
        <v>9853216.4600000009</v>
      </c>
      <c r="T135" s="70">
        <v>1366445.52</v>
      </c>
      <c r="U135" s="70">
        <v>0</v>
      </c>
      <c r="V135" s="70">
        <v>0</v>
      </c>
      <c r="W135" s="70">
        <v>1410056.1</v>
      </c>
      <c r="X135" s="71">
        <v>1366541.4200000002</v>
      </c>
      <c r="Y135" s="71">
        <v>36273688.560000002</v>
      </c>
      <c r="Z135" s="61">
        <v>2.8254345405822841E-2</v>
      </c>
      <c r="AA135" s="71">
        <v>1360095.86</v>
      </c>
      <c r="AB135" s="71">
        <v>0</v>
      </c>
      <c r="AC135" s="71">
        <v>0</v>
      </c>
      <c r="AD135" s="71">
        <v>366.72</v>
      </c>
      <c r="AE135" s="71">
        <v>89.27</v>
      </c>
      <c r="AF135" s="71">
        <f t="shared" si="50"/>
        <v>455.99</v>
      </c>
      <c r="AG135" s="71">
        <v>939741.38</v>
      </c>
      <c r="AH135" s="70">
        <v>71323.14</v>
      </c>
      <c r="AI135" s="70">
        <v>240868.82</v>
      </c>
      <c r="AJ135" s="71">
        <v>0</v>
      </c>
      <c r="AK135" s="70">
        <v>155835.63</v>
      </c>
      <c r="AL135" s="70">
        <v>2732.03</v>
      </c>
      <c r="AM135" s="70">
        <v>106264.85</v>
      </c>
      <c r="AN135" s="70">
        <v>8050</v>
      </c>
      <c r="AO135" s="70">
        <v>575</v>
      </c>
      <c r="AP135" s="70">
        <v>0</v>
      </c>
      <c r="AQ135" s="70">
        <v>78499.5</v>
      </c>
      <c r="AR135" s="70">
        <v>16731.240000000002</v>
      </c>
      <c r="AS135" s="70">
        <v>0</v>
      </c>
      <c r="AT135" s="70">
        <v>8203.64</v>
      </c>
      <c r="AU135" s="70">
        <v>924.75</v>
      </c>
      <c r="AV135" s="70">
        <v>95558.14</v>
      </c>
      <c r="AW135" s="70">
        <v>1725308.12</v>
      </c>
      <c r="AX135" s="70">
        <v>0</v>
      </c>
      <c r="AY135" s="61">
        <f t="shared" si="51"/>
        <v>0</v>
      </c>
      <c r="AZ135" s="71">
        <v>0</v>
      </c>
      <c r="BA135" s="61">
        <v>3.9012354613826676E-2</v>
      </c>
      <c r="BB135" s="70">
        <v>384290.45</v>
      </c>
      <c r="BC135" s="70">
        <v>600746.68999999994</v>
      </c>
      <c r="BD135" s="71">
        <v>244766</v>
      </c>
      <c r="BE135" s="71">
        <v>0</v>
      </c>
      <c r="BF135" s="71">
        <v>901405.41</v>
      </c>
      <c r="BG135" s="71">
        <v>470078.38</v>
      </c>
      <c r="BH135" s="71">
        <v>0</v>
      </c>
      <c r="BI135" s="71">
        <v>0</v>
      </c>
      <c r="BJ135" s="71">
        <f t="shared" si="52"/>
        <v>0</v>
      </c>
      <c r="BK135" s="71">
        <v>0</v>
      </c>
      <c r="BL135" s="60">
        <v>2707</v>
      </c>
      <c r="BM135" s="60">
        <v>693</v>
      </c>
      <c r="BN135" s="59">
        <v>0</v>
      </c>
      <c r="BO135" s="59">
        <v>0</v>
      </c>
      <c r="BP135" s="59">
        <v>-19</v>
      </c>
      <c r="BQ135" s="59">
        <v>-45</v>
      </c>
      <c r="BR135" s="59">
        <v>-291</v>
      </c>
      <c r="BS135" s="59">
        <v>-297</v>
      </c>
      <c r="BT135" s="59">
        <v>0</v>
      </c>
      <c r="BU135" s="59">
        <v>0</v>
      </c>
      <c r="BV135" s="59">
        <v>0</v>
      </c>
      <c r="BW135" s="59">
        <v>-518</v>
      </c>
      <c r="BX135" s="59">
        <v>-4</v>
      </c>
      <c r="BY135" s="59">
        <v>2226</v>
      </c>
      <c r="BZ135" s="59">
        <v>13</v>
      </c>
      <c r="CA135" s="59">
        <v>78</v>
      </c>
      <c r="CB135" s="59">
        <v>210</v>
      </c>
      <c r="CC135" s="59">
        <v>45</v>
      </c>
      <c r="CD135" s="59">
        <v>238</v>
      </c>
      <c r="CE135" s="59">
        <v>25</v>
      </c>
      <c r="CF135" s="59">
        <v>0</v>
      </c>
    </row>
    <row r="136" spans="1:84" s="50" customFormat="1" ht="15.6" customHeight="1" x14ac:dyDescent="0.25">
      <c r="A136" s="39">
        <v>17</v>
      </c>
      <c r="B136" s="51" t="s">
        <v>398</v>
      </c>
      <c r="C136" s="57" t="s">
        <v>399</v>
      </c>
      <c r="D136" s="42" t="s">
        <v>400</v>
      </c>
      <c r="E136" s="42" t="s">
        <v>103</v>
      </c>
      <c r="F136" s="42" t="s">
        <v>375</v>
      </c>
      <c r="G136" s="70">
        <v>25068209.800000001</v>
      </c>
      <c r="H136" s="70">
        <v>-315889.46999999997</v>
      </c>
      <c r="I136" s="70">
        <v>1136770.79</v>
      </c>
      <c r="J136" s="70">
        <v>0</v>
      </c>
      <c r="K136" s="71">
        <v>1207.1400000000001</v>
      </c>
      <c r="L136" s="71">
        <v>25890298.260000002</v>
      </c>
      <c r="M136" s="71">
        <v>0</v>
      </c>
      <c r="N136" s="70">
        <v>2066891.64</v>
      </c>
      <c r="O136" s="70">
        <v>3620926.92</v>
      </c>
      <c r="P136" s="72">
        <v>5686938.3899999997</v>
      </c>
      <c r="Q136" s="70">
        <v>0</v>
      </c>
      <c r="R136" s="70">
        <v>3545353.98</v>
      </c>
      <c r="S136" s="70">
        <v>4689127.26</v>
      </c>
      <c r="T136" s="70">
        <v>3133617.82</v>
      </c>
      <c r="U136" s="70">
        <v>0</v>
      </c>
      <c r="V136" s="70">
        <v>0</v>
      </c>
      <c r="W136" s="70">
        <v>1658216.5</v>
      </c>
      <c r="X136" s="71">
        <v>2473390.5900000003</v>
      </c>
      <c r="Y136" s="71">
        <v>26874463.100000001</v>
      </c>
      <c r="Z136" s="61">
        <v>8.1613356770903991E-2</v>
      </c>
      <c r="AA136" s="71">
        <v>2472183.4500000002</v>
      </c>
      <c r="AB136" s="71">
        <v>0</v>
      </c>
      <c r="AC136" s="71">
        <v>0</v>
      </c>
      <c r="AD136" s="71">
        <v>1207.1400000000001</v>
      </c>
      <c r="AE136" s="71">
        <v>0</v>
      </c>
      <c r="AF136" s="71">
        <f t="shared" si="50"/>
        <v>1207.1400000000001</v>
      </c>
      <c r="AG136" s="71">
        <v>1534053.86</v>
      </c>
      <c r="AH136" s="70">
        <v>110250.71</v>
      </c>
      <c r="AI136" s="70">
        <v>220294.7</v>
      </c>
      <c r="AJ136" s="71">
        <v>0</v>
      </c>
      <c r="AK136" s="70">
        <v>200499.44</v>
      </c>
      <c r="AL136" s="70">
        <v>0</v>
      </c>
      <c r="AM136" s="70">
        <v>136711.18</v>
      </c>
      <c r="AN136" s="70">
        <v>9250</v>
      </c>
      <c r="AO136" s="70">
        <v>1573.85</v>
      </c>
      <c r="AP136" s="70">
        <v>0</v>
      </c>
      <c r="AQ136" s="70">
        <v>61765.81</v>
      </c>
      <c r="AR136" s="70">
        <v>3537.26</v>
      </c>
      <c r="AS136" s="70">
        <v>0</v>
      </c>
      <c r="AT136" s="70">
        <v>709.03</v>
      </c>
      <c r="AU136" s="70">
        <v>-100.05</v>
      </c>
      <c r="AV136" s="70">
        <v>145172.9</v>
      </c>
      <c r="AW136" s="70">
        <v>2423718.69</v>
      </c>
      <c r="AX136" s="70">
        <v>0</v>
      </c>
      <c r="AY136" s="61">
        <f t="shared" si="51"/>
        <v>0</v>
      </c>
      <c r="AZ136" s="71">
        <v>0</v>
      </c>
      <c r="BA136" s="61">
        <v>9.8618268704612488E-2</v>
      </c>
      <c r="BB136" s="70">
        <v>405898.84</v>
      </c>
      <c r="BC136" s="70">
        <v>1614221.11</v>
      </c>
      <c r="BD136" s="71">
        <v>244766</v>
      </c>
      <c r="BE136" s="71">
        <v>2.91038304567337E-11</v>
      </c>
      <c r="BF136" s="71">
        <v>1438543.89</v>
      </c>
      <c r="BG136" s="71">
        <v>832614.21750000096</v>
      </c>
      <c r="BH136" s="71">
        <v>0</v>
      </c>
      <c r="BI136" s="71">
        <v>0</v>
      </c>
      <c r="BJ136" s="71">
        <f t="shared" si="52"/>
        <v>0</v>
      </c>
      <c r="BK136" s="71">
        <v>0</v>
      </c>
      <c r="BL136" s="60">
        <v>3526</v>
      </c>
      <c r="BM136" s="60">
        <v>519</v>
      </c>
      <c r="BN136" s="59">
        <v>0</v>
      </c>
      <c r="BO136" s="59">
        <v>0</v>
      </c>
      <c r="BP136" s="59">
        <v>-5</v>
      </c>
      <c r="BQ136" s="59">
        <v>-17</v>
      </c>
      <c r="BR136" s="59">
        <v>-141</v>
      </c>
      <c r="BS136" s="59">
        <v>-153</v>
      </c>
      <c r="BT136" s="59">
        <v>0</v>
      </c>
      <c r="BU136" s="59">
        <v>0</v>
      </c>
      <c r="BV136" s="59">
        <v>9</v>
      </c>
      <c r="BW136" s="59">
        <v>-780</v>
      </c>
      <c r="BX136" s="59">
        <v>-3</v>
      </c>
      <c r="BY136" s="59">
        <v>2955</v>
      </c>
      <c r="BZ136" s="59">
        <v>0</v>
      </c>
      <c r="CA136" s="59">
        <v>30</v>
      </c>
      <c r="CB136" s="59">
        <v>110</v>
      </c>
      <c r="CC136" s="59">
        <v>39</v>
      </c>
      <c r="CD136" s="59">
        <v>489</v>
      </c>
      <c r="CE136" s="59">
        <v>129</v>
      </c>
      <c r="CF136" s="59">
        <v>13</v>
      </c>
    </row>
    <row r="137" spans="1:84" s="50" customFormat="1" ht="15.6" customHeight="1" x14ac:dyDescent="0.25">
      <c r="A137" s="52">
        <v>17</v>
      </c>
      <c r="B137" s="53" t="s">
        <v>401</v>
      </c>
      <c r="C137" s="57" t="s">
        <v>319</v>
      </c>
      <c r="D137" s="42" t="s">
        <v>402</v>
      </c>
      <c r="E137" s="42" t="s">
        <v>106</v>
      </c>
      <c r="F137" s="42" t="s">
        <v>375</v>
      </c>
      <c r="G137" s="70">
        <v>19978938.719999999</v>
      </c>
      <c r="H137" s="70">
        <v>0</v>
      </c>
      <c r="I137" s="70">
        <v>146738.16</v>
      </c>
      <c r="J137" s="70">
        <v>0</v>
      </c>
      <c r="K137" s="71">
        <v>0</v>
      </c>
      <c r="L137" s="71">
        <v>20125676.879999999</v>
      </c>
      <c r="M137" s="71">
        <v>0</v>
      </c>
      <c r="N137" s="70">
        <v>5345124.8499999996</v>
      </c>
      <c r="O137" s="70">
        <v>1304890.7</v>
      </c>
      <c r="P137" s="72">
        <v>4144942.67</v>
      </c>
      <c r="Q137" s="70">
        <v>0</v>
      </c>
      <c r="R137" s="70">
        <v>1745151.36</v>
      </c>
      <c r="S137" s="70">
        <v>4941520.88</v>
      </c>
      <c r="T137" s="70">
        <v>583818.04</v>
      </c>
      <c r="U137" s="70">
        <v>0</v>
      </c>
      <c r="V137" s="70">
        <v>0</v>
      </c>
      <c r="W137" s="70">
        <v>339037.54</v>
      </c>
      <c r="X137" s="71">
        <v>1662643.19</v>
      </c>
      <c r="Y137" s="71">
        <v>20067129.23</v>
      </c>
      <c r="Z137" s="61">
        <v>2.9216801161498131E-2</v>
      </c>
      <c r="AA137" s="71">
        <v>1631194.99</v>
      </c>
      <c r="AB137" s="71">
        <v>0</v>
      </c>
      <c r="AC137" s="71">
        <v>0</v>
      </c>
      <c r="AD137" s="71">
        <v>0</v>
      </c>
      <c r="AE137" s="71">
        <v>0</v>
      </c>
      <c r="AF137" s="71">
        <f t="shared" si="50"/>
        <v>0</v>
      </c>
      <c r="AG137" s="71">
        <v>665623.93000000005</v>
      </c>
      <c r="AH137" s="70">
        <v>51005.58</v>
      </c>
      <c r="AI137" s="70">
        <v>147617.1</v>
      </c>
      <c r="AJ137" s="71">
        <v>0</v>
      </c>
      <c r="AK137" s="70">
        <v>60418.27</v>
      </c>
      <c r="AL137" s="70">
        <v>5585.48</v>
      </c>
      <c r="AM137" s="70">
        <v>66275.83</v>
      </c>
      <c r="AN137" s="70">
        <v>7150</v>
      </c>
      <c r="AO137" s="70">
        <v>82117.850000000006</v>
      </c>
      <c r="AP137" s="70">
        <v>0</v>
      </c>
      <c r="AQ137" s="70">
        <v>40844.21</v>
      </c>
      <c r="AR137" s="70">
        <v>3774.49</v>
      </c>
      <c r="AS137" s="70">
        <v>0</v>
      </c>
      <c r="AT137" s="70">
        <v>65492.54</v>
      </c>
      <c r="AU137" s="70">
        <v>6021.29</v>
      </c>
      <c r="AV137" s="70">
        <v>75913.149999999994</v>
      </c>
      <c r="AW137" s="70">
        <v>1277839.72</v>
      </c>
      <c r="AX137" s="70">
        <v>0</v>
      </c>
      <c r="AY137" s="61">
        <f t="shared" si="51"/>
        <v>0</v>
      </c>
      <c r="AZ137" s="71">
        <v>0</v>
      </c>
      <c r="BA137" s="61">
        <v>8.164572767657001E-2</v>
      </c>
      <c r="BB137" s="70">
        <v>236672.6</v>
      </c>
      <c r="BC137" s="70">
        <v>347048.08</v>
      </c>
      <c r="BD137" s="71">
        <v>244766</v>
      </c>
      <c r="BE137" s="71">
        <v>0</v>
      </c>
      <c r="BF137" s="71">
        <v>921629.75</v>
      </c>
      <c r="BG137" s="71">
        <v>602169.81999999995</v>
      </c>
      <c r="BH137" s="71">
        <v>0</v>
      </c>
      <c r="BI137" s="71">
        <v>0</v>
      </c>
      <c r="BJ137" s="71">
        <f t="shared" si="52"/>
        <v>0</v>
      </c>
      <c r="BK137" s="71">
        <v>0</v>
      </c>
      <c r="BL137" s="60">
        <v>1464</v>
      </c>
      <c r="BM137" s="60">
        <v>359</v>
      </c>
      <c r="BN137" s="59">
        <v>3</v>
      </c>
      <c r="BO137" s="59">
        <v>7</v>
      </c>
      <c r="BP137" s="59">
        <v>-8</v>
      </c>
      <c r="BQ137" s="59">
        <v>-19</v>
      </c>
      <c r="BR137" s="59">
        <v>-144</v>
      </c>
      <c r="BS137" s="59">
        <v>-105</v>
      </c>
      <c r="BT137" s="59">
        <v>0</v>
      </c>
      <c r="BU137" s="59">
        <v>0</v>
      </c>
      <c r="BV137" s="59">
        <v>0</v>
      </c>
      <c r="BW137" s="59">
        <v>-313</v>
      </c>
      <c r="BX137" s="59">
        <v>0</v>
      </c>
      <c r="BY137" s="59">
        <v>1244</v>
      </c>
      <c r="BZ137" s="59">
        <v>7</v>
      </c>
      <c r="CA137" s="59">
        <v>29</v>
      </c>
      <c r="CB137" s="59">
        <v>105</v>
      </c>
      <c r="CC137" s="59">
        <v>23</v>
      </c>
      <c r="CD137" s="59">
        <v>151</v>
      </c>
      <c r="CE137" s="59">
        <v>11</v>
      </c>
      <c r="CF137" s="59">
        <v>6</v>
      </c>
    </row>
    <row r="138" spans="1:84" s="50" customFormat="1" ht="15.6" customHeight="1" x14ac:dyDescent="0.25">
      <c r="A138" s="39">
        <v>17</v>
      </c>
      <c r="B138" s="51" t="s">
        <v>403</v>
      </c>
      <c r="C138" s="57" t="s">
        <v>362</v>
      </c>
      <c r="D138" s="42" t="s">
        <v>404</v>
      </c>
      <c r="E138" s="42" t="s">
        <v>85</v>
      </c>
      <c r="F138" s="42" t="s">
        <v>405</v>
      </c>
      <c r="G138" s="70">
        <v>12553594.1</v>
      </c>
      <c r="H138" s="70">
        <v>0</v>
      </c>
      <c r="I138" s="70">
        <v>242732.67</v>
      </c>
      <c r="J138" s="70">
        <v>0</v>
      </c>
      <c r="K138" s="71">
        <v>0</v>
      </c>
      <c r="L138" s="71">
        <v>12796326.77</v>
      </c>
      <c r="M138" s="71">
        <v>0</v>
      </c>
      <c r="N138" s="70">
        <v>3212094.86</v>
      </c>
      <c r="O138" s="70">
        <v>1004757.05</v>
      </c>
      <c r="P138" s="72">
        <v>1276939.17</v>
      </c>
      <c r="Q138" s="70">
        <v>0</v>
      </c>
      <c r="R138" s="70">
        <v>881239.57</v>
      </c>
      <c r="S138" s="70">
        <v>3116844.99</v>
      </c>
      <c r="T138" s="70">
        <v>1120471.9099999999</v>
      </c>
      <c r="U138" s="70">
        <v>0</v>
      </c>
      <c r="V138" s="70">
        <v>0</v>
      </c>
      <c r="W138" s="70">
        <v>575262.35</v>
      </c>
      <c r="X138" s="71">
        <v>1727431.4300000002</v>
      </c>
      <c r="Y138" s="71">
        <v>12915041.33</v>
      </c>
      <c r="Z138" s="61">
        <v>0.18740148608118531</v>
      </c>
      <c r="AA138" s="71">
        <v>1255359.32</v>
      </c>
      <c r="AB138" s="71">
        <v>0</v>
      </c>
      <c r="AC138" s="71">
        <v>0</v>
      </c>
      <c r="AD138" s="71">
        <v>0</v>
      </c>
      <c r="AE138" s="71">
        <v>447.73</v>
      </c>
      <c r="AF138" s="71">
        <f t="shared" si="50"/>
        <v>447.73</v>
      </c>
      <c r="AG138" s="71">
        <v>726553.97</v>
      </c>
      <c r="AH138" s="70">
        <v>58568.67</v>
      </c>
      <c r="AI138" s="70">
        <v>64550.27</v>
      </c>
      <c r="AJ138" s="71">
        <v>0</v>
      </c>
      <c r="AK138" s="70">
        <v>65605</v>
      </c>
      <c r="AL138" s="70">
        <v>5962.65</v>
      </c>
      <c r="AM138" s="70">
        <v>55800.68</v>
      </c>
      <c r="AN138" s="70">
        <v>8050</v>
      </c>
      <c r="AO138" s="70">
        <v>29196.69</v>
      </c>
      <c r="AP138" s="70">
        <v>18307.62</v>
      </c>
      <c r="AQ138" s="70">
        <v>25635.46</v>
      </c>
      <c r="AR138" s="70">
        <v>7742.42</v>
      </c>
      <c r="AS138" s="70">
        <v>0</v>
      </c>
      <c r="AT138" s="70">
        <v>4090.24</v>
      </c>
      <c r="AU138" s="70">
        <v>7210.81</v>
      </c>
      <c r="AV138" s="70">
        <v>81686.47</v>
      </c>
      <c r="AW138" s="70">
        <v>1158960.95</v>
      </c>
      <c r="AX138" s="70">
        <v>0</v>
      </c>
      <c r="AY138" s="61">
        <f t="shared" si="51"/>
        <v>0</v>
      </c>
      <c r="AZ138" s="71">
        <v>0</v>
      </c>
      <c r="BA138" s="61">
        <v>9.9999992830738418E-2</v>
      </c>
      <c r="BB138" s="70">
        <v>1223235.44</v>
      </c>
      <c r="BC138" s="70">
        <v>1129326.75</v>
      </c>
      <c r="BD138" s="71">
        <v>244766</v>
      </c>
      <c r="BE138" s="71">
        <v>0</v>
      </c>
      <c r="BF138" s="71">
        <v>421312.57</v>
      </c>
      <c r="BG138" s="71">
        <v>131572.33249999999</v>
      </c>
      <c r="BH138" s="71">
        <v>0</v>
      </c>
      <c r="BI138" s="71">
        <v>0</v>
      </c>
      <c r="BJ138" s="71">
        <f t="shared" si="52"/>
        <v>0</v>
      </c>
      <c r="BK138" s="71">
        <v>0</v>
      </c>
      <c r="BL138" s="60">
        <v>1139</v>
      </c>
      <c r="BM138" s="60">
        <v>337</v>
      </c>
      <c r="BN138" s="59">
        <v>0</v>
      </c>
      <c r="BO138" s="59">
        <v>0</v>
      </c>
      <c r="BP138" s="59">
        <v>-9</v>
      </c>
      <c r="BQ138" s="59">
        <v>-13</v>
      </c>
      <c r="BR138" s="59">
        <v>-147</v>
      </c>
      <c r="BS138" s="59">
        <v>-81</v>
      </c>
      <c r="BT138" s="59">
        <v>0</v>
      </c>
      <c r="BU138" s="59">
        <v>-34</v>
      </c>
      <c r="BV138" s="59">
        <v>0</v>
      </c>
      <c r="BW138" s="59">
        <v>-200</v>
      </c>
      <c r="BX138" s="59">
        <v>0</v>
      </c>
      <c r="BY138" s="59">
        <v>992</v>
      </c>
      <c r="BZ138" s="59">
        <v>15</v>
      </c>
      <c r="CA138" s="59">
        <v>36</v>
      </c>
      <c r="CB138" s="59">
        <v>62</v>
      </c>
      <c r="CC138" s="59">
        <v>16</v>
      </c>
      <c r="CD138" s="59">
        <v>114</v>
      </c>
      <c r="CE138" s="59">
        <v>6</v>
      </c>
      <c r="CF138" s="59">
        <v>2</v>
      </c>
    </row>
    <row r="139" spans="1:84" s="50" customFormat="1" ht="15.6" customHeight="1" x14ac:dyDescent="0.25">
      <c r="A139" s="39">
        <v>17</v>
      </c>
      <c r="B139" s="51" t="s">
        <v>328</v>
      </c>
      <c r="C139" s="57" t="s">
        <v>108</v>
      </c>
      <c r="D139" s="42" t="s">
        <v>406</v>
      </c>
      <c r="E139" s="42" t="s">
        <v>106</v>
      </c>
      <c r="F139" s="42" t="s">
        <v>375</v>
      </c>
      <c r="G139" s="70">
        <v>17661879.190000001</v>
      </c>
      <c r="H139" s="70">
        <v>0</v>
      </c>
      <c r="I139" s="70">
        <v>295803.58</v>
      </c>
      <c r="J139" s="70">
        <v>5378.3</v>
      </c>
      <c r="K139" s="71">
        <v>0</v>
      </c>
      <c r="L139" s="71">
        <v>17963061.07</v>
      </c>
      <c r="M139" s="71">
        <v>71710.61</v>
      </c>
      <c r="N139" s="70">
        <v>4428379.99</v>
      </c>
      <c r="O139" s="70">
        <v>1315086.42</v>
      </c>
      <c r="P139" s="72">
        <v>3159806.23</v>
      </c>
      <c r="Q139" s="70">
        <v>0</v>
      </c>
      <c r="R139" s="70">
        <v>1310872.51</v>
      </c>
      <c r="S139" s="70">
        <v>5105119.71</v>
      </c>
      <c r="T139" s="70">
        <v>802159.37</v>
      </c>
      <c r="U139" s="70">
        <v>0</v>
      </c>
      <c r="V139" s="70">
        <v>0</v>
      </c>
      <c r="W139" s="70">
        <v>521976.93</v>
      </c>
      <c r="X139" s="71">
        <v>1332798.79</v>
      </c>
      <c r="Y139" s="71">
        <v>17976199.949999999</v>
      </c>
      <c r="Z139" s="61">
        <v>5.1318886300229238E-2</v>
      </c>
      <c r="AA139" s="71">
        <v>1330219.1399999999</v>
      </c>
      <c r="AB139" s="71">
        <v>0</v>
      </c>
      <c r="AC139" s="71">
        <v>0</v>
      </c>
      <c r="AD139" s="71">
        <v>0</v>
      </c>
      <c r="AE139" s="71">
        <v>0</v>
      </c>
      <c r="AF139" s="71">
        <f t="shared" si="50"/>
        <v>0</v>
      </c>
      <c r="AG139" s="71">
        <v>625120.57999999996</v>
      </c>
      <c r="AH139" s="70">
        <v>52292.28</v>
      </c>
      <c r="AI139" s="70">
        <v>133863.5</v>
      </c>
      <c r="AJ139" s="71">
        <v>0</v>
      </c>
      <c r="AK139" s="70">
        <v>137223.09</v>
      </c>
      <c r="AL139" s="70">
        <v>5975</v>
      </c>
      <c r="AM139" s="70">
        <v>96919.76</v>
      </c>
      <c r="AN139" s="70">
        <v>8050</v>
      </c>
      <c r="AO139" s="70">
        <v>1629</v>
      </c>
      <c r="AP139" s="70">
        <v>0</v>
      </c>
      <c r="AQ139" s="70">
        <v>35067.89</v>
      </c>
      <c r="AR139" s="70">
        <v>1900</v>
      </c>
      <c r="AS139" s="70">
        <v>0</v>
      </c>
      <c r="AT139" s="70">
        <v>7138.12</v>
      </c>
      <c r="AU139" s="70">
        <v>10015.42</v>
      </c>
      <c r="AV139" s="70">
        <v>105860.95</v>
      </c>
      <c r="AW139" s="70">
        <v>1221055.5900000001</v>
      </c>
      <c r="AX139" s="70">
        <v>0</v>
      </c>
      <c r="AY139" s="61">
        <f t="shared" si="51"/>
        <v>0</v>
      </c>
      <c r="AZ139" s="71">
        <v>0</v>
      </c>
      <c r="BA139" s="61">
        <v>7.5011272675315849E-2</v>
      </c>
      <c r="BB139" s="70">
        <v>204317.77</v>
      </c>
      <c r="BC139" s="70">
        <v>702070.2</v>
      </c>
      <c r="BD139" s="71">
        <v>244766</v>
      </c>
      <c r="BE139" s="71">
        <v>2.91038304567337E-11</v>
      </c>
      <c r="BF139" s="71">
        <v>833906.56</v>
      </c>
      <c r="BG139" s="71">
        <v>528642.66249999998</v>
      </c>
      <c r="BH139" s="71">
        <v>0</v>
      </c>
      <c r="BI139" s="71">
        <v>0</v>
      </c>
      <c r="BJ139" s="71">
        <f t="shared" si="52"/>
        <v>0</v>
      </c>
      <c r="BK139" s="71">
        <v>0</v>
      </c>
      <c r="BL139" s="60">
        <v>1245</v>
      </c>
      <c r="BM139" s="60">
        <v>309</v>
      </c>
      <c r="BN139" s="59">
        <v>0</v>
      </c>
      <c r="BO139" s="59">
        <v>0</v>
      </c>
      <c r="BP139" s="59">
        <v>-8</v>
      </c>
      <c r="BQ139" s="59">
        <v>-8</v>
      </c>
      <c r="BR139" s="59">
        <v>-133</v>
      </c>
      <c r="BS139" s="59">
        <v>-105</v>
      </c>
      <c r="BT139" s="59">
        <v>0</v>
      </c>
      <c r="BU139" s="59">
        <v>-2</v>
      </c>
      <c r="BV139" s="59">
        <v>11</v>
      </c>
      <c r="BW139" s="59">
        <v>-254</v>
      </c>
      <c r="BX139" s="59">
        <v>-1</v>
      </c>
      <c r="BY139" s="59">
        <v>1054</v>
      </c>
      <c r="BZ139" s="59">
        <v>2</v>
      </c>
      <c r="CA139" s="59">
        <v>4</v>
      </c>
      <c r="CB139" s="59">
        <v>113</v>
      </c>
      <c r="CC139" s="59">
        <v>11</v>
      </c>
      <c r="CD139" s="59">
        <v>111</v>
      </c>
      <c r="CE139" s="59">
        <v>18</v>
      </c>
      <c r="CF139" s="59">
        <v>1</v>
      </c>
    </row>
    <row r="140" spans="1:84" s="50" customFormat="1" ht="15.6" customHeight="1" x14ac:dyDescent="0.25">
      <c r="A140" s="43">
        <v>17</v>
      </c>
      <c r="B140" s="44" t="s">
        <v>407</v>
      </c>
      <c r="C140" s="57" t="s">
        <v>141</v>
      </c>
      <c r="D140" s="45" t="s">
        <v>408</v>
      </c>
      <c r="E140" s="46" t="s">
        <v>85</v>
      </c>
      <c r="F140" s="45" t="s">
        <v>405</v>
      </c>
      <c r="G140" s="70">
        <v>7661990.79</v>
      </c>
      <c r="H140" s="70">
        <v>0</v>
      </c>
      <c r="I140" s="70">
        <v>0</v>
      </c>
      <c r="J140" s="70">
        <v>0</v>
      </c>
      <c r="K140" s="71">
        <v>0</v>
      </c>
      <c r="L140" s="71">
        <v>7661990.79</v>
      </c>
      <c r="M140" s="71">
        <v>0</v>
      </c>
      <c r="N140" s="70">
        <v>1138029.6599999999</v>
      </c>
      <c r="O140" s="70">
        <v>304885.96999999997</v>
      </c>
      <c r="P140" s="72">
        <v>684412.02</v>
      </c>
      <c r="Q140" s="70">
        <v>0</v>
      </c>
      <c r="R140" s="70">
        <v>738226.72</v>
      </c>
      <c r="S140" s="70">
        <v>3465405.93</v>
      </c>
      <c r="T140" s="70">
        <v>654500.59</v>
      </c>
      <c r="U140" s="70">
        <v>0</v>
      </c>
      <c r="V140" s="70">
        <v>0</v>
      </c>
      <c r="W140" s="70">
        <v>115598.11</v>
      </c>
      <c r="X140" s="71">
        <v>762737.43</v>
      </c>
      <c r="Y140" s="71">
        <v>7863796.4299999997</v>
      </c>
      <c r="Z140" s="61">
        <v>4.6640117404787296E-2</v>
      </c>
      <c r="AA140" s="71">
        <v>759288.77</v>
      </c>
      <c r="AB140" s="71">
        <v>0</v>
      </c>
      <c r="AC140" s="71">
        <v>0</v>
      </c>
      <c r="AD140" s="71">
        <v>0</v>
      </c>
      <c r="AE140" s="71">
        <v>0</v>
      </c>
      <c r="AF140" s="71">
        <f t="shared" si="50"/>
        <v>0</v>
      </c>
      <c r="AG140" s="71">
        <v>316252.48</v>
      </c>
      <c r="AH140" s="70">
        <v>24403.3</v>
      </c>
      <c r="AI140" s="70">
        <v>59260.68</v>
      </c>
      <c r="AJ140" s="71">
        <v>0</v>
      </c>
      <c r="AK140" s="70">
        <v>38120.18</v>
      </c>
      <c r="AL140" s="70">
        <v>0</v>
      </c>
      <c r="AM140" s="70">
        <v>26605.96</v>
      </c>
      <c r="AN140" s="70">
        <v>7150</v>
      </c>
      <c r="AO140" s="70">
        <v>2475</v>
      </c>
      <c r="AP140" s="70">
        <v>3989.49</v>
      </c>
      <c r="AQ140" s="70">
        <v>16820.629999999997</v>
      </c>
      <c r="AR140" s="70">
        <v>900</v>
      </c>
      <c r="AS140" s="70">
        <v>0</v>
      </c>
      <c r="AT140" s="70">
        <v>910</v>
      </c>
      <c r="AU140" s="70">
        <v>11749.97</v>
      </c>
      <c r="AV140" s="70">
        <v>34016.71</v>
      </c>
      <c r="AW140" s="70">
        <v>542654.4</v>
      </c>
      <c r="AX140" s="70">
        <v>0</v>
      </c>
      <c r="AY140" s="61">
        <f t="shared" si="51"/>
        <v>0</v>
      </c>
      <c r="AZ140" s="71">
        <v>0</v>
      </c>
      <c r="BA140" s="61">
        <v>9.9098105284984292E-2</v>
      </c>
      <c r="BB140" s="70">
        <v>101233.60000000001</v>
      </c>
      <c r="BC140" s="70">
        <v>256122.55</v>
      </c>
      <c r="BD140" s="71">
        <v>244766</v>
      </c>
      <c r="BE140" s="71">
        <v>0</v>
      </c>
      <c r="BF140" s="71">
        <v>195173.05</v>
      </c>
      <c r="BG140" s="71">
        <v>59509.449999999903</v>
      </c>
      <c r="BH140" s="71">
        <v>0</v>
      </c>
      <c r="BI140" s="71">
        <v>0</v>
      </c>
      <c r="BJ140" s="71">
        <f t="shared" si="52"/>
        <v>0</v>
      </c>
      <c r="BK140" s="71">
        <v>0</v>
      </c>
      <c r="BL140" s="60">
        <v>852</v>
      </c>
      <c r="BM140" s="60">
        <v>169</v>
      </c>
      <c r="BN140" s="59">
        <v>2</v>
      </c>
      <c r="BO140" s="59">
        <v>0</v>
      </c>
      <c r="BP140" s="59">
        <v>-4</v>
      </c>
      <c r="BQ140" s="59">
        <v>-15</v>
      </c>
      <c r="BR140" s="59">
        <v>-23</v>
      </c>
      <c r="BS140" s="59">
        <v>-63</v>
      </c>
      <c r="BT140" s="59">
        <v>0</v>
      </c>
      <c r="BU140" s="59">
        <v>0</v>
      </c>
      <c r="BV140" s="59">
        <v>9</v>
      </c>
      <c r="BW140" s="59">
        <v>-189</v>
      </c>
      <c r="BX140" s="59">
        <v>0</v>
      </c>
      <c r="BY140" s="59">
        <v>738</v>
      </c>
      <c r="BZ140" s="59">
        <v>0</v>
      </c>
      <c r="CA140" s="59">
        <v>27</v>
      </c>
      <c r="CB140" s="59">
        <v>75</v>
      </c>
      <c r="CC140" s="59">
        <v>24</v>
      </c>
      <c r="CD140" s="59">
        <v>81</v>
      </c>
      <c r="CE140" s="59">
        <v>5</v>
      </c>
      <c r="CF140" s="59">
        <v>3</v>
      </c>
    </row>
    <row r="141" spans="1:84" s="50" customFormat="1" ht="15.6" customHeight="1" x14ac:dyDescent="0.25">
      <c r="A141" s="43">
        <v>17</v>
      </c>
      <c r="B141" s="44" t="s">
        <v>409</v>
      </c>
      <c r="C141" s="57" t="s">
        <v>410</v>
      </c>
      <c r="D141" s="45" t="s">
        <v>404</v>
      </c>
      <c r="E141" s="46" t="s">
        <v>85</v>
      </c>
      <c r="F141" s="45" t="s">
        <v>405</v>
      </c>
      <c r="G141" s="70">
        <v>13202792.890000001</v>
      </c>
      <c r="H141" s="70">
        <v>0</v>
      </c>
      <c r="I141" s="70">
        <v>561737.23</v>
      </c>
      <c r="J141" s="70">
        <v>0</v>
      </c>
      <c r="K141" s="71">
        <v>0</v>
      </c>
      <c r="L141" s="71">
        <v>13764530.119999999</v>
      </c>
      <c r="M141" s="71">
        <v>0</v>
      </c>
      <c r="N141" s="70">
        <v>3609089.43</v>
      </c>
      <c r="O141" s="70">
        <v>607596.76</v>
      </c>
      <c r="P141" s="72">
        <v>1726417.77</v>
      </c>
      <c r="Q141" s="70">
        <v>0</v>
      </c>
      <c r="R141" s="70">
        <v>859195.55</v>
      </c>
      <c r="S141" s="70">
        <v>4128542.19</v>
      </c>
      <c r="T141" s="70">
        <v>1106812.26</v>
      </c>
      <c r="U141" s="70">
        <v>0</v>
      </c>
      <c r="V141" s="70">
        <v>0</v>
      </c>
      <c r="W141" s="70">
        <v>923554.56</v>
      </c>
      <c r="X141" s="71">
        <v>1320273.56</v>
      </c>
      <c r="Y141" s="71">
        <v>14281482.08</v>
      </c>
      <c r="Z141" s="61">
        <v>0.1731433976921227</v>
      </c>
      <c r="AA141" s="71">
        <v>1320273.56</v>
      </c>
      <c r="AB141" s="71">
        <v>0</v>
      </c>
      <c r="AC141" s="71">
        <v>0</v>
      </c>
      <c r="AD141" s="71">
        <v>0</v>
      </c>
      <c r="AE141" s="71">
        <v>0</v>
      </c>
      <c r="AF141" s="71">
        <f t="shared" si="50"/>
        <v>0</v>
      </c>
      <c r="AG141" s="71">
        <v>730312.08</v>
      </c>
      <c r="AH141" s="70">
        <v>66419.83</v>
      </c>
      <c r="AI141" s="70">
        <v>77746.25</v>
      </c>
      <c r="AJ141" s="71">
        <v>0</v>
      </c>
      <c r="AK141" s="70">
        <v>81660.240000000005</v>
      </c>
      <c r="AL141" s="70">
        <v>6259.38</v>
      </c>
      <c r="AM141" s="70">
        <v>85139.51</v>
      </c>
      <c r="AN141" s="70">
        <v>8000</v>
      </c>
      <c r="AO141" s="70">
        <v>27708.25</v>
      </c>
      <c r="AP141" s="70">
        <v>3793.13</v>
      </c>
      <c r="AQ141" s="70">
        <v>14411.220000000001</v>
      </c>
      <c r="AR141" s="70">
        <v>1949.18</v>
      </c>
      <c r="AS141" s="70">
        <v>0</v>
      </c>
      <c r="AT141" s="70">
        <v>2672.07</v>
      </c>
      <c r="AU141" s="70">
        <v>5353.69</v>
      </c>
      <c r="AV141" s="70">
        <v>54050.34</v>
      </c>
      <c r="AW141" s="70">
        <v>1165475.17</v>
      </c>
      <c r="AX141" s="70">
        <v>0</v>
      </c>
      <c r="AY141" s="61">
        <f t="shared" si="51"/>
        <v>0</v>
      </c>
      <c r="AZ141" s="71">
        <v>0</v>
      </c>
      <c r="BA141" s="61">
        <v>9.9999566076659108E-2</v>
      </c>
      <c r="BB141" s="70">
        <v>762691.89</v>
      </c>
      <c r="BC141" s="70">
        <v>1523284.53</v>
      </c>
      <c r="BD141" s="71">
        <v>244766</v>
      </c>
      <c r="BE141" s="71">
        <v>0</v>
      </c>
      <c r="BF141" s="71">
        <v>382716.86</v>
      </c>
      <c r="BG141" s="71">
        <v>91348.067499999597</v>
      </c>
      <c r="BH141" s="71">
        <v>0</v>
      </c>
      <c r="BI141" s="71">
        <v>0</v>
      </c>
      <c r="BJ141" s="71">
        <f t="shared" si="52"/>
        <v>0</v>
      </c>
      <c r="BK141" s="71">
        <v>0</v>
      </c>
      <c r="BL141" s="60">
        <v>1225</v>
      </c>
      <c r="BM141" s="60">
        <v>313</v>
      </c>
      <c r="BN141" s="59">
        <v>0</v>
      </c>
      <c r="BO141" s="59">
        <v>0</v>
      </c>
      <c r="BP141" s="59">
        <v>-15</v>
      </c>
      <c r="BQ141" s="59">
        <v>-13</v>
      </c>
      <c r="BR141" s="59">
        <v>-130</v>
      </c>
      <c r="BS141" s="59">
        <v>-94</v>
      </c>
      <c r="BT141" s="59">
        <v>25</v>
      </c>
      <c r="BU141" s="59">
        <v>-26</v>
      </c>
      <c r="BV141" s="59">
        <v>20</v>
      </c>
      <c r="BW141" s="59">
        <v>-237</v>
      </c>
      <c r="BX141" s="59">
        <v>0</v>
      </c>
      <c r="BY141" s="59">
        <v>1068</v>
      </c>
      <c r="BZ141" s="59">
        <v>1</v>
      </c>
      <c r="CA141" s="59">
        <v>11</v>
      </c>
      <c r="CB141" s="59">
        <v>78</v>
      </c>
      <c r="CC141" s="59">
        <v>20</v>
      </c>
      <c r="CD141" s="59">
        <v>130</v>
      </c>
      <c r="CE141" s="59">
        <v>12</v>
      </c>
      <c r="CF141" s="59">
        <v>3</v>
      </c>
    </row>
    <row r="142" spans="1:84" s="50" customFormat="1" ht="15.6" customHeight="1" x14ac:dyDescent="0.25">
      <c r="A142" s="43">
        <v>18</v>
      </c>
      <c r="B142" s="44" t="s">
        <v>411</v>
      </c>
      <c r="C142" s="57" t="s">
        <v>412</v>
      </c>
      <c r="D142" s="45" t="s">
        <v>413</v>
      </c>
      <c r="E142" s="46" t="s">
        <v>106</v>
      </c>
      <c r="F142" s="45" t="s">
        <v>180</v>
      </c>
      <c r="G142" s="70">
        <v>16150565.210000001</v>
      </c>
      <c r="H142" s="70">
        <v>0</v>
      </c>
      <c r="I142" s="70">
        <v>420611.09</v>
      </c>
      <c r="J142" s="70">
        <v>0</v>
      </c>
      <c r="K142" s="71">
        <v>0</v>
      </c>
      <c r="L142" s="71">
        <v>16571176.300000001</v>
      </c>
      <c r="M142" s="71">
        <v>0</v>
      </c>
      <c r="N142" s="70">
        <v>2812106.82</v>
      </c>
      <c r="O142" s="70">
        <v>823011.66</v>
      </c>
      <c r="P142" s="72">
        <v>4280262.5599999996</v>
      </c>
      <c r="Q142" s="70">
        <v>32380.080000000002</v>
      </c>
      <c r="R142" s="70">
        <v>989568.87</v>
      </c>
      <c r="S142" s="70">
        <v>4638539.3099999996</v>
      </c>
      <c r="T142" s="70">
        <v>775677.28</v>
      </c>
      <c r="U142" s="70">
        <v>0</v>
      </c>
      <c r="V142" s="70">
        <v>0</v>
      </c>
      <c r="W142" s="70">
        <v>465812.38</v>
      </c>
      <c r="X142" s="71">
        <v>1615059.92</v>
      </c>
      <c r="Y142" s="71">
        <v>16432418.880000001</v>
      </c>
      <c r="Z142" s="61">
        <v>9.6339391827390403E-2</v>
      </c>
      <c r="AA142" s="71">
        <v>1615059.92</v>
      </c>
      <c r="AB142" s="71">
        <v>0</v>
      </c>
      <c r="AC142" s="71">
        <v>0</v>
      </c>
      <c r="AD142" s="71">
        <v>0</v>
      </c>
      <c r="AE142" s="71">
        <v>0</v>
      </c>
      <c r="AF142" s="71">
        <f t="shared" si="50"/>
        <v>0</v>
      </c>
      <c r="AG142" s="71">
        <v>807446.27</v>
      </c>
      <c r="AH142" s="70">
        <v>68428.2</v>
      </c>
      <c r="AI142" s="70">
        <v>179365.65</v>
      </c>
      <c r="AJ142" s="71">
        <v>0</v>
      </c>
      <c r="AK142" s="70">
        <v>81058.559999999998</v>
      </c>
      <c r="AL142" s="70">
        <v>0</v>
      </c>
      <c r="AM142" s="70">
        <v>94128.83</v>
      </c>
      <c r="AN142" s="70">
        <v>11400</v>
      </c>
      <c r="AO142" s="70">
        <v>0</v>
      </c>
      <c r="AP142" s="70">
        <v>11203.24</v>
      </c>
      <c r="AQ142" s="70">
        <v>28579.690000000002</v>
      </c>
      <c r="AR142" s="70">
        <v>14686.26</v>
      </c>
      <c r="AS142" s="70">
        <v>0</v>
      </c>
      <c r="AT142" s="70">
        <v>12448.95</v>
      </c>
      <c r="AU142" s="70">
        <v>20735.55</v>
      </c>
      <c r="AV142" s="70">
        <v>88590.46</v>
      </c>
      <c r="AW142" s="70">
        <v>1418071.66</v>
      </c>
      <c r="AX142" s="70">
        <v>0</v>
      </c>
      <c r="AY142" s="61">
        <f t="shared" si="51"/>
        <v>0</v>
      </c>
      <c r="AZ142" s="71">
        <v>0</v>
      </c>
      <c r="BA142" s="61">
        <v>0.10000021045703079</v>
      </c>
      <c r="BB142" s="70">
        <v>525252.65</v>
      </c>
      <c r="BC142" s="70">
        <v>1030682.98</v>
      </c>
      <c r="BD142" s="71">
        <v>244766</v>
      </c>
      <c r="BE142" s="71">
        <v>0</v>
      </c>
      <c r="BF142" s="71">
        <v>717280.39999999898</v>
      </c>
      <c r="BG142" s="71">
        <v>362762.484999999</v>
      </c>
      <c r="BH142" s="71">
        <v>0</v>
      </c>
      <c r="BI142" s="71">
        <v>0</v>
      </c>
      <c r="BJ142" s="71">
        <f t="shared" si="52"/>
        <v>0</v>
      </c>
      <c r="BK142" s="71">
        <v>0</v>
      </c>
      <c r="BL142" s="60">
        <v>1883</v>
      </c>
      <c r="BM142" s="60">
        <v>241</v>
      </c>
      <c r="BN142" s="59">
        <v>3</v>
      </c>
      <c r="BO142" s="59">
        <v>0</v>
      </c>
      <c r="BP142" s="59">
        <v>-6</v>
      </c>
      <c r="BQ142" s="59">
        <v>-17</v>
      </c>
      <c r="BR142" s="59">
        <v>-40</v>
      </c>
      <c r="BS142" s="59">
        <v>-130</v>
      </c>
      <c r="BT142" s="59">
        <v>0</v>
      </c>
      <c r="BU142" s="59">
        <v>0</v>
      </c>
      <c r="BV142" s="59">
        <v>8</v>
      </c>
      <c r="BW142" s="59">
        <v>-517</v>
      </c>
      <c r="BX142" s="59">
        <v>-1</v>
      </c>
      <c r="BY142" s="59">
        <v>1424</v>
      </c>
      <c r="BZ142" s="59">
        <v>2</v>
      </c>
      <c r="CA142" s="59">
        <v>0</v>
      </c>
      <c r="CB142" s="59">
        <v>103</v>
      </c>
      <c r="CC142" s="59">
        <v>42</v>
      </c>
      <c r="CD142" s="59">
        <v>355</v>
      </c>
      <c r="CE142" s="59">
        <v>14</v>
      </c>
      <c r="CF142" s="59">
        <v>1</v>
      </c>
    </row>
    <row r="143" spans="1:84" s="50" customFormat="1" ht="15.6" customHeight="1" x14ac:dyDescent="0.25">
      <c r="A143" s="43">
        <v>18</v>
      </c>
      <c r="B143" s="44" t="s">
        <v>416</v>
      </c>
      <c r="C143" s="57" t="s">
        <v>224</v>
      </c>
      <c r="D143" s="45" t="s">
        <v>417</v>
      </c>
      <c r="E143" s="46" t="s">
        <v>85</v>
      </c>
      <c r="F143" s="45" t="s">
        <v>418</v>
      </c>
      <c r="G143" s="70">
        <v>4783157.99</v>
      </c>
      <c r="H143" s="70">
        <v>0</v>
      </c>
      <c r="I143" s="70">
        <v>55306.7</v>
      </c>
      <c r="J143" s="70">
        <v>158844.5</v>
      </c>
      <c r="K143" s="71">
        <v>0</v>
      </c>
      <c r="L143" s="71">
        <v>4997309.1900000004</v>
      </c>
      <c r="M143" s="71">
        <v>1588445</v>
      </c>
      <c r="N143" s="70">
        <v>330623.2</v>
      </c>
      <c r="O143" s="70">
        <v>371446.46</v>
      </c>
      <c r="P143" s="72">
        <v>949455.85</v>
      </c>
      <c r="Q143" s="70">
        <v>0</v>
      </c>
      <c r="R143" s="70">
        <v>295228.48</v>
      </c>
      <c r="S143" s="70">
        <v>2094737.1</v>
      </c>
      <c r="T143" s="70">
        <v>257085.5</v>
      </c>
      <c r="U143" s="70">
        <v>0</v>
      </c>
      <c r="V143" s="70">
        <v>0</v>
      </c>
      <c r="W143" s="70">
        <v>59713.72</v>
      </c>
      <c r="X143" s="71">
        <v>672761.3</v>
      </c>
      <c r="Y143" s="71">
        <v>5031051.6100000003</v>
      </c>
      <c r="Z143" s="61">
        <v>2.9686086116507516E-2</v>
      </c>
      <c r="AA143" s="71">
        <v>637161.30000000005</v>
      </c>
      <c r="AB143" s="71">
        <v>0</v>
      </c>
      <c r="AC143" s="71">
        <v>0</v>
      </c>
      <c r="AD143" s="71">
        <v>0</v>
      </c>
      <c r="AE143" s="71">
        <v>0</v>
      </c>
      <c r="AF143" s="71">
        <f t="shared" si="50"/>
        <v>0</v>
      </c>
      <c r="AG143" s="71">
        <v>115591</v>
      </c>
      <c r="AH143" s="70">
        <v>9030.6200000000008</v>
      </c>
      <c r="AI143" s="70">
        <v>38857.870000000003</v>
      </c>
      <c r="AJ143" s="71">
        <v>0</v>
      </c>
      <c r="AK143" s="70">
        <v>31632.91</v>
      </c>
      <c r="AL143" s="70">
        <v>0</v>
      </c>
      <c r="AM143" s="70">
        <v>12507.76</v>
      </c>
      <c r="AN143" s="70">
        <v>5000</v>
      </c>
      <c r="AO143" s="70">
        <v>1500</v>
      </c>
      <c r="AP143" s="70">
        <v>0</v>
      </c>
      <c r="AQ143" s="70">
        <v>10068.299999999999</v>
      </c>
      <c r="AR143" s="70">
        <v>3305.84</v>
      </c>
      <c r="AS143" s="70">
        <v>0</v>
      </c>
      <c r="AT143" s="70">
        <v>7694.96</v>
      </c>
      <c r="AU143" s="70">
        <v>4800</v>
      </c>
      <c r="AV143" s="70">
        <v>18669.810000000001</v>
      </c>
      <c r="AW143" s="70">
        <v>258659.07</v>
      </c>
      <c r="AX143" s="70">
        <v>0</v>
      </c>
      <c r="AY143" s="61">
        <f t="shared" si="51"/>
        <v>0</v>
      </c>
      <c r="AZ143" s="71">
        <v>0</v>
      </c>
      <c r="BA143" s="61">
        <v>0.10000015710332261</v>
      </c>
      <c r="BB143" s="70">
        <v>48110.48</v>
      </c>
      <c r="BC143" s="70">
        <v>93882.76</v>
      </c>
      <c r="BD143" s="71">
        <v>244766</v>
      </c>
      <c r="BE143" s="71">
        <v>0</v>
      </c>
      <c r="BF143" s="71">
        <v>325257.93</v>
      </c>
      <c r="BG143" s="71">
        <v>260593.16250000001</v>
      </c>
      <c r="BH143" s="71">
        <v>0</v>
      </c>
      <c r="BI143" s="71">
        <v>0</v>
      </c>
      <c r="BJ143" s="71">
        <f t="shared" si="52"/>
        <v>0</v>
      </c>
      <c r="BK143" s="71">
        <v>0</v>
      </c>
      <c r="BL143" s="60">
        <v>452</v>
      </c>
      <c r="BM143" s="60">
        <v>90</v>
      </c>
      <c r="BN143" s="59">
        <v>0</v>
      </c>
      <c r="BO143" s="59">
        <v>-1</v>
      </c>
      <c r="BP143" s="59">
        <v>-9</v>
      </c>
      <c r="BQ143" s="59">
        <v>-5</v>
      </c>
      <c r="BR143" s="59">
        <v>-10</v>
      </c>
      <c r="BS143" s="59">
        <v>-17</v>
      </c>
      <c r="BT143" s="59">
        <v>0</v>
      </c>
      <c r="BU143" s="59">
        <v>0</v>
      </c>
      <c r="BV143" s="59">
        <v>0</v>
      </c>
      <c r="BW143" s="59">
        <v>-112</v>
      </c>
      <c r="BX143" s="59">
        <v>-1</v>
      </c>
      <c r="BY143" s="59">
        <v>387</v>
      </c>
      <c r="BZ143" s="59">
        <v>0</v>
      </c>
      <c r="CA143" s="59">
        <v>0</v>
      </c>
      <c r="CB143" s="59">
        <v>35</v>
      </c>
      <c r="CC143" s="59">
        <v>5</v>
      </c>
      <c r="CD143" s="59">
        <v>70</v>
      </c>
      <c r="CE143" s="59">
        <v>1</v>
      </c>
      <c r="CF143" s="59">
        <v>1</v>
      </c>
    </row>
    <row r="144" spans="1:84" s="50" customFormat="1" ht="15.6" customHeight="1" x14ac:dyDescent="0.25">
      <c r="A144" s="43">
        <v>18</v>
      </c>
      <c r="B144" s="44" t="s">
        <v>420</v>
      </c>
      <c r="C144" s="57" t="s">
        <v>421</v>
      </c>
      <c r="D144" s="45" t="s">
        <v>422</v>
      </c>
      <c r="E144" s="46" t="s">
        <v>85</v>
      </c>
      <c r="F144" s="45" t="s">
        <v>423</v>
      </c>
      <c r="G144" s="70">
        <v>29096569.449999999</v>
      </c>
      <c r="H144" s="70">
        <v>35209.19</v>
      </c>
      <c r="I144" s="70">
        <v>696222.13</v>
      </c>
      <c r="J144" s="70">
        <v>136096.35999999999</v>
      </c>
      <c r="K144" s="71">
        <v>0</v>
      </c>
      <c r="L144" s="71">
        <v>29964097.129999999</v>
      </c>
      <c r="M144" s="71">
        <v>2382934.4700000002</v>
      </c>
      <c r="N144" s="70">
        <v>23350.51</v>
      </c>
      <c r="O144" s="70">
        <v>1418717.69</v>
      </c>
      <c r="P144" s="72">
        <v>7470492.6399999997</v>
      </c>
      <c r="Q144" s="70">
        <v>4472.74</v>
      </c>
      <c r="R144" s="70">
        <v>4255510.1500000004</v>
      </c>
      <c r="S144" s="70">
        <v>10001911.460000001</v>
      </c>
      <c r="T144" s="70">
        <v>4029057.4019999998</v>
      </c>
      <c r="U144" s="70">
        <v>0</v>
      </c>
      <c r="V144" s="70">
        <v>0</v>
      </c>
      <c r="W144" s="70">
        <v>730828.48</v>
      </c>
      <c r="X144" s="71">
        <v>1782638.77</v>
      </c>
      <c r="Y144" s="71">
        <v>29716979.842</v>
      </c>
      <c r="Z144" s="61">
        <v>2.8399723484923509E-2</v>
      </c>
      <c r="AA144" s="71">
        <v>1751198.98</v>
      </c>
      <c r="AB144" s="71">
        <v>0</v>
      </c>
      <c r="AC144" s="71">
        <v>0</v>
      </c>
      <c r="AD144" s="71">
        <v>0</v>
      </c>
      <c r="AE144" s="71">
        <v>1340.5</v>
      </c>
      <c r="AF144" s="71">
        <f t="shared" si="50"/>
        <v>1340.5</v>
      </c>
      <c r="AG144" s="71">
        <v>978566.72</v>
      </c>
      <c r="AH144" s="70">
        <v>93199.16</v>
      </c>
      <c r="AI144" s="70">
        <v>227452.02</v>
      </c>
      <c r="AJ144" s="71">
        <v>53311.03</v>
      </c>
      <c r="AK144" s="70">
        <v>146745.14000000001</v>
      </c>
      <c r="AL144" s="70">
        <v>63865.8</v>
      </c>
      <c r="AM144" s="70">
        <v>97670.76</v>
      </c>
      <c r="AN144" s="70">
        <v>12000</v>
      </c>
      <c r="AO144" s="70">
        <v>0</v>
      </c>
      <c r="AP144" s="70">
        <v>0</v>
      </c>
      <c r="AQ144" s="70">
        <v>35155.51</v>
      </c>
      <c r="AR144" s="70">
        <v>17913.150000000001</v>
      </c>
      <c r="AS144" s="70">
        <v>0</v>
      </c>
      <c r="AT144" s="70">
        <v>4856.3</v>
      </c>
      <c r="AU144" s="70">
        <v>16412.03</v>
      </c>
      <c r="AV144" s="70">
        <v>70611.16</v>
      </c>
      <c r="AW144" s="70">
        <v>1817758.78</v>
      </c>
      <c r="AX144" s="70">
        <v>0</v>
      </c>
      <c r="AY144" s="61">
        <f t="shared" si="51"/>
        <v>0</v>
      </c>
      <c r="AZ144" s="71">
        <v>0</v>
      </c>
      <c r="BA144" s="61">
        <v>5.5629815020287014E-2</v>
      </c>
      <c r="BB144" s="70">
        <v>34302.160000000003</v>
      </c>
      <c r="BC144" s="70">
        <v>793032.3</v>
      </c>
      <c r="BD144" s="71">
        <v>244766</v>
      </c>
      <c r="BE144" s="71">
        <v>0</v>
      </c>
      <c r="BF144" s="71">
        <v>1285290.96</v>
      </c>
      <c r="BG144" s="71">
        <v>830851.27</v>
      </c>
      <c r="BH144" s="71">
        <v>0</v>
      </c>
      <c r="BI144" s="71">
        <v>0</v>
      </c>
      <c r="BJ144" s="71">
        <f t="shared" si="52"/>
        <v>0</v>
      </c>
      <c r="BK144" s="71">
        <v>0</v>
      </c>
      <c r="BL144" s="60">
        <v>3569</v>
      </c>
      <c r="BM144" s="60">
        <v>508</v>
      </c>
      <c r="BN144" s="59">
        <v>7</v>
      </c>
      <c r="BO144" s="59">
        <v>-1</v>
      </c>
      <c r="BP144" s="59">
        <v>-9</v>
      </c>
      <c r="BQ144" s="59">
        <v>-21</v>
      </c>
      <c r="BR144" s="59">
        <v>-36</v>
      </c>
      <c r="BS144" s="59">
        <v>-189</v>
      </c>
      <c r="BT144" s="59">
        <v>0</v>
      </c>
      <c r="BU144" s="59">
        <v>0</v>
      </c>
      <c r="BV144" s="59">
        <v>13</v>
      </c>
      <c r="BW144" s="59">
        <v>-631</v>
      </c>
      <c r="BX144" s="59">
        <v>-6</v>
      </c>
      <c r="BY144" s="59">
        <v>3204</v>
      </c>
      <c r="BZ144" s="59">
        <v>6</v>
      </c>
      <c r="CA144" s="59">
        <v>64</v>
      </c>
      <c r="CB144" s="59">
        <v>161</v>
      </c>
      <c r="CC144" s="59">
        <v>56</v>
      </c>
      <c r="CD144" s="59">
        <v>262</v>
      </c>
      <c r="CE144" s="59">
        <v>149</v>
      </c>
      <c r="CF144" s="59">
        <v>8</v>
      </c>
    </row>
    <row r="145" spans="1:84" s="50" customFormat="1" ht="15.6" customHeight="1" x14ac:dyDescent="0.25">
      <c r="A145" s="43">
        <v>18</v>
      </c>
      <c r="B145" s="44" t="s">
        <v>502</v>
      </c>
      <c r="C145" s="57" t="s">
        <v>506</v>
      </c>
      <c r="D145" s="45" t="s">
        <v>414</v>
      </c>
      <c r="E145" s="46" t="s">
        <v>85</v>
      </c>
      <c r="F145" s="45" t="s">
        <v>415</v>
      </c>
      <c r="G145" s="70">
        <v>2486416.8199999998</v>
      </c>
      <c r="H145" s="70">
        <v>0</v>
      </c>
      <c r="I145" s="70">
        <v>170629.22</v>
      </c>
      <c r="J145" s="70">
        <v>0</v>
      </c>
      <c r="K145" s="71">
        <v>0</v>
      </c>
      <c r="L145" s="71">
        <v>2657046.04</v>
      </c>
      <c r="M145" s="71">
        <v>0</v>
      </c>
      <c r="N145" s="70">
        <v>36171.31</v>
      </c>
      <c r="O145" s="70">
        <v>282167.86</v>
      </c>
      <c r="P145" s="72">
        <v>558329.43000000005</v>
      </c>
      <c r="Q145" s="70">
        <v>0</v>
      </c>
      <c r="R145" s="70">
        <v>184781.04</v>
      </c>
      <c r="S145" s="70">
        <v>1101102.1299999999</v>
      </c>
      <c r="T145" s="70">
        <v>30174.26</v>
      </c>
      <c r="U145" s="70">
        <v>0</v>
      </c>
      <c r="V145" s="70">
        <v>0</v>
      </c>
      <c r="W145" s="70">
        <v>172833.66</v>
      </c>
      <c r="X145" s="71">
        <v>248641.74</v>
      </c>
      <c r="Y145" s="71">
        <v>2614201.4300000002</v>
      </c>
      <c r="Z145" s="61">
        <v>2.2701801060049379E-2</v>
      </c>
      <c r="AA145" s="71">
        <v>248641.74</v>
      </c>
      <c r="AB145" s="71">
        <v>0</v>
      </c>
      <c r="AC145" s="71">
        <v>0</v>
      </c>
      <c r="AD145" s="71">
        <v>0</v>
      </c>
      <c r="AE145" s="71">
        <v>0</v>
      </c>
      <c r="AF145" s="71">
        <f t="shared" si="50"/>
        <v>0</v>
      </c>
      <c r="AG145" s="71">
        <v>66810.42</v>
      </c>
      <c r="AH145" s="70">
        <v>5548.27</v>
      </c>
      <c r="AI145" s="70">
        <v>0</v>
      </c>
      <c r="AJ145" s="71">
        <v>0</v>
      </c>
      <c r="AK145" s="70">
        <v>24450.5</v>
      </c>
      <c r="AL145" s="70">
        <v>2531.7399999999998</v>
      </c>
      <c r="AM145" s="70">
        <v>7235.99</v>
      </c>
      <c r="AN145" s="70">
        <v>3400</v>
      </c>
      <c r="AO145" s="70">
        <v>0</v>
      </c>
      <c r="AP145" s="70">
        <v>0</v>
      </c>
      <c r="AQ145" s="70">
        <v>7156.11</v>
      </c>
      <c r="AR145" s="70">
        <v>4731.8599999999997</v>
      </c>
      <c r="AS145" s="70">
        <v>0</v>
      </c>
      <c r="AT145" s="70">
        <v>3262.65</v>
      </c>
      <c r="AU145" s="70">
        <v>2700</v>
      </c>
      <c r="AV145" s="70">
        <v>3932.02</v>
      </c>
      <c r="AW145" s="70">
        <v>131759.56</v>
      </c>
      <c r="AX145" s="70">
        <v>0</v>
      </c>
      <c r="AY145" s="61">
        <f t="shared" si="51"/>
        <v>0</v>
      </c>
      <c r="AZ145" s="71">
        <v>0</v>
      </c>
      <c r="BA145" s="61">
        <v>0.10000002332674053</v>
      </c>
      <c r="BB145" s="70">
        <v>5640.5</v>
      </c>
      <c r="BC145" s="70">
        <v>50805.64</v>
      </c>
      <c r="BD145" s="71">
        <v>124320.45</v>
      </c>
      <c r="BE145" s="71">
        <v>0</v>
      </c>
      <c r="BF145" s="71">
        <v>5553.6899999999696</v>
      </c>
      <c r="BG145" s="71">
        <v>0</v>
      </c>
      <c r="BH145" s="71">
        <v>0</v>
      </c>
      <c r="BI145" s="71">
        <v>0</v>
      </c>
      <c r="BJ145" s="71">
        <f t="shared" si="52"/>
        <v>0</v>
      </c>
      <c r="BK145" s="71">
        <v>0</v>
      </c>
      <c r="BL145" s="60">
        <v>132</v>
      </c>
      <c r="BM145" s="60">
        <v>35</v>
      </c>
      <c r="BN145" s="59">
        <v>0</v>
      </c>
      <c r="BO145" s="59">
        <v>0</v>
      </c>
      <c r="BP145" s="59">
        <v>-1</v>
      </c>
      <c r="BQ145" s="59">
        <v>-5</v>
      </c>
      <c r="BR145" s="59">
        <v>-9</v>
      </c>
      <c r="BS145" s="59">
        <v>-3</v>
      </c>
      <c r="BT145" s="59">
        <v>1</v>
      </c>
      <c r="BU145" s="59">
        <v>0</v>
      </c>
      <c r="BV145" s="59">
        <v>0</v>
      </c>
      <c r="BW145" s="59">
        <v>-30</v>
      </c>
      <c r="BX145" s="59">
        <v>0</v>
      </c>
      <c r="BY145" s="59">
        <v>120</v>
      </c>
      <c r="BZ145" s="59">
        <v>0</v>
      </c>
      <c r="CA145" s="59">
        <v>1</v>
      </c>
      <c r="CB145" s="59">
        <v>13</v>
      </c>
      <c r="CC145" s="59">
        <v>5</v>
      </c>
      <c r="CD145" s="59">
        <v>9</v>
      </c>
      <c r="CE145" s="59">
        <v>0</v>
      </c>
      <c r="CF145" s="59">
        <v>1</v>
      </c>
    </row>
    <row r="146" spans="1:84" s="50" customFormat="1" ht="15.6" customHeight="1" x14ac:dyDescent="0.25">
      <c r="A146" s="43">
        <v>18</v>
      </c>
      <c r="B146" s="44" t="s">
        <v>503</v>
      </c>
      <c r="C146" s="57" t="s">
        <v>108</v>
      </c>
      <c r="D146" s="45" t="s">
        <v>495</v>
      </c>
      <c r="E146" s="46" t="s">
        <v>112</v>
      </c>
      <c r="F146" s="45" t="s">
        <v>180</v>
      </c>
      <c r="G146" s="70">
        <v>32574826.5</v>
      </c>
      <c r="H146" s="70">
        <v>0</v>
      </c>
      <c r="I146" s="70">
        <v>1596831.96</v>
      </c>
      <c r="J146" s="70">
        <v>367.75</v>
      </c>
      <c r="K146" s="71">
        <v>0</v>
      </c>
      <c r="L146" s="71">
        <v>34172026.210000001</v>
      </c>
      <c r="M146" s="71">
        <v>10507.14</v>
      </c>
      <c r="N146" s="70">
        <v>10147581.83</v>
      </c>
      <c r="O146" s="70">
        <v>2340478.84</v>
      </c>
      <c r="P146" s="72">
        <v>6587845.54</v>
      </c>
      <c r="Q146" s="70">
        <v>85788.04</v>
      </c>
      <c r="R146" s="70">
        <v>2005290.15</v>
      </c>
      <c r="S146" s="70">
        <v>8093892.3300000001</v>
      </c>
      <c r="T146" s="70">
        <v>1729186.79</v>
      </c>
      <c r="U146" s="70">
        <v>0</v>
      </c>
      <c r="V146" s="70">
        <v>0</v>
      </c>
      <c r="W146" s="70">
        <v>1651734.15</v>
      </c>
      <c r="X146" s="71">
        <v>1187844.8899999999</v>
      </c>
      <c r="Y146" s="71">
        <v>33829642.560000002</v>
      </c>
      <c r="Z146" s="61">
        <v>2.6902017728321896E-2</v>
      </c>
      <c r="AA146" s="71">
        <v>1140533.2</v>
      </c>
      <c r="AB146" s="71">
        <v>0</v>
      </c>
      <c r="AC146" s="71">
        <v>0</v>
      </c>
      <c r="AD146" s="71">
        <v>0</v>
      </c>
      <c r="AE146" s="71">
        <v>0</v>
      </c>
      <c r="AF146" s="71">
        <f t="shared" si="50"/>
        <v>0</v>
      </c>
      <c r="AG146" s="71">
        <v>910847.22</v>
      </c>
      <c r="AH146" s="70">
        <v>85473.1</v>
      </c>
      <c r="AI146" s="70">
        <v>200250.71</v>
      </c>
      <c r="AJ146" s="71">
        <v>0</v>
      </c>
      <c r="AK146" s="70">
        <v>142298.88</v>
      </c>
      <c r="AL146" s="70">
        <v>13748.74</v>
      </c>
      <c r="AM146" s="70">
        <v>82411.72</v>
      </c>
      <c r="AN146" s="70">
        <v>12000</v>
      </c>
      <c r="AO146" s="70">
        <v>960</v>
      </c>
      <c r="AP146" s="70">
        <v>0</v>
      </c>
      <c r="AQ146" s="70">
        <v>29525.93</v>
      </c>
      <c r="AR146" s="70">
        <v>99</v>
      </c>
      <c r="AS146" s="70">
        <v>0</v>
      </c>
      <c r="AT146" s="70">
        <v>44756.47</v>
      </c>
      <c r="AU146" s="70">
        <v>29849.86</v>
      </c>
      <c r="AV146" s="70">
        <v>89358.83</v>
      </c>
      <c r="AW146" s="70">
        <v>1641580.46</v>
      </c>
      <c r="AX146" s="70">
        <v>0</v>
      </c>
      <c r="AY146" s="61">
        <f t="shared" si="51"/>
        <v>0</v>
      </c>
      <c r="AZ146" s="71">
        <v>-773.12</v>
      </c>
      <c r="BA146" s="61">
        <v>3.5001427715932384E-2</v>
      </c>
      <c r="BB146" s="70">
        <v>134286.24</v>
      </c>
      <c r="BC146" s="70">
        <v>742042.32</v>
      </c>
      <c r="BD146" s="71">
        <v>241807</v>
      </c>
      <c r="BE146" s="71">
        <v>2.91038304567337E-11</v>
      </c>
      <c r="BF146" s="71">
        <v>1486684.36</v>
      </c>
      <c r="BG146" s="71">
        <v>1076289.2450000001</v>
      </c>
      <c r="BH146" s="71">
        <v>0</v>
      </c>
      <c r="BI146" s="71">
        <v>0</v>
      </c>
      <c r="BJ146" s="71">
        <f t="shared" si="52"/>
        <v>0</v>
      </c>
      <c r="BK146" s="71">
        <v>0</v>
      </c>
      <c r="BL146" s="60">
        <v>2346</v>
      </c>
      <c r="BM146" s="60">
        <v>347</v>
      </c>
      <c r="BN146" s="59">
        <v>7</v>
      </c>
      <c r="BO146" s="59">
        <v>-2</v>
      </c>
      <c r="BP146" s="59">
        <v>-2</v>
      </c>
      <c r="BQ146" s="59">
        <v>-23</v>
      </c>
      <c r="BR146" s="59">
        <v>-67</v>
      </c>
      <c r="BS146" s="59">
        <v>-144</v>
      </c>
      <c r="BT146" s="59">
        <v>0</v>
      </c>
      <c r="BU146" s="59">
        <v>-1</v>
      </c>
      <c r="BV146" s="59">
        <v>5</v>
      </c>
      <c r="BW146" s="59">
        <v>-600</v>
      </c>
      <c r="BX146" s="59">
        <v>-4</v>
      </c>
      <c r="BY146" s="59">
        <v>1862</v>
      </c>
      <c r="BZ146" s="59">
        <v>11</v>
      </c>
      <c r="CA146" s="59">
        <v>53</v>
      </c>
      <c r="CB146" s="59">
        <v>170</v>
      </c>
      <c r="CC146" s="59">
        <v>39</v>
      </c>
      <c r="CD146" s="59">
        <v>218</v>
      </c>
      <c r="CE146" s="59">
        <v>160</v>
      </c>
      <c r="CF146" s="59">
        <v>15</v>
      </c>
    </row>
    <row r="147" spans="1:84" s="50" customFormat="1" ht="15.6" customHeight="1" x14ac:dyDescent="0.25">
      <c r="A147" s="43">
        <v>18</v>
      </c>
      <c r="B147" s="44" t="s">
        <v>504</v>
      </c>
      <c r="C147" s="57" t="s">
        <v>507</v>
      </c>
      <c r="D147" s="45" t="s">
        <v>496</v>
      </c>
      <c r="E147" s="46" t="s">
        <v>85</v>
      </c>
      <c r="F147" s="45" t="s">
        <v>423</v>
      </c>
      <c r="G147" s="70">
        <v>17479858.359999999</v>
      </c>
      <c r="H147" s="70">
        <v>0</v>
      </c>
      <c r="I147" s="70">
        <v>276517.61</v>
      </c>
      <c r="J147" s="70">
        <v>62594</v>
      </c>
      <c r="K147" s="71">
        <v>0</v>
      </c>
      <c r="L147" s="71">
        <v>17818969.969999999</v>
      </c>
      <c r="M147" s="71">
        <v>834595.816666667</v>
      </c>
      <c r="N147" s="70">
        <v>0</v>
      </c>
      <c r="O147" s="70">
        <v>740246.21</v>
      </c>
      <c r="P147" s="72">
        <v>4160149.15</v>
      </c>
      <c r="Q147" s="70">
        <v>0</v>
      </c>
      <c r="R147" s="70">
        <v>2064856.84</v>
      </c>
      <c r="S147" s="70">
        <v>7474456.5300000003</v>
      </c>
      <c r="T147" s="70">
        <v>1709227.14</v>
      </c>
      <c r="U147" s="70">
        <v>0</v>
      </c>
      <c r="V147" s="70">
        <v>0</v>
      </c>
      <c r="W147" s="70">
        <v>333141.59999999998</v>
      </c>
      <c r="X147" s="71">
        <v>1371881.02</v>
      </c>
      <c r="Y147" s="71">
        <v>17853958.489999998</v>
      </c>
      <c r="Z147" s="61">
        <v>6.3981774163529334E-2</v>
      </c>
      <c r="AA147" s="71">
        <v>1371656.02</v>
      </c>
      <c r="AB147" s="71">
        <v>0</v>
      </c>
      <c r="AC147" s="71">
        <v>0</v>
      </c>
      <c r="AD147" s="71">
        <v>0</v>
      </c>
      <c r="AE147" s="71">
        <v>463.28</v>
      </c>
      <c r="AF147" s="71">
        <f t="shared" si="50"/>
        <v>463.28</v>
      </c>
      <c r="AG147" s="71">
        <v>671195.18</v>
      </c>
      <c r="AH147" s="70">
        <v>70093.8</v>
      </c>
      <c r="AI147" s="70">
        <v>133744.60999999999</v>
      </c>
      <c r="AJ147" s="71">
        <v>0</v>
      </c>
      <c r="AK147" s="70">
        <v>75336</v>
      </c>
      <c r="AL147" s="70">
        <v>14179.65</v>
      </c>
      <c r="AM147" s="70">
        <v>82201.13</v>
      </c>
      <c r="AN147" s="70">
        <v>11400</v>
      </c>
      <c r="AO147" s="70">
        <v>2814</v>
      </c>
      <c r="AP147" s="70">
        <v>0</v>
      </c>
      <c r="AQ147" s="70">
        <v>14943.43</v>
      </c>
      <c r="AR147" s="70">
        <v>20385.59</v>
      </c>
      <c r="AS147" s="70">
        <v>0</v>
      </c>
      <c r="AT147" s="70">
        <v>2985.07</v>
      </c>
      <c r="AU147" s="70">
        <v>11530.64</v>
      </c>
      <c r="AV147" s="70">
        <v>33657.54</v>
      </c>
      <c r="AW147" s="70">
        <v>1144466.6399999999</v>
      </c>
      <c r="AX147" s="70">
        <v>0</v>
      </c>
      <c r="AY147" s="61">
        <f t="shared" si="51"/>
        <v>0</v>
      </c>
      <c r="AZ147" s="71">
        <v>0</v>
      </c>
      <c r="BA147" s="61">
        <v>7.4894725595892511E-2</v>
      </c>
      <c r="BB147" s="70">
        <v>75870.720000000001</v>
      </c>
      <c r="BC147" s="70">
        <v>1042521.63</v>
      </c>
      <c r="BD147" s="71">
        <v>241807</v>
      </c>
      <c r="BE147" s="71">
        <v>0</v>
      </c>
      <c r="BF147" s="71">
        <v>945275.58</v>
      </c>
      <c r="BG147" s="71">
        <v>659158.92000000004</v>
      </c>
      <c r="BH147" s="71">
        <v>0</v>
      </c>
      <c r="BI147" s="71">
        <v>0</v>
      </c>
      <c r="BJ147" s="71">
        <f t="shared" si="52"/>
        <v>0</v>
      </c>
      <c r="BK147" s="71">
        <v>0</v>
      </c>
      <c r="BL147" s="60">
        <v>1929</v>
      </c>
      <c r="BM147" s="60">
        <v>367</v>
      </c>
      <c r="BN147" s="59">
        <v>8</v>
      </c>
      <c r="BO147" s="59">
        <v>0</v>
      </c>
      <c r="BP147" s="59">
        <v>-13</v>
      </c>
      <c r="BQ147" s="59">
        <v>-23</v>
      </c>
      <c r="BR147" s="59">
        <v>-32</v>
      </c>
      <c r="BS147" s="59">
        <v>-127</v>
      </c>
      <c r="BT147" s="59">
        <v>0</v>
      </c>
      <c r="BU147" s="59">
        <v>0</v>
      </c>
      <c r="BV147" s="59">
        <v>12</v>
      </c>
      <c r="BW147" s="59">
        <v>-344</v>
      </c>
      <c r="BX147" s="59">
        <v>-2</v>
      </c>
      <c r="BY147" s="59">
        <v>1775</v>
      </c>
      <c r="BZ147" s="59">
        <v>3</v>
      </c>
      <c r="CA147" s="59">
        <v>19</v>
      </c>
      <c r="CB147" s="59">
        <v>81</v>
      </c>
      <c r="CC147" s="59">
        <v>33</v>
      </c>
      <c r="CD147" s="59">
        <v>170</v>
      </c>
      <c r="CE147" s="59">
        <v>59</v>
      </c>
      <c r="CF147" s="59">
        <v>1</v>
      </c>
    </row>
    <row r="148" spans="1:84" s="50" customFormat="1" ht="15.6" customHeight="1" x14ac:dyDescent="0.25">
      <c r="A148" s="43">
        <v>18</v>
      </c>
      <c r="B148" s="44" t="s">
        <v>424</v>
      </c>
      <c r="C148" s="57" t="s">
        <v>362</v>
      </c>
      <c r="D148" s="45" t="s">
        <v>425</v>
      </c>
      <c r="E148" s="46" t="s">
        <v>85</v>
      </c>
      <c r="F148" s="45" t="s">
        <v>426</v>
      </c>
      <c r="G148" s="70">
        <v>6022934.0999999996</v>
      </c>
      <c r="H148" s="70">
        <v>0</v>
      </c>
      <c r="I148" s="70">
        <v>98329.78</v>
      </c>
      <c r="J148" s="70">
        <v>4327.55</v>
      </c>
      <c r="K148" s="71">
        <v>0</v>
      </c>
      <c r="L148" s="71">
        <v>6125591.4299999997</v>
      </c>
      <c r="M148" s="71">
        <v>43275.46</v>
      </c>
      <c r="N148" s="70">
        <v>323560.18</v>
      </c>
      <c r="O148" s="70">
        <v>371394.27</v>
      </c>
      <c r="P148" s="72">
        <v>1453360.87</v>
      </c>
      <c r="Q148" s="70">
        <v>0</v>
      </c>
      <c r="R148" s="70">
        <v>410760.72</v>
      </c>
      <c r="S148" s="70">
        <v>2595785.38</v>
      </c>
      <c r="T148" s="70">
        <v>334775.55</v>
      </c>
      <c r="U148" s="70">
        <v>0</v>
      </c>
      <c r="V148" s="70">
        <v>0</v>
      </c>
      <c r="W148" s="70">
        <v>145843.70000000001</v>
      </c>
      <c r="X148" s="71">
        <v>630264.84000000008</v>
      </c>
      <c r="Y148" s="71">
        <v>6265745.5099999998</v>
      </c>
      <c r="Z148" s="61">
        <v>2.3126675086815082E-2</v>
      </c>
      <c r="AA148" s="71">
        <v>606309.98</v>
      </c>
      <c r="AB148" s="71">
        <v>0</v>
      </c>
      <c r="AC148" s="71">
        <v>0</v>
      </c>
      <c r="AD148" s="71">
        <v>0</v>
      </c>
      <c r="AE148" s="71">
        <v>0</v>
      </c>
      <c r="AF148" s="71">
        <f t="shared" si="50"/>
        <v>0</v>
      </c>
      <c r="AG148" s="71">
        <v>149804.54</v>
      </c>
      <c r="AH148" s="70">
        <v>11888.39</v>
      </c>
      <c r="AI148" s="70">
        <v>25690.58</v>
      </c>
      <c r="AJ148" s="71">
        <v>0</v>
      </c>
      <c r="AK148" s="70">
        <v>30374.85</v>
      </c>
      <c r="AL148" s="70">
        <v>9152.68</v>
      </c>
      <c r="AM148" s="70">
        <v>20417.66</v>
      </c>
      <c r="AN148" s="70">
        <v>5000</v>
      </c>
      <c r="AO148" s="70">
        <v>4413.6400000000003</v>
      </c>
      <c r="AP148" s="70">
        <v>0</v>
      </c>
      <c r="AQ148" s="70">
        <v>10952.76</v>
      </c>
      <c r="AR148" s="70">
        <v>16553.73</v>
      </c>
      <c r="AS148" s="70">
        <v>0</v>
      </c>
      <c r="AT148" s="70">
        <v>9488</v>
      </c>
      <c r="AU148" s="70">
        <v>9435.7000000000007</v>
      </c>
      <c r="AV148" s="70">
        <v>32042.86</v>
      </c>
      <c r="AW148" s="70">
        <v>335215.39</v>
      </c>
      <c r="AX148" s="70">
        <v>0</v>
      </c>
      <c r="AY148" s="61">
        <f t="shared" si="51"/>
        <v>0</v>
      </c>
      <c r="AZ148" s="71">
        <v>0</v>
      </c>
      <c r="BA148" s="61">
        <v>9.9948736357205567E-2</v>
      </c>
      <c r="BB148" s="70">
        <v>44735.02</v>
      </c>
      <c r="BC148" s="70">
        <v>94555.42</v>
      </c>
      <c r="BD148" s="71">
        <v>244766</v>
      </c>
      <c r="BE148" s="71">
        <v>2.91038304567337E-11</v>
      </c>
      <c r="BF148" s="71">
        <v>265461.65000000002</v>
      </c>
      <c r="BG148" s="71">
        <v>181657.80249999999</v>
      </c>
      <c r="BH148" s="71">
        <v>0</v>
      </c>
      <c r="BI148" s="71">
        <v>0</v>
      </c>
      <c r="BJ148" s="71">
        <f t="shared" si="52"/>
        <v>0</v>
      </c>
      <c r="BK148" s="71">
        <v>0</v>
      </c>
      <c r="BL148" s="60">
        <v>442</v>
      </c>
      <c r="BM148" s="60">
        <v>104</v>
      </c>
      <c r="BN148" s="59">
        <v>0</v>
      </c>
      <c r="BO148" s="59">
        <v>0</v>
      </c>
      <c r="BP148" s="59">
        <v>-5</v>
      </c>
      <c r="BQ148" s="59">
        <v>-5</v>
      </c>
      <c r="BR148" s="59">
        <v>-32</v>
      </c>
      <c r="BS148" s="59">
        <v>-54</v>
      </c>
      <c r="BT148" s="59">
        <v>0</v>
      </c>
      <c r="BU148" s="59">
        <v>0</v>
      </c>
      <c r="BV148" s="59">
        <v>3</v>
      </c>
      <c r="BW148" s="59">
        <v>-86</v>
      </c>
      <c r="BX148" s="59">
        <v>0</v>
      </c>
      <c r="BY148" s="59">
        <v>367</v>
      </c>
      <c r="BZ148" s="59">
        <v>1</v>
      </c>
      <c r="CA148" s="59">
        <v>2</v>
      </c>
      <c r="CB148" s="59">
        <v>56</v>
      </c>
      <c r="CC148" s="59">
        <v>3</v>
      </c>
      <c r="CD148" s="59">
        <v>27</v>
      </c>
      <c r="CE148" s="59">
        <v>0</v>
      </c>
      <c r="CF148" s="59">
        <v>1</v>
      </c>
    </row>
    <row r="149" spans="1:84" s="50" customFormat="1" ht="15.6" customHeight="1" x14ac:dyDescent="0.25">
      <c r="A149" s="43">
        <v>18</v>
      </c>
      <c r="B149" s="44" t="s">
        <v>537</v>
      </c>
      <c r="C149" s="57" t="s">
        <v>538</v>
      </c>
      <c r="D149" s="45" t="s">
        <v>419</v>
      </c>
      <c r="E149" s="46" t="s">
        <v>112</v>
      </c>
      <c r="F149" s="45" t="s">
        <v>180</v>
      </c>
      <c r="G149" s="70">
        <v>49831445.659999996</v>
      </c>
      <c r="H149" s="70">
        <v>0</v>
      </c>
      <c r="I149" s="70">
        <v>1421932.41</v>
      </c>
      <c r="J149" s="70">
        <v>0</v>
      </c>
      <c r="K149" s="71">
        <v>0</v>
      </c>
      <c r="L149" s="71">
        <v>51253378.07</v>
      </c>
      <c r="M149" s="71">
        <v>0</v>
      </c>
      <c r="N149" s="70">
        <v>16098128.33</v>
      </c>
      <c r="O149" s="70">
        <v>3434275.16</v>
      </c>
      <c r="P149" s="72">
        <v>9933454.7400000002</v>
      </c>
      <c r="Q149" s="70">
        <v>241241.93</v>
      </c>
      <c r="R149" s="70">
        <v>3375705.37</v>
      </c>
      <c r="S149" s="70">
        <v>12510767.9</v>
      </c>
      <c r="T149" s="70">
        <v>1457217.23</v>
      </c>
      <c r="U149" s="70">
        <v>0</v>
      </c>
      <c r="V149" s="70">
        <v>0</v>
      </c>
      <c r="W149" s="70">
        <v>1446478.5</v>
      </c>
      <c r="X149" s="71">
        <v>2547781.88</v>
      </c>
      <c r="Y149" s="71">
        <v>51045051.039999999</v>
      </c>
      <c r="Z149" s="61">
        <v>2.002812595102205E-2</v>
      </c>
      <c r="AA149" s="71">
        <v>2477136.88</v>
      </c>
      <c r="AB149" s="71">
        <v>0</v>
      </c>
      <c r="AC149" s="71">
        <v>0</v>
      </c>
      <c r="AD149" s="71">
        <v>0</v>
      </c>
      <c r="AE149" s="71">
        <v>0</v>
      </c>
      <c r="AF149" s="71">
        <f t="shared" si="50"/>
        <v>0</v>
      </c>
      <c r="AG149" s="71">
        <v>1531489.93</v>
      </c>
      <c r="AH149" s="70">
        <v>139658.42000000001</v>
      </c>
      <c r="AI149" s="70">
        <v>295745.09999999998</v>
      </c>
      <c r="AJ149" s="71">
        <v>0</v>
      </c>
      <c r="AK149" s="70">
        <v>441555.96</v>
      </c>
      <c r="AL149" s="70">
        <v>22721.9</v>
      </c>
      <c r="AM149" s="70">
        <v>78953.62</v>
      </c>
      <c r="AN149" s="70">
        <v>12000</v>
      </c>
      <c r="AO149" s="70">
        <v>7986.75</v>
      </c>
      <c r="AP149" s="70">
        <v>0</v>
      </c>
      <c r="AQ149" s="70">
        <v>36179.15</v>
      </c>
      <c r="AR149" s="70">
        <v>13539.56</v>
      </c>
      <c r="AS149" s="70">
        <v>0</v>
      </c>
      <c r="AT149" s="70">
        <v>0</v>
      </c>
      <c r="AU149" s="70">
        <v>32874.129999999997</v>
      </c>
      <c r="AV149" s="70">
        <v>141955.44</v>
      </c>
      <c r="AW149" s="70">
        <v>2754659.96</v>
      </c>
      <c r="AX149" s="70">
        <v>0</v>
      </c>
      <c r="AY149" s="61">
        <f t="shared" si="51"/>
        <v>0</v>
      </c>
      <c r="AZ149" s="71">
        <v>0</v>
      </c>
      <c r="BA149" s="61">
        <v>4.971031538802842E-2</v>
      </c>
      <c r="BB149" s="70">
        <v>95290.48</v>
      </c>
      <c r="BC149" s="70">
        <v>902739.99</v>
      </c>
      <c r="BD149" s="71">
        <v>241807</v>
      </c>
      <c r="BE149" s="71">
        <v>0</v>
      </c>
      <c r="BF149" s="71">
        <v>2205333.0099999998</v>
      </c>
      <c r="BG149" s="71">
        <v>1516668.02</v>
      </c>
      <c r="BH149" s="71">
        <v>0</v>
      </c>
      <c r="BI149" s="71">
        <v>0</v>
      </c>
      <c r="BJ149" s="71">
        <f t="shared" si="52"/>
        <v>0</v>
      </c>
      <c r="BK149" s="71">
        <v>0</v>
      </c>
      <c r="BL149" s="60">
        <v>3357</v>
      </c>
      <c r="BM149" s="60">
        <v>557</v>
      </c>
      <c r="BN149" s="59">
        <v>8</v>
      </c>
      <c r="BO149" s="59">
        <v>-3</v>
      </c>
      <c r="BP149" s="59">
        <v>-6</v>
      </c>
      <c r="BQ149" s="59">
        <v>-20</v>
      </c>
      <c r="BR149" s="59">
        <v>-117</v>
      </c>
      <c r="BS149" s="59">
        <v>-177</v>
      </c>
      <c r="BT149" s="59">
        <v>0</v>
      </c>
      <c r="BU149" s="59">
        <v>-1</v>
      </c>
      <c r="BV149" s="59">
        <v>10</v>
      </c>
      <c r="BW149" s="59">
        <v>-888</v>
      </c>
      <c r="BX149" s="59">
        <v>0</v>
      </c>
      <c r="BY149" s="59">
        <v>2720</v>
      </c>
      <c r="BZ149" s="59">
        <v>23</v>
      </c>
      <c r="CA149" s="59">
        <v>40</v>
      </c>
      <c r="CB149" s="59">
        <v>225</v>
      </c>
      <c r="CC149" s="59">
        <v>84</v>
      </c>
      <c r="CD149" s="59">
        <v>438</v>
      </c>
      <c r="CE149" s="59">
        <v>129</v>
      </c>
      <c r="CF149" s="59">
        <v>12</v>
      </c>
    </row>
    <row r="150" spans="1:84" s="50" customFormat="1" ht="15.6" customHeight="1" x14ac:dyDescent="0.25">
      <c r="A150" s="43">
        <v>18</v>
      </c>
      <c r="B150" s="44" t="s">
        <v>427</v>
      </c>
      <c r="C150" s="57" t="s">
        <v>428</v>
      </c>
      <c r="D150" s="45" t="s">
        <v>429</v>
      </c>
      <c r="E150" s="46" t="s">
        <v>85</v>
      </c>
      <c r="F150" s="45" t="s">
        <v>426</v>
      </c>
      <c r="G150" s="70">
        <v>2326902.2799999998</v>
      </c>
      <c r="H150" s="70">
        <v>0</v>
      </c>
      <c r="I150" s="70">
        <v>80772.289999999994</v>
      </c>
      <c r="J150" s="70">
        <v>5642.2</v>
      </c>
      <c r="K150" s="71">
        <v>0</v>
      </c>
      <c r="L150" s="71">
        <v>2413316.77</v>
      </c>
      <c r="M150" s="71">
        <v>57250.559999999998</v>
      </c>
      <c r="N150" s="70">
        <v>0</v>
      </c>
      <c r="O150" s="70">
        <v>285048.58</v>
      </c>
      <c r="P150" s="72">
        <v>400518.02</v>
      </c>
      <c r="Q150" s="70">
        <v>0</v>
      </c>
      <c r="R150" s="70">
        <v>289510.46000000002</v>
      </c>
      <c r="S150" s="70">
        <v>883662</v>
      </c>
      <c r="T150" s="70">
        <v>183575.62</v>
      </c>
      <c r="U150" s="70">
        <v>0</v>
      </c>
      <c r="V150" s="70">
        <v>0</v>
      </c>
      <c r="W150" s="70">
        <v>92556.51</v>
      </c>
      <c r="X150" s="71">
        <v>238423.89</v>
      </c>
      <c r="Y150" s="71">
        <v>2373295.08</v>
      </c>
      <c r="Z150" s="61">
        <v>5.1707444285111967E-2</v>
      </c>
      <c r="AA150" s="71">
        <v>238423.89</v>
      </c>
      <c r="AB150" s="71">
        <v>0</v>
      </c>
      <c r="AC150" s="71">
        <v>0</v>
      </c>
      <c r="AD150" s="71">
        <v>0</v>
      </c>
      <c r="AE150" s="71">
        <v>0</v>
      </c>
      <c r="AF150" s="71">
        <f t="shared" si="50"/>
        <v>0</v>
      </c>
      <c r="AG150" s="71">
        <v>64747.85</v>
      </c>
      <c r="AH150" s="70">
        <v>5133.72</v>
      </c>
      <c r="AI150" s="70">
        <v>10994.71</v>
      </c>
      <c r="AJ150" s="71">
        <v>0</v>
      </c>
      <c r="AK150" s="70">
        <v>16104</v>
      </c>
      <c r="AL150" s="70">
        <v>6238.25</v>
      </c>
      <c r="AM150" s="70">
        <v>11340</v>
      </c>
      <c r="AN150" s="70">
        <v>3400</v>
      </c>
      <c r="AO150" s="70">
        <v>0</v>
      </c>
      <c r="AP150" s="70">
        <v>0</v>
      </c>
      <c r="AQ150" s="70">
        <v>4641.68</v>
      </c>
      <c r="AR150" s="70">
        <v>400</v>
      </c>
      <c r="AS150" s="70">
        <v>0</v>
      </c>
      <c r="AT150" s="70">
        <v>0</v>
      </c>
      <c r="AU150" s="70">
        <v>1268.27</v>
      </c>
      <c r="AV150" s="70">
        <v>9966.880000000001</v>
      </c>
      <c r="AW150" s="70">
        <v>134235.35999999999</v>
      </c>
      <c r="AX150" s="70">
        <v>34225.51</v>
      </c>
      <c r="AY150" s="61">
        <f t="shared" si="51"/>
        <v>0.25496642613391884</v>
      </c>
      <c r="AZ150" s="71">
        <v>0</v>
      </c>
      <c r="BA150" s="61">
        <v>0.1000036096679104</v>
      </c>
      <c r="BB150" s="70">
        <v>23700.82</v>
      </c>
      <c r="BC150" s="70">
        <v>96617.35</v>
      </c>
      <c r="BD150" s="71">
        <v>109227.78</v>
      </c>
      <c r="BE150" s="71">
        <v>0</v>
      </c>
      <c r="BF150" s="71">
        <v>9997.44</v>
      </c>
      <c r="BG150" s="71">
        <v>0</v>
      </c>
      <c r="BH150" s="71">
        <v>0</v>
      </c>
      <c r="BI150" s="71">
        <v>0</v>
      </c>
      <c r="BJ150" s="71">
        <f t="shared" si="52"/>
        <v>0</v>
      </c>
      <c r="BK150" s="71">
        <v>0</v>
      </c>
      <c r="BL150" s="60">
        <v>323</v>
      </c>
      <c r="BM150" s="60">
        <v>62</v>
      </c>
      <c r="BN150" s="59">
        <v>1</v>
      </c>
      <c r="BO150" s="59">
        <v>-1</v>
      </c>
      <c r="BP150" s="59">
        <v>0</v>
      </c>
      <c r="BQ150" s="59">
        <v>-4</v>
      </c>
      <c r="BR150" s="59">
        <v>-6</v>
      </c>
      <c r="BS150" s="59">
        <v>-13</v>
      </c>
      <c r="BT150" s="59">
        <v>0</v>
      </c>
      <c r="BU150" s="59">
        <v>0</v>
      </c>
      <c r="BV150" s="59">
        <v>1</v>
      </c>
      <c r="BW150" s="59">
        <v>-77</v>
      </c>
      <c r="BX150" s="59">
        <v>0</v>
      </c>
      <c r="BY150" s="59">
        <v>286</v>
      </c>
      <c r="BZ150" s="59">
        <v>3</v>
      </c>
      <c r="CA150" s="59">
        <v>0</v>
      </c>
      <c r="CB150" s="59">
        <v>23</v>
      </c>
      <c r="CC150" s="59">
        <v>6</v>
      </c>
      <c r="CD150" s="59">
        <v>46</v>
      </c>
      <c r="CE150" s="59">
        <v>0</v>
      </c>
      <c r="CF150" s="59">
        <v>2</v>
      </c>
    </row>
    <row r="151" spans="1:84" s="50" customFormat="1" ht="15.6" customHeight="1" x14ac:dyDescent="0.25">
      <c r="A151" s="43">
        <v>19</v>
      </c>
      <c r="B151" s="44" t="s">
        <v>457</v>
      </c>
      <c r="C151" s="57" t="s">
        <v>458</v>
      </c>
      <c r="D151" s="45" t="s">
        <v>434</v>
      </c>
      <c r="E151" s="46" t="s">
        <v>85</v>
      </c>
      <c r="F151" s="45" t="s">
        <v>542</v>
      </c>
      <c r="G151" s="70">
        <v>22521554.739999998</v>
      </c>
      <c r="H151" s="70">
        <v>528619.09</v>
      </c>
      <c r="I151" s="70">
        <v>0</v>
      </c>
      <c r="J151" s="70">
        <v>0</v>
      </c>
      <c r="K151" s="71">
        <v>0</v>
      </c>
      <c r="L151" s="71">
        <v>23050173.829999998</v>
      </c>
      <c r="M151" s="71">
        <v>0</v>
      </c>
      <c r="N151" s="70">
        <v>0</v>
      </c>
      <c r="O151" s="70">
        <v>2008489.92</v>
      </c>
      <c r="P151" s="72">
        <v>3823823.49</v>
      </c>
      <c r="Q151" s="70">
        <v>0</v>
      </c>
      <c r="R151" s="70">
        <v>2289716.19</v>
      </c>
      <c r="S151" s="70">
        <v>10228530.939999999</v>
      </c>
      <c r="T151" s="70">
        <v>2097247.4900000002</v>
      </c>
      <c r="U151" s="70">
        <v>0</v>
      </c>
      <c r="V151" s="70">
        <v>0</v>
      </c>
      <c r="W151" s="70">
        <v>684517.85</v>
      </c>
      <c r="X151" s="71">
        <v>2117026.21</v>
      </c>
      <c r="Y151" s="71">
        <v>23249352.09</v>
      </c>
      <c r="Z151" s="61">
        <v>3.5155272406029968E-2</v>
      </c>
      <c r="AA151" s="71">
        <v>2117026.21</v>
      </c>
      <c r="AB151" s="71">
        <v>0</v>
      </c>
      <c r="AC151" s="71">
        <v>0</v>
      </c>
      <c r="AD151" s="71">
        <v>0</v>
      </c>
      <c r="AE151" s="71">
        <v>0</v>
      </c>
      <c r="AF151" s="71">
        <f t="shared" si="50"/>
        <v>0</v>
      </c>
      <c r="AG151" s="71">
        <v>1060459.0900000001</v>
      </c>
      <c r="AH151" s="70">
        <v>84752.5</v>
      </c>
      <c r="AI151" s="70">
        <v>272973.33</v>
      </c>
      <c r="AJ151" s="71">
        <v>0</v>
      </c>
      <c r="AK151" s="70">
        <v>105998.74</v>
      </c>
      <c r="AL151" s="70">
        <v>2714.6</v>
      </c>
      <c r="AM151" s="70">
        <v>56213.95</v>
      </c>
      <c r="AN151" s="70">
        <v>8100</v>
      </c>
      <c r="AO151" s="70">
        <v>8606.9599999999991</v>
      </c>
      <c r="AP151" s="70">
        <v>0</v>
      </c>
      <c r="AQ151" s="70">
        <v>35670.32</v>
      </c>
      <c r="AR151" s="70">
        <v>13191.82</v>
      </c>
      <c r="AS151" s="70">
        <v>0</v>
      </c>
      <c r="AT151" s="70">
        <v>15585.66</v>
      </c>
      <c r="AU151" s="70">
        <v>7549.67</v>
      </c>
      <c r="AV151" s="70">
        <v>79281.37</v>
      </c>
      <c r="AW151" s="70">
        <v>1751098.01</v>
      </c>
      <c r="AX151" s="70">
        <v>0</v>
      </c>
      <c r="AY151" s="61">
        <f t="shared" si="51"/>
        <v>0</v>
      </c>
      <c r="AZ151" s="71">
        <v>0</v>
      </c>
      <c r="BA151" s="61">
        <v>9.4000002861258952E-2</v>
      </c>
      <c r="BB151" s="70">
        <v>362343.67999999999</v>
      </c>
      <c r="BC151" s="70">
        <v>447991.46</v>
      </c>
      <c r="BD151" s="71">
        <v>244766</v>
      </c>
      <c r="BE151" s="71">
        <v>5.8207660913467401E-11</v>
      </c>
      <c r="BF151" s="71">
        <v>1004335.64</v>
      </c>
      <c r="BG151" s="71">
        <v>566561.13749999902</v>
      </c>
      <c r="BH151" s="71">
        <v>0</v>
      </c>
      <c r="BI151" s="71">
        <v>0</v>
      </c>
      <c r="BJ151" s="71">
        <f t="shared" si="52"/>
        <v>0</v>
      </c>
      <c r="BK151" s="71">
        <v>0</v>
      </c>
      <c r="BL151" s="60">
        <v>2891</v>
      </c>
      <c r="BM151" s="60">
        <v>692</v>
      </c>
      <c r="BN151" s="59">
        <v>8</v>
      </c>
      <c r="BO151" s="59">
        <v>0</v>
      </c>
      <c r="BP151" s="59">
        <v>-19</v>
      </c>
      <c r="BQ151" s="59">
        <v>-30</v>
      </c>
      <c r="BR151" s="59">
        <v>-185</v>
      </c>
      <c r="BS151" s="59">
        <v>-247</v>
      </c>
      <c r="BT151" s="59">
        <v>0</v>
      </c>
      <c r="BU151" s="59">
        <v>0</v>
      </c>
      <c r="BV151" s="59">
        <v>-28</v>
      </c>
      <c r="BW151" s="59">
        <v>-595</v>
      </c>
      <c r="BX151" s="59">
        <v>-6</v>
      </c>
      <c r="BY151" s="59">
        <v>2481</v>
      </c>
      <c r="BZ151" s="59">
        <v>8</v>
      </c>
      <c r="CA151" s="59">
        <v>10</v>
      </c>
      <c r="CB151" s="59">
        <v>167</v>
      </c>
      <c r="CC151" s="59">
        <v>39</v>
      </c>
      <c r="CD151" s="59">
        <v>358</v>
      </c>
      <c r="CE151" s="59">
        <v>24</v>
      </c>
      <c r="CF151" s="59">
        <v>6</v>
      </c>
    </row>
    <row r="152" spans="1:84" s="50" customFormat="1" ht="15.6" customHeight="1" x14ac:dyDescent="0.25">
      <c r="A152" s="43">
        <v>19</v>
      </c>
      <c r="B152" s="44" t="s">
        <v>505</v>
      </c>
      <c r="C152" s="57" t="s">
        <v>511</v>
      </c>
      <c r="D152" s="45" t="s">
        <v>430</v>
      </c>
      <c r="E152" s="46" t="s">
        <v>85</v>
      </c>
      <c r="F152" s="45" t="s">
        <v>431</v>
      </c>
      <c r="G152" s="70">
        <v>46643501.770000003</v>
      </c>
      <c r="H152" s="70">
        <v>0</v>
      </c>
      <c r="I152" s="70">
        <v>2920616.59</v>
      </c>
      <c r="J152" s="70">
        <v>79621.05</v>
      </c>
      <c r="K152" s="71">
        <v>0</v>
      </c>
      <c r="L152" s="71">
        <v>49643739.409999996</v>
      </c>
      <c r="M152" s="71">
        <v>901510.93</v>
      </c>
      <c r="N152" s="70">
        <v>0</v>
      </c>
      <c r="O152" s="70">
        <v>2670142.34</v>
      </c>
      <c r="P152" s="72">
        <v>13750955.029999999</v>
      </c>
      <c r="Q152" s="70">
        <v>0</v>
      </c>
      <c r="R152" s="70">
        <v>4430029.25</v>
      </c>
      <c r="S152" s="70">
        <v>16400356.140000001</v>
      </c>
      <c r="T152" s="70">
        <v>5400071.9800000004</v>
      </c>
      <c r="U152" s="70">
        <v>0</v>
      </c>
      <c r="V152" s="70">
        <v>0</v>
      </c>
      <c r="W152" s="70">
        <v>3039969.71</v>
      </c>
      <c r="X152" s="71">
        <v>4160410.26</v>
      </c>
      <c r="Y152" s="71">
        <v>49851934.710000001</v>
      </c>
      <c r="Z152" s="61">
        <v>0.10764593028968029</v>
      </c>
      <c r="AA152" s="71">
        <v>4160410.26</v>
      </c>
      <c r="AB152" s="71">
        <v>0</v>
      </c>
      <c r="AC152" s="71">
        <v>0</v>
      </c>
      <c r="AD152" s="71">
        <v>0</v>
      </c>
      <c r="AE152" s="71">
        <v>0</v>
      </c>
      <c r="AF152" s="71">
        <f t="shared" si="50"/>
        <v>0</v>
      </c>
      <c r="AG152" s="71">
        <v>1765401.5</v>
      </c>
      <c r="AH152" s="70">
        <v>134953.70000000001</v>
      </c>
      <c r="AI152" s="70">
        <v>430571.87</v>
      </c>
      <c r="AJ152" s="71">
        <v>0</v>
      </c>
      <c r="AK152" s="70">
        <v>195884.14</v>
      </c>
      <c r="AL152" s="70">
        <v>14675.56</v>
      </c>
      <c r="AM152" s="70">
        <v>256003.38</v>
      </c>
      <c r="AN152" s="70">
        <v>8500</v>
      </c>
      <c r="AO152" s="70">
        <v>6620.5</v>
      </c>
      <c r="AP152" s="70">
        <v>3493.85</v>
      </c>
      <c r="AQ152" s="70">
        <v>100578.47</v>
      </c>
      <c r="AR152" s="70">
        <v>33437.69</v>
      </c>
      <c r="AS152" s="70">
        <v>1590</v>
      </c>
      <c r="AT152" s="70">
        <v>16036.64</v>
      </c>
      <c r="AU152" s="70">
        <v>22952.01</v>
      </c>
      <c r="AV152" s="70">
        <v>127053.56</v>
      </c>
      <c r="AW152" s="70">
        <v>3117752.87</v>
      </c>
      <c r="AX152" s="70">
        <v>0</v>
      </c>
      <c r="AY152" s="61">
        <f t="shared" si="51"/>
        <v>0</v>
      </c>
      <c r="AZ152" s="71">
        <v>0</v>
      </c>
      <c r="BA152" s="61">
        <v>8.7504661871717182E-2</v>
      </c>
      <c r="BB152" s="70">
        <v>765050.59</v>
      </c>
      <c r="BC152" s="70">
        <v>4255932.55</v>
      </c>
      <c r="BD152" s="71">
        <v>241807</v>
      </c>
      <c r="BE152" s="71">
        <v>0</v>
      </c>
      <c r="BF152" s="71">
        <v>4480099.66</v>
      </c>
      <c r="BG152" s="71">
        <v>3700661.4424999999</v>
      </c>
      <c r="BH152" s="71">
        <v>0</v>
      </c>
      <c r="BI152" s="71">
        <v>0</v>
      </c>
      <c r="BJ152" s="71">
        <f t="shared" si="52"/>
        <v>0</v>
      </c>
      <c r="BK152" s="71">
        <v>0</v>
      </c>
      <c r="BL152" s="60">
        <v>6924</v>
      </c>
      <c r="BM152" s="60">
        <v>2048</v>
      </c>
      <c r="BN152" s="59">
        <v>1</v>
      </c>
      <c r="BO152" s="59">
        <v>0</v>
      </c>
      <c r="BP152" s="59">
        <v>-39</v>
      </c>
      <c r="BQ152" s="59">
        <v>-66</v>
      </c>
      <c r="BR152" s="59">
        <v>-515</v>
      </c>
      <c r="BS152" s="59">
        <v>-726</v>
      </c>
      <c r="BT152" s="59">
        <v>0</v>
      </c>
      <c r="BU152" s="59">
        <v>0</v>
      </c>
      <c r="BV152" s="59">
        <v>28</v>
      </c>
      <c r="BW152" s="59">
        <v>-1583</v>
      </c>
      <c r="BX152" s="59">
        <v>-2</v>
      </c>
      <c r="BY152" s="59">
        <v>6070</v>
      </c>
      <c r="BZ152" s="59">
        <v>5</v>
      </c>
      <c r="CA152" s="59">
        <v>15</v>
      </c>
      <c r="CB152" s="59">
        <v>375</v>
      </c>
      <c r="CC152" s="59">
        <v>76</v>
      </c>
      <c r="CD152" s="59">
        <v>765</v>
      </c>
      <c r="CE152" s="59">
        <v>350</v>
      </c>
      <c r="CF152" s="59">
        <v>8</v>
      </c>
    </row>
    <row r="153" spans="1:84" s="50" customFormat="1" ht="15.6" customHeight="1" x14ac:dyDescent="0.25">
      <c r="A153" s="43">
        <v>19</v>
      </c>
      <c r="B153" s="44" t="s">
        <v>432</v>
      </c>
      <c r="C153" s="57" t="s">
        <v>433</v>
      </c>
      <c r="D153" s="45" t="s">
        <v>434</v>
      </c>
      <c r="E153" s="46" t="s">
        <v>85</v>
      </c>
      <c r="F153" s="45" t="s">
        <v>435</v>
      </c>
      <c r="G153" s="70">
        <v>19424059.960000001</v>
      </c>
      <c r="H153" s="70">
        <v>0</v>
      </c>
      <c r="I153" s="70">
        <v>167048.65</v>
      </c>
      <c r="J153" s="70">
        <v>0</v>
      </c>
      <c r="K153" s="71">
        <v>0</v>
      </c>
      <c r="L153" s="71">
        <v>19591108.609999999</v>
      </c>
      <c r="M153" s="71">
        <v>0</v>
      </c>
      <c r="N153" s="70">
        <v>16813.29</v>
      </c>
      <c r="O153" s="70">
        <v>2278672.9700000002</v>
      </c>
      <c r="P153" s="72">
        <v>3266416.81</v>
      </c>
      <c r="Q153" s="70">
        <v>0</v>
      </c>
      <c r="R153" s="70">
        <v>2086393.34</v>
      </c>
      <c r="S153" s="70">
        <v>8148080.4000000004</v>
      </c>
      <c r="T153" s="70">
        <v>2014330.84</v>
      </c>
      <c r="U153" s="70">
        <v>0</v>
      </c>
      <c r="V153" s="70">
        <v>0</v>
      </c>
      <c r="W153" s="70">
        <v>226116.76</v>
      </c>
      <c r="X153" s="71">
        <v>1843761.73</v>
      </c>
      <c r="Y153" s="71">
        <v>19880586.140000001</v>
      </c>
      <c r="Z153" s="61">
        <v>0.11114032104748506</v>
      </c>
      <c r="AA153" s="71">
        <v>1843761.73</v>
      </c>
      <c r="AB153" s="71">
        <v>0</v>
      </c>
      <c r="AC153" s="71">
        <v>0</v>
      </c>
      <c r="AD153" s="71">
        <v>0</v>
      </c>
      <c r="AE153" s="71">
        <v>0</v>
      </c>
      <c r="AF153" s="71">
        <f t="shared" si="50"/>
        <v>0</v>
      </c>
      <c r="AG153" s="71">
        <v>1005409.34</v>
      </c>
      <c r="AH153" s="70">
        <v>78709.03</v>
      </c>
      <c r="AI153" s="70">
        <v>186908.88</v>
      </c>
      <c r="AJ153" s="71">
        <v>0</v>
      </c>
      <c r="AK153" s="70">
        <v>132145.01</v>
      </c>
      <c r="AL153" s="70">
        <v>4549.6400000000003</v>
      </c>
      <c r="AM153" s="70">
        <v>93001.96</v>
      </c>
      <c r="AN153" s="70">
        <v>8500</v>
      </c>
      <c r="AO153" s="70">
        <v>1285</v>
      </c>
      <c r="AP153" s="70">
        <v>0</v>
      </c>
      <c r="AQ153" s="70">
        <v>34569.78</v>
      </c>
      <c r="AR153" s="70">
        <v>9576.52</v>
      </c>
      <c r="AS153" s="70">
        <v>0</v>
      </c>
      <c r="AT153" s="70">
        <v>10521.23</v>
      </c>
      <c r="AU153" s="70">
        <v>15127.21</v>
      </c>
      <c r="AV153" s="70">
        <v>54584.159999999996</v>
      </c>
      <c r="AW153" s="70">
        <v>1634887.76</v>
      </c>
      <c r="AX153" s="70">
        <v>0</v>
      </c>
      <c r="AY153" s="61">
        <f t="shared" si="51"/>
        <v>0</v>
      </c>
      <c r="AZ153" s="71">
        <v>0</v>
      </c>
      <c r="BA153" s="61">
        <v>9.4921542344744689E-2</v>
      </c>
      <c r="BB153" s="70">
        <v>207691.59</v>
      </c>
      <c r="BC153" s="70">
        <v>1951104.67</v>
      </c>
      <c r="BD153" s="71">
        <v>244766</v>
      </c>
      <c r="BE153" s="71">
        <v>0</v>
      </c>
      <c r="BF153" s="71">
        <v>721417.92000000097</v>
      </c>
      <c r="BG153" s="71">
        <v>312695.98000000103</v>
      </c>
      <c r="BH153" s="71">
        <v>0</v>
      </c>
      <c r="BI153" s="71">
        <v>0</v>
      </c>
      <c r="BJ153" s="71">
        <f t="shared" si="52"/>
        <v>0</v>
      </c>
      <c r="BK153" s="71">
        <v>0</v>
      </c>
      <c r="BL153" s="60">
        <v>2960</v>
      </c>
      <c r="BM153" s="60">
        <v>593</v>
      </c>
      <c r="BN153" s="59">
        <v>0</v>
      </c>
      <c r="BO153" s="59">
        <v>0</v>
      </c>
      <c r="BP153" s="59">
        <v>-9</v>
      </c>
      <c r="BQ153" s="59">
        <v>-37</v>
      </c>
      <c r="BR153" s="59">
        <v>-105</v>
      </c>
      <c r="BS153" s="59">
        <v>-258</v>
      </c>
      <c r="BT153" s="59">
        <v>0</v>
      </c>
      <c r="BU153" s="59">
        <v>0</v>
      </c>
      <c r="BV153" s="59">
        <v>13</v>
      </c>
      <c r="BW153" s="59">
        <v>-636</v>
      </c>
      <c r="BX153" s="59">
        <v>-2</v>
      </c>
      <c r="BY153" s="59">
        <v>2519</v>
      </c>
      <c r="BZ153" s="59">
        <v>4</v>
      </c>
      <c r="CA153" s="59">
        <v>14</v>
      </c>
      <c r="CB153" s="59">
        <v>124</v>
      </c>
      <c r="CC153" s="59">
        <v>51</v>
      </c>
      <c r="CD153" s="59">
        <v>456</v>
      </c>
      <c r="CE153" s="59">
        <v>2</v>
      </c>
      <c r="CF153" s="59">
        <v>1</v>
      </c>
    </row>
    <row r="154" spans="1:84" s="50" customFormat="1" ht="15.6" customHeight="1" x14ac:dyDescent="0.25">
      <c r="A154" s="43">
        <v>20</v>
      </c>
      <c r="B154" s="44" t="s">
        <v>436</v>
      </c>
      <c r="C154" s="57" t="s">
        <v>141</v>
      </c>
      <c r="D154" s="45" t="s">
        <v>437</v>
      </c>
      <c r="E154" s="46" t="s">
        <v>106</v>
      </c>
      <c r="F154" s="45" t="s">
        <v>438</v>
      </c>
      <c r="G154" s="70">
        <v>5594073.8099999996</v>
      </c>
      <c r="H154" s="70">
        <v>0</v>
      </c>
      <c r="I154" s="70">
        <v>133056.64000000001</v>
      </c>
      <c r="J154" s="70">
        <v>0</v>
      </c>
      <c r="K154" s="71">
        <v>1443.53</v>
      </c>
      <c r="L154" s="71">
        <v>5728573.9800000004</v>
      </c>
      <c r="M154" s="71">
        <v>0</v>
      </c>
      <c r="N154" s="70">
        <v>1196468.1399999999</v>
      </c>
      <c r="O154" s="70">
        <v>302361.42</v>
      </c>
      <c r="P154" s="72">
        <v>1536128.86</v>
      </c>
      <c r="Q154" s="70">
        <v>17289.169999999998</v>
      </c>
      <c r="R154" s="70">
        <v>159575.74</v>
      </c>
      <c r="S154" s="70">
        <v>1610653.78</v>
      </c>
      <c r="T154" s="70">
        <v>209098.47</v>
      </c>
      <c r="U154" s="70">
        <v>0</v>
      </c>
      <c r="V154" s="70">
        <v>0</v>
      </c>
      <c r="W154" s="70">
        <v>169862.13</v>
      </c>
      <c r="X154" s="71">
        <v>560654.19999999995</v>
      </c>
      <c r="Y154" s="71">
        <v>5762091.9100000001</v>
      </c>
      <c r="Z154" s="61">
        <v>0.10273809740812108</v>
      </c>
      <c r="AA154" s="71">
        <v>559334.12</v>
      </c>
      <c r="AB154" s="71">
        <v>0</v>
      </c>
      <c r="AC154" s="71">
        <v>0</v>
      </c>
      <c r="AD154" s="71">
        <v>1320.08</v>
      </c>
      <c r="AE154" s="71">
        <v>428.88</v>
      </c>
      <c r="AF154" s="71">
        <f t="shared" si="50"/>
        <v>1748.96</v>
      </c>
      <c r="AG154" s="71">
        <v>161397.26</v>
      </c>
      <c r="AH154" s="70">
        <v>15506.1</v>
      </c>
      <c r="AI154" s="70">
        <v>0</v>
      </c>
      <c r="AJ154" s="71">
        <v>0</v>
      </c>
      <c r="AK154" s="70">
        <v>15653.34</v>
      </c>
      <c r="AL154" s="70">
        <v>38640</v>
      </c>
      <c r="AM154" s="70">
        <v>46276.7</v>
      </c>
      <c r="AN154" s="70">
        <v>8650</v>
      </c>
      <c r="AO154" s="70">
        <v>0</v>
      </c>
      <c r="AP154" s="70">
        <v>0</v>
      </c>
      <c r="AQ154" s="70">
        <v>12232.7</v>
      </c>
      <c r="AR154" s="70">
        <v>14901.51</v>
      </c>
      <c r="AS154" s="70">
        <v>0</v>
      </c>
      <c r="AT154" s="70">
        <v>5268.27</v>
      </c>
      <c r="AU154" s="70">
        <v>4975.04</v>
      </c>
      <c r="AV154" s="70">
        <v>18284.82</v>
      </c>
      <c r="AW154" s="70">
        <v>341785.74</v>
      </c>
      <c r="AX154" s="70">
        <v>0</v>
      </c>
      <c r="AY154" s="61">
        <f t="shared" si="51"/>
        <v>0</v>
      </c>
      <c r="AZ154" s="71">
        <v>0</v>
      </c>
      <c r="BA154" s="61">
        <v>9.9986903819561879E-2</v>
      </c>
      <c r="BB154" s="70">
        <v>78161.490000000005</v>
      </c>
      <c r="BC154" s="70">
        <v>496563.01</v>
      </c>
      <c r="BD154" s="71">
        <v>244766</v>
      </c>
      <c r="BE154" s="71">
        <v>2.91038304567337E-11</v>
      </c>
      <c r="BF154" s="71">
        <v>249842.14</v>
      </c>
      <c r="BG154" s="71">
        <v>164395.70499999999</v>
      </c>
      <c r="BH154" s="71">
        <v>0</v>
      </c>
      <c r="BI154" s="71">
        <v>0</v>
      </c>
      <c r="BJ154" s="71">
        <f t="shared" si="52"/>
        <v>0</v>
      </c>
      <c r="BK154" s="71">
        <v>0</v>
      </c>
      <c r="BL154" s="60">
        <v>304</v>
      </c>
      <c r="BM154" s="60">
        <v>70</v>
      </c>
      <c r="BN154" s="59">
        <v>0</v>
      </c>
      <c r="BO154" s="59">
        <v>0</v>
      </c>
      <c r="BP154" s="59">
        <v>-4</v>
      </c>
      <c r="BQ154" s="59">
        <v>-4</v>
      </c>
      <c r="BR154" s="59">
        <v>-11</v>
      </c>
      <c r="BS154" s="59">
        <v>-28</v>
      </c>
      <c r="BT154" s="59">
        <v>0</v>
      </c>
      <c r="BU154" s="59">
        <v>0</v>
      </c>
      <c r="BV154" s="59">
        <v>1</v>
      </c>
      <c r="BW154" s="59">
        <v>-56</v>
      </c>
      <c r="BX154" s="59">
        <v>0</v>
      </c>
      <c r="BY154" s="59">
        <v>272</v>
      </c>
      <c r="BZ154" s="59">
        <v>4</v>
      </c>
      <c r="CA154" s="59">
        <v>0</v>
      </c>
      <c r="CB154" s="59">
        <v>40</v>
      </c>
      <c r="CC154" s="59">
        <v>3</v>
      </c>
      <c r="CD154" s="59">
        <v>7</v>
      </c>
      <c r="CE154" s="59">
        <v>4</v>
      </c>
      <c r="CF154" s="59">
        <v>2</v>
      </c>
    </row>
    <row r="155" spans="1:84" s="50" customFormat="1" ht="15.6" customHeight="1" x14ac:dyDescent="0.25">
      <c r="A155" s="43">
        <v>20</v>
      </c>
      <c r="B155" s="44" t="s">
        <v>540</v>
      </c>
      <c r="C155" s="57" t="s">
        <v>527</v>
      </c>
      <c r="D155" s="45" t="s">
        <v>449</v>
      </c>
      <c r="E155" s="46" t="s">
        <v>85</v>
      </c>
      <c r="F155" s="45" t="s">
        <v>450</v>
      </c>
      <c r="G155" s="70">
        <v>9159162.6799999997</v>
      </c>
      <c r="H155" s="70">
        <v>0</v>
      </c>
      <c r="I155" s="70">
        <v>603538.53</v>
      </c>
      <c r="J155" s="70">
        <v>0</v>
      </c>
      <c r="K155" s="71">
        <v>0</v>
      </c>
      <c r="L155" s="71">
        <v>9762701.2100000009</v>
      </c>
      <c r="M155" s="71">
        <v>0</v>
      </c>
      <c r="N155" s="70">
        <v>598176.11</v>
      </c>
      <c r="O155" s="70">
        <v>713452.46</v>
      </c>
      <c r="P155" s="72">
        <v>2003304.14</v>
      </c>
      <c r="Q155" s="70">
        <v>0</v>
      </c>
      <c r="R155" s="70">
        <v>668049.34</v>
      </c>
      <c r="S155" s="70">
        <v>3548929.7</v>
      </c>
      <c r="T155" s="70">
        <v>671506.61</v>
      </c>
      <c r="U155" s="70">
        <v>0</v>
      </c>
      <c r="V155" s="70">
        <v>0</v>
      </c>
      <c r="W155" s="70">
        <v>602688.53</v>
      </c>
      <c r="X155" s="71">
        <v>922237.22</v>
      </c>
      <c r="Y155" s="71">
        <v>9728344.1099999994</v>
      </c>
      <c r="Z155" s="61">
        <v>9.6409033320063273E-2</v>
      </c>
      <c r="AA155" s="71">
        <v>828071.23</v>
      </c>
      <c r="AB155" s="71">
        <v>0</v>
      </c>
      <c r="AC155" s="71">
        <v>0</v>
      </c>
      <c r="AD155" s="71">
        <v>0</v>
      </c>
      <c r="AE155" s="71">
        <v>0</v>
      </c>
      <c r="AF155" s="71">
        <f t="shared" si="50"/>
        <v>0</v>
      </c>
      <c r="AG155" s="71">
        <v>218871</v>
      </c>
      <c r="AH155" s="70">
        <v>17143.79</v>
      </c>
      <c r="AI155" s="70">
        <v>49769.32</v>
      </c>
      <c r="AJ155" s="71">
        <v>0</v>
      </c>
      <c r="AK155" s="70">
        <v>48231.73</v>
      </c>
      <c r="AL155" s="70">
        <v>18620.689999999999</v>
      </c>
      <c r="AM155" s="70">
        <v>44888.55</v>
      </c>
      <c r="AN155" s="70">
        <v>8350</v>
      </c>
      <c r="AO155" s="70">
        <v>4142.9399999999996</v>
      </c>
      <c r="AP155" s="70">
        <v>0</v>
      </c>
      <c r="AQ155" s="70">
        <v>14484.880000000001</v>
      </c>
      <c r="AR155" s="70">
        <v>12562.35</v>
      </c>
      <c r="AS155" s="70">
        <v>360</v>
      </c>
      <c r="AT155" s="70">
        <v>18051.96</v>
      </c>
      <c r="AU155" s="70">
        <v>7783.9</v>
      </c>
      <c r="AV155" s="70">
        <v>33962.370000000003</v>
      </c>
      <c r="AW155" s="70">
        <v>497223.48</v>
      </c>
      <c r="AX155" s="70">
        <v>0</v>
      </c>
      <c r="AY155" s="61">
        <f t="shared" si="51"/>
        <v>0</v>
      </c>
      <c r="AZ155" s="71">
        <v>0</v>
      </c>
      <c r="BA155" s="61">
        <v>9.0409053636330866E-2</v>
      </c>
      <c r="BB155" s="70">
        <v>365786.88</v>
      </c>
      <c r="BC155" s="70">
        <v>517239.14</v>
      </c>
      <c r="BD155" s="71">
        <v>241807</v>
      </c>
      <c r="BE155" s="71">
        <v>0</v>
      </c>
      <c r="BF155" s="71">
        <v>588887.14</v>
      </c>
      <c r="BG155" s="71">
        <v>464581.27</v>
      </c>
      <c r="BH155" s="71">
        <v>0</v>
      </c>
      <c r="BI155" s="71">
        <v>0</v>
      </c>
      <c r="BJ155" s="71">
        <f t="shared" si="52"/>
        <v>0</v>
      </c>
      <c r="BK155" s="71">
        <v>0</v>
      </c>
      <c r="BL155" s="60">
        <v>809</v>
      </c>
      <c r="BM155" s="60">
        <v>160</v>
      </c>
      <c r="BN155" s="59">
        <v>0</v>
      </c>
      <c r="BO155" s="59">
        <v>0</v>
      </c>
      <c r="BP155" s="59">
        <v>-12</v>
      </c>
      <c r="BQ155" s="59">
        <v>-34</v>
      </c>
      <c r="BR155" s="59">
        <v>-37</v>
      </c>
      <c r="BS155" s="59">
        <v>-49</v>
      </c>
      <c r="BT155" s="59">
        <v>0</v>
      </c>
      <c r="BU155" s="59">
        <v>0</v>
      </c>
      <c r="BV155" s="59">
        <v>7</v>
      </c>
      <c r="BW155" s="59">
        <v>-132</v>
      </c>
      <c r="BX155" s="59">
        <v>0</v>
      </c>
      <c r="BY155" s="59">
        <v>712</v>
      </c>
      <c r="BZ155" s="59">
        <v>4</v>
      </c>
      <c r="CA155" s="59">
        <v>0</v>
      </c>
      <c r="CB155" s="59">
        <v>56</v>
      </c>
      <c r="CC155" s="59">
        <v>9</v>
      </c>
      <c r="CD155" s="59">
        <v>58</v>
      </c>
      <c r="CE155" s="59">
        <v>0</v>
      </c>
      <c r="CF155" s="59">
        <v>3</v>
      </c>
    </row>
    <row r="156" spans="1:84" s="50" customFormat="1" ht="15.6" customHeight="1" x14ac:dyDescent="0.25">
      <c r="A156" s="43">
        <v>20</v>
      </c>
      <c r="B156" s="44" t="s">
        <v>518</v>
      </c>
      <c r="C156" s="57" t="s">
        <v>150</v>
      </c>
      <c r="D156" s="45" t="s">
        <v>452</v>
      </c>
      <c r="E156" s="46" t="s">
        <v>85</v>
      </c>
      <c r="F156" s="45" t="s">
        <v>444</v>
      </c>
      <c r="G156" s="70">
        <v>15098129.58</v>
      </c>
      <c r="H156" s="70">
        <v>0</v>
      </c>
      <c r="I156" s="70">
        <v>324514.07</v>
      </c>
      <c r="J156" s="70">
        <v>0</v>
      </c>
      <c r="K156" s="71">
        <v>4091.15</v>
      </c>
      <c r="L156" s="71">
        <v>15426734.800000001</v>
      </c>
      <c r="M156" s="71">
        <v>0</v>
      </c>
      <c r="N156" s="70">
        <v>2566813.9300000002</v>
      </c>
      <c r="O156" s="70">
        <v>733979.92</v>
      </c>
      <c r="P156" s="72">
        <v>3959493.77</v>
      </c>
      <c r="Q156" s="70">
        <v>918.31</v>
      </c>
      <c r="R156" s="70">
        <v>1064290.42</v>
      </c>
      <c r="S156" s="70">
        <v>4797277.62</v>
      </c>
      <c r="T156" s="70">
        <v>804864.22</v>
      </c>
      <c r="U156" s="70">
        <v>0</v>
      </c>
      <c r="V156" s="70">
        <v>0</v>
      </c>
      <c r="W156" s="70">
        <v>355876.39</v>
      </c>
      <c r="X156" s="71">
        <v>1294007.18</v>
      </c>
      <c r="Y156" s="71">
        <v>15577521.76</v>
      </c>
      <c r="Z156" s="61">
        <v>4.3844895256224051E-2</v>
      </c>
      <c r="AA156" s="71">
        <v>1245605.49</v>
      </c>
      <c r="AB156" s="71">
        <v>0</v>
      </c>
      <c r="AC156" s="71">
        <v>0</v>
      </c>
      <c r="AD156" s="71">
        <v>4091.15</v>
      </c>
      <c r="AE156" s="71">
        <v>0</v>
      </c>
      <c r="AF156" s="71">
        <f t="shared" si="50"/>
        <v>4091.15</v>
      </c>
      <c r="AG156" s="71">
        <v>645247.30000000005</v>
      </c>
      <c r="AH156" s="70">
        <v>50899.6</v>
      </c>
      <c r="AI156" s="70">
        <v>134198.5</v>
      </c>
      <c r="AJ156" s="71">
        <v>0</v>
      </c>
      <c r="AK156" s="70">
        <v>79132.240000000005</v>
      </c>
      <c r="AL156" s="70">
        <v>37982.839999999997</v>
      </c>
      <c r="AM156" s="70">
        <v>39792.81</v>
      </c>
      <c r="AN156" s="70">
        <v>8450</v>
      </c>
      <c r="AO156" s="70">
        <v>7556</v>
      </c>
      <c r="AP156" s="70">
        <v>0</v>
      </c>
      <c r="AQ156" s="70">
        <v>12634.839999999998</v>
      </c>
      <c r="AR156" s="70">
        <v>8694.74</v>
      </c>
      <c r="AS156" s="70">
        <v>0</v>
      </c>
      <c r="AT156" s="70">
        <v>4278.25</v>
      </c>
      <c r="AU156" s="70">
        <v>6666</v>
      </c>
      <c r="AV156" s="70">
        <v>111483.81999999999</v>
      </c>
      <c r="AW156" s="70">
        <v>1147016.94</v>
      </c>
      <c r="AX156" s="70">
        <v>0</v>
      </c>
      <c r="AY156" s="61">
        <f t="shared" si="51"/>
        <v>0</v>
      </c>
      <c r="AZ156" s="71">
        <v>0</v>
      </c>
      <c r="BA156" s="61">
        <v>8.250064906384251E-2</v>
      </c>
      <c r="BB156" s="70">
        <v>156618.59</v>
      </c>
      <c r="BC156" s="70">
        <v>505357.32</v>
      </c>
      <c r="BD156" s="71">
        <v>241807</v>
      </c>
      <c r="BE156" s="71">
        <v>0</v>
      </c>
      <c r="BF156" s="71">
        <v>1005136.86</v>
      </c>
      <c r="BG156" s="71">
        <v>718382.625</v>
      </c>
      <c r="BH156" s="71">
        <v>0</v>
      </c>
      <c r="BI156" s="71">
        <v>0</v>
      </c>
      <c r="BJ156" s="71">
        <f t="shared" si="52"/>
        <v>0</v>
      </c>
      <c r="BK156" s="71">
        <v>0</v>
      </c>
      <c r="BL156" s="60">
        <v>1612</v>
      </c>
      <c r="BM156" s="60">
        <v>334</v>
      </c>
      <c r="BN156" s="59">
        <v>85</v>
      </c>
      <c r="BO156" s="59">
        <v>-75</v>
      </c>
      <c r="BP156" s="59">
        <v>0</v>
      </c>
      <c r="BQ156" s="59">
        <v>-29</v>
      </c>
      <c r="BR156" s="59">
        <v>-10</v>
      </c>
      <c r="BS156" s="59">
        <v>-65</v>
      </c>
      <c r="BT156" s="59">
        <v>0</v>
      </c>
      <c r="BU156" s="59">
        <v>0</v>
      </c>
      <c r="BV156" s="59">
        <v>0</v>
      </c>
      <c r="BW156" s="59">
        <v>-437</v>
      </c>
      <c r="BX156" s="59">
        <v>0</v>
      </c>
      <c r="BY156" s="59">
        <v>1415</v>
      </c>
      <c r="BZ156" s="59">
        <v>1</v>
      </c>
      <c r="CA156" s="59">
        <v>18</v>
      </c>
      <c r="CB156" s="59">
        <v>93</v>
      </c>
      <c r="CC156" s="59">
        <v>25</v>
      </c>
      <c r="CD156" s="59">
        <v>263</v>
      </c>
      <c r="CE156" s="59">
        <v>37</v>
      </c>
      <c r="CF156" s="59">
        <v>0</v>
      </c>
    </row>
    <row r="157" spans="1:84" s="50" customFormat="1" ht="15.6" customHeight="1" x14ac:dyDescent="0.25">
      <c r="A157" s="43">
        <v>20</v>
      </c>
      <c r="B157" s="44" t="s">
        <v>439</v>
      </c>
      <c r="C157" s="57" t="s">
        <v>440</v>
      </c>
      <c r="D157" s="45" t="s">
        <v>441</v>
      </c>
      <c r="E157" s="46" t="s">
        <v>103</v>
      </c>
      <c r="F157" s="45" t="s">
        <v>438</v>
      </c>
      <c r="G157" s="70">
        <v>9549341.8399999999</v>
      </c>
      <c r="H157" s="70">
        <v>0</v>
      </c>
      <c r="I157" s="70">
        <v>71227.56</v>
      </c>
      <c r="J157" s="70">
        <v>0</v>
      </c>
      <c r="K157" s="71">
        <v>0</v>
      </c>
      <c r="L157" s="71">
        <v>9620569.4000000004</v>
      </c>
      <c r="M157" s="71">
        <v>0</v>
      </c>
      <c r="N157" s="70">
        <v>2102981.08</v>
      </c>
      <c r="O157" s="70">
        <v>594957.48</v>
      </c>
      <c r="P157" s="72">
        <v>2538581.9900000002</v>
      </c>
      <c r="Q157" s="70">
        <v>0</v>
      </c>
      <c r="R157" s="70">
        <v>588552.94999999995</v>
      </c>
      <c r="S157" s="70">
        <v>2619888.77</v>
      </c>
      <c r="T157" s="70">
        <v>333209.34000000003</v>
      </c>
      <c r="U157" s="70">
        <v>0</v>
      </c>
      <c r="V157" s="70">
        <v>0</v>
      </c>
      <c r="W157" s="70">
        <v>183509.03</v>
      </c>
      <c r="X157" s="71">
        <v>954932.28</v>
      </c>
      <c r="Y157" s="71">
        <v>9916612.9199999999</v>
      </c>
      <c r="Z157" s="61">
        <v>0.111839549562089</v>
      </c>
      <c r="AA157" s="71">
        <v>954932.28</v>
      </c>
      <c r="AB157" s="71">
        <v>0</v>
      </c>
      <c r="AC157" s="71">
        <v>0</v>
      </c>
      <c r="AD157" s="71">
        <v>0</v>
      </c>
      <c r="AE157" s="71">
        <v>262.61</v>
      </c>
      <c r="AF157" s="71">
        <f t="shared" si="50"/>
        <v>262.61</v>
      </c>
      <c r="AG157" s="71">
        <v>352188.69</v>
      </c>
      <c r="AH157" s="70">
        <v>27492.560000000001</v>
      </c>
      <c r="AI157" s="70">
        <v>56637.09</v>
      </c>
      <c r="AJ157" s="71">
        <v>0</v>
      </c>
      <c r="AK157" s="70">
        <v>34894.129999999997</v>
      </c>
      <c r="AL157" s="70">
        <v>17809.7</v>
      </c>
      <c r="AM157" s="70">
        <v>28048.73</v>
      </c>
      <c r="AN157" s="70">
        <v>8550</v>
      </c>
      <c r="AO157" s="70">
        <v>0</v>
      </c>
      <c r="AP157" s="70">
        <v>0</v>
      </c>
      <c r="AQ157" s="70">
        <v>10113.07</v>
      </c>
      <c r="AR157" s="70">
        <v>700</v>
      </c>
      <c r="AS157" s="70">
        <v>0</v>
      </c>
      <c r="AT157" s="70">
        <v>0</v>
      </c>
      <c r="AU157" s="70">
        <v>14948.4</v>
      </c>
      <c r="AV157" s="70">
        <v>27240.83</v>
      </c>
      <c r="AW157" s="70">
        <v>578623.19999999995</v>
      </c>
      <c r="AX157" s="70">
        <v>155473.76999999999</v>
      </c>
      <c r="AY157" s="61">
        <f t="shared" si="51"/>
        <v>0.26869605297540783</v>
      </c>
      <c r="AZ157" s="71">
        <v>0</v>
      </c>
      <c r="BA157" s="61">
        <v>9.9999800614531148E-2</v>
      </c>
      <c r="BB157" s="70">
        <v>186297</v>
      </c>
      <c r="BC157" s="70">
        <v>881697.09</v>
      </c>
      <c r="BD157" s="71">
        <v>244766</v>
      </c>
      <c r="BE157" s="71">
        <v>0</v>
      </c>
      <c r="BF157" s="71">
        <v>613832.76</v>
      </c>
      <c r="BG157" s="71">
        <v>469176.96</v>
      </c>
      <c r="BH157" s="71">
        <v>0</v>
      </c>
      <c r="BI157" s="71">
        <v>0</v>
      </c>
      <c r="BJ157" s="71">
        <f t="shared" si="52"/>
        <v>0</v>
      </c>
      <c r="BK157" s="71">
        <v>0</v>
      </c>
      <c r="BL157" s="60">
        <v>533</v>
      </c>
      <c r="BM157" s="60">
        <v>119</v>
      </c>
      <c r="BN157" s="59">
        <v>0</v>
      </c>
      <c r="BO157" s="59">
        <v>-1</v>
      </c>
      <c r="BP157" s="59">
        <v>0</v>
      </c>
      <c r="BQ157" s="59">
        <v>-6</v>
      </c>
      <c r="BR157" s="59">
        <v>-30</v>
      </c>
      <c r="BS157" s="59">
        <v>-46</v>
      </c>
      <c r="BT157" s="59">
        <v>2</v>
      </c>
      <c r="BU157" s="59">
        <v>0</v>
      </c>
      <c r="BV157" s="59">
        <v>4</v>
      </c>
      <c r="BW157" s="59">
        <v>-110</v>
      </c>
      <c r="BX157" s="59">
        <v>-1</v>
      </c>
      <c r="BY157" s="59">
        <v>464</v>
      </c>
      <c r="BZ157" s="59">
        <v>0</v>
      </c>
      <c r="CA157" s="59">
        <v>31</v>
      </c>
      <c r="CB157" s="59">
        <v>53</v>
      </c>
      <c r="CC157" s="59">
        <v>18</v>
      </c>
      <c r="CD157" s="59">
        <v>38</v>
      </c>
      <c r="CE157" s="59">
        <v>0</v>
      </c>
      <c r="CF157" s="59">
        <v>1</v>
      </c>
    </row>
    <row r="158" spans="1:84" s="50" customFormat="1" ht="15.6" customHeight="1" x14ac:dyDescent="0.25">
      <c r="A158" s="43">
        <v>20</v>
      </c>
      <c r="B158" s="44" t="s">
        <v>442</v>
      </c>
      <c r="C158" s="57" t="s">
        <v>141</v>
      </c>
      <c r="D158" s="45" t="s">
        <v>443</v>
      </c>
      <c r="E158" s="46" t="s">
        <v>85</v>
      </c>
      <c r="F158" s="45" t="s">
        <v>444</v>
      </c>
      <c r="G158" s="70">
        <v>30349222.079999998</v>
      </c>
      <c r="H158" s="70">
        <v>0</v>
      </c>
      <c r="I158" s="70">
        <v>837494</v>
      </c>
      <c r="J158" s="70">
        <v>0</v>
      </c>
      <c r="K158" s="71">
        <v>0</v>
      </c>
      <c r="L158" s="71">
        <v>31186716.079999998</v>
      </c>
      <c r="M158" s="71">
        <v>0</v>
      </c>
      <c r="N158" s="70">
        <v>6069428.7599999998</v>
      </c>
      <c r="O158" s="70">
        <v>1261676.3600000001</v>
      </c>
      <c r="P158" s="72">
        <v>9540276.2200000007</v>
      </c>
      <c r="Q158" s="70">
        <v>0</v>
      </c>
      <c r="R158" s="70">
        <v>2883056.67</v>
      </c>
      <c r="S158" s="70">
        <v>5669234.5899999999</v>
      </c>
      <c r="T158" s="70">
        <v>2976643.42</v>
      </c>
      <c r="U158" s="70">
        <v>0</v>
      </c>
      <c r="V158" s="70">
        <v>0</v>
      </c>
      <c r="W158" s="70">
        <v>964464.87</v>
      </c>
      <c r="X158" s="71">
        <v>1967100.1099999999</v>
      </c>
      <c r="Y158" s="71">
        <v>31331881</v>
      </c>
      <c r="Z158" s="61">
        <v>1.8806346946735445E-2</v>
      </c>
      <c r="AA158" s="71">
        <v>1822058.17</v>
      </c>
      <c r="AB158" s="71">
        <v>0</v>
      </c>
      <c r="AC158" s="71">
        <v>0</v>
      </c>
      <c r="AD158" s="71">
        <v>0</v>
      </c>
      <c r="AE158" s="71">
        <v>0</v>
      </c>
      <c r="AF158" s="71">
        <f t="shared" si="50"/>
        <v>0</v>
      </c>
      <c r="AG158" s="71">
        <v>1150793.08</v>
      </c>
      <c r="AH158" s="70">
        <v>87107.73</v>
      </c>
      <c r="AI158" s="70">
        <v>264403.92</v>
      </c>
      <c r="AJ158" s="71">
        <v>0</v>
      </c>
      <c r="AK158" s="70">
        <v>74832.83</v>
      </c>
      <c r="AL158" s="70">
        <v>8055</v>
      </c>
      <c r="AM158" s="70">
        <v>90760.99</v>
      </c>
      <c r="AN158" s="70">
        <v>8650</v>
      </c>
      <c r="AO158" s="70">
        <v>12769.2</v>
      </c>
      <c r="AP158" s="70">
        <v>0</v>
      </c>
      <c r="AQ158" s="70">
        <v>45777.39</v>
      </c>
      <c r="AR158" s="70">
        <v>15372.44</v>
      </c>
      <c r="AS158" s="70">
        <v>0</v>
      </c>
      <c r="AT158" s="70">
        <v>4363.62</v>
      </c>
      <c r="AU158" s="70">
        <v>65845.440000000002</v>
      </c>
      <c r="AV158" s="70">
        <v>33817.21</v>
      </c>
      <c r="AW158" s="70">
        <v>1862548.85</v>
      </c>
      <c r="AX158" s="70">
        <v>0</v>
      </c>
      <c r="AY158" s="61">
        <f t="shared" si="51"/>
        <v>0</v>
      </c>
      <c r="AZ158" s="71">
        <v>0</v>
      </c>
      <c r="BA158" s="61">
        <v>6.0036404399331479E-2</v>
      </c>
      <c r="BB158" s="70">
        <v>252863.59</v>
      </c>
      <c r="BC158" s="70">
        <v>317894.40999999997</v>
      </c>
      <c r="BD158" s="71">
        <v>244766</v>
      </c>
      <c r="BE158" s="71">
        <v>0</v>
      </c>
      <c r="BF158" s="71">
        <v>564440.33000000101</v>
      </c>
      <c r="BG158" s="71">
        <v>98803.117500000997</v>
      </c>
      <c r="BH158" s="71">
        <v>0</v>
      </c>
      <c r="BI158" s="71">
        <v>0</v>
      </c>
      <c r="BJ158" s="71">
        <f t="shared" si="52"/>
        <v>0</v>
      </c>
      <c r="BK158" s="71">
        <v>0</v>
      </c>
      <c r="BL158" s="60">
        <v>4197</v>
      </c>
      <c r="BM158" s="60">
        <v>710</v>
      </c>
      <c r="BN158" s="59">
        <v>0</v>
      </c>
      <c r="BO158" s="59">
        <v>0</v>
      </c>
      <c r="BP158" s="59">
        <v>-3</v>
      </c>
      <c r="BQ158" s="59">
        <v>-58</v>
      </c>
      <c r="BR158" s="59">
        <v>-67</v>
      </c>
      <c r="BS158" s="59">
        <v>-276</v>
      </c>
      <c r="BT158" s="59">
        <v>0</v>
      </c>
      <c r="BU158" s="59">
        <v>-1</v>
      </c>
      <c r="BV158" s="59">
        <v>123</v>
      </c>
      <c r="BW158" s="59">
        <v>-827</v>
      </c>
      <c r="BX158" s="59">
        <v>-11</v>
      </c>
      <c r="BY158" s="59">
        <v>3787</v>
      </c>
      <c r="BZ158" s="59">
        <v>45</v>
      </c>
      <c r="CA158" s="59">
        <v>320</v>
      </c>
      <c r="CB158" s="59">
        <v>86</v>
      </c>
      <c r="CC158" s="59">
        <v>21</v>
      </c>
      <c r="CD158" s="59">
        <v>278</v>
      </c>
      <c r="CE158" s="59">
        <v>435</v>
      </c>
      <c r="CF158" s="59">
        <v>4</v>
      </c>
    </row>
    <row r="159" spans="1:84" s="50" customFormat="1" ht="15.6" customHeight="1" x14ac:dyDescent="0.25">
      <c r="A159" s="43">
        <v>20</v>
      </c>
      <c r="B159" s="44" t="s">
        <v>445</v>
      </c>
      <c r="C159" s="57" t="s">
        <v>119</v>
      </c>
      <c r="D159" s="45" t="s">
        <v>446</v>
      </c>
      <c r="E159" s="46" t="s">
        <v>85</v>
      </c>
      <c r="F159" s="45" t="s">
        <v>444</v>
      </c>
      <c r="G159" s="70">
        <v>12631566.92</v>
      </c>
      <c r="H159" s="70">
        <v>0</v>
      </c>
      <c r="I159" s="70">
        <v>357677.14</v>
      </c>
      <c r="J159" s="70">
        <v>0</v>
      </c>
      <c r="K159" s="71">
        <v>0</v>
      </c>
      <c r="L159" s="71">
        <v>12989244.060000001</v>
      </c>
      <c r="M159" s="71">
        <v>0</v>
      </c>
      <c r="N159" s="70">
        <v>2328792.6800000002</v>
      </c>
      <c r="O159" s="70">
        <v>331525.63</v>
      </c>
      <c r="P159" s="72">
        <v>3765587.96</v>
      </c>
      <c r="Q159" s="70">
        <v>8800</v>
      </c>
      <c r="R159" s="70">
        <v>1463036.73</v>
      </c>
      <c r="S159" s="70">
        <v>2330502.17</v>
      </c>
      <c r="T159" s="70">
        <v>1848770.19</v>
      </c>
      <c r="U159" s="70">
        <v>0</v>
      </c>
      <c r="V159" s="70">
        <v>0</v>
      </c>
      <c r="W159" s="70">
        <v>390028.68</v>
      </c>
      <c r="X159" s="71">
        <v>1418331.75</v>
      </c>
      <c r="Y159" s="71">
        <v>13885375.789999999</v>
      </c>
      <c r="Z159" s="61">
        <v>3.5497576257942511E-2</v>
      </c>
      <c r="AA159" s="71">
        <v>1262907.78</v>
      </c>
      <c r="AB159" s="71">
        <v>0</v>
      </c>
      <c r="AC159" s="71">
        <v>0</v>
      </c>
      <c r="AD159" s="71">
        <v>0</v>
      </c>
      <c r="AE159" s="71">
        <v>0</v>
      </c>
      <c r="AF159" s="71">
        <f t="shared" si="50"/>
        <v>0</v>
      </c>
      <c r="AG159" s="71">
        <v>798463.21</v>
      </c>
      <c r="AH159" s="70">
        <v>58810.080000000002</v>
      </c>
      <c r="AI159" s="70">
        <v>131846.54999999999</v>
      </c>
      <c r="AJ159" s="71">
        <v>0</v>
      </c>
      <c r="AK159" s="70">
        <v>48235.75</v>
      </c>
      <c r="AL159" s="70">
        <v>10706.03</v>
      </c>
      <c r="AM159" s="70">
        <v>62217.86</v>
      </c>
      <c r="AN159" s="70">
        <v>15750</v>
      </c>
      <c r="AO159" s="70">
        <v>1000</v>
      </c>
      <c r="AP159" s="70">
        <v>0</v>
      </c>
      <c r="AQ159" s="70">
        <v>44092.54</v>
      </c>
      <c r="AR159" s="70">
        <v>3460.25</v>
      </c>
      <c r="AS159" s="70">
        <v>0</v>
      </c>
      <c r="AT159" s="70">
        <v>861.98</v>
      </c>
      <c r="AU159" s="70">
        <v>18630.59</v>
      </c>
      <c r="AV159" s="70">
        <v>89909.93</v>
      </c>
      <c r="AW159" s="70">
        <v>1283984.77</v>
      </c>
      <c r="AX159" s="70">
        <v>0</v>
      </c>
      <c r="AY159" s="61">
        <f t="shared" si="51"/>
        <v>0</v>
      </c>
      <c r="AZ159" s="71">
        <v>0</v>
      </c>
      <c r="BA159" s="61">
        <v>9.9980294447903698E-2</v>
      </c>
      <c r="BB159" s="70">
        <v>93370.49</v>
      </c>
      <c r="BC159" s="70">
        <v>355019.52000000002</v>
      </c>
      <c r="BD159" s="71">
        <v>196098.07</v>
      </c>
      <c r="BE159" s="71">
        <v>0</v>
      </c>
      <c r="BF159" s="71">
        <v>0</v>
      </c>
      <c r="BG159" s="71">
        <v>0</v>
      </c>
      <c r="BH159" s="71">
        <v>0</v>
      </c>
      <c r="BI159" s="71">
        <v>0</v>
      </c>
      <c r="BJ159" s="71">
        <f t="shared" si="52"/>
        <v>0</v>
      </c>
      <c r="BK159" s="71">
        <v>0</v>
      </c>
      <c r="BL159" s="60">
        <v>2574</v>
      </c>
      <c r="BM159" s="60">
        <v>432</v>
      </c>
      <c r="BN159" s="59">
        <v>0</v>
      </c>
      <c r="BO159" s="59">
        <v>0</v>
      </c>
      <c r="BP159" s="59">
        <v>-2</v>
      </c>
      <c r="BQ159" s="59">
        <v>-37</v>
      </c>
      <c r="BR159" s="59">
        <v>-27</v>
      </c>
      <c r="BS159" s="59">
        <v>-138</v>
      </c>
      <c r="BT159" s="59">
        <v>0</v>
      </c>
      <c r="BU159" s="59">
        <v>-2</v>
      </c>
      <c r="BV159" s="59">
        <v>-2</v>
      </c>
      <c r="BW159" s="59">
        <v>-687</v>
      </c>
      <c r="BX159" s="59">
        <v>-4</v>
      </c>
      <c r="BY159" s="59">
        <v>2107</v>
      </c>
      <c r="BZ159" s="59">
        <v>10</v>
      </c>
      <c r="CA159" s="59">
        <v>16</v>
      </c>
      <c r="CB159" s="59">
        <v>47</v>
      </c>
      <c r="CC159" s="59">
        <v>15</v>
      </c>
      <c r="CD159" s="59">
        <v>262</v>
      </c>
      <c r="CE159" s="59">
        <v>363</v>
      </c>
      <c r="CF159" s="59">
        <v>0</v>
      </c>
    </row>
    <row r="160" spans="1:84" s="50" customFormat="1" ht="15.6" customHeight="1" x14ac:dyDescent="0.25">
      <c r="A160" s="43">
        <v>20</v>
      </c>
      <c r="B160" s="44" t="s">
        <v>447</v>
      </c>
      <c r="C160" s="57" t="s">
        <v>88</v>
      </c>
      <c r="D160" s="45" t="s">
        <v>448</v>
      </c>
      <c r="E160" s="46" t="s">
        <v>112</v>
      </c>
      <c r="F160" s="45" t="s">
        <v>438</v>
      </c>
      <c r="G160" s="70">
        <v>34453745.649999999</v>
      </c>
      <c r="H160" s="70">
        <v>0</v>
      </c>
      <c r="I160" s="70">
        <v>946663.44000000006</v>
      </c>
      <c r="J160" s="70">
        <v>0</v>
      </c>
      <c r="K160" s="71">
        <v>0</v>
      </c>
      <c r="L160" s="71">
        <v>35400409.090000004</v>
      </c>
      <c r="M160" s="71">
        <v>0</v>
      </c>
      <c r="N160" s="70">
        <v>9664250.1300000008</v>
      </c>
      <c r="O160" s="70">
        <v>2231217.41</v>
      </c>
      <c r="P160" s="72">
        <v>8928066.1199999992</v>
      </c>
      <c r="Q160" s="70">
        <v>3049.55</v>
      </c>
      <c r="R160" s="70">
        <v>1968670.5</v>
      </c>
      <c r="S160" s="70">
        <v>7507158.5</v>
      </c>
      <c r="T160" s="70">
        <v>1519455.74</v>
      </c>
      <c r="U160" s="70">
        <v>0</v>
      </c>
      <c r="V160" s="70">
        <v>0</v>
      </c>
      <c r="W160" s="70">
        <v>1005362.22</v>
      </c>
      <c r="X160" s="71">
        <v>2344850.2599999998</v>
      </c>
      <c r="Y160" s="71">
        <v>35172080.43</v>
      </c>
      <c r="Z160" s="61">
        <v>9.0799957768887468E-2</v>
      </c>
      <c r="AA160" s="71">
        <v>2344850.2599999998</v>
      </c>
      <c r="AB160" s="71">
        <v>0</v>
      </c>
      <c r="AC160" s="71">
        <v>0</v>
      </c>
      <c r="AD160" s="71">
        <v>0</v>
      </c>
      <c r="AE160" s="71">
        <v>194.87</v>
      </c>
      <c r="AF160" s="71">
        <f t="shared" ref="AF160:AF177" si="53">SUM(AD160:AE160)</f>
        <v>194.87</v>
      </c>
      <c r="AG160" s="71">
        <v>1200124.32</v>
      </c>
      <c r="AH160" s="70">
        <v>88244.27</v>
      </c>
      <c r="AI160" s="70">
        <v>288990.44</v>
      </c>
      <c r="AJ160" s="71">
        <v>0</v>
      </c>
      <c r="AK160" s="70">
        <v>111836.95</v>
      </c>
      <c r="AL160" s="70">
        <v>6288.45</v>
      </c>
      <c r="AM160" s="70">
        <v>79151.19</v>
      </c>
      <c r="AN160" s="70">
        <v>8750</v>
      </c>
      <c r="AO160" s="70">
        <v>0</v>
      </c>
      <c r="AP160" s="70">
        <v>0</v>
      </c>
      <c r="AQ160" s="70">
        <v>52010.69</v>
      </c>
      <c r="AR160" s="70">
        <v>16745.060000000001</v>
      </c>
      <c r="AS160" s="70">
        <v>0</v>
      </c>
      <c r="AT160" s="70">
        <v>6785.7</v>
      </c>
      <c r="AU160" s="70">
        <v>33568.839999999997</v>
      </c>
      <c r="AV160" s="70">
        <v>41863.440000000002</v>
      </c>
      <c r="AW160" s="70">
        <v>1934359.35</v>
      </c>
      <c r="AX160" s="70">
        <v>0</v>
      </c>
      <c r="AY160" s="61">
        <f t="shared" ref="AY160:AY177" si="54">AX160/AW160</f>
        <v>0</v>
      </c>
      <c r="AZ160" s="71">
        <v>0</v>
      </c>
      <c r="BA160" s="61">
        <v>6.8057919850580892E-2</v>
      </c>
      <c r="BB160" s="70">
        <v>359580.65</v>
      </c>
      <c r="BC160" s="70">
        <v>2768818</v>
      </c>
      <c r="BD160" s="71">
        <v>244766</v>
      </c>
      <c r="BE160" s="71">
        <v>0</v>
      </c>
      <c r="BF160" s="71">
        <v>564956.74</v>
      </c>
      <c r="BG160" s="71">
        <v>81366.9025000002</v>
      </c>
      <c r="BH160" s="71">
        <v>0</v>
      </c>
      <c r="BI160" s="71">
        <v>0</v>
      </c>
      <c r="BJ160" s="71">
        <f t="shared" ref="BJ160:BJ177" si="55">SUM(BH160:BI160)</f>
        <v>0</v>
      </c>
      <c r="BK160" s="71">
        <v>0</v>
      </c>
      <c r="BL160" s="60">
        <v>3315</v>
      </c>
      <c r="BM160" s="60">
        <v>616</v>
      </c>
      <c r="BN160" s="59">
        <v>11</v>
      </c>
      <c r="BO160" s="59">
        <v>-13</v>
      </c>
      <c r="BP160" s="59">
        <v>-24</v>
      </c>
      <c r="BQ160" s="59">
        <v>-52</v>
      </c>
      <c r="BR160" s="59">
        <v>-71</v>
      </c>
      <c r="BS160" s="59">
        <v>-237</v>
      </c>
      <c r="BT160" s="59">
        <v>0</v>
      </c>
      <c r="BU160" s="59">
        <v>0</v>
      </c>
      <c r="BV160" s="59">
        <v>17</v>
      </c>
      <c r="BW160" s="59">
        <v>-465</v>
      </c>
      <c r="BX160" s="59">
        <v>-1</v>
      </c>
      <c r="BY160" s="59">
        <v>3096</v>
      </c>
      <c r="BZ160" s="59">
        <v>10</v>
      </c>
      <c r="CA160" s="59">
        <v>24</v>
      </c>
      <c r="CB160" s="59">
        <v>176</v>
      </c>
      <c r="CC160" s="59">
        <v>33</v>
      </c>
      <c r="CD160" s="59">
        <v>220</v>
      </c>
      <c r="CE160" s="59">
        <v>39</v>
      </c>
      <c r="CF160" s="59">
        <v>7</v>
      </c>
    </row>
    <row r="161" spans="1:84" s="50" customFormat="1" ht="15.6" customHeight="1" x14ac:dyDescent="0.25">
      <c r="A161" s="42">
        <v>21</v>
      </c>
      <c r="B161" s="42" t="s">
        <v>453</v>
      </c>
      <c r="C161" s="57" t="s">
        <v>454</v>
      </c>
      <c r="D161" s="42" t="s">
        <v>455</v>
      </c>
      <c r="E161" s="42" t="s">
        <v>85</v>
      </c>
      <c r="F161" s="42" t="s">
        <v>456</v>
      </c>
      <c r="G161" s="70">
        <v>32396092.59</v>
      </c>
      <c r="H161" s="70">
        <v>0</v>
      </c>
      <c r="I161" s="70">
        <v>428877.58</v>
      </c>
      <c r="J161" s="70">
        <v>0</v>
      </c>
      <c r="K161" s="71">
        <v>0</v>
      </c>
      <c r="L161" s="71">
        <v>32824970.170000002</v>
      </c>
      <c r="M161" s="71">
        <v>0</v>
      </c>
      <c r="N161" s="70">
        <v>0</v>
      </c>
      <c r="O161" s="70">
        <v>779269.02</v>
      </c>
      <c r="P161" s="72">
        <v>10325217.869999999</v>
      </c>
      <c r="Q161" s="70">
        <v>340476.95</v>
      </c>
      <c r="R161" s="70">
        <v>1967834.07</v>
      </c>
      <c r="S161" s="70">
        <v>11348328.539999999</v>
      </c>
      <c r="T161" s="70">
        <v>4903756.6500000004</v>
      </c>
      <c r="U161" s="70">
        <v>0</v>
      </c>
      <c r="V161" s="70">
        <v>0</v>
      </c>
      <c r="W161" s="70">
        <v>594409.97</v>
      </c>
      <c r="X161" s="71">
        <v>3077411.04</v>
      </c>
      <c r="Y161" s="71">
        <v>33336704.109999999</v>
      </c>
      <c r="Z161" s="61">
        <v>0.11556420391129645</v>
      </c>
      <c r="AA161" s="71">
        <v>3077253.04</v>
      </c>
      <c r="AB161" s="71">
        <v>0</v>
      </c>
      <c r="AC161" s="71">
        <v>0</v>
      </c>
      <c r="AD161" s="71">
        <v>0</v>
      </c>
      <c r="AE161" s="71">
        <v>0</v>
      </c>
      <c r="AF161" s="71">
        <f t="shared" si="53"/>
        <v>0</v>
      </c>
      <c r="AG161" s="71">
        <v>1259235.6000000001</v>
      </c>
      <c r="AH161" s="70">
        <v>103468.6</v>
      </c>
      <c r="AI161" s="70">
        <v>204049.17</v>
      </c>
      <c r="AJ161" s="71">
        <v>0</v>
      </c>
      <c r="AK161" s="70">
        <v>207650.8</v>
      </c>
      <c r="AL161" s="70">
        <v>23714.66</v>
      </c>
      <c r="AM161" s="70">
        <v>244775.58</v>
      </c>
      <c r="AN161" s="70">
        <v>8900</v>
      </c>
      <c r="AO161" s="70">
        <v>5283.85</v>
      </c>
      <c r="AP161" s="70">
        <v>19680.349999999999</v>
      </c>
      <c r="AQ161" s="70">
        <v>97978.93</v>
      </c>
      <c r="AR161" s="70">
        <v>8139.99</v>
      </c>
      <c r="AS161" s="70">
        <v>0</v>
      </c>
      <c r="AT161" s="70">
        <v>43918.75</v>
      </c>
      <c r="AU161" s="70">
        <v>63139.79</v>
      </c>
      <c r="AV161" s="70">
        <v>213735.4</v>
      </c>
      <c r="AW161" s="70">
        <v>2503671.4700000002</v>
      </c>
      <c r="AX161" s="70">
        <v>0</v>
      </c>
      <c r="AY161" s="61">
        <f t="shared" si="54"/>
        <v>0</v>
      </c>
      <c r="AZ161" s="71">
        <v>0</v>
      </c>
      <c r="BA161" s="61">
        <v>9.4988401192243915E-2</v>
      </c>
      <c r="BB161" s="70">
        <v>825485.01</v>
      </c>
      <c r="BC161" s="70">
        <v>2918343.64</v>
      </c>
      <c r="BD161" s="71">
        <v>244766</v>
      </c>
      <c r="BE161" s="71">
        <v>0</v>
      </c>
      <c r="BF161" s="71">
        <v>2055924.9</v>
      </c>
      <c r="BG161" s="71">
        <v>1430007.0325</v>
      </c>
      <c r="BH161" s="71">
        <v>0</v>
      </c>
      <c r="BI161" s="71">
        <v>0</v>
      </c>
      <c r="BJ161" s="71">
        <f t="shared" si="55"/>
        <v>0</v>
      </c>
      <c r="BK161" s="71">
        <v>0</v>
      </c>
      <c r="BL161" s="60">
        <v>6980</v>
      </c>
      <c r="BM161" s="60">
        <v>1227</v>
      </c>
      <c r="BN161" s="59">
        <v>0</v>
      </c>
      <c r="BO161" s="59">
        <v>-5</v>
      </c>
      <c r="BP161" s="59">
        <v>-10</v>
      </c>
      <c r="BQ161" s="59">
        <v>-49</v>
      </c>
      <c r="BR161" s="59">
        <v>-123</v>
      </c>
      <c r="BS161" s="59">
        <v>-358</v>
      </c>
      <c r="BT161" s="59">
        <v>15</v>
      </c>
      <c r="BU161" s="59">
        <v>0</v>
      </c>
      <c r="BV161" s="59">
        <v>-10</v>
      </c>
      <c r="BW161" s="59">
        <v>-1430</v>
      </c>
      <c r="BX161" s="59">
        <v>-15</v>
      </c>
      <c r="BY161" s="59">
        <v>6222</v>
      </c>
      <c r="BZ161" s="59">
        <v>22</v>
      </c>
      <c r="CA161" s="59">
        <v>24</v>
      </c>
      <c r="CB161" s="59">
        <v>245</v>
      </c>
      <c r="CC161" s="59">
        <v>163</v>
      </c>
      <c r="CD161" s="59">
        <v>999</v>
      </c>
      <c r="CE161" s="59">
        <v>2</v>
      </c>
      <c r="CF161" s="59">
        <v>21</v>
      </c>
    </row>
    <row r="162" spans="1:84" s="50" customFormat="1" ht="15.6" customHeight="1" x14ac:dyDescent="0.25">
      <c r="A162" s="42">
        <v>21</v>
      </c>
      <c r="B162" s="42" t="s">
        <v>531</v>
      </c>
      <c r="C162" s="57" t="s">
        <v>532</v>
      </c>
      <c r="D162" s="42" t="s">
        <v>459</v>
      </c>
      <c r="E162" s="42" t="s">
        <v>103</v>
      </c>
      <c r="F162" s="42" t="s">
        <v>460</v>
      </c>
      <c r="G162" s="70">
        <v>54962374.979999997</v>
      </c>
      <c r="H162" s="70">
        <v>2.2737367544323201E-13</v>
      </c>
      <c r="I162" s="70">
        <v>2772668.55</v>
      </c>
      <c r="J162" s="70">
        <v>0</v>
      </c>
      <c r="K162" s="71">
        <v>0</v>
      </c>
      <c r="L162" s="71">
        <v>57735043.530000001</v>
      </c>
      <c r="M162" s="71">
        <v>0</v>
      </c>
      <c r="N162" s="70">
        <v>0</v>
      </c>
      <c r="O162" s="70">
        <v>4348932.2300000004</v>
      </c>
      <c r="P162" s="72">
        <v>19717951.489999998</v>
      </c>
      <c r="Q162" s="70">
        <v>0</v>
      </c>
      <c r="R162" s="70">
        <v>3791700.59</v>
      </c>
      <c r="S162" s="70">
        <v>19421678.920000002</v>
      </c>
      <c r="T162" s="70">
        <v>4928468.95</v>
      </c>
      <c r="U162" s="70">
        <v>0</v>
      </c>
      <c r="V162" s="70">
        <v>0</v>
      </c>
      <c r="W162" s="70">
        <v>3034486.66</v>
      </c>
      <c r="X162" s="71">
        <v>3305280.0500000003</v>
      </c>
      <c r="Y162" s="71">
        <v>58548498.890000001</v>
      </c>
      <c r="Z162" s="61">
        <v>0.10568218262245097</v>
      </c>
      <c r="AA162" s="71">
        <v>3293696.83</v>
      </c>
      <c r="AB162" s="71">
        <v>0</v>
      </c>
      <c r="AC162" s="71">
        <v>0</v>
      </c>
      <c r="AD162" s="71">
        <v>0</v>
      </c>
      <c r="AE162" s="71">
        <v>0</v>
      </c>
      <c r="AF162" s="71">
        <f t="shared" si="53"/>
        <v>0</v>
      </c>
      <c r="AG162" s="71">
        <v>1880463.29</v>
      </c>
      <c r="AH162" s="70">
        <v>138301.66</v>
      </c>
      <c r="AI162" s="70">
        <v>488253.97</v>
      </c>
      <c r="AJ162" s="71">
        <v>0</v>
      </c>
      <c r="AK162" s="70">
        <v>289080.24</v>
      </c>
      <c r="AL162" s="70">
        <v>12729.89</v>
      </c>
      <c r="AM162" s="70">
        <v>67028.960000000006</v>
      </c>
      <c r="AN162" s="70">
        <v>9500</v>
      </c>
      <c r="AO162" s="70">
        <v>3000</v>
      </c>
      <c r="AP162" s="70">
        <v>0</v>
      </c>
      <c r="AQ162" s="70">
        <v>98587.16</v>
      </c>
      <c r="AR162" s="70">
        <v>43571.13</v>
      </c>
      <c r="AS162" s="70">
        <v>0</v>
      </c>
      <c r="AT162" s="70">
        <v>96950.65</v>
      </c>
      <c r="AU162" s="70">
        <v>26980.36</v>
      </c>
      <c r="AV162" s="70">
        <v>193762.83000000002</v>
      </c>
      <c r="AW162" s="70">
        <v>3348210.14</v>
      </c>
      <c r="AX162" s="70">
        <v>0</v>
      </c>
      <c r="AY162" s="61">
        <f t="shared" si="54"/>
        <v>0</v>
      </c>
      <c r="AZ162" s="71">
        <v>219.85</v>
      </c>
      <c r="BA162" s="61">
        <v>5.9926392030885275E-2</v>
      </c>
      <c r="BB162" s="70">
        <v>943992.9</v>
      </c>
      <c r="BC162" s="70">
        <v>4864550.8499999996</v>
      </c>
      <c r="BD162" s="71">
        <v>241807</v>
      </c>
      <c r="BE162" s="71">
        <v>0</v>
      </c>
      <c r="BF162" s="71">
        <v>2152068.0099999998</v>
      </c>
      <c r="BG162" s="71">
        <v>1315015.4750000001</v>
      </c>
      <c r="BH162" s="71">
        <v>0</v>
      </c>
      <c r="BI162" s="71">
        <v>0</v>
      </c>
      <c r="BJ162" s="71">
        <f t="shared" si="55"/>
        <v>0</v>
      </c>
      <c r="BK162" s="71">
        <v>0</v>
      </c>
      <c r="BL162" s="60">
        <v>6662</v>
      </c>
      <c r="BM162" s="60">
        <v>1858</v>
      </c>
      <c r="BN162" s="59">
        <v>47</v>
      </c>
      <c r="BO162" s="59">
        <v>0</v>
      </c>
      <c r="BP162" s="59">
        <v>-42</v>
      </c>
      <c r="BQ162" s="59">
        <v>-60</v>
      </c>
      <c r="BR162" s="59">
        <v>-832</v>
      </c>
      <c r="BS162" s="59">
        <v>-763</v>
      </c>
      <c r="BT162" s="59">
        <v>0</v>
      </c>
      <c r="BU162" s="59">
        <v>-1</v>
      </c>
      <c r="BV162" s="59">
        <v>0</v>
      </c>
      <c r="BW162" s="59">
        <v>-1182</v>
      </c>
      <c r="BX162" s="59">
        <v>0</v>
      </c>
      <c r="BY162" s="59">
        <v>5687</v>
      </c>
      <c r="BZ162" s="59">
        <v>28</v>
      </c>
      <c r="CA162" s="59">
        <v>22</v>
      </c>
      <c r="CB162" s="59">
        <v>228</v>
      </c>
      <c r="CC162" s="59">
        <v>49</v>
      </c>
      <c r="CD162" s="59">
        <v>200</v>
      </c>
      <c r="CE162" s="59">
        <v>670</v>
      </c>
      <c r="CF162" s="59">
        <v>35</v>
      </c>
    </row>
    <row r="163" spans="1:84" s="50" customFormat="1" ht="15.6" customHeight="1" x14ac:dyDescent="0.25">
      <c r="A163" s="42">
        <v>21</v>
      </c>
      <c r="B163" s="42" t="s">
        <v>554</v>
      </c>
      <c r="C163" s="57" t="s">
        <v>555</v>
      </c>
      <c r="D163" s="42" t="s">
        <v>274</v>
      </c>
      <c r="E163" s="42" t="s">
        <v>132</v>
      </c>
      <c r="F163" s="42" t="s">
        <v>460</v>
      </c>
      <c r="G163" s="70">
        <v>43900124.340000004</v>
      </c>
      <c r="H163" s="70">
        <v>0</v>
      </c>
      <c r="I163" s="70">
        <v>1845271.5400000003</v>
      </c>
      <c r="J163" s="70">
        <v>0</v>
      </c>
      <c r="K163" s="71">
        <v>0</v>
      </c>
      <c r="L163" s="71">
        <v>45745395.880000003</v>
      </c>
      <c r="M163" s="71">
        <v>0</v>
      </c>
      <c r="N163" s="70">
        <v>4208625.05</v>
      </c>
      <c r="O163" s="70">
        <v>1751035.13</v>
      </c>
      <c r="P163" s="72">
        <v>21708312.550000001</v>
      </c>
      <c r="Q163" s="70">
        <v>0</v>
      </c>
      <c r="R163" s="70">
        <v>2524020.08</v>
      </c>
      <c r="S163" s="70">
        <v>6193666.04</v>
      </c>
      <c r="T163" s="70">
        <v>4535994.97</v>
      </c>
      <c r="U163" s="70">
        <v>0</v>
      </c>
      <c r="V163" s="70">
        <v>0</v>
      </c>
      <c r="W163" s="70">
        <v>1813841.41</v>
      </c>
      <c r="X163" s="71">
        <v>3066588.0799999996</v>
      </c>
      <c r="Y163" s="71">
        <v>45802083.310000002</v>
      </c>
      <c r="Z163" s="61">
        <v>0.10165900546057473</v>
      </c>
      <c r="AA163" s="71">
        <v>2942414.07</v>
      </c>
      <c r="AB163" s="71">
        <v>0</v>
      </c>
      <c r="AC163" s="71">
        <v>0</v>
      </c>
      <c r="AD163" s="71">
        <v>0</v>
      </c>
      <c r="AE163" s="71">
        <v>0</v>
      </c>
      <c r="AF163" s="71">
        <f t="shared" si="53"/>
        <v>0</v>
      </c>
      <c r="AG163" s="71">
        <v>1615643.95</v>
      </c>
      <c r="AH163" s="70">
        <v>118570.32</v>
      </c>
      <c r="AI163" s="70">
        <v>416743.43</v>
      </c>
      <c r="AJ163" s="71">
        <v>0</v>
      </c>
      <c r="AK163" s="70">
        <v>197714.39</v>
      </c>
      <c r="AL163" s="70">
        <v>7524.85</v>
      </c>
      <c r="AM163" s="70">
        <v>71197.919999999998</v>
      </c>
      <c r="AN163" s="70">
        <v>9500</v>
      </c>
      <c r="AO163" s="70">
        <v>0</v>
      </c>
      <c r="AP163" s="70">
        <v>0</v>
      </c>
      <c r="AQ163" s="70">
        <v>70441.02</v>
      </c>
      <c r="AR163" s="70">
        <v>9601.25</v>
      </c>
      <c r="AS163" s="70">
        <v>0</v>
      </c>
      <c r="AT163" s="70">
        <v>7471.21</v>
      </c>
      <c r="AU163" s="70">
        <v>61599.94</v>
      </c>
      <c r="AV163" s="70">
        <v>89243.6</v>
      </c>
      <c r="AW163" s="70">
        <v>2675251.88</v>
      </c>
      <c r="AX163" s="70">
        <v>0</v>
      </c>
      <c r="AY163" s="61">
        <f t="shared" si="54"/>
        <v>0</v>
      </c>
      <c r="AZ163" s="71">
        <v>0</v>
      </c>
      <c r="BA163" s="61">
        <v>6.7025187610208939E-2</v>
      </c>
      <c r="BB163" s="70">
        <v>773283.68</v>
      </c>
      <c r="BC163" s="70">
        <v>3689559.3</v>
      </c>
      <c r="BD163" s="71">
        <v>241807</v>
      </c>
      <c r="BE163" s="71">
        <v>0</v>
      </c>
      <c r="BF163" s="71">
        <v>1312543.3400000001</v>
      </c>
      <c r="BG163" s="71">
        <v>643730.37</v>
      </c>
      <c r="BH163" s="71">
        <v>0</v>
      </c>
      <c r="BI163" s="71">
        <v>0</v>
      </c>
      <c r="BJ163" s="71">
        <f t="shared" si="55"/>
        <v>0</v>
      </c>
      <c r="BK163" s="71">
        <v>0</v>
      </c>
      <c r="BL163" s="60">
        <v>8634</v>
      </c>
      <c r="BM163" s="60">
        <v>2046</v>
      </c>
      <c r="BN163" s="59">
        <v>31</v>
      </c>
      <c r="BO163" s="59">
        <v>-40</v>
      </c>
      <c r="BP163" s="59">
        <v>-5</v>
      </c>
      <c r="BQ163" s="59">
        <v>-73</v>
      </c>
      <c r="BR163" s="59">
        <v>-252</v>
      </c>
      <c r="BS163" s="59">
        <v>-797</v>
      </c>
      <c r="BT163" s="59">
        <v>2</v>
      </c>
      <c r="BU163" s="59">
        <v>-3</v>
      </c>
      <c r="BV163" s="59">
        <v>8</v>
      </c>
      <c r="BW163" s="59">
        <v>-1672</v>
      </c>
      <c r="BX163" s="59">
        <v>0</v>
      </c>
      <c r="BY163" s="59">
        <v>7879</v>
      </c>
      <c r="BZ163" s="59">
        <v>25</v>
      </c>
      <c r="CA163" s="59">
        <v>54</v>
      </c>
      <c r="CB163" s="59">
        <v>197</v>
      </c>
      <c r="CC163" s="59">
        <v>86</v>
      </c>
      <c r="CD163" s="59">
        <v>567</v>
      </c>
      <c r="CE163" s="59">
        <v>830</v>
      </c>
      <c r="CF163" s="59">
        <v>14</v>
      </c>
    </row>
    <row r="164" spans="1:84" s="50" customFormat="1" ht="15.6" customHeight="1" x14ac:dyDescent="0.25">
      <c r="A164" s="42">
        <v>21</v>
      </c>
      <c r="B164" s="42" t="s">
        <v>582</v>
      </c>
      <c r="C164" s="57" t="s">
        <v>461</v>
      </c>
      <c r="D164" s="42" t="s">
        <v>462</v>
      </c>
      <c r="E164" s="42" t="s">
        <v>103</v>
      </c>
      <c r="F164" s="42" t="s">
        <v>463</v>
      </c>
      <c r="G164" s="70">
        <v>9671466.0700000003</v>
      </c>
      <c r="H164" s="70">
        <v>170162.99</v>
      </c>
      <c r="I164" s="70">
        <v>157046.93</v>
      </c>
      <c r="J164" s="70">
        <v>12166.75</v>
      </c>
      <c r="K164" s="71">
        <v>0</v>
      </c>
      <c r="L164" s="71">
        <v>10010842.74</v>
      </c>
      <c r="M164" s="71">
        <v>121667.56</v>
      </c>
      <c r="N164" s="70">
        <v>2233284.73</v>
      </c>
      <c r="O164" s="70">
        <v>1151592.54</v>
      </c>
      <c r="P164" s="72">
        <v>1317072.8899999999</v>
      </c>
      <c r="Q164" s="70">
        <v>0</v>
      </c>
      <c r="R164" s="70">
        <v>260834.68</v>
      </c>
      <c r="S164" s="70">
        <v>2669449.56</v>
      </c>
      <c r="T164" s="70">
        <v>818148.68</v>
      </c>
      <c r="U164" s="70">
        <v>15569.25</v>
      </c>
      <c r="V164" s="70">
        <v>0</v>
      </c>
      <c r="W164" s="70">
        <v>310811.27</v>
      </c>
      <c r="X164" s="71">
        <v>979312.58</v>
      </c>
      <c r="Y164" s="71">
        <v>9756076.1799999997</v>
      </c>
      <c r="Z164" s="61">
        <v>7.5515994909891276E-2</v>
      </c>
      <c r="AA164" s="71">
        <v>979312.58</v>
      </c>
      <c r="AB164" s="71">
        <v>0</v>
      </c>
      <c r="AC164" s="71">
        <v>0</v>
      </c>
      <c r="AD164" s="71">
        <v>0</v>
      </c>
      <c r="AE164" s="71">
        <v>0</v>
      </c>
      <c r="AF164" s="71">
        <f t="shared" si="53"/>
        <v>0</v>
      </c>
      <c r="AG164" s="71">
        <v>409655.39</v>
      </c>
      <c r="AH164" s="70">
        <v>31636.11</v>
      </c>
      <c r="AI164" s="70">
        <v>72278.86</v>
      </c>
      <c r="AJ164" s="71">
        <v>0</v>
      </c>
      <c r="AK164" s="70">
        <v>43717.56</v>
      </c>
      <c r="AL164" s="70">
        <v>0</v>
      </c>
      <c r="AM164" s="70">
        <v>31217.52</v>
      </c>
      <c r="AN164" s="70">
        <v>8600</v>
      </c>
      <c r="AO164" s="70">
        <v>200</v>
      </c>
      <c r="AP164" s="70">
        <v>7320.47</v>
      </c>
      <c r="AQ164" s="70">
        <v>44689.869999999995</v>
      </c>
      <c r="AR164" s="70">
        <v>549</v>
      </c>
      <c r="AS164" s="70">
        <v>0</v>
      </c>
      <c r="AT164" s="70">
        <v>1676.09</v>
      </c>
      <c r="AU164" s="70">
        <v>24831.58</v>
      </c>
      <c r="AV164" s="70">
        <v>49363.92</v>
      </c>
      <c r="AW164" s="70">
        <v>725736.37</v>
      </c>
      <c r="AX164" s="70">
        <v>0</v>
      </c>
      <c r="AY164" s="61">
        <f t="shared" si="54"/>
        <v>0</v>
      </c>
      <c r="AZ164" s="71">
        <v>0</v>
      </c>
      <c r="BA164" s="61">
        <v>9.9999920046021054E-2</v>
      </c>
      <c r="BB164" s="70">
        <v>402787.77</v>
      </c>
      <c r="BC164" s="70">
        <v>340412.64</v>
      </c>
      <c r="BD164" s="71">
        <v>244766</v>
      </c>
      <c r="BE164" s="71">
        <v>2.91038304567337E-11</v>
      </c>
      <c r="BF164" s="71">
        <v>355417.04</v>
      </c>
      <c r="BG164" s="71">
        <v>173982.94750000001</v>
      </c>
      <c r="BH164" s="71">
        <v>0</v>
      </c>
      <c r="BI164" s="71">
        <v>0</v>
      </c>
      <c r="BJ164" s="71">
        <f t="shared" si="55"/>
        <v>0</v>
      </c>
      <c r="BK164" s="71">
        <v>0</v>
      </c>
      <c r="BL164" s="60">
        <v>805</v>
      </c>
      <c r="BM164" s="60">
        <v>387</v>
      </c>
      <c r="BN164" s="59">
        <v>0</v>
      </c>
      <c r="BO164" s="59">
        <v>-1</v>
      </c>
      <c r="BP164" s="59">
        <v>-5</v>
      </c>
      <c r="BQ164" s="59">
        <v>-18</v>
      </c>
      <c r="BR164" s="59">
        <v>-128</v>
      </c>
      <c r="BS164" s="59">
        <v>-92</v>
      </c>
      <c r="BT164" s="59">
        <v>0</v>
      </c>
      <c r="BU164" s="59">
        <v>0</v>
      </c>
      <c r="BV164" s="59">
        <v>0</v>
      </c>
      <c r="BW164" s="59">
        <v>-136</v>
      </c>
      <c r="BX164" s="59">
        <v>-1</v>
      </c>
      <c r="BY164" s="59">
        <v>811</v>
      </c>
      <c r="BZ164" s="59">
        <v>3</v>
      </c>
      <c r="CA164" s="59">
        <v>3</v>
      </c>
      <c r="CB164" s="59">
        <v>72</v>
      </c>
      <c r="CC164" s="59">
        <v>8</v>
      </c>
      <c r="CD164" s="59">
        <v>51</v>
      </c>
      <c r="CE164" s="59">
        <v>0</v>
      </c>
      <c r="CF164" s="59">
        <v>5</v>
      </c>
    </row>
    <row r="165" spans="1:84" s="50" customFormat="1" ht="15.6" customHeight="1" x14ac:dyDescent="0.25">
      <c r="A165" s="42">
        <v>21</v>
      </c>
      <c r="B165" s="42" t="s">
        <v>464</v>
      </c>
      <c r="C165" s="57" t="s">
        <v>465</v>
      </c>
      <c r="D165" s="42" t="s">
        <v>466</v>
      </c>
      <c r="E165" s="42" t="s">
        <v>132</v>
      </c>
      <c r="F165" s="42" t="s">
        <v>460</v>
      </c>
      <c r="G165" s="70">
        <v>36809200.109999999</v>
      </c>
      <c r="H165" s="70">
        <v>-24634.55</v>
      </c>
      <c r="I165" s="70">
        <v>826015.41999999993</v>
      </c>
      <c r="J165" s="70">
        <v>0</v>
      </c>
      <c r="K165" s="71">
        <v>0</v>
      </c>
      <c r="L165" s="71">
        <v>37610580.979999997</v>
      </c>
      <c r="M165" s="71">
        <v>0</v>
      </c>
      <c r="N165" s="70">
        <v>6415224.9699999997</v>
      </c>
      <c r="O165" s="70">
        <v>1832540.67</v>
      </c>
      <c r="P165" s="72">
        <v>15080512.77</v>
      </c>
      <c r="Q165" s="70">
        <v>7651</v>
      </c>
      <c r="R165" s="70">
        <v>2195670.4900000002</v>
      </c>
      <c r="S165" s="70">
        <v>7327761.6600000001</v>
      </c>
      <c r="T165" s="70">
        <v>2300595</v>
      </c>
      <c r="U165" s="70">
        <v>0</v>
      </c>
      <c r="V165" s="70">
        <v>0</v>
      </c>
      <c r="W165" s="70">
        <v>1042830.85</v>
      </c>
      <c r="X165" s="71">
        <v>1876259.5799999998</v>
      </c>
      <c r="Y165" s="71">
        <v>38079046.990000002</v>
      </c>
      <c r="Z165" s="61">
        <v>8.469601400941433E-2</v>
      </c>
      <c r="AA165" s="71">
        <v>1830729.63</v>
      </c>
      <c r="AB165" s="71">
        <v>0</v>
      </c>
      <c r="AC165" s="71">
        <v>0</v>
      </c>
      <c r="AD165" s="71">
        <v>0</v>
      </c>
      <c r="AE165" s="71">
        <v>0</v>
      </c>
      <c r="AF165" s="71">
        <f t="shared" si="53"/>
        <v>0</v>
      </c>
      <c r="AG165" s="71">
        <v>1082782.02</v>
      </c>
      <c r="AH165" s="70">
        <v>80582.83</v>
      </c>
      <c r="AI165" s="70">
        <v>363527.45</v>
      </c>
      <c r="AJ165" s="71">
        <v>0</v>
      </c>
      <c r="AK165" s="70">
        <v>117570.12</v>
      </c>
      <c r="AL165" s="70">
        <v>12034.3</v>
      </c>
      <c r="AM165" s="70">
        <v>135592.59</v>
      </c>
      <c r="AN165" s="70">
        <v>9500</v>
      </c>
      <c r="AO165" s="70">
        <v>220</v>
      </c>
      <c r="AP165" s="70">
        <v>0</v>
      </c>
      <c r="AQ165" s="70">
        <v>38061.020000000004</v>
      </c>
      <c r="AR165" s="70">
        <v>15617.27</v>
      </c>
      <c r="AS165" s="70">
        <v>0</v>
      </c>
      <c r="AT165" s="70">
        <v>1649.35</v>
      </c>
      <c r="AU165" s="70">
        <v>42366.95</v>
      </c>
      <c r="AV165" s="70">
        <v>83718.350000000006</v>
      </c>
      <c r="AW165" s="70">
        <v>1983222.25</v>
      </c>
      <c r="AX165" s="70">
        <v>0</v>
      </c>
      <c r="AY165" s="61">
        <f t="shared" si="54"/>
        <v>0</v>
      </c>
      <c r="AZ165" s="71">
        <v>0</v>
      </c>
      <c r="BA165" s="61">
        <v>4.9735653709645361E-2</v>
      </c>
      <c r="BB165" s="70">
        <v>453119.81</v>
      </c>
      <c r="BC165" s="70">
        <v>2662386.27</v>
      </c>
      <c r="BD165" s="71">
        <v>244766</v>
      </c>
      <c r="BE165" s="71">
        <v>0</v>
      </c>
      <c r="BF165" s="71">
        <v>815871.06999999902</v>
      </c>
      <c r="BG165" s="71">
        <v>320065.50749999902</v>
      </c>
      <c r="BH165" s="71">
        <v>0</v>
      </c>
      <c r="BI165" s="71">
        <v>0</v>
      </c>
      <c r="BJ165" s="71">
        <f t="shared" si="55"/>
        <v>0</v>
      </c>
      <c r="BK165" s="71">
        <v>0</v>
      </c>
      <c r="BL165" s="60">
        <v>4426</v>
      </c>
      <c r="BM165" s="60">
        <v>1304</v>
      </c>
      <c r="BN165" s="59">
        <v>0</v>
      </c>
      <c r="BO165" s="59">
        <v>0</v>
      </c>
      <c r="BP165" s="59">
        <v>-30</v>
      </c>
      <c r="BQ165" s="59">
        <v>-75</v>
      </c>
      <c r="BR165" s="59">
        <v>-309</v>
      </c>
      <c r="BS165" s="59">
        <v>-423</v>
      </c>
      <c r="BT165" s="59">
        <v>0</v>
      </c>
      <c r="BU165" s="59">
        <v>-2</v>
      </c>
      <c r="BV165" s="59">
        <v>0</v>
      </c>
      <c r="BW165" s="59">
        <v>-1007</v>
      </c>
      <c r="BX165" s="59">
        <v>0</v>
      </c>
      <c r="BY165" s="59">
        <v>3884</v>
      </c>
      <c r="BZ165" s="59">
        <v>14</v>
      </c>
      <c r="CA165" s="59">
        <v>12</v>
      </c>
      <c r="CB165" s="59">
        <v>218</v>
      </c>
      <c r="CC165" s="59">
        <v>63</v>
      </c>
      <c r="CD165" s="59">
        <v>265</v>
      </c>
      <c r="CE165" s="59">
        <v>444</v>
      </c>
      <c r="CF165" s="59">
        <v>17</v>
      </c>
    </row>
    <row r="166" spans="1:84" s="50" customFormat="1" ht="15.6" customHeight="1" x14ac:dyDescent="0.25">
      <c r="A166" s="42">
        <v>21</v>
      </c>
      <c r="B166" s="42" t="s">
        <v>467</v>
      </c>
      <c r="C166" s="57" t="s">
        <v>468</v>
      </c>
      <c r="D166" s="42" t="s">
        <v>469</v>
      </c>
      <c r="E166" s="42" t="s">
        <v>117</v>
      </c>
      <c r="F166" s="42" t="s">
        <v>460</v>
      </c>
      <c r="G166" s="70">
        <v>24846343.510000002</v>
      </c>
      <c r="H166" s="70">
        <v>0</v>
      </c>
      <c r="I166" s="70">
        <v>1427965.57</v>
      </c>
      <c r="J166" s="70">
        <v>0</v>
      </c>
      <c r="K166" s="71">
        <v>0</v>
      </c>
      <c r="L166" s="71">
        <v>26274309.079999998</v>
      </c>
      <c r="M166" s="71">
        <v>0</v>
      </c>
      <c r="N166" s="70">
        <v>572082.81000000006</v>
      </c>
      <c r="O166" s="70">
        <v>1076484.1000000001</v>
      </c>
      <c r="P166" s="72">
        <v>11332753.869999999</v>
      </c>
      <c r="Q166" s="70">
        <v>0</v>
      </c>
      <c r="R166" s="70">
        <v>1429671.59</v>
      </c>
      <c r="S166" s="70">
        <v>5933878.1500000004</v>
      </c>
      <c r="T166" s="70">
        <v>2593366</v>
      </c>
      <c r="U166" s="70">
        <v>0</v>
      </c>
      <c r="V166" s="70">
        <v>0</v>
      </c>
      <c r="W166" s="70">
        <v>1385237.8</v>
      </c>
      <c r="X166" s="71">
        <v>1624577.55</v>
      </c>
      <c r="Y166" s="71">
        <v>25948051.870000001</v>
      </c>
      <c r="Z166" s="61">
        <v>0.11719691546677806</v>
      </c>
      <c r="AA166" s="71">
        <v>1487486.53</v>
      </c>
      <c r="AB166" s="71">
        <v>0</v>
      </c>
      <c r="AC166" s="71">
        <v>0</v>
      </c>
      <c r="AD166" s="71">
        <v>0</v>
      </c>
      <c r="AE166" s="71">
        <v>0</v>
      </c>
      <c r="AF166" s="71">
        <f t="shared" si="53"/>
        <v>0</v>
      </c>
      <c r="AG166" s="71">
        <v>1087838.68</v>
      </c>
      <c r="AH166" s="70">
        <v>81229.210000000006</v>
      </c>
      <c r="AI166" s="70">
        <v>244382.95</v>
      </c>
      <c r="AJ166" s="71">
        <v>0</v>
      </c>
      <c r="AK166" s="70">
        <v>176128.63</v>
      </c>
      <c r="AL166" s="70">
        <v>8654.4</v>
      </c>
      <c r="AM166" s="70">
        <v>69465.899999999994</v>
      </c>
      <c r="AN166" s="70">
        <v>9500</v>
      </c>
      <c r="AO166" s="70">
        <v>0</v>
      </c>
      <c r="AP166" s="70">
        <v>0</v>
      </c>
      <c r="AQ166" s="70">
        <v>60282.630000000005</v>
      </c>
      <c r="AR166" s="70">
        <v>21997.86</v>
      </c>
      <c r="AS166" s="70">
        <v>0</v>
      </c>
      <c r="AT166" s="70">
        <v>59231.75</v>
      </c>
      <c r="AU166" s="70">
        <v>52567.93</v>
      </c>
      <c r="AV166" s="70">
        <v>74559.850000000006</v>
      </c>
      <c r="AW166" s="70">
        <v>1945839.79</v>
      </c>
      <c r="AX166" s="70">
        <v>0</v>
      </c>
      <c r="AY166" s="61">
        <f t="shared" si="54"/>
        <v>0</v>
      </c>
      <c r="AZ166" s="71">
        <v>0</v>
      </c>
      <c r="BA166" s="61">
        <v>5.9867421916682657E-2</v>
      </c>
      <c r="BB166" s="70">
        <v>520000.55</v>
      </c>
      <c r="BC166" s="70">
        <v>2391914.27</v>
      </c>
      <c r="BD166" s="71">
        <v>244766</v>
      </c>
      <c r="BE166" s="71">
        <v>2.91038304567337E-11</v>
      </c>
      <c r="BF166" s="71">
        <v>968793.93000000098</v>
      </c>
      <c r="BG166" s="71">
        <v>482333.98250000097</v>
      </c>
      <c r="BH166" s="71">
        <v>0</v>
      </c>
      <c r="BI166" s="71">
        <v>0</v>
      </c>
      <c r="BJ166" s="71">
        <f t="shared" si="55"/>
        <v>0</v>
      </c>
      <c r="BK166" s="71">
        <v>0</v>
      </c>
      <c r="BL166" s="60">
        <v>3528</v>
      </c>
      <c r="BM166" s="60">
        <v>883</v>
      </c>
      <c r="BN166" s="59">
        <v>14</v>
      </c>
      <c r="BO166" s="59">
        <v>-4</v>
      </c>
      <c r="BP166" s="59">
        <v>-8</v>
      </c>
      <c r="BQ166" s="59">
        <v>-29</v>
      </c>
      <c r="BR166" s="59">
        <v>-167</v>
      </c>
      <c r="BS166" s="59">
        <v>-317</v>
      </c>
      <c r="BT166" s="59">
        <v>7</v>
      </c>
      <c r="BU166" s="59">
        <v>0</v>
      </c>
      <c r="BV166" s="59">
        <v>1</v>
      </c>
      <c r="BW166" s="59">
        <v>-748</v>
      </c>
      <c r="BX166" s="59">
        <v>-1</v>
      </c>
      <c r="BY166" s="59">
        <v>3159</v>
      </c>
      <c r="BZ166" s="59">
        <v>7</v>
      </c>
      <c r="CA166" s="59">
        <v>7</v>
      </c>
      <c r="CB166" s="59">
        <v>192</v>
      </c>
      <c r="CC166" s="59">
        <v>47</v>
      </c>
      <c r="CD166" s="59">
        <v>277</v>
      </c>
      <c r="CE166" s="59">
        <v>231</v>
      </c>
      <c r="CF166" s="59">
        <v>1</v>
      </c>
    </row>
    <row r="167" spans="1:84" s="50" customFormat="1" ht="15.6" customHeight="1" x14ac:dyDescent="0.25">
      <c r="A167" s="42">
        <v>21</v>
      </c>
      <c r="B167" s="42" t="s">
        <v>470</v>
      </c>
      <c r="C167" s="57" t="s">
        <v>471</v>
      </c>
      <c r="D167" s="42" t="s">
        <v>91</v>
      </c>
      <c r="E167" s="42" t="s">
        <v>117</v>
      </c>
      <c r="F167" s="42" t="s">
        <v>460</v>
      </c>
      <c r="G167" s="70">
        <v>17880544.530000001</v>
      </c>
      <c r="H167" s="70">
        <v>0</v>
      </c>
      <c r="I167" s="70">
        <v>977814.09</v>
      </c>
      <c r="J167" s="70">
        <v>0</v>
      </c>
      <c r="K167" s="71">
        <v>0</v>
      </c>
      <c r="L167" s="71">
        <v>18858358.620000001</v>
      </c>
      <c r="M167" s="71">
        <v>0</v>
      </c>
      <c r="N167" s="70">
        <v>4913.3</v>
      </c>
      <c r="O167" s="70">
        <v>445299.81</v>
      </c>
      <c r="P167" s="72">
        <v>9445771.4700000007</v>
      </c>
      <c r="Q167" s="70">
        <v>0</v>
      </c>
      <c r="R167" s="70">
        <v>955787.45</v>
      </c>
      <c r="S167" s="70">
        <v>2724974</v>
      </c>
      <c r="T167" s="70">
        <v>2479227.15</v>
      </c>
      <c r="U167" s="70">
        <v>0</v>
      </c>
      <c r="V167" s="70">
        <v>0</v>
      </c>
      <c r="W167" s="70">
        <v>991298.22</v>
      </c>
      <c r="X167" s="71">
        <v>1802159.84</v>
      </c>
      <c r="Y167" s="71">
        <v>18849431.239999998</v>
      </c>
      <c r="Z167" s="61">
        <v>9.4647301549490331E-2</v>
      </c>
      <c r="AA167" s="71">
        <v>1787049.35</v>
      </c>
      <c r="AB167" s="71">
        <v>0</v>
      </c>
      <c r="AC167" s="71">
        <v>0</v>
      </c>
      <c r="AD167" s="71">
        <v>0</v>
      </c>
      <c r="AE167" s="71">
        <v>0</v>
      </c>
      <c r="AF167" s="71">
        <f t="shared" si="53"/>
        <v>0</v>
      </c>
      <c r="AG167" s="71">
        <v>884314.62</v>
      </c>
      <c r="AH167" s="70">
        <v>66480.98</v>
      </c>
      <c r="AI167" s="70">
        <v>191815.48</v>
      </c>
      <c r="AJ167" s="71">
        <v>0</v>
      </c>
      <c r="AK167" s="70">
        <v>111327.21</v>
      </c>
      <c r="AL167" s="70">
        <v>3993.24</v>
      </c>
      <c r="AM167" s="70">
        <v>56572.9</v>
      </c>
      <c r="AN167" s="70">
        <v>9500</v>
      </c>
      <c r="AO167" s="70">
        <v>0</v>
      </c>
      <c r="AP167" s="70">
        <v>0</v>
      </c>
      <c r="AQ167" s="70">
        <v>37820.950000000004</v>
      </c>
      <c r="AR167" s="70">
        <v>7366.35</v>
      </c>
      <c r="AS167" s="70">
        <v>0</v>
      </c>
      <c r="AT167" s="70">
        <v>34250.07</v>
      </c>
      <c r="AU167" s="70">
        <v>95.88</v>
      </c>
      <c r="AV167" s="70">
        <v>63797</v>
      </c>
      <c r="AW167" s="70">
        <v>1467334.68</v>
      </c>
      <c r="AX167" s="70">
        <v>0</v>
      </c>
      <c r="AY167" s="61">
        <f t="shared" si="54"/>
        <v>0</v>
      </c>
      <c r="AZ167" s="71">
        <v>0</v>
      </c>
      <c r="BA167" s="61">
        <v>9.9943787897604927E-2</v>
      </c>
      <c r="BB167" s="70">
        <v>289386.75</v>
      </c>
      <c r="BC167" s="70">
        <v>1402958.54</v>
      </c>
      <c r="BD167" s="71">
        <v>244769.88</v>
      </c>
      <c r="BE167" s="71">
        <v>3.8800000000046602</v>
      </c>
      <c r="BF167" s="71">
        <v>716621.33</v>
      </c>
      <c r="BG167" s="71">
        <v>349787.66</v>
      </c>
      <c r="BH167" s="71">
        <v>0</v>
      </c>
      <c r="BI167" s="71">
        <v>0</v>
      </c>
      <c r="BJ167" s="71">
        <f t="shared" si="55"/>
        <v>0</v>
      </c>
      <c r="BK167" s="71">
        <v>0</v>
      </c>
      <c r="BL167" s="60">
        <v>3464</v>
      </c>
      <c r="BM167" s="60">
        <v>951</v>
      </c>
      <c r="BN167" s="59">
        <v>34</v>
      </c>
      <c r="BO167" s="59">
        <v>-1</v>
      </c>
      <c r="BP167" s="59">
        <v>-1</v>
      </c>
      <c r="BQ167" s="59">
        <v>-7</v>
      </c>
      <c r="BR167" s="59">
        <v>-138</v>
      </c>
      <c r="BS167" s="59">
        <v>-369</v>
      </c>
      <c r="BT167" s="59">
        <v>1</v>
      </c>
      <c r="BU167" s="59">
        <v>0</v>
      </c>
      <c r="BV167" s="59">
        <v>-25</v>
      </c>
      <c r="BW167" s="59">
        <v>-695</v>
      </c>
      <c r="BX167" s="59">
        <v>0</v>
      </c>
      <c r="BY167" s="59">
        <v>3214</v>
      </c>
      <c r="BZ167" s="59">
        <v>5</v>
      </c>
      <c r="CA167" s="59">
        <v>2</v>
      </c>
      <c r="CB167" s="59">
        <v>54</v>
      </c>
      <c r="CC167" s="59">
        <v>27</v>
      </c>
      <c r="CD167" s="59">
        <v>269</v>
      </c>
      <c r="CE167" s="59">
        <v>341</v>
      </c>
      <c r="CF167" s="59">
        <v>4</v>
      </c>
    </row>
    <row r="168" spans="1:84" s="50" customFormat="1" ht="15.6" customHeight="1" x14ac:dyDescent="0.25">
      <c r="A168" s="42">
        <v>21</v>
      </c>
      <c r="B168" s="42" t="s">
        <v>472</v>
      </c>
      <c r="C168" s="57" t="s">
        <v>473</v>
      </c>
      <c r="D168" s="42" t="s">
        <v>474</v>
      </c>
      <c r="E168" s="42" t="s">
        <v>117</v>
      </c>
      <c r="F168" s="42" t="s">
        <v>460</v>
      </c>
      <c r="G168" s="70">
        <v>30040006.010000002</v>
      </c>
      <c r="H168" s="70">
        <v>0</v>
      </c>
      <c r="I168" s="70">
        <v>2768410.28</v>
      </c>
      <c r="J168" s="70">
        <v>0</v>
      </c>
      <c r="K168" s="71">
        <v>0</v>
      </c>
      <c r="L168" s="71">
        <v>32808416.289999999</v>
      </c>
      <c r="M168" s="71">
        <v>0</v>
      </c>
      <c r="N168" s="70">
        <v>686927.03</v>
      </c>
      <c r="O168" s="70">
        <v>1444139.19</v>
      </c>
      <c r="P168" s="72">
        <v>12489979.91</v>
      </c>
      <c r="Q168" s="70">
        <v>0</v>
      </c>
      <c r="R168" s="70">
        <v>2156681.02</v>
      </c>
      <c r="S168" s="70">
        <v>6929905.5</v>
      </c>
      <c r="T168" s="70">
        <v>3092841.66</v>
      </c>
      <c r="U168" s="70">
        <v>0</v>
      </c>
      <c r="V168" s="70">
        <v>0</v>
      </c>
      <c r="W168" s="70">
        <v>2832827.03</v>
      </c>
      <c r="X168" s="71">
        <v>3012584.47</v>
      </c>
      <c r="Y168" s="71">
        <v>32645885.809999999</v>
      </c>
      <c r="Z168" s="61">
        <v>3.9588985754667294E-2</v>
      </c>
      <c r="AA168" s="71">
        <v>3005915.98</v>
      </c>
      <c r="AB168" s="71">
        <v>0</v>
      </c>
      <c r="AC168" s="71">
        <v>0</v>
      </c>
      <c r="AD168" s="71">
        <v>0</v>
      </c>
      <c r="AE168" s="71">
        <v>0</v>
      </c>
      <c r="AF168" s="71">
        <f t="shared" si="53"/>
        <v>0</v>
      </c>
      <c r="AG168" s="71">
        <v>1436193.67</v>
      </c>
      <c r="AH168" s="70">
        <v>111033.24</v>
      </c>
      <c r="AI168" s="70">
        <v>382328.89</v>
      </c>
      <c r="AJ168" s="71">
        <v>86004.33</v>
      </c>
      <c r="AK168" s="70">
        <v>275868.39</v>
      </c>
      <c r="AL168" s="70">
        <v>3352.54</v>
      </c>
      <c r="AM168" s="70">
        <v>122902.19</v>
      </c>
      <c r="AN168" s="70">
        <v>9500</v>
      </c>
      <c r="AO168" s="70">
        <v>320</v>
      </c>
      <c r="AP168" s="70">
        <v>5160.24</v>
      </c>
      <c r="AQ168" s="70">
        <v>63827.67</v>
      </c>
      <c r="AR168" s="70">
        <v>37051.42</v>
      </c>
      <c r="AS168" s="70">
        <v>0</v>
      </c>
      <c r="AT168" s="70">
        <v>58558.55</v>
      </c>
      <c r="AU168" s="70">
        <v>98256.82</v>
      </c>
      <c r="AV168" s="70">
        <v>109124.42</v>
      </c>
      <c r="AW168" s="70">
        <v>2799482.37</v>
      </c>
      <c r="AX168" s="70">
        <v>0</v>
      </c>
      <c r="AY168" s="61">
        <f t="shared" si="54"/>
        <v>0</v>
      </c>
      <c r="AZ168" s="71">
        <v>0</v>
      </c>
      <c r="BA168" s="61">
        <v>0.10006376093930748</v>
      </c>
      <c r="BB168" s="70">
        <v>438683.59</v>
      </c>
      <c r="BC168" s="70">
        <v>750569.78</v>
      </c>
      <c r="BD168" s="71">
        <v>244766</v>
      </c>
      <c r="BE168" s="71">
        <v>0</v>
      </c>
      <c r="BF168" s="71">
        <v>1104776.9099999999</v>
      </c>
      <c r="BG168" s="71">
        <v>404906.31750000099</v>
      </c>
      <c r="BH168" s="71">
        <v>0</v>
      </c>
      <c r="BI168" s="71">
        <v>0</v>
      </c>
      <c r="BJ168" s="71">
        <f t="shared" si="55"/>
        <v>0</v>
      </c>
      <c r="BK168" s="71">
        <v>0</v>
      </c>
      <c r="BL168" s="60">
        <v>4824</v>
      </c>
      <c r="BM168" s="60">
        <v>1066</v>
      </c>
      <c r="BN168" s="59">
        <v>5</v>
      </c>
      <c r="BO168" s="59">
        <v>-1</v>
      </c>
      <c r="BP168" s="59">
        <v>-6</v>
      </c>
      <c r="BQ168" s="59">
        <v>-53</v>
      </c>
      <c r="BR168" s="59">
        <v>-135</v>
      </c>
      <c r="BS168" s="59">
        <v>-359</v>
      </c>
      <c r="BT168" s="59">
        <v>0</v>
      </c>
      <c r="BU168" s="59">
        <v>0</v>
      </c>
      <c r="BV168" s="59">
        <v>13</v>
      </c>
      <c r="BW168" s="59">
        <v>-926</v>
      </c>
      <c r="BX168" s="59">
        <v>-3</v>
      </c>
      <c r="BY168" s="59">
        <v>4425</v>
      </c>
      <c r="BZ168" s="59">
        <v>33</v>
      </c>
      <c r="CA168" s="59">
        <v>13</v>
      </c>
      <c r="CB168" s="59">
        <v>204</v>
      </c>
      <c r="CC168" s="59">
        <v>58</v>
      </c>
      <c r="CD168" s="59">
        <v>527</v>
      </c>
      <c r="CE168" s="59">
        <v>138</v>
      </c>
      <c r="CF168" s="59">
        <v>0</v>
      </c>
    </row>
    <row r="169" spans="1:84" s="50" customFormat="1" ht="15.6" customHeight="1" x14ac:dyDescent="0.25">
      <c r="A169" s="42">
        <v>21</v>
      </c>
      <c r="B169" s="42" t="s">
        <v>475</v>
      </c>
      <c r="C169" s="57" t="s">
        <v>167</v>
      </c>
      <c r="D169" s="42" t="s">
        <v>476</v>
      </c>
      <c r="E169" s="42" t="s">
        <v>117</v>
      </c>
      <c r="F169" s="42" t="s">
        <v>463</v>
      </c>
      <c r="G169" s="70">
        <v>60539453.200000003</v>
      </c>
      <c r="H169" s="70">
        <v>0</v>
      </c>
      <c r="I169" s="70">
        <v>803008.35000000009</v>
      </c>
      <c r="J169" s="70">
        <v>0</v>
      </c>
      <c r="K169" s="71">
        <v>0</v>
      </c>
      <c r="L169" s="71">
        <v>61342461.549999997</v>
      </c>
      <c r="M169" s="71">
        <v>0</v>
      </c>
      <c r="N169" s="70">
        <v>16776726.68</v>
      </c>
      <c r="O169" s="70">
        <v>5045000.37</v>
      </c>
      <c r="P169" s="72">
        <v>8083360</v>
      </c>
      <c r="Q169" s="70">
        <v>90521.04</v>
      </c>
      <c r="R169" s="70">
        <v>2200007.04</v>
      </c>
      <c r="S169" s="70">
        <v>18570364.699999999</v>
      </c>
      <c r="T169" s="70">
        <v>6890778.5199999996</v>
      </c>
      <c r="U169" s="70">
        <v>0</v>
      </c>
      <c r="V169" s="70">
        <v>0</v>
      </c>
      <c r="W169" s="70">
        <v>1706536.09</v>
      </c>
      <c r="X169" s="71">
        <v>3787620.1399999997</v>
      </c>
      <c r="Y169" s="71">
        <v>63150914.579999998</v>
      </c>
      <c r="Z169" s="61">
        <v>0.14204151549885521</v>
      </c>
      <c r="AA169" s="71">
        <v>3776281.55</v>
      </c>
      <c r="AB169" s="71">
        <v>0</v>
      </c>
      <c r="AC169" s="71">
        <v>0</v>
      </c>
      <c r="AD169" s="71">
        <v>0</v>
      </c>
      <c r="AE169" s="71">
        <v>1120.3399999999999</v>
      </c>
      <c r="AF169" s="71">
        <f t="shared" si="53"/>
        <v>1120.3399999999999</v>
      </c>
      <c r="AG169" s="71">
        <v>1875510.99</v>
      </c>
      <c r="AH169" s="70">
        <v>145132.63</v>
      </c>
      <c r="AI169" s="70">
        <v>568063.79</v>
      </c>
      <c r="AJ169" s="71">
        <v>0</v>
      </c>
      <c r="AK169" s="70">
        <v>425994.89</v>
      </c>
      <c r="AL169" s="70">
        <v>7601.96</v>
      </c>
      <c r="AM169" s="70">
        <v>84079.9</v>
      </c>
      <c r="AN169" s="70">
        <v>8600</v>
      </c>
      <c r="AO169" s="70">
        <v>3014</v>
      </c>
      <c r="AP169" s="70">
        <v>5896.03</v>
      </c>
      <c r="AQ169" s="70">
        <v>100158.36</v>
      </c>
      <c r="AR169" s="70">
        <v>11491.68</v>
      </c>
      <c r="AS169" s="70">
        <v>0</v>
      </c>
      <c r="AT169" s="70">
        <v>87730.73</v>
      </c>
      <c r="AU169" s="70">
        <v>56950.1</v>
      </c>
      <c r="AV169" s="70">
        <v>146244.04</v>
      </c>
      <c r="AW169" s="70">
        <v>3526469.1</v>
      </c>
      <c r="AX169" s="70">
        <v>0</v>
      </c>
      <c r="AY169" s="61">
        <f t="shared" si="54"/>
        <v>0</v>
      </c>
      <c r="AZ169" s="71">
        <v>0</v>
      </c>
      <c r="BA169" s="61">
        <v>6.2377199502026547E-2</v>
      </c>
      <c r="BB169" s="70">
        <v>2875587.8</v>
      </c>
      <c r="BC169" s="70">
        <v>5723527.8799999999</v>
      </c>
      <c r="BD169" s="71">
        <v>244766</v>
      </c>
      <c r="BE169" s="71">
        <v>5.8207660913467401E-11</v>
      </c>
      <c r="BF169" s="71">
        <v>2097569.1</v>
      </c>
      <c r="BG169" s="71">
        <v>1215951.825</v>
      </c>
      <c r="BH169" s="71">
        <v>0</v>
      </c>
      <c r="BI169" s="71">
        <v>0</v>
      </c>
      <c r="BJ169" s="71">
        <f t="shared" si="55"/>
        <v>0</v>
      </c>
      <c r="BK169" s="71">
        <v>0</v>
      </c>
      <c r="BL169" s="60">
        <v>8648</v>
      </c>
      <c r="BM169" s="60">
        <v>2318</v>
      </c>
      <c r="BN169" s="59">
        <v>36</v>
      </c>
      <c r="BO169" s="59">
        <v>0</v>
      </c>
      <c r="BP169" s="59">
        <v>-14</v>
      </c>
      <c r="BQ169" s="59">
        <v>-14</v>
      </c>
      <c r="BR169" s="59">
        <v>-637</v>
      </c>
      <c r="BS169" s="59">
        <v>-571</v>
      </c>
      <c r="BT169" s="59">
        <v>0</v>
      </c>
      <c r="BU169" s="59">
        <v>-1</v>
      </c>
      <c r="BV169" s="59">
        <v>19</v>
      </c>
      <c r="BW169" s="59">
        <v>-1652</v>
      </c>
      <c r="BX169" s="59">
        <v>-2</v>
      </c>
      <c r="BY169" s="59">
        <v>8130</v>
      </c>
      <c r="BZ169" s="59">
        <v>218</v>
      </c>
      <c r="CA169" s="59">
        <v>52</v>
      </c>
      <c r="CB169" s="59">
        <v>414</v>
      </c>
      <c r="CC169" s="59">
        <v>123</v>
      </c>
      <c r="CD169" s="59">
        <v>1075</v>
      </c>
      <c r="CE169" s="59">
        <v>0</v>
      </c>
      <c r="CF169" s="59">
        <v>40</v>
      </c>
    </row>
    <row r="170" spans="1:84" s="50" customFormat="1" ht="15.6" customHeight="1" x14ac:dyDescent="0.25">
      <c r="A170" s="42">
        <v>21</v>
      </c>
      <c r="B170" s="42" t="s">
        <v>477</v>
      </c>
      <c r="C170" s="57" t="s">
        <v>433</v>
      </c>
      <c r="D170" s="42" t="s">
        <v>478</v>
      </c>
      <c r="E170" s="42" t="s">
        <v>132</v>
      </c>
      <c r="F170" s="42" t="s">
        <v>463</v>
      </c>
      <c r="G170" s="70">
        <v>32851970.719999999</v>
      </c>
      <c r="H170" s="70">
        <v>0</v>
      </c>
      <c r="I170" s="70">
        <v>1441979.26</v>
      </c>
      <c r="J170" s="70">
        <v>12834.36</v>
      </c>
      <c r="K170" s="71">
        <v>0</v>
      </c>
      <c r="L170" s="71">
        <v>34306784.340000004</v>
      </c>
      <c r="M170" s="71">
        <v>188037.9</v>
      </c>
      <c r="N170" s="70">
        <v>10520667.24</v>
      </c>
      <c r="O170" s="70">
        <v>2886182.89</v>
      </c>
      <c r="P170" s="72">
        <v>5875817.6100000003</v>
      </c>
      <c r="Q170" s="70">
        <v>0</v>
      </c>
      <c r="R170" s="70">
        <v>1039634.07</v>
      </c>
      <c r="S170" s="70">
        <v>9326561.4700000007</v>
      </c>
      <c r="T170" s="70">
        <v>1623862.53</v>
      </c>
      <c r="U170" s="70">
        <v>0</v>
      </c>
      <c r="V170" s="70">
        <v>0</v>
      </c>
      <c r="W170" s="70">
        <v>2051544.9</v>
      </c>
      <c r="X170" s="71">
        <v>1982191.6800000002</v>
      </c>
      <c r="Y170" s="71">
        <v>35306462.390000001</v>
      </c>
      <c r="Z170" s="61">
        <v>0.13813218813193956</v>
      </c>
      <c r="AA170" s="71">
        <v>1982191.68</v>
      </c>
      <c r="AB170" s="71">
        <v>0</v>
      </c>
      <c r="AC170" s="71">
        <v>0</v>
      </c>
      <c r="AD170" s="71">
        <v>0</v>
      </c>
      <c r="AE170" s="71">
        <v>0</v>
      </c>
      <c r="AF170" s="71">
        <f t="shared" si="53"/>
        <v>0</v>
      </c>
      <c r="AG170" s="71">
        <v>1270032.21</v>
      </c>
      <c r="AH170" s="70">
        <v>98104.24</v>
      </c>
      <c r="AI170" s="70">
        <v>286077.21999999997</v>
      </c>
      <c r="AJ170" s="71">
        <v>0</v>
      </c>
      <c r="AK170" s="70">
        <v>135988.79</v>
      </c>
      <c r="AL170" s="70">
        <v>5174.91</v>
      </c>
      <c r="AM170" s="70">
        <v>192059.51</v>
      </c>
      <c r="AN170" s="70">
        <v>8600</v>
      </c>
      <c r="AO170" s="70">
        <v>4050</v>
      </c>
      <c r="AP170" s="70">
        <v>56920.88</v>
      </c>
      <c r="AQ170" s="70">
        <v>49451.8</v>
      </c>
      <c r="AR170" s="70">
        <v>14174.16</v>
      </c>
      <c r="AS170" s="70">
        <v>0</v>
      </c>
      <c r="AT170" s="70">
        <v>30146.99</v>
      </c>
      <c r="AU170" s="70">
        <v>11223.92</v>
      </c>
      <c r="AV170" s="70">
        <v>99391.76</v>
      </c>
      <c r="AW170" s="70">
        <v>2261396.39</v>
      </c>
      <c r="AX170" s="70">
        <v>0</v>
      </c>
      <c r="AY170" s="61">
        <f t="shared" si="54"/>
        <v>0</v>
      </c>
      <c r="AZ170" s="71">
        <v>428</v>
      </c>
      <c r="BA170" s="61">
        <v>5.999367926315026E-2</v>
      </c>
      <c r="BB170" s="70">
        <v>1038075.35</v>
      </c>
      <c r="BC170" s="70">
        <v>3499839.25</v>
      </c>
      <c r="BD170" s="71">
        <v>244766</v>
      </c>
      <c r="BE170" s="71">
        <v>2.91038304567337E-11</v>
      </c>
      <c r="BF170" s="71">
        <v>890731.32999999798</v>
      </c>
      <c r="BG170" s="71">
        <v>325382.232499998</v>
      </c>
      <c r="BH170" s="71">
        <v>0</v>
      </c>
      <c r="BI170" s="71">
        <v>0</v>
      </c>
      <c r="BJ170" s="71">
        <f t="shared" si="55"/>
        <v>0</v>
      </c>
      <c r="BK170" s="71">
        <v>0</v>
      </c>
      <c r="BL170" s="60">
        <v>2503</v>
      </c>
      <c r="BM170" s="60">
        <v>904</v>
      </c>
      <c r="BN170" s="59">
        <v>139</v>
      </c>
      <c r="BO170" s="59">
        <v>-133</v>
      </c>
      <c r="BP170" s="59">
        <v>-21</v>
      </c>
      <c r="BQ170" s="59">
        <v>-31</v>
      </c>
      <c r="BR170" s="59">
        <v>-315</v>
      </c>
      <c r="BS170" s="59">
        <v>-274</v>
      </c>
      <c r="BT170" s="59">
        <v>0</v>
      </c>
      <c r="BU170" s="59">
        <v>-2</v>
      </c>
      <c r="BV170" s="59">
        <v>-125</v>
      </c>
      <c r="BW170" s="59">
        <v>-408</v>
      </c>
      <c r="BX170" s="59">
        <v>0</v>
      </c>
      <c r="BY170" s="59">
        <v>2237</v>
      </c>
      <c r="BZ170" s="59">
        <v>13</v>
      </c>
      <c r="CA170" s="59">
        <v>0</v>
      </c>
      <c r="CB170" s="59">
        <v>179</v>
      </c>
      <c r="CC170" s="59">
        <v>40</v>
      </c>
      <c r="CD170" s="59">
        <v>175</v>
      </c>
      <c r="CE170" s="59">
        <v>0</v>
      </c>
      <c r="CF170" s="59">
        <v>14</v>
      </c>
    </row>
    <row r="171" spans="1:84" s="50" customFormat="1" ht="15.6" customHeight="1" x14ac:dyDescent="0.25">
      <c r="A171" s="42">
        <v>21</v>
      </c>
      <c r="B171" s="42" t="s">
        <v>479</v>
      </c>
      <c r="C171" s="57" t="s">
        <v>480</v>
      </c>
      <c r="D171" s="42" t="s">
        <v>455</v>
      </c>
      <c r="E171" s="42" t="s">
        <v>85</v>
      </c>
      <c r="F171" s="42" t="s">
        <v>481</v>
      </c>
      <c r="G171" s="70">
        <v>31884042.77</v>
      </c>
      <c r="H171" s="70">
        <v>0</v>
      </c>
      <c r="I171" s="70">
        <v>300059.62</v>
      </c>
      <c r="J171" s="70">
        <v>0</v>
      </c>
      <c r="K171" s="71">
        <v>0</v>
      </c>
      <c r="L171" s="71">
        <v>32184102.390000001</v>
      </c>
      <c r="M171" s="71">
        <v>0</v>
      </c>
      <c r="N171" s="70">
        <v>22862.52</v>
      </c>
      <c r="O171" s="70">
        <v>3032124.63</v>
      </c>
      <c r="P171" s="72">
        <v>8040993.8700000001</v>
      </c>
      <c r="Q171" s="70">
        <v>0</v>
      </c>
      <c r="R171" s="70">
        <v>2695270.62</v>
      </c>
      <c r="S171" s="70">
        <v>10717852.42</v>
      </c>
      <c r="T171" s="70">
        <v>4671981.76</v>
      </c>
      <c r="U171" s="70">
        <v>0</v>
      </c>
      <c r="V171" s="70">
        <v>0</v>
      </c>
      <c r="W171" s="70">
        <v>505040.12</v>
      </c>
      <c r="X171" s="71">
        <v>3191376.0500000003</v>
      </c>
      <c r="Y171" s="71">
        <v>32877501.989999998</v>
      </c>
      <c r="Z171" s="61">
        <v>0.11138635133627378</v>
      </c>
      <c r="AA171" s="71">
        <v>3189090.41</v>
      </c>
      <c r="AB171" s="71">
        <v>0</v>
      </c>
      <c r="AC171" s="71">
        <v>0</v>
      </c>
      <c r="AD171" s="71">
        <v>0</v>
      </c>
      <c r="AE171" s="71">
        <v>0</v>
      </c>
      <c r="AF171" s="71">
        <f t="shared" si="53"/>
        <v>0</v>
      </c>
      <c r="AG171" s="71">
        <v>1287188.6499999999</v>
      </c>
      <c r="AH171" s="70">
        <v>102808.97</v>
      </c>
      <c r="AI171" s="70">
        <v>251574.67</v>
      </c>
      <c r="AJ171" s="71">
        <v>0</v>
      </c>
      <c r="AK171" s="70">
        <v>172401</v>
      </c>
      <c r="AL171" s="70">
        <v>24814.53</v>
      </c>
      <c r="AM171" s="70">
        <v>75212.89</v>
      </c>
      <c r="AN171" s="70">
        <v>8900</v>
      </c>
      <c r="AO171" s="70">
        <v>555.9</v>
      </c>
      <c r="AP171" s="70">
        <v>29837.25</v>
      </c>
      <c r="AQ171" s="70">
        <v>26207.46</v>
      </c>
      <c r="AR171" s="70">
        <v>11348.27</v>
      </c>
      <c r="AS171" s="70">
        <v>0</v>
      </c>
      <c r="AT171" s="70">
        <v>14873.39</v>
      </c>
      <c r="AU171" s="70">
        <v>65404.67</v>
      </c>
      <c r="AV171" s="70">
        <v>217553.83</v>
      </c>
      <c r="AW171" s="70">
        <v>2288681.48</v>
      </c>
      <c r="AX171" s="70">
        <v>0</v>
      </c>
      <c r="AY171" s="61">
        <f t="shared" si="54"/>
        <v>0</v>
      </c>
      <c r="AZ171" s="71">
        <v>0</v>
      </c>
      <c r="BA171" s="61">
        <v>0.10002151963616877</v>
      </c>
      <c r="BB171" s="70">
        <v>858526.86</v>
      </c>
      <c r="BC171" s="70">
        <v>2692920.33</v>
      </c>
      <c r="BD171" s="71">
        <v>244766</v>
      </c>
      <c r="BE171" s="71">
        <v>2.91038304567337E-11</v>
      </c>
      <c r="BF171" s="71">
        <v>1913795.03</v>
      </c>
      <c r="BG171" s="71">
        <v>1341624.6599999999</v>
      </c>
      <c r="BH171" s="71">
        <v>0</v>
      </c>
      <c r="BI171" s="71">
        <v>0</v>
      </c>
      <c r="BJ171" s="71">
        <f t="shared" si="55"/>
        <v>0</v>
      </c>
      <c r="BK171" s="71">
        <v>0</v>
      </c>
      <c r="BL171" s="60">
        <v>6726</v>
      </c>
      <c r="BM171" s="60">
        <v>1193</v>
      </c>
      <c r="BN171" s="59">
        <v>0</v>
      </c>
      <c r="BO171" s="59">
        <v>0</v>
      </c>
      <c r="BP171" s="59">
        <v>-11</v>
      </c>
      <c r="BQ171" s="59">
        <v>-64</v>
      </c>
      <c r="BR171" s="59">
        <v>-133</v>
      </c>
      <c r="BS171" s="59">
        <v>-360</v>
      </c>
      <c r="BT171" s="59">
        <v>0</v>
      </c>
      <c r="BU171" s="59">
        <v>-4</v>
      </c>
      <c r="BV171" s="59">
        <v>-9</v>
      </c>
      <c r="BW171" s="59">
        <v>-1312</v>
      </c>
      <c r="BX171" s="59">
        <v>-10</v>
      </c>
      <c r="BY171" s="59">
        <v>6016</v>
      </c>
      <c r="BZ171" s="59">
        <v>5</v>
      </c>
      <c r="CA171" s="59">
        <v>21</v>
      </c>
      <c r="CB171" s="59">
        <v>168</v>
      </c>
      <c r="CC171" s="59">
        <v>159</v>
      </c>
      <c r="CD171" s="59">
        <v>962</v>
      </c>
      <c r="CE171" s="59">
        <v>5</v>
      </c>
      <c r="CF171" s="59">
        <v>18</v>
      </c>
    </row>
    <row r="172" spans="1:84" s="50" customFormat="1" ht="15.6" customHeight="1" x14ac:dyDescent="0.25">
      <c r="A172" s="42">
        <v>21</v>
      </c>
      <c r="B172" s="42" t="s">
        <v>482</v>
      </c>
      <c r="C172" s="57" t="s">
        <v>483</v>
      </c>
      <c r="D172" s="42" t="s">
        <v>551</v>
      </c>
      <c r="E172" s="42" t="s">
        <v>132</v>
      </c>
      <c r="F172" s="42" t="s">
        <v>463</v>
      </c>
      <c r="G172" s="70">
        <v>25105391.73</v>
      </c>
      <c r="H172" s="70">
        <v>0.03</v>
      </c>
      <c r="I172" s="70">
        <v>328086.40000000002</v>
      </c>
      <c r="J172" s="70">
        <v>12608.96</v>
      </c>
      <c r="K172" s="71">
        <v>0</v>
      </c>
      <c r="L172" s="71">
        <v>25446087.120000001</v>
      </c>
      <c r="M172" s="71">
        <v>125123.84</v>
      </c>
      <c r="N172" s="70">
        <v>7248357.4299999997</v>
      </c>
      <c r="O172" s="70">
        <v>1597243.7</v>
      </c>
      <c r="P172" s="72">
        <v>2409967.2599999998</v>
      </c>
      <c r="Q172" s="70">
        <v>0</v>
      </c>
      <c r="R172" s="70">
        <v>781328.17</v>
      </c>
      <c r="S172" s="70">
        <v>8279897.6600000001</v>
      </c>
      <c r="T172" s="70">
        <v>2006315.17</v>
      </c>
      <c r="U172" s="70">
        <v>0</v>
      </c>
      <c r="V172" s="70">
        <v>0</v>
      </c>
      <c r="W172" s="70">
        <v>1324154.95</v>
      </c>
      <c r="X172" s="71">
        <v>2528933.33</v>
      </c>
      <c r="Y172" s="71">
        <v>26176197.670000002</v>
      </c>
      <c r="Z172" s="61">
        <v>0.10052425487424459</v>
      </c>
      <c r="AA172" s="71">
        <v>2523051.1800000002</v>
      </c>
      <c r="AB172" s="71">
        <v>0</v>
      </c>
      <c r="AC172" s="71">
        <v>0</v>
      </c>
      <c r="AD172" s="71">
        <v>0</v>
      </c>
      <c r="AE172" s="71">
        <v>0</v>
      </c>
      <c r="AF172" s="71">
        <f t="shared" si="53"/>
        <v>0</v>
      </c>
      <c r="AG172" s="71">
        <v>977593.31</v>
      </c>
      <c r="AH172" s="70">
        <v>74715.83</v>
      </c>
      <c r="AI172" s="70">
        <v>270774.96999999997</v>
      </c>
      <c r="AJ172" s="71">
        <v>0</v>
      </c>
      <c r="AK172" s="70">
        <v>133350.96</v>
      </c>
      <c r="AL172" s="70">
        <v>31035</v>
      </c>
      <c r="AM172" s="70">
        <v>108002.61</v>
      </c>
      <c r="AN172" s="70">
        <v>8600</v>
      </c>
      <c r="AO172" s="70">
        <v>14459.5</v>
      </c>
      <c r="AP172" s="70">
        <v>60333.66</v>
      </c>
      <c r="AQ172" s="70">
        <v>45155.979999999996</v>
      </c>
      <c r="AR172" s="70">
        <v>13919.69</v>
      </c>
      <c r="AS172" s="70">
        <v>0</v>
      </c>
      <c r="AT172" s="70">
        <v>112301.5</v>
      </c>
      <c r="AU172" s="70">
        <v>6783.37</v>
      </c>
      <c r="AV172" s="70">
        <v>88686.24</v>
      </c>
      <c r="AW172" s="70">
        <v>1945712.62</v>
      </c>
      <c r="AX172" s="70">
        <v>0</v>
      </c>
      <c r="AY172" s="61">
        <f t="shared" si="54"/>
        <v>0</v>
      </c>
      <c r="AZ172" s="71">
        <v>578.23</v>
      </c>
      <c r="BA172" s="61">
        <v>9.9999985057776616E-2</v>
      </c>
      <c r="BB172" s="70">
        <v>1596372.08</v>
      </c>
      <c r="BC172" s="70">
        <v>927328.72</v>
      </c>
      <c r="BD172" s="71">
        <v>241807</v>
      </c>
      <c r="BE172" s="71">
        <v>0</v>
      </c>
      <c r="BF172" s="71">
        <v>2114447.71</v>
      </c>
      <c r="BG172" s="71">
        <v>1628019.5549999999</v>
      </c>
      <c r="BH172" s="71">
        <v>0</v>
      </c>
      <c r="BI172" s="71">
        <v>0</v>
      </c>
      <c r="BJ172" s="71">
        <f t="shared" si="55"/>
        <v>0</v>
      </c>
      <c r="BK172" s="71">
        <v>0</v>
      </c>
      <c r="BL172" s="60">
        <v>2192</v>
      </c>
      <c r="BM172" s="60">
        <v>860</v>
      </c>
      <c r="BN172" s="59">
        <v>18</v>
      </c>
      <c r="BO172" s="59">
        <v>-17</v>
      </c>
      <c r="BP172" s="59">
        <v>-42</v>
      </c>
      <c r="BQ172" s="59">
        <v>-31</v>
      </c>
      <c r="BR172" s="59">
        <v>-452</v>
      </c>
      <c r="BS172" s="59">
        <v>-202</v>
      </c>
      <c r="BT172" s="59">
        <v>22</v>
      </c>
      <c r="BU172" s="59">
        <v>0</v>
      </c>
      <c r="BV172" s="59">
        <v>-6</v>
      </c>
      <c r="BW172" s="59">
        <v>-326</v>
      </c>
      <c r="BX172" s="59">
        <v>0</v>
      </c>
      <c r="BY172" s="59">
        <v>2016</v>
      </c>
      <c r="BZ172" s="59">
        <v>9</v>
      </c>
      <c r="CA172" s="59">
        <v>0</v>
      </c>
      <c r="CB172" s="59">
        <v>152</v>
      </c>
      <c r="CC172" s="59">
        <v>27</v>
      </c>
      <c r="CD172" s="59">
        <v>132</v>
      </c>
      <c r="CE172" s="59">
        <v>1</v>
      </c>
      <c r="CF172" s="59">
        <v>14</v>
      </c>
    </row>
    <row r="173" spans="1:84" s="50" customFormat="1" ht="15.6" customHeight="1" x14ac:dyDescent="0.25">
      <c r="A173" s="42">
        <v>21</v>
      </c>
      <c r="B173" s="73" t="s">
        <v>580</v>
      </c>
      <c r="C173" s="57" t="s">
        <v>581</v>
      </c>
      <c r="D173" s="42" t="s">
        <v>459</v>
      </c>
      <c r="E173" s="42" t="s">
        <v>103</v>
      </c>
      <c r="F173" s="42" t="s">
        <v>460</v>
      </c>
      <c r="G173" s="70">
        <v>58600779.719999999</v>
      </c>
      <c r="H173" s="70">
        <v>0</v>
      </c>
      <c r="I173" s="70">
        <v>1621580.04</v>
      </c>
      <c r="J173" s="70">
        <v>0</v>
      </c>
      <c r="K173" s="71">
        <v>39529.919999999998</v>
      </c>
      <c r="L173" s="71">
        <v>60261889.68</v>
      </c>
      <c r="M173" s="71">
        <v>0</v>
      </c>
      <c r="N173" s="70">
        <v>8414.17</v>
      </c>
      <c r="O173" s="70">
        <v>4785326.04</v>
      </c>
      <c r="P173" s="72">
        <v>24604777.09</v>
      </c>
      <c r="Q173" s="70">
        <v>0</v>
      </c>
      <c r="R173" s="70">
        <v>4176444.1</v>
      </c>
      <c r="S173" s="70">
        <v>14553806.42</v>
      </c>
      <c r="T173" s="70">
        <v>6371458.6799999997</v>
      </c>
      <c r="U173" s="70">
        <v>0</v>
      </c>
      <c r="V173" s="70">
        <v>0</v>
      </c>
      <c r="W173" s="70">
        <v>1774483.51</v>
      </c>
      <c r="X173" s="71">
        <v>3581081.5900000003</v>
      </c>
      <c r="Y173" s="71">
        <v>59855791.600000001</v>
      </c>
      <c r="Z173" s="61">
        <v>0.13512853869583255</v>
      </c>
      <c r="AA173" s="71">
        <v>3515237.68</v>
      </c>
      <c r="AB173" s="71">
        <v>0</v>
      </c>
      <c r="AC173" s="71">
        <v>0</v>
      </c>
      <c r="AD173" s="71">
        <v>0</v>
      </c>
      <c r="AE173" s="71">
        <v>0</v>
      </c>
      <c r="AF173" s="71">
        <f t="shared" si="53"/>
        <v>0</v>
      </c>
      <c r="AG173" s="71">
        <v>1951187.78</v>
      </c>
      <c r="AH173" s="70">
        <v>143689.42000000001</v>
      </c>
      <c r="AI173" s="70">
        <v>567503.92599999998</v>
      </c>
      <c r="AJ173" s="71">
        <v>0</v>
      </c>
      <c r="AK173" s="70">
        <v>290703.95</v>
      </c>
      <c r="AL173" s="70">
        <v>9315.9500000000007</v>
      </c>
      <c r="AM173" s="70">
        <v>92848.960000000006</v>
      </c>
      <c r="AN173" s="70">
        <v>14500</v>
      </c>
      <c r="AO173" s="70">
        <v>1994.15</v>
      </c>
      <c r="AP173" s="70">
        <v>0</v>
      </c>
      <c r="AQ173" s="70">
        <v>63434.979999999996</v>
      </c>
      <c r="AR173" s="70">
        <v>28400.93</v>
      </c>
      <c r="AS173" s="70">
        <v>0</v>
      </c>
      <c r="AT173" s="70">
        <v>5987.31</v>
      </c>
      <c r="AU173" s="70">
        <v>19477.82</v>
      </c>
      <c r="AV173" s="70">
        <v>139696.46</v>
      </c>
      <c r="AW173" s="70">
        <v>3328741.6359999999</v>
      </c>
      <c r="AX173" s="70">
        <v>0</v>
      </c>
      <c r="AY173" s="61">
        <f t="shared" si="54"/>
        <v>0</v>
      </c>
      <c r="AZ173" s="71">
        <v>2768.4</v>
      </c>
      <c r="BA173" s="61">
        <v>5.9986192961870716E-2</v>
      </c>
      <c r="BB173" s="70">
        <v>1001113.31</v>
      </c>
      <c r="BC173" s="70">
        <v>6917524.4199999999</v>
      </c>
      <c r="BD173" s="71">
        <v>241806.91</v>
      </c>
      <c r="BE173" s="71">
        <v>0</v>
      </c>
      <c r="BF173" s="71">
        <v>2207869.8939999999</v>
      </c>
      <c r="BG173" s="71">
        <v>1375684.4850000001</v>
      </c>
      <c r="BH173" s="71">
        <v>0</v>
      </c>
      <c r="BI173" s="71">
        <v>0</v>
      </c>
      <c r="BJ173" s="71">
        <f t="shared" si="55"/>
        <v>0</v>
      </c>
      <c r="BK173" s="71">
        <v>0</v>
      </c>
      <c r="BL173" s="60">
        <v>7478</v>
      </c>
      <c r="BM173" s="60">
        <v>2826</v>
      </c>
      <c r="BN173" s="59">
        <v>7</v>
      </c>
      <c r="BO173" s="59">
        <v>0</v>
      </c>
      <c r="BP173" s="59">
        <v>-55</v>
      </c>
      <c r="BQ173" s="59">
        <v>-87</v>
      </c>
      <c r="BR173" s="59">
        <v>-1018</v>
      </c>
      <c r="BS173" s="59">
        <v>-780</v>
      </c>
      <c r="BT173" s="59">
        <v>0</v>
      </c>
      <c r="BU173" s="59">
        <v>-2</v>
      </c>
      <c r="BV173" s="59">
        <v>0</v>
      </c>
      <c r="BW173" s="59">
        <v>-1384</v>
      </c>
      <c r="BX173" s="59">
        <v>0</v>
      </c>
      <c r="BY173" s="59">
        <v>6985</v>
      </c>
      <c r="BZ173" s="59">
        <v>30</v>
      </c>
      <c r="CA173" s="59">
        <v>32</v>
      </c>
      <c r="CB173" s="59">
        <v>249</v>
      </c>
      <c r="CC173" s="59">
        <v>106</v>
      </c>
      <c r="CD173" s="59">
        <v>529</v>
      </c>
      <c r="CE173" s="59">
        <v>491</v>
      </c>
      <c r="CF173" s="59">
        <v>9</v>
      </c>
    </row>
    <row r="174" spans="1:84" s="50" customFormat="1" ht="15.6" customHeight="1" x14ac:dyDescent="0.25">
      <c r="A174" s="42">
        <v>21</v>
      </c>
      <c r="B174" s="42" t="s">
        <v>484</v>
      </c>
      <c r="C174" s="57" t="s">
        <v>210</v>
      </c>
      <c r="D174" s="42" t="s">
        <v>485</v>
      </c>
      <c r="E174" s="42" t="s">
        <v>132</v>
      </c>
      <c r="F174" s="42" t="s">
        <v>463</v>
      </c>
      <c r="G174" s="70">
        <v>28338906.789999999</v>
      </c>
      <c r="H174" s="70">
        <v>0</v>
      </c>
      <c r="I174" s="70">
        <v>397839.06</v>
      </c>
      <c r="J174" s="70">
        <v>4000</v>
      </c>
      <c r="K174" s="71">
        <v>0</v>
      </c>
      <c r="L174" s="71">
        <v>28740745.850000001</v>
      </c>
      <c r="M174" s="71">
        <v>40000</v>
      </c>
      <c r="N174" s="70">
        <v>8172396.5</v>
      </c>
      <c r="O174" s="70">
        <v>1880283.62</v>
      </c>
      <c r="P174" s="72">
        <v>2275811.25</v>
      </c>
      <c r="Q174" s="70">
        <v>0</v>
      </c>
      <c r="R174" s="70">
        <v>1471876.64</v>
      </c>
      <c r="S174" s="70">
        <v>9322769.6899999995</v>
      </c>
      <c r="T174" s="70">
        <v>2153403.4900000002</v>
      </c>
      <c r="U174" s="70">
        <v>0</v>
      </c>
      <c r="V174" s="70">
        <v>0</v>
      </c>
      <c r="W174" s="70">
        <v>1000241.22</v>
      </c>
      <c r="X174" s="71">
        <v>2839245.95</v>
      </c>
      <c r="Y174" s="71">
        <v>29116028.359999999</v>
      </c>
      <c r="Z174" s="61">
        <v>0.10046261879814737</v>
      </c>
      <c r="AA174" s="71">
        <v>2837953.95</v>
      </c>
      <c r="AB174" s="71">
        <v>0</v>
      </c>
      <c r="AC174" s="71">
        <v>0</v>
      </c>
      <c r="AD174" s="71">
        <v>0</v>
      </c>
      <c r="AE174" s="71">
        <v>806</v>
      </c>
      <c r="AF174" s="71">
        <f t="shared" si="53"/>
        <v>806</v>
      </c>
      <c r="AG174" s="71">
        <v>1333089</v>
      </c>
      <c r="AH174" s="70">
        <v>101238.03</v>
      </c>
      <c r="AI174" s="70">
        <v>333103.15000000002</v>
      </c>
      <c r="AJ174" s="71">
        <v>0</v>
      </c>
      <c r="AK174" s="70">
        <v>205263</v>
      </c>
      <c r="AL174" s="70">
        <v>0</v>
      </c>
      <c r="AM174" s="70">
        <v>86488.639999999999</v>
      </c>
      <c r="AN174" s="70">
        <v>8600</v>
      </c>
      <c r="AO174" s="70">
        <v>997.5</v>
      </c>
      <c r="AP174" s="70">
        <v>48272.13</v>
      </c>
      <c r="AQ174" s="70">
        <v>55317.16</v>
      </c>
      <c r="AR174" s="70">
        <v>25017.51</v>
      </c>
      <c r="AS174" s="70">
        <v>0</v>
      </c>
      <c r="AT174" s="70">
        <v>35268.32</v>
      </c>
      <c r="AU174" s="70">
        <v>19353.48</v>
      </c>
      <c r="AV174" s="70">
        <v>100791.74</v>
      </c>
      <c r="AW174" s="70">
        <v>2352799.66</v>
      </c>
      <c r="AX174" s="70">
        <v>0</v>
      </c>
      <c r="AY174" s="61">
        <f t="shared" si="54"/>
        <v>0</v>
      </c>
      <c r="AZ174" s="71">
        <v>139.28</v>
      </c>
      <c r="BA174" s="61">
        <v>0.1000022295080099</v>
      </c>
      <c r="BB174" s="70">
        <v>1310560.3700000001</v>
      </c>
      <c r="BC174" s="70">
        <v>1536440.42</v>
      </c>
      <c r="BD174" s="71">
        <v>244765.84</v>
      </c>
      <c r="BE174" s="71">
        <v>0</v>
      </c>
      <c r="BF174" s="71">
        <v>1750886</v>
      </c>
      <c r="BG174" s="71">
        <v>1162686.085</v>
      </c>
      <c r="BH174" s="71">
        <v>0</v>
      </c>
      <c r="BI174" s="71">
        <v>0</v>
      </c>
      <c r="BJ174" s="71">
        <f t="shared" si="55"/>
        <v>0</v>
      </c>
      <c r="BK174" s="71">
        <v>0</v>
      </c>
      <c r="BL174" s="60">
        <v>2872</v>
      </c>
      <c r="BM174" s="60">
        <v>854</v>
      </c>
      <c r="BN174" s="59">
        <v>5</v>
      </c>
      <c r="BO174" s="59">
        <v>0</v>
      </c>
      <c r="BP174" s="59">
        <v>-49</v>
      </c>
      <c r="BQ174" s="59">
        <v>-34</v>
      </c>
      <c r="BR174" s="59">
        <v>-374</v>
      </c>
      <c r="BS174" s="59">
        <v>-171</v>
      </c>
      <c r="BT174" s="59">
        <v>24</v>
      </c>
      <c r="BU174" s="59">
        <v>-1</v>
      </c>
      <c r="BV174" s="59">
        <v>0</v>
      </c>
      <c r="BW174" s="59">
        <v>-587</v>
      </c>
      <c r="BX174" s="59">
        <v>-2</v>
      </c>
      <c r="BY174" s="59">
        <v>2537</v>
      </c>
      <c r="BZ174" s="59">
        <v>0</v>
      </c>
      <c r="CA174" s="59">
        <v>3</v>
      </c>
      <c r="CB174" s="59">
        <v>190</v>
      </c>
      <c r="CC174" s="59">
        <v>58</v>
      </c>
      <c r="CD174" s="59">
        <v>235</v>
      </c>
      <c r="CE174" s="59">
        <v>92</v>
      </c>
      <c r="CF174" s="59">
        <v>12</v>
      </c>
    </row>
    <row r="175" spans="1:84" s="50" customFormat="1" ht="15.6" customHeight="1" x14ac:dyDescent="0.25">
      <c r="A175" s="42">
        <v>21</v>
      </c>
      <c r="B175" s="42" t="s">
        <v>486</v>
      </c>
      <c r="C175" s="57" t="s">
        <v>451</v>
      </c>
      <c r="D175" s="42" t="s">
        <v>487</v>
      </c>
      <c r="E175" s="42" t="s">
        <v>132</v>
      </c>
      <c r="F175" s="42" t="s">
        <v>463</v>
      </c>
      <c r="G175" s="70">
        <v>53391478.920000002</v>
      </c>
      <c r="H175" s="70">
        <v>0</v>
      </c>
      <c r="I175" s="70">
        <v>1063191.49</v>
      </c>
      <c r="J175" s="70">
        <v>80088.009999999995</v>
      </c>
      <c r="K175" s="71">
        <v>0</v>
      </c>
      <c r="L175" s="71">
        <v>54534758.420000002</v>
      </c>
      <c r="M175" s="71">
        <v>1144114.42</v>
      </c>
      <c r="N175" s="70">
        <v>21725884.93</v>
      </c>
      <c r="O175" s="70">
        <v>3445660.83</v>
      </c>
      <c r="P175" s="72">
        <v>9845586.2200000007</v>
      </c>
      <c r="Q175" s="70">
        <v>858.94</v>
      </c>
      <c r="R175" s="70">
        <v>3295130.23</v>
      </c>
      <c r="S175" s="70">
        <v>10282635.08</v>
      </c>
      <c r="T175" s="70">
        <v>1679721.67</v>
      </c>
      <c r="U175" s="70">
        <v>0</v>
      </c>
      <c r="V175" s="70">
        <v>0</v>
      </c>
      <c r="W175" s="70">
        <v>1858615.54</v>
      </c>
      <c r="X175" s="71">
        <v>3817491.53</v>
      </c>
      <c r="Y175" s="71">
        <v>55951584.969999999</v>
      </c>
      <c r="Z175" s="61">
        <v>0.13211119063715906</v>
      </c>
      <c r="AA175" s="71">
        <v>3817491.53</v>
      </c>
      <c r="AB175" s="71">
        <v>396.51</v>
      </c>
      <c r="AC175" s="71">
        <v>5664.43</v>
      </c>
      <c r="AD175" s="71">
        <v>0</v>
      </c>
      <c r="AE175" s="71">
        <v>1206.3900000000001</v>
      </c>
      <c r="AF175" s="71">
        <f t="shared" si="53"/>
        <v>1206.3900000000001</v>
      </c>
      <c r="AG175" s="71">
        <v>1848183.67</v>
      </c>
      <c r="AH175" s="70">
        <v>141432.25</v>
      </c>
      <c r="AI175" s="70">
        <v>496661.75</v>
      </c>
      <c r="AJ175" s="71">
        <v>0</v>
      </c>
      <c r="AK175" s="70">
        <v>399032.98</v>
      </c>
      <c r="AL175" s="70">
        <v>11630.67</v>
      </c>
      <c r="AM175" s="70">
        <v>105280.13</v>
      </c>
      <c r="AN175" s="70">
        <v>8600</v>
      </c>
      <c r="AO175" s="70">
        <v>0</v>
      </c>
      <c r="AP175" s="70">
        <v>153924.42000000001</v>
      </c>
      <c r="AQ175" s="70">
        <v>89828.47</v>
      </c>
      <c r="AR175" s="70">
        <v>23663.07</v>
      </c>
      <c r="AS175" s="70">
        <v>0</v>
      </c>
      <c r="AT175" s="70">
        <v>20474.02</v>
      </c>
      <c r="AU175" s="70">
        <v>0</v>
      </c>
      <c r="AV175" s="70">
        <v>102205.63</v>
      </c>
      <c r="AW175" s="70">
        <v>3400917.06</v>
      </c>
      <c r="AX175" s="70">
        <v>49607.59</v>
      </c>
      <c r="AY175" s="61">
        <f t="shared" si="54"/>
        <v>1.4586533315810999E-2</v>
      </c>
      <c r="AZ175" s="71">
        <v>0</v>
      </c>
      <c r="BA175" s="61">
        <v>6.9999999928494497E-2</v>
      </c>
      <c r="BB175" s="70">
        <v>992655.72</v>
      </c>
      <c r="BC175" s="70">
        <v>6060956.1299999999</v>
      </c>
      <c r="BD175" s="71">
        <v>244766</v>
      </c>
      <c r="BE175" s="71">
        <v>0</v>
      </c>
      <c r="BF175" s="71">
        <v>2478683.58</v>
      </c>
      <c r="BG175" s="71">
        <v>1628454.3149999999</v>
      </c>
      <c r="BH175" s="71">
        <v>0</v>
      </c>
      <c r="BI175" s="71">
        <v>0</v>
      </c>
      <c r="BJ175" s="71">
        <f t="shared" si="55"/>
        <v>0</v>
      </c>
      <c r="BK175" s="71">
        <v>0</v>
      </c>
      <c r="BL175" s="60">
        <v>3089</v>
      </c>
      <c r="BM175" s="60">
        <v>1126</v>
      </c>
      <c r="BN175" s="59">
        <v>0</v>
      </c>
      <c r="BO175" s="59">
        <v>0</v>
      </c>
      <c r="BP175" s="59">
        <v>-16</v>
      </c>
      <c r="BQ175" s="59">
        <v>-45</v>
      </c>
      <c r="BR175" s="59">
        <v>-339</v>
      </c>
      <c r="BS175" s="59">
        <v>-333</v>
      </c>
      <c r="BT175" s="59">
        <v>0</v>
      </c>
      <c r="BU175" s="59">
        <v>-2</v>
      </c>
      <c r="BV175" s="59">
        <v>29</v>
      </c>
      <c r="BW175" s="59">
        <v>-560</v>
      </c>
      <c r="BX175" s="59">
        <v>-4</v>
      </c>
      <c r="BY175" s="59">
        <v>2945</v>
      </c>
      <c r="BZ175" s="59">
        <v>45</v>
      </c>
      <c r="CA175" s="59">
        <v>20</v>
      </c>
      <c r="CB175" s="59">
        <v>186</v>
      </c>
      <c r="CC175" s="59">
        <v>71</v>
      </c>
      <c r="CD175" s="59">
        <v>287</v>
      </c>
      <c r="CE175" s="59">
        <v>14</v>
      </c>
      <c r="CF175" s="59">
        <v>2</v>
      </c>
    </row>
    <row r="176" spans="1:84" s="50" customFormat="1" ht="15.6" customHeight="1" x14ac:dyDescent="0.25">
      <c r="A176" s="42">
        <v>21</v>
      </c>
      <c r="B176" s="42" t="s">
        <v>488</v>
      </c>
      <c r="C176" s="57" t="s">
        <v>489</v>
      </c>
      <c r="D176" s="42" t="s">
        <v>490</v>
      </c>
      <c r="E176" s="42" t="s">
        <v>117</v>
      </c>
      <c r="F176" s="42" t="s">
        <v>463</v>
      </c>
      <c r="G176" s="70">
        <v>77318032.719999999</v>
      </c>
      <c r="H176" s="70">
        <v>0</v>
      </c>
      <c r="I176" s="70">
        <v>852264.77</v>
      </c>
      <c r="J176" s="70">
        <v>0</v>
      </c>
      <c r="K176" s="71">
        <v>0</v>
      </c>
      <c r="L176" s="71">
        <v>78170297.489999995</v>
      </c>
      <c r="M176" s="71">
        <v>0</v>
      </c>
      <c r="N176" s="70">
        <v>22418865.050000001</v>
      </c>
      <c r="O176" s="70">
        <v>5801289.2599999998</v>
      </c>
      <c r="P176" s="72">
        <v>11683651.560000001</v>
      </c>
      <c r="Q176" s="70">
        <v>128601.92</v>
      </c>
      <c r="R176" s="70">
        <v>4122334.9</v>
      </c>
      <c r="S176" s="70">
        <v>20671503.48</v>
      </c>
      <c r="T176" s="70">
        <v>8093249.75</v>
      </c>
      <c r="U176" s="70">
        <v>0</v>
      </c>
      <c r="V176" s="70">
        <v>0</v>
      </c>
      <c r="W176" s="70">
        <v>1170217.52</v>
      </c>
      <c r="X176" s="71">
        <v>3481191.65</v>
      </c>
      <c r="Y176" s="71">
        <v>77570905.090000004</v>
      </c>
      <c r="Z176" s="61">
        <v>0.14993636739287178</v>
      </c>
      <c r="AA176" s="71">
        <v>3481191.65</v>
      </c>
      <c r="AB176" s="71">
        <v>0</v>
      </c>
      <c r="AC176" s="71">
        <v>0</v>
      </c>
      <c r="AD176" s="71">
        <v>0</v>
      </c>
      <c r="AE176" s="71">
        <v>0</v>
      </c>
      <c r="AF176" s="71">
        <f t="shared" si="53"/>
        <v>0</v>
      </c>
      <c r="AG176" s="71">
        <v>1968826.92</v>
      </c>
      <c r="AH176" s="70">
        <v>152147.69</v>
      </c>
      <c r="AI176" s="70">
        <v>500665.09</v>
      </c>
      <c r="AJ176" s="71">
        <v>0</v>
      </c>
      <c r="AK176" s="70">
        <v>272967.36</v>
      </c>
      <c r="AL176" s="70">
        <v>42629.75</v>
      </c>
      <c r="AM176" s="70">
        <v>83395.44</v>
      </c>
      <c r="AN176" s="70">
        <v>8600</v>
      </c>
      <c r="AO176" s="70">
        <v>2855</v>
      </c>
      <c r="AP176" s="70">
        <v>25731.41</v>
      </c>
      <c r="AQ176" s="70">
        <v>148270.82</v>
      </c>
      <c r="AR176" s="70">
        <v>11558.27</v>
      </c>
      <c r="AS176" s="70">
        <v>0</v>
      </c>
      <c r="AT176" s="70">
        <v>248259.84</v>
      </c>
      <c r="AU176" s="70">
        <v>5509.65</v>
      </c>
      <c r="AV176" s="70">
        <v>272423.23000000004</v>
      </c>
      <c r="AW176" s="70">
        <v>3743840.47</v>
      </c>
      <c r="AX176" s="70">
        <v>0</v>
      </c>
      <c r="AY176" s="61">
        <f t="shared" si="54"/>
        <v>0</v>
      </c>
      <c r="AZ176" s="71">
        <v>4349.8500000000004</v>
      </c>
      <c r="BA176" s="61">
        <v>4.5024317452654401E-2</v>
      </c>
      <c r="BB176" s="70">
        <v>2667526.5499999998</v>
      </c>
      <c r="BC176" s="70">
        <v>8925258.4100000001</v>
      </c>
      <c r="BD176" s="71">
        <v>244766</v>
      </c>
      <c r="BE176" s="71">
        <v>0</v>
      </c>
      <c r="BF176" s="71">
        <v>2535976.71</v>
      </c>
      <c r="BG176" s="71">
        <v>1600016.5925</v>
      </c>
      <c r="BH176" s="71">
        <v>0</v>
      </c>
      <c r="BI176" s="71">
        <v>0</v>
      </c>
      <c r="BJ176" s="71">
        <f t="shared" si="55"/>
        <v>0</v>
      </c>
      <c r="BK176" s="71">
        <v>0</v>
      </c>
      <c r="BL176" s="60">
        <v>9123</v>
      </c>
      <c r="BM176" s="60">
        <v>2600</v>
      </c>
      <c r="BN176" s="59">
        <v>6</v>
      </c>
      <c r="BO176" s="59">
        <v>1</v>
      </c>
      <c r="BP176" s="59">
        <v>-53</v>
      </c>
      <c r="BQ176" s="59">
        <v>-78</v>
      </c>
      <c r="BR176" s="59">
        <v>-587</v>
      </c>
      <c r="BS176" s="59">
        <v>-584</v>
      </c>
      <c r="BT176" s="59">
        <v>0</v>
      </c>
      <c r="BU176" s="59">
        <v>-3</v>
      </c>
      <c r="BV176" s="59">
        <v>-1</v>
      </c>
      <c r="BW176" s="59">
        <v>-1637</v>
      </c>
      <c r="BX176" s="59">
        <v>-3</v>
      </c>
      <c r="BY176" s="59">
        <v>8784</v>
      </c>
      <c r="BZ176" s="59">
        <v>14</v>
      </c>
      <c r="CA176" s="59">
        <v>101</v>
      </c>
      <c r="CB176" s="59">
        <v>326</v>
      </c>
      <c r="CC176" s="59">
        <v>122</v>
      </c>
      <c r="CD176" s="59">
        <v>1149</v>
      </c>
      <c r="CE176" s="59">
        <v>1</v>
      </c>
      <c r="CF176" s="59">
        <v>39</v>
      </c>
    </row>
    <row r="177" spans="1:84" s="50" customFormat="1" ht="15.6" customHeight="1" x14ac:dyDescent="0.25">
      <c r="A177" s="42">
        <v>21</v>
      </c>
      <c r="B177" s="42" t="s">
        <v>491</v>
      </c>
      <c r="C177" s="57" t="s">
        <v>167</v>
      </c>
      <c r="D177" s="42" t="s">
        <v>459</v>
      </c>
      <c r="E177" s="42" t="s">
        <v>103</v>
      </c>
      <c r="F177" s="42" t="s">
        <v>460</v>
      </c>
      <c r="G177" s="70">
        <v>55796983.950000003</v>
      </c>
      <c r="H177" s="70">
        <v>0</v>
      </c>
      <c r="I177" s="70">
        <v>2296465.7000000002</v>
      </c>
      <c r="J177" s="70">
        <v>0</v>
      </c>
      <c r="K177" s="71">
        <v>0</v>
      </c>
      <c r="L177" s="71">
        <v>58093449.649999999</v>
      </c>
      <c r="M177" s="71">
        <v>0</v>
      </c>
      <c r="N177" s="70">
        <v>29380.39</v>
      </c>
      <c r="O177" s="70">
        <v>4447318.1399999997</v>
      </c>
      <c r="P177" s="72">
        <v>20612875.170000002</v>
      </c>
      <c r="Q177" s="70">
        <v>0</v>
      </c>
      <c r="R177" s="70">
        <v>3609713.35</v>
      </c>
      <c r="S177" s="70">
        <v>18595620.239999998</v>
      </c>
      <c r="T177" s="70">
        <v>5301750.0599999996</v>
      </c>
      <c r="U177" s="70">
        <v>0</v>
      </c>
      <c r="V177" s="70">
        <v>0</v>
      </c>
      <c r="W177" s="70">
        <v>2594758.19</v>
      </c>
      <c r="X177" s="71">
        <v>3365590.13</v>
      </c>
      <c r="Y177" s="71">
        <v>58557005.670000002</v>
      </c>
      <c r="Z177" s="61">
        <v>0.11360060958993806</v>
      </c>
      <c r="AA177" s="71">
        <v>3353064.29</v>
      </c>
      <c r="AB177" s="71">
        <v>0</v>
      </c>
      <c r="AC177" s="71">
        <v>0</v>
      </c>
      <c r="AD177" s="71">
        <v>0</v>
      </c>
      <c r="AE177" s="71">
        <v>0</v>
      </c>
      <c r="AF177" s="71">
        <f t="shared" si="53"/>
        <v>0</v>
      </c>
      <c r="AG177" s="71">
        <v>1864441.12</v>
      </c>
      <c r="AH177" s="70">
        <v>136550.64000000001</v>
      </c>
      <c r="AI177" s="70">
        <v>410596.05</v>
      </c>
      <c r="AJ177" s="71">
        <v>0</v>
      </c>
      <c r="AK177" s="70">
        <v>304228.88</v>
      </c>
      <c r="AL177" s="70">
        <v>8865.31</v>
      </c>
      <c r="AM177" s="70">
        <v>242251.46</v>
      </c>
      <c r="AN177" s="70">
        <v>9500</v>
      </c>
      <c r="AO177" s="70">
        <v>354</v>
      </c>
      <c r="AP177" s="70">
        <v>0</v>
      </c>
      <c r="AQ177" s="70">
        <v>77016.569999999992</v>
      </c>
      <c r="AR177" s="70">
        <v>39340.76</v>
      </c>
      <c r="AS177" s="70">
        <v>0</v>
      </c>
      <c r="AT177" s="70">
        <v>32997.5</v>
      </c>
      <c r="AU177" s="70">
        <v>0</v>
      </c>
      <c r="AV177" s="70">
        <v>66180.92</v>
      </c>
      <c r="AW177" s="70">
        <v>3192323.21</v>
      </c>
      <c r="AX177" s="70">
        <v>0</v>
      </c>
      <c r="AY177" s="61">
        <f t="shared" si="54"/>
        <v>0</v>
      </c>
      <c r="AZ177" s="71">
        <v>0</v>
      </c>
      <c r="BA177" s="61">
        <v>6.009400603094784E-2</v>
      </c>
      <c r="BB177" s="70">
        <v>946461.62</v>
      </c>
      <c r="BC177" s="70">
        <v>5392109.7699999996</v>
      </c>
      <c r="BD177" s="71">
        <v>244766</v>
      </c>
      <c r="BE177" s="71">
        <v>0</v>
      </c>
      <c r="BF177" s="71">
        <v>2567487.08</v>
      </c>
      <c r="BG177" s="71">
        <v>1769406.2775000001</v>
      </c>
      <c r="BH177" s="71">
        <v>0</v>
      </c>
      <c r="BI177" s="71">
        <v>0</v>
      </c>
      <c r="BJ177" s="71">
        <f t="shared" si="55"/>
        <v>0</v>
      </c>
      <c r="BK177" s="71">
        <v>0</v>
      </c>
      <c r="BL177" s="60">
        <v>6507</v>
      </c>
      <c r="BM177" s="60">
        <v>2796</v>
      </c>
      <c r="BN177" s="59">
        <v>3</v>
      </c>
      <c r="BO177" s="59">
        <v>-5</v>
      </c>
      <c r="BP177" s="59">
        <v>-64</v>
      </c>
      <c r="BQ177" s="59">
        <v>-70</v>
      </c>
      <c r="BR177" s="59">
        <v>-1246</v>
      </c>
      <c r="BS177" s="59">
        <v>-797</v>
      </c>
      <c r="BT177" s="59">
        <v>2</v>
      </c>
      <c r="BU177" s="59">
        <v>-4</v>
      </c>
      <c r="BV177" s="59">
        <v>30</v>
      </c>
      <c r="BW177" s="59">
        <v>-1342</v>
      </c>
      <c r="BX177" s="59">
        <v>-1</v>
      </c>
      <c r="BY177" s="59">
        <v>5809</v>
      </c>
      <c r="BZ177" s="59">
        <v>1</v>
      </c>
      <c r="CA177" s="59">
        <v>18</v>
      </c>
      <c r="CB177" s="59">
        <v>699</v>
      </c>
      <c r="CC177" s="59">
        <v>62</v>
      </c>
      <c r="CD177" s="59">
        <v>305</v>
      </c>
      <c r="CE177" s="59">
        <v>263</v>
      </c>
      <c r="CF177" s="59">
        <v>13</v>
      </c>
    </row>
    <row r="179" spans="1:84" ht="15.75" x14ac:dyDescent="0.25">
      <c r="A179" s="64" t="s">
        <v>512</v>
      </c>
    </row>
    <row r="180" spans="1:84" ht="15.75" x14ac:dyDescent="0.25">
      <c r="A180" s="65" t="s">
        <v>513</v>
      </c>
    </row>
    <row r="181" spans="1:84" ht="15.75" x14ac:dyDescent="0.25">
      <c r="A181" s="66"/>
    </row>
  </sheetData>
  <mergeCells count="4">
    <mergeCell ref="G2:Z2"/>
    <mergeCell ref="AA2:AZ2"/>
    <mergeCell ref="BA2:BZ2"/>
    <mergeCell ref="CB4:CF4"/>
  </mergeCells>
  <dataValidations disablePrompts="1" count="1">
    <dataValidation type="date" showInputMessage="1" showErrorMessage="1" sqref="BM44:BM56 BM11 BM13:BM24 BM127:BM177 BM58:BM62 BM121:BM125 BM65:BM106 BM108:BM119 BM9 BM26:BM28 BM30:BM41" xr:uid="{71CED86D-8253-4EB9-A783-598B0C06928F}">
      <formula1>32874</formula1>
      <formula2>73031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DOJ-USTP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CHAPTER 13 STANDING TRUSTEE FY22 AUDITED ANNUAL REPORTS </dc:title>
  <dc:creator>United States Trustee Program</dc:creator>
  <cp:lastModifiedBy>Chery, Rose</cp:lastModifiedBy>
  <cp:lastPrinted>2020-10-15T14:54:00Z</cp:lastPrinted>
  <dcterms:created xsi:type="dcterms:W3CDTF">2016-02-10T14:37:10Z</dcterms:created>
  <dcterms:modified xsi:type="dcterms:W3CDTF">2023-03-17T20:35:40Z</dcterms:modified>
</cp:coreProperties>
</file>