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doj365-my.sharepoint.us/personal/lia_kvatum_usdoj_gov/Documents/Desktop/2026 NOFOs 508 Compliance/"/>
    </mc:Choice>
  </mc:AlternateContent>
  <xr:revisionPtr revIDLastSave="0" documentId="8_{FC5859EA-CE2F-48F1-A571-3EC9954BD4DE}" xr6:coauthVersionLast="47" xr6:coauthVersionMax="47" xr10:uidLastSave="{00000000-0000-0000-0000-000000000000}"/>
  <bookViews>
    <workbookView xWindow="-120" yWindow="-120" windowWidth="29040" windowHeight="15720" xr2:uid="{00000000-000D-0000-FFFF-FFFF00000000}"/>
  </bookViews>
  <sheets>
    <sheet name="Budget" sheetId="1" r:id="rId1"/>
  </sheets>
  <definedNames>
    <definedName name="_xlnm.Print_Area" localSheetId="0">Budget!$A$1:$E$187</definedName>
    <definedName name="_xlnm.Print_Titles" localSheetId="0">Budget!$1:$1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 i="1" l="1"/>
  <c r="C167" i="1"/>
  <c r="C168" i="1"/>
  <c r="C186" i="1" s="1"/>
  <c r="C61" i="1"/>
  <c r="C182" i="1"/>
  <c r="C179" i="1"/>
  <c r="C178" i="1"/>
  <c r="C177" i="1"/>
  <c r="C176" i="1"/>
  <c r="C144" i="1"/>
  <c r="C143" i="1"/>
  <c r="C142" i="1"/>
  <c r="C141" i="1"/>
  <c r="C140" i="1"/>
  <c r="C139" i="1"/>
  <c r="C138" i="1"/>
  <c r="C116" i="1"/>
  <c r="C115" i="1"/>
  <c r="C114" i="1"/>
  <c r="C113" i="1"/>
  <c r="C112" i="1"/>
  <c r="C111" i="1"/>
  <c r="C110" i="1"/>
  <c r="D92" i="1"/>
  <c r="D93" i="1" s="1"/>
  <c r="C77" i="1"/>
  <c r="C78" i="1" s="1"/>
  <c r="C79" i="1" s="1"/>
  <c r="C86" i="1" s="1"/>
  <c r="C60" i="1"/>
  <c r="C51" i="1"/>
  <c r="C50" i="1"/>
  <c r="E39" i="1"/>
  <c r="E40" i="1" s="1"/>
  <c r="C29" i="1"/>
  <c r="C28" i="1"/>
  <c r="C27" i="1"/>
  <c r="C21" i="1"/>
  <c r="C26" i="1"/>
  <c r="C23" i="1"/>
  <c r="C22" i="1"/>
  <c r="C20" i="1"/>
  <c r="C9" i="1"/>
  <c r="C8" i="1"/>
  <c r="E102" i="1"/>
  <c r="E101" i="1"/>
  <c r="C146" i="1" l="1"/>
  <c r="C184" i="1" s="1"/>
  <c r="C117" i="1"/>
  <c r="C52" i="1"/>
  <c r="C24" i="1"/>
  <c r="C30" i="1"/>
  <c r="E103" i="1"/>
  <c r="C62" i="1"/>
  <c r="C180" i="1" s="1"/>
  <c r="C31" i="1" l="1"/>
  <c r="E106" i="1"/>
  <c r="C133" i="1" s="1"/>
  <c r="C183" i="1" s="1"/>
  <c r="C185" i="1" s="1"/>
  <c r="C187" i="1" s="1"/>
  <c r="C10" i="1" l="1"/>
</calcChain>
</file>

<file path=xl/sharedStrings.xml><?xml version="1.0" encoding="utf-8"?>
<sst xmlns="http://schemas.openxmlformats.org/spreadsheetml/2006/main" count="213" uniqueCount="170">
  <si>
    <t>A. Personnel</t>
  </si>
  <si>
    <t>Name/Position</t>
  </si>
  <si>
    <t>Item</t>
  </si>
  <si>
    <t>Employer's FICA</t>
  </si>
  <si>
    <t>Unemployment Compensation</t>
  </si>
  <si>
    <t>TBD</t>
  </si>
  <si>
    <t>Computation</t>
  </si>
  <si>
    <t xml:space="preserve"> Cost</t>
  </si>
  <si>
    <t>Program Coordinator</t>
  </si>
  <si>
    <t xml:space="preserve"> Computation</t>
  </si>
  <si>
    <t xml:space="preserve">Health Insurance </t>
  </si>
  <si>
    <t>Worker's Compensation</t>
  </si>
  <si>
    <t>Total</t>
  </si>
  <si>
    <t>Total Fringe Benefits</t>
  </si>
  <si>
    <t>Purpose of Travel</t>
  </si>
  <si>
    <t>Location</t>
  </si>
  <si>
    <t>Cost</t>
  </si>
  <si>
    <t>OVW-Mandated Training and Technical Assistance</t>
  </si>
  <si>
    <t>Local Program Mileage</t>
  </si>
  <si>
    <t>XYZ County</t>
  </si>
  <si>
    <t>Total Travel</t>
  </si>
  <si>
    <t>Supply Items</t>
  </si>
  <si>
    <t>Supplies Total</t>
  </si>
  <si>
    <t>Purpose</t>
  </si>
  <si>
    <t>Description of Work</t>
  </si>
  <si>
    <t>Total Construction</t>
  </si>
  <si>
    <t>Subrecipient Name</t>
  </si>
  <si>
    <t>XYZ Survivor Service Organization Advocate</t>
  </si>
  <si>
    <t>XYZ Subaward Total</t>
  </si>
  <si>
    <t>Total Subawards</t>
  </si>
  <si>
    <t>Name of Consultant</t>
  </si>
  <si>
    <t>Service Provided</t>
  </si>
  <si>
    <t xml:space="preserve">Computation </t>
  </si>
  <si>
    <t>Sexual Assault Training</t>
  </si>
  <si>
    <t>Delivery of Sexual Assault Training</t>
  </si>
  <si>
    <t>Airfare</t>
  </si>
  <si>
    <t>Lodging</t>
  </si>
  <si>
    <t>$75/night x 2 nights</t>
  </si>
  <si>
    <t>Per diem</t>
  </si>
  <si>
    <t>$45/day x 3 days</t>
  </si>
  <si>
    <t xml:space="preserve">Total Consultant  </t>
  </si>
  <si>
    <t>Therapist</t>
  </si>
  <si>
    <t>Cell Phone Service</t>
  </si>
  <si>
    <t>Total Contracts</t>
  </si>
  <si>
    <t>Total Procurement Contracts</t>
  </si>
  <si>
    <t>Description</t>
  </si>
  <si>
    <t>32% of Direct Salaries (Excluding Fringe Benefits)</t>
  </si>
  <si>
    <t>Total Indirect Costs</t>
  </si>
  <si>
    <t>Budget Category</t>
  </si>
  <si>
    <t>Amount</t>
  </si>
  <si>
    <t>Total Direct Cost</t>
  </si>
  <si>
    <t>B. Fringe Benefits</t>
  </si>
  <si>
    <t>C. Travel</t>
  </si>
  <si>
    <t>D. Equipment</t>
  </si>
  <si>
    <t>E. Supplies</t>
  </si>
  <si>
    <t>F. Construction</t>
  </si>
  <si>
    <t>G. Subawards</t>
  </si>
  <si>
    <t>H. Procurement Contracts</t>
  </si>
  <si>
    <t xml:space="preserve">J. Indirect Cost </t>
  </si>
  <si>
    <t>TOTAL PROJECT COSTS</t>
  </si>
  <si>
    <t>Note: The following budget is an example intended to assist applicants in preparing their budgets. The sample expenses may not fit the purposes or activities of this particular grant program.</t>
  </si>
  <si>
    <t>Total Equipment</t>
  </si>
  <si>
    <t>A. Personnel - List each position by title and employee name, if available. Show the annual salary rate and the percentage of time devoted to the project. Compensation paid for employees engaged in grant activities must be consistent with that paid for similar work within the applicant organization.</t>
  </si>
  <si>
    <t>E. Supplies – List items by type (office supplies, postage, training materials, copying paper, and other expendable items such as books, thumb drives, and flash drives) and show the basis for computation. Generally, supplies include any expendable or consumable materials that are used during the project period that are not equipment.</t>
  </si>
  <si>
    <t>H. Procurement Contracts – Applicants should follow their documented procurement procedures that comply with the procurement standards in the Uniform Guidance at 2 C.F.R. §§ 200.317-200.327 or the Federal Acquisition Regulation.</t>
  </si>
  <si>
    <t>I. Other Costs – List items (e.g., rent, reproduction, telephone, janitorial or security services, and investigative or confidential funds) by each type of cost and the basis of the computation. For example, provide the square footage and the cost per square foot for rent, and provide a monthly rental cost and how many months to rent.</t>
  </si>
  <si>
    <t>Budget Summary – Upon completion of the budget worksheet, transfer the totals for each category to the spaces below. Compute the total direct costs and the total project costs. Indicate the amount of federal funds requested and the amount of non-federal funds that will support the project.</t>
  </si>
  <si>
    <t>C. Travel - Project staff travel expenses should be itemized by purpose (e.g., training, field interviews, advisory group meeting, etc.) and include the basis of computation (e.g., six people to 3-day training at $X airfare, $X lodging, $X per diem). For training projects, travel and meals for trainees should be listed separately. Show the number of trainees and unit costs involved. Identify the location of travel, if known. Indicate source of travel policies applied; either the applicant’s policy or Federal Travel Regulations.</t>
  </si>
  <si>
    <t>F. Construction – As a rule, construction costs are not allowable. In some cases, minor repairs or renovations may be allowable. Consult with OVW before budgeting funds in this category.</t>
  </si>
  <si>
    <t>Advocate Fringe Benefits</t>
  </si>
  <si>
    <t>Other Costs Total</t>
  </si>
  <si>
    <t>J. Indirect Costs – Indirect costs are allowed if the applicant has a federally approved indirect cost rate. A copy of the rate approval (a fully executed, negotiated agreement) must be submitted with the application. If the applicant does not have an approved rate, they may request one from their cognizant federal agency or choose to charge a de minimis rate of 10% of modified total direct costs (MTDC) in accordance with 2 C.F.R. 200.414(f). If the applicant's accounting system allows for it, costs may be allocated in the direct cost categories.</t>
  </si>
  <si>
    <t>G. Subawards (Subgrants) - Describe project activities for which subrecipients/MOU partners will receive compensation under the award, including services for clients. Include any compensation for partner/subrecipient travel in this section as well.</t>
  </si>
  <si>
    <t>XYZ Survivor Service Organization</t>
  </si>
  <si>
    <t>Total Personnel</t>
  </si>
  <si>
    <t>Consultant Fees: For each consultant enter the name, if known, service to be provided, hourly or daily fee (8-hour day), and estimated time on the project. The actual rate for each consultant should be evaluated on a case-by-case basis, consistent with fair market value, and equal to the individual’s experience, education, and compensation they receive for providing similar services in the marketplace. Consultant fees over $650 per day (for an 8-hour day) or $81.25 per hour require additional justification and prior approval from OVW.</t>
  </si>
  <si>
    <t>Contracts: Provide a clear description of the product or services that will be acquired through the contract, along with an estimated cost. All procurement transactions must be conducted in a manner that ensures full and open competition and adheres to the standards in 2 C.F.R. §§ 200.317-200.327. A separate justification must be provided for sole source (non-competitive) contracts in excess of $250,000.</t>
  </si>
  <si>
    <t>B. Fringe Benefits - Fringe benefits must be based on actual known costs or an established formula. Fringe benefits are for the personnel listed in budget category (A) and only for the percentage of time devoted to the project. Fringe benefits on overtime hours are limited to FICA, Worker’s Compensation, and Unemployment Compensation.</t>
  </si>
  <si>
    <t xml:space="preserve">Sample Narrative: </t>
  </si>
  <si>
    <t>Sample Narrative:</t>
  </si>
  <si>
    <t>Program Supplies</t>
  </si>
  <si>
    <t>Office Supplies (paper, printer, toner, pens, etc)</t>
  </si>
  <si>
    <t>Consultant Travel: List all expenses to be paid from the grant to the individual consultant in addition to their fees (i.e., travel, meals, lodging etc.).</t>
  </si>
  <si>
    <t>Subtotal Consultant</t>
  </si>
  <si>
    <t>Subtotal Consultant Travel</t>
  </si>
  <si>
    <t xml:space="preserve">Town of XYZ </t>
  </si>
  <si>
    <t>Funds are allocated to pay for the Consultant/Trainer to travel to Town of XYZ to provide sexual assault training.</t>
  </si>
  <si>
    <t>Copier and Printer will be rented and/or leased. The copier and printer costs are estimated based on historical costs and allocated using an FTE allocation method (see allocation breakdown in Supplies Category).</t>
  </si>
  <si>
    <t>Copier and Printer Lease</t>
  </si>
  <si>
    <t>Telephonic Interpretation</t>
  </si>
  <si>
    <t>Purpose: The Sample Budget Narrative may be used to assist applicants with preparing the budget and narrative. Applicants may use this form or the format of their choice (plain sheets, Excel document, the applicant’s own form, or a variation of this form). However, all required information (including the budget narrative) must be provided. Any category of expense not applicable to the applicant’s project may be deleted.</t>
  </si>
  <si>
    <t>The portable video cameras and tripod package will be used during the interviews of alleged offenders, and to record witness testimony in preparation for trial in cases of domestic violence, dating violence, sexual assault, and stalking. Our capitalization threshold is $1,000, so these items are classified as Equipment.</t>
  </si>
  <si>
    <t>I. Other Costs</t>
  </si>
  <si>
    <t>Indirect costs are allowed if the applicant has a federally approved indirect cost rate. A copy of the rate approval (a fully executed, negotiated agreement) must be submitted with the application. Applicants that do not have a current negotiated (including provisional) indirect cost rate may elect to charge a de minimis rate of 15% of modified total direct costs. If the applicant's accounting system allows for it, costs may be allocated in the direct cost categories.</t>
  </si>
  <si>
    <t>Transitional Housing Program Sample Budget</t>
  </si>
  <si>
    <t>$75,000 x 15% x 4 years</t>
  </si>
  <si>
    <t>$55,000 x 30% x 4 years</t>
  </si>
  <si>
    <t xml:space="preserve">The Program Coordinator will dedicate 15% of their time to the project by coordinating and organizing regular council meetings between all partner organizations, ensuring compliance with program requirements, and serving as the central point of contact for all project activities.  </t>
  </si>
  <si>
    <t xml:space="preserve">The Bilingual Advocate will dedicate 30% of their time to the project by providing direct client assistance, coordinating services and case management for clients, and managing transitional housing activities. </t>
  </si>
  <si>
    <t>Bilingual Advocate</t>
  </si>
  <si>
    <t>$45,000 x 7.65%</t>
  </si>
  <si>
    <t>$4,800/year x 15% x 4 years</t>
  </si>
  <si>
    <t>$45,000 x 1.00%</t>
  </si>
  <si>
    <t>$45,000 x .5%</t>
  </si>
  <si>
    <t>$66,000 x 7.65%</t>
  </si>
  <si>
    <t>$66,000 x 1.00%</t>
  </si>
  <si>
    <t>$66,000 x 0.50%</t>
  </si>
  <si>
    <t>$4,800/year x 30% x 4 years</t>
  </si>
  <si>
    <t xml:space="preserve">We request fringe benefits for the Program Coordinator and Bilingual Advocate. Each employee’s share of Health Insurance cost is prorated based on their projected time on the project. </t>
  </si>
  <si>
    <t>50 miles/month x $0.725 mile x 48 months</t>
  </si>
  <si>
    <t xml:space="preserve">According to the requirements in the NOFO for this program, $3,000 in OVW mandated technical assistance and training funds have been allocated to cover the travel cost for staff. The exact locations of the trainings are currently unknown. Travel estimates have been made using our formal written travel policy. </t>
  </si>
  <si>
    <t>It is expected that the Program Coordinator will use a privately owned vehicle for local program mileage when traveling between the program shelter, main office, and all partner organizations. The rate for mileage reimbursement is calculated based on the current GSA Mileage Reimbursement Rate of $0.725/mile and is estimated to be around 50 miles per month for a period of 48 months.</t>
  </si>
  <si>
    <t>Laptop (Program Coordinator – 15%) </t>
  </si>
  <si>
    <t>Laptop (Bilingual Advocate – 30%) </t>
  </si>
  <si>
    <t>$2,000/laptop x 15%</t>
  </si>
  <si>
    <t>$2,000/laptop x 30%</t>
  </si>
  <si>
    <t>$40/month x 22.5% x 48 months</t>
  </si>
  <si>
    <t>$70/month x 48 months</t>
  </si>
  <si>
    <t xml:space="preserve">Office Supplies are needed for the general operation of the program and are shared amongst all office staff. The FTE allocation rate for shared costs incurred by all staff in this budget is 22.5% (based on total FTEs in the office is 2 FTEs, and total FTEs in this budget is 0.45 FTEs, so 0.45 / 2 = 0.225, or 22.5%). Monthly costs for Office Supplies at $40/month are estimated based on historical data. Charges to the grant will be based on the actual supplies purchased and actual percentage of staff time worked on the project (not budgeted amounts). </t>
  </si>
  <si>
    <t xml:space="preserve">Program Supplies are estimated at a cost of $70/month, based on historical data. The program supplies, such as art supplies and educational handouts/brochures, will be used for direct program activities including healing circles and group meetings for survivors. </t>
  </si>
  <si>
    <t>$40,000/year x .09 FTE x 4 years</t>
  </si>
  <si>
    <t xml:space="preserve">The MOU partner XYZ Survivor Service Organization will employ an Advocate to provide advocacy services such as safety planning and court accompaniment services.  </t>
  </si>
  <si>
    <t xml:space="preserve">Advocate fringe benefits include FICA, 7.65%, Unemployment Compensation 1%, Workers Compensation 0.5%, and Health Insurance 18.85%.  </t>
  </si>
  <si>
    <t>$14,400 x 28% fringe rate</t>
  </si>
  <si>
    <t xml:space="preserve">D. Equipment – List tangible personal property with a useful life of more than one year that needs to be purchased to support the project. It is important to follow the applicant’s own capitalization policy for equipment classification. For high-cost items and information technology systems, applicants are advised to follow their internal Procurement policies and procedures for large purchases and ensure they comply with the Procurement Standards in 2 CFR Part 200.318-327. Rented or leased equipment items should be listed in the “Procurement Contracts” category. Describe in the narrative how the equipment is necessary for the success of the project. </t>
  </si>
  <si>
    <t>XYZ Consultant</t>
  </si>
  <si>
    <t>$300/day x 2 days</t>
  </si>
  <si>
    <t xml:space="preserve">A Consultant/Trainer will provide a two-day on-site training (at $75/hour for 4 hours/ day for 2 days) on sexual assault and related issues to law enforcement, prosecution, court personnel, and medical and social services personnel. The training will focus on addressing cultural needs of clients who experience sexual assault, domestic violence, dating violence, and stalking. </t>
  </si>
  <si>
    <t>$65/hr x 2hrs/month x 48 months</t>
  </si>
  <si>
    <t>$50/month x 30% x 48 months</t>
  </si>
  <si>
    <t>$50/month x 22.5% x 48 months</t>
  </si>
  <si>
    <t>$3.95/minute x 50 minutes x 4 years </t>
  </si>
  <si>
    <t>In-person Interpreter</t>
  </si>
  <si>
    <t>$100/hour x 10/hours x 4 years </t>
  </si>
  <si>
    <t>Written Translation</t>
  </si>
  <si>
    <t>$25/page x 10/pages x 4 years </t>
  </si>
  <si>
    <t>ASL Language Interpreter</t>
  </si>
  <si>
    <t>$95/hour x 5 hours x 4 years </t>
  </si>
  <si>
    <t xml:space="preserve">The Therapist will be compensated at a rate of $65/hour, consistent with the therapist’s normal rate for providing this service in the marketplace. This contracted position will provide individual counseling sessions to clients on an as-needed basis and facilitate the group healing sessions. A total of 2 hours of service per month is estimated. </t>
  </si>
  <si>
    <t xml:space="preserve">Cell phone service supports the Bilingual Advocate who will need a cell phone to ensure 24-hours/day communication to provide emergency services and transportation to clients. This position is funded 30% through the application, therefore 30% of this cost is budgeted. </t>
  </si>
  <si>
    <t xml:space="preserve">Funds for Language Line Solutions (LLS) for telephonic interpreting at a rate of $3.95 per minute are budgeted. In recent years, we have used LLS between 45 and 90 minutes per year, so we are estimating 50 minutes per year for budgetary purposes.  </t>
  </si>
  <si>
    <t xml:space="preserve">The most common language in the local service area is Spanish, followed by Mandarin Chinese and Tagalog. Spanish language interpreters in applicant’s area charge approximately $100 per hour. We estimate the number of hours of interpretation based on previous years. (We also employ a Spanish-English bilingual Advocate, who assists with Spanish language interpretation.) </t>
  </si>
  <si>
    <t xml:space="preserve">Written translations in our service area cost approximately $25 per page. We plan to have the following documents translated into Spanish during the project period: intake form (2 pages), confidentiality policy (1 page), release of information (1 pages), non-discrimination notice and complaint forms (1 pages), pamphlet on domestic violence (2 pages), pamphlet on sexual assault (2 pages), safety plan (1 page).  </t>
  </si>
  <si>
    <t xml:space="preserve">Qualified sign language interpreters charge approximately $95 per hour, and we anticipate using interpreters approximately 5 hours per year, based on past use.  </t>
  </si>
  <si>
    <t>Rental Assistance</t>
  </si>
  <si>
    <t>Pet Rent</t>
  </si>
  <si>
    <t>Security Deposits</t>
  </si>
  <si>
    <t>Pet Deposits</t>
  </si>
  <si>
    <t>Utility Assistance</t>
  </si>
  <si>
    <t>Childcare</t>
  </si>
  <si>
    <t>Housing Establishment Assistance</t>
  </si>
  <si>
    <t>Food Assistance</t>
  </si>
  <si>
    <t>$200 x 4 families </t>
  </si>
  <si>
    <t>$200/month x 48 months x 4 participants </t>
  </si>
  <si>
    <t>$150/month x 48 months x 4 participants</t>
  </si>
  <si>
    <t>$150 one-time x 4 participants</t>
  </si>
  <si>
    <t>$2000 one-time x 4 participants  </t>
  </si>
  <si>
    <t>$25/month x 48 months x 4 participants </t>
  </si>
  <si>
    <t>$1500/month x 48 months x 4 participants </t>
  </si>
  <si>
    <t xml:space="preserve">Rental assistance ensures that each participating household can secure and maintain stable housing throughout the program period. The monthly subsidy helps bridge the gap between income and rent, preventing housing instability while families work toward long-term self-sufficiency. The $1,500/month estimate is based on the current market value in the area for scattered site housing assistance for participants. </t>
  </si>
  <si>
    <t xml:space="preserve">Pet rent supports households with companion animals, so they are not excluded from safe and affordable housing options. This small monthly cost allows families to keep their pets without creating a financial barrier to tenancy. </t>
  </si>
  <si>
    <t xml:space="preserve">Security deposits are necessary one-time expenses that enable families to obtain housing units. Covering these upfront costs removes a major financial barrier that often prevents low-income households from securing leases. </t>
  </si>
  <si>
    <t xml:space="preserve">The pet deposit helps families with animals meet landlord requirements and move into housing without delay. This one-time cost ensures that pet owning households have equitable access to available units. </t>
  </si>
  <si>
    <t xml:space="preserve">Utility assistance helps families maintain essential services such as electricity, water, and heat. Providing this support reduces the risk of shutoffs and ensures households can remain safely housed throughout the program. </t>
  </si>
  <si>
    <t xml:space="preserve">Childcare assistance enables parents to work, attend training, or pursue education without interruption. This support removes a major barrier to employment and helps families progress toward long-term stability. </t>
  </si>
  <si>
    <t xml:space="preserve">Household establishment funds provide basic items needed to set up a safe and functional home. This one-time support helps families transition smoothly into housing and reduces the financial strain of purchasing essential goods. Some examples are bedding, towels, cookware, cleaning supplies, and small household tools. </t>
  </si>
  <si>
    <t xml:space="preserve">Food assistance helps families meet basic nutritional needs while they work toward financial independence. This support reduces food insecurity and allows households to focus on achieving their housing and employment goals. </t>
  </si>
  <si>
    <t>$499 (avg) x 1person x 1 round trip</t>
  </si>
  <si>
    <t>$111,000 x 32.05%</t>
  </si>
  <si>
    <t>$108.28/month x 48 months x 4 participants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</si>
</sst>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quot;$&quot;#,##0"/>
  </numFmts>
  <fonts count="7"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b/>
      <sz val="16"/>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164" fontId="3" fillId="0" borderId="0" xfId="1" applyNumberFormat="1" applyFont="1" applyFill="1" applyBorder="1" applyAlignment="1">
      <alignment vertical="center"/>
    </xf>
    <xf numFmtId="0" fontId="1" fillId="0" borderId="3" xfId="0" applyFont="1" applyBorder="1" applyAlignment="1">
      <alignment vertical="center"/>
    </xf>
    <xf numFmtId="0" fontId="3" fillId="0" borderId="0" xfId="0" applyFont="1" applyAlignment="1">
      <alignment vertical="center"/>
    </xf>
    <xf numFmtId="0" fontId="3" fillId="0" borderId="3" xfId="0" applyFont="1" applyBorder="1" applyAlignment="1">
      <alignment horizontal="center" vertical="center"/>
    </xf>
    <xf numFmtId="0" fontId="3" fillId="0" borderId="2" xfId="0" applyFont="1" applyBorder="1" applyAlignment="1">
      <alignment horizontal="right" vertical="center"/>
    </xf>
    <xf numFmtId="164" fontId="3" fillId="0" borderId="3" xfId="1" applyNumberFormat="1"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164" fontId="1" fillId="0" borderId="3" xfId="1" applyNumberFormat="1" applyFont="1" applyFill="1" applyBorder="1" applyAlignment="1">
      <alignment vertical="center"/>
    </xf>
    <xf numFmtId="164" fontId="3" fillId="0" borderId="0" xfId="1" applyNumberFormat="1" applyFont="1" applyFill="1" applyBorder="1" applyAlignment="1">
      <alignment horizontal="right" vertical="center"/>
    </xf>
    <xf numFmtId="0" fontId="0" fillId="0" borderId="0" xfId="0" applyAlignment="1">
      <alignment vertical="center"/>
    </xf>
    <xf numFmtId="164" fontId="0" fillId="0" borderId="0" xfId="1" applyNumberFormat="1" applyFont="1" applyFill="1" applyAlignment="1">
      <alignment vertical="center"/>
    </xf>
    <xf numFmtId="164" fontId="0" fillId="0" borderId="0" xfId="1" applyNumberFormat="1" applyFont="1" applyFill="1" applyAlignment="1">
      <alignment horizontal="left" vertical="center" wrapText="1"/>
    </xf>
    <xf numFmtId="164" fontId="0" fillId="0" borderId="0" xfId="1" applyNumberFormat="1" applyFont="1" applyFill="1" applyAlignment="1">
      <alignment horizontal="left" vertical="center"/>
    </xf>
    <xf numFmtId="0" fontId="0" fillId="0" borderId="0" xfId="0" applyAlignment="1">
      <alignment horizontal="left" vertical="center"/>
    </xf>
    <xf numFmtId="42" fontId="0" fillId="0" borderId="0" xfId="0" applyNumberFormat="1" applyAlignment="1">
      <alignment vertical="center"/>
    </xf>
    <xf numFmtId="164" fontId="3" fillId="0" borderId="0" xfId="1" applyNumberFormat="1" applyFont="1" applyFill="1" applyAlignment="1">
      <alignment vertical="center"/>
    </xf>
    <xf numFmtId="164" fontId="3" fillId="0" borderId="0" xfId="1" applyNumberFormat="1" applyFont="1" applyFill="1" applyBorder="1" applyAlignment="1">
      <alignment horizontal="center" vertical="center"/>
    </xf>
    <xf numFmtId="164" fontId="0" fillId="0" borderId="0" xfId="1" applyNumberFormat="1" applyFont="1" applyFill="1" applyAlignment="1">
      <alignment horizontal="center" vertical="center"/>
    </xf>
    <xf numFmtId="0" fontId="0" fillId="0" borderId="0" xfId="0" applyAlignment="1">
      <alignment horizontal="center" vertical="center"/>
    </xf>
    <xf numFmtId="164" fontId="5" fillId="0" borderId="3" xfId="1" applyNumberFormat="1" applyFont="1" applyFill="1" applyBorder="1" applyAlignment="1">
      <alignment vertical="center"/>
    </xf>
    <xf numFmtId="164" fontId="5" fillId="0" borderId="0" xfId="1" applyNumberFormat="1" applyFont="1" applyFill="1" applyBorder="1" applyAlignment="1">
      <alignment vertical="center"/>
    </xf>
    <xf numFmtId="164" fontId="0" fillId="0" borderId="0" xfId="1" applyNumberFormat="1" applyFont="1" applyFill="1" applyBorder="1" applyAlignment="1">
      <alignment vertical="center"/>
    </xf>
    <xf numFmtId="164" fontId="0" fillId="0" borderId="3" xfId="1" applyNumberFormat="1" applyFont="1" applyFill="1" applyBorder="1" applyAlignment="1">
      <alignment vertical="center"/>
    </xf>
    <xf numFmtId="0" fontId="0" fillId="0" borderId="1" xfId="0" applyBorder="1" applyAlignment="1">
      <alignment vertical="center"/>
    </xf>
    <xf numFmtId="164" fontId="3" fillId="0" borderId="3" xfId="1" applyNumberFormat="1" applyFont="1" applyFill="1" applyBorder="1" applyAlignment="1">
      <alignment vertical="center"/>
    </xf>
    <xf numFmtId="164" fontId="5" fillId="0" borderId="0" xfId="1" applyNumberFormat="1" applyFont="1" applyFill="1" applyAlignment="1">
      <alignment horizontal="left" vertical="center" wrapText="1"/>
    </xf>
    <xf numFmtId="0" fontId="5" fillId="0" borderId="0" xfId="0" applyFont="1" applyAlignment="1">
      <alignment horizontal="left" vertical="center" wrapText="1"/>
    </xf>
    <xf numFmtId="164" fontId="1" fillId="0" borderId="0" xfId="1" applyNumberFormat="1" applyFont="1" applyFill="1" applyAlignment="1">
      <alignment horizontal="left" vertical="center" wrapText="1"/>
    </xf>
    <xf numFmtId="164" fontId="3" fillId="0" borderId="0" xfId="1" applyNumberFormat="1" applyFont="1" applyFill="1" applyAlignment="1">
      <alignment horizontal="left" vertical="center" wrapText="1"/>
    </xf>
    <xf numFmtId="0" fontId="3" fillId="0" borderId="3" xfId="0" applyFont="1" applyBorder="1" applyAlignment="1">
      <alignment vertical="center"/>
    </xf>
    <xf numFmtId="0" fontId="0" fillId="0" borderId="3" xfId="0" applyBorder="1" applyAlignment="1">
      <alignment vertical="center"/>
    </xf>
    <xf numFmtId="0" fontId="1" fillId="0" borderId="3" xfId="0" applyFont="1" applyBorder="1" applyAlignment="1">
      <alignment vertical="center" wrapText="1"/>
    </xf>
    <xf numFmtId="164" fontId="0" fillId="0" borderId="0" xfId="1" applyNumberFormat="1" applyFont="1" applyFill="1" applyAlignment="1">
      <alignment vertical="center" wrapText="1"/>
    </xf>
    <xf numFmtId="0" fontId="1" fillId="0" borderId="0" xfId="0" applyFont="1" applyAlignment="1">
      <alignment vertical="center" wrapText="1"/>
    </xf>
    <xf numFmtId="0" fontId="0" fillId="0" borderId="0" xfId="0" applyAlignment="1">
      <alignment vertical="center" wrapText="1"/>
    </xf>
    <xf numFmtId="164" fontId="3" fillId="0" borderId="0" xfId="1" applyNumberFormat="1" applyFont="1" applyFill="1" applyAlignment="1">
      <alignment vertical="center" wrapText="1"/>
    </xf>
    <xf numFmtId="164" fontId="0" fillId="0" borderId="3" xfId="1" applyNumberFormat="1" applyFont="1" applyFill="1" applyBorder="1" applyAlignment="1">
      <alignment horizontal="right" vertical="center"/>
    </xf>
    <xf numFmtId="164" fontId="1" fillId="0" borderId="3" xfId="1" applyNumberFormat="1" applyFont="1" applyFill="1" applyBorder="1" applyAlignment="1">
      <alignment vertical="center" wrapText="1"/>
    </xf>
    <xf numFmtId="0" fontId="3" fillId="0" borderId="0" xfId="0" applyFont="1" applyAlignment="1">
      <alignment horizontal="right" vertical="center" wrapText="1"/>
    </xf>
    <xf numFmtId="164" fontId="3" fillId="0" borderId="0" xfId="1" applyNumberFormat="1" applyFont="1" applyFill="1" applyBorder="1" applyAlignment="1">
      <alignment horizontal="right" vertical="center" wrapText="1"/>
    </xf>
    <xf numFmtId="0" fontId="3" fillId="0" borderId="0" xfId="0" applyFont="1" applyAlignment="1">
      <alignment vertical="center" wrapText="1"/>
    </xf>
    <xf numFmtId="164" fontId="1" fillId="0" borderId="0" xfId="1" applyNumberFormat="1" applyFont="1" applyFill="1" applyAlignment="1">
      <alignment vertical="center" wrapText="1"/>
    </xf>
    <xf numFmtId="0" fontId="1" fillId="0" borderId="0" xfId="0" applyFont="1" applyAlignment="1">
      <alignment horizontal="left" vertical="center" wrapText="1"/>
    </xf>
    <xf numFmtId="164" fontId="5" fillId="0" borderId="0" xfId="1" applyNumberFormat="1" applyFont="1" applyFill="1" applyAlignment="1">
      <alignment vertical="center" wrapText="1"/>
    </xf>
    <xf numFmtId="0" fontId="5" fillId="0" borderId="0" xfId="0" applyFont="1" applyAlignment="1">
      <alignment vertical="center" wrapText="1"/>
    </xf>
    <xf numFmtId="0" fontId="3" fillId="0" borderId="3" xfId="0" applyFont="1" applyBorder="1" applyAlignment="1">
      <alignment horizontal="center" vertical="center" wrapText="1"/>
    </xf>
    <xf numFmtId="164" fontId="3" fillId="0" borderId="3" xfId="1" applyNumberFormat="1" applyFont="1" applyFill="1" applyBorder="1" applyAlignment="1">
      <alignment horizontal="center" vertical="center" wrapText="1"/>
    </xf>
    <xf numFmtId="164" fontId="5" fillId="0" borderId="0" xfId="1" applyNumberFormat="1" applyFont="1" applyFill="1" applyAlignment="1">
      <alignment horizontal="center" vertical="center" wrapText="1"/>
    </xf>
    <xf numFmtId="0" fontId="3" fillId="0" borderId="3" xfId="0" applyFont="1" applyBorder="1" applyAlignment="1">
      <alignment vertical="center" wrapText="1"/>
    </xf>
    <xf numFmtId="164" fontId="3" fillId="0" borderId="3" xfId="1" applyNumberFormat="1" applyFont="1" applyFill="1" applyBorder="1" applyAlignment="1">
      <alignment vertical="center" wrapText="1"/>
    </xf>
    <xf numFmtId="164" fontId="3" fillId="0" borderId="0" xfId="1" applyNumberFormat="1" applyFont="1" applyFill="1" applyBorder="1" applyAlignment="1">
      <alignment vertical="center" wrapText="1"/>
    </xf>
    <xf numFmtId="0" fontId="0" fillId="0" borderId="0" xfId="0" applyAlignment="1">
      <alignment horizontal="left" vertical="center" wrapText="1"/>
    </xf>
    <xf numFmtId="0" fontId="1" fillId="0" borderId="3" xfId="0" applyFont="1" applyBorder="1" applyAlignment="1">
      <alignment horizontal="left" vertical="center"/>
    </xf>
    <xf numFmtId="164" fontId="5" fillId="0" borderId="0" xfId="1" applyNumberFormat="1" applyFont="1" applyFill="1" applyAlignment="1">
      <alignment horizontal="center" vertical="center"/>
    </xf>
    <xf numFmtId="0" fontId="5" fillId="0" borderId="0" xfId="0" applyFont="1" applyAlignment="1">
      <alignment horizontal="center" vertical="center"/>
    </xf>
    <xf numFmtId="164" fontId="0" fillId="0" borderId="0" xfId="1" applyNumberFormat="1" applyFont="1" applyFill="1" applyAlignment="1">
      <alignment horizontal="center"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3" fontId="1" fillId="0" borderId="3" xfId="0" applyNumberFormat="1" applyFont="1" applyBorder="1" applyAlignment="1">
      <alignment horizontal="left" vertical="center" wrapText="1"/>
    </xf>
    <xf numFmtId="0" fontId="3" fillId="0" borderId="0" xfId="0" applyFont="1" applyAlignment="1">
      <alignment horizontal="left" vertical="center" wrapText="1"/>
    </xf>
    <xf numFmtId="164" fontId="1" fillId="0" borderId="0" xfId="1" applyNumberFormat="1" applyFont="1" applyFill="1" applyAlignment="1">
      <alignment vertical="center"/>
    </xf>
    <xf numFmtId="0" fontId="1" fillId="0" borderId="0" xfId="0" applyFont="1" applyAlignment="1">
      <alignment vertical="center"/>
    </xf>
    <xf numFmtId="0" fontId="3" fillId="0" borderId="0" xfId="0" applyFont="1" applyAlignment="1">
      <alignment horizontal="center" vertical="center" wrapText="1"/>
    </xf>
    <xf numFmtId="164" fontId="3" fillId="0" borderId="0" xfId="1" applyNumberFormat="1" applyFont="1" applyFill="1" applyAlignment="1">
      <alignment horizontal="center" vertical="center" wrapText="1"/>
    </xf>
    <xf numFmtId="164" fontId="3" fillId="0" borderId="0" xfId="1" applyNumberFormat="1" applyFont="1" applyFill="1" applyBorder="1" applyAlignment="1">
      <alignment horizontal="left" vertical="center" wrapText="1"/>
    </xf>
    <xf numFmtId="42" fontId="3" fillId="0" borderId="3" xfId="0" applyNumberFormat="1" applyFont="1" applyBorder="1" applyAlignment="1">
      <alignment horizontal="center" vertical="center"/>
    </xf>
    <xf numFmtId="42" fontId="1" fillId="0" borderId="3" xfId="0" applyNumberFormat="1" applyFont="1" applyBorder="1" applyAlignment="1">
      <alignment vertical="center"/>
    </xf>
    <xf numFmtId="164" fontId="0" fillId="0" borderId="0" xfId="1" applyNumberFormat="1" applyFont="1" applyFill="1" applyBorder="1" applyAlignment="1">
      <alignment vertical="center" wrapText="1"/>
    </xf>
    <xf numFmtId="164" fontId="1" fillId="0" borderId="0" xfId="1" applyNumberFormat="1" applyFont="1" applyFill="1" applyBorder="1" applyAlignment="1">
      <alignment vertical="center" wrapText="1"/>
    </xf>
    <xf numFmtId="164" fontId="1" fillId="0" borderId="3" xfId="1" applyNumberFormat="1" applyFont="1" applyFill="1" applyBorder="1" applyAlignment="1">
      <alignment horizontal="left" vertical="center"/>
    </xf>
    <xf numFmtId="42" fontId="0" fillId="0" borderId="3" xfId="0" applyNumberFormat="1" applyBorder="1" applyAlignment="1">
      <alignment vertical="center"/>
    </xf>
    <xf numFmtId="164" fontId="3" fillId="0" borderId="3" xfId="1" applyNumberFormat="1" applyFont="1" applyFill="1" applyBorder="1" applyAlignment="1">
      <alignment horizontal="left" vertical="center" wrapText="1"/>
    </xf>
    <xf numFmtId="164" fontId="0" fillId="0" borderId="0" xfId="1" applyNumberFormat="1" applyFont="1" applyFill="1" applyBorder="1" applyAlignment="1">
      <alignment horizontal="left" vertical="center" wrapText="1"/>
    </xf>
    <xf numFmtId="164" fontId="1" fillId="0" borderId="0" xfId="1" applyNumberFormat="1" applyFont="1" applyFill="1" applyBorder="1" applyAlignment="1">
      <alignment horizontal="left" vertical="center" wrapText="1"/>
    </xf>
    <xf numFmtId="164" fontId="3" fillId="0" borderId="0" xfId="1" applyNumberFormat="1" applyFont="1" applyFill="1" applyBorder="1" applyAlignment="1">
      <alignment horizontal="center" vertical="center" wrapText="1"/>
    </xf>
    <xf numFmtId="164" fontId="3" fillId="0" borderId="3" xfId="1" applyNumberFormat="1" applyFont="1" applyFill="1" applyBorder="1" applyAlignment="1">
      <alignment horizontal="right" vertical="center"/>
    </xf>
    <xf numFmtId="0" fontId="3" fillId="0" borderId="0" xfId="0" applyFont="1" applyAlignment="1">
      <alignment horizontal="center" vertical="center"/>
    </xf>
    <xf numFmtId="165" fontId="1" fillId="0" borderId="2" xfId="0" applyNumberFormat="1" applyFont="1" applyBorder="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center"/>
    </xf>
    <xf numFmtId="164" fontId="1" fillId="0" borderId="0" xfId="1" applyNumberFormat="1" applyFont="1" applyFill="1" applyAlignment="1">
      <alignment horizontal="center" vertical="center"/>
    </xf>
    <xf numFmtId="165" fontId="1" fillId="0" borderId="3" xfId="0" applyNumberFormat="1" applyFont="1" applyBorder="1" applyAlignment="1">
      <alignment horizontal="left" vertical="center"/>
    </xf>
    <xf numFmtId="0" fontId="3" fillId="0" borderId="3" xfId="0" applyFont="1" applyBorder="1" applyAlignment="1">
      <alignment horizontal="left" vertical="center"/>
    </xf>
    <xf numFmtId="0" fontId="4" fillId="0" borderId="3" xfId="0" applyFont="1" applyBorder="1" applyAlignment="1">
      <alignment vertical="center"/>
    </xf>
    <xf numFmtId="44" fontId="0" fillId="0" borderId="0" xfId="1" applyFont="1" applyFill="1" applyAlignment="1">
      <alignment vertical="center"/>
    </xf>
    <xf numFmtId="164" fontId="3" fillId="0" borderId="3" xfId="1" applyNumberFormat="1" applyFont="1" applyFill="1" applyBorder="1" applyAlignment="1">
      <alignment horizontal="left" vertical="center"/>
    </xf>
    <xf numFmtId="164" fontId="0" fillId="0" borderId="3" xfId="1" applyNumberFormat="1" applyFont="1" applyFill="1" applyBorder="1" applyAlignment="1">
      <alignment horizontal="left" vertical="center" wrapText="1"/>
    </xf>
    <xf numFmtId="0" fontId="3" fillId="0" borderId="8" xfId="0" applyFont="1" applyBorder="1" applyAlignment="1">
      <alignment horizontal="center" vertical="center"/>
    </xf>
    <xf numFmtId="164" fontId="3" fillId="0" borderId="8" xfId="1" applyNumberFormat="1" applyFont="1" applyFill="1" applyBorder="1" applyAlignment="1">
      <alignment horizontal="center" vertical="center"/>
    </xf>
    <xf numFmtId="0" fontId="3" fillId="0" borderId="8" xfId="0" applyFont="1" applyBorder="1" applyAlignment="1">
      <alignment horizontal="center" vertical="center" wrapText="1"/>
    </xf>
    <xf numFmtId="164" fontId="3" fillId="0" borderId="8" xfId="1" applyNumberFormat="1" applyFont="1" applyFill="1" applyBorder="1" applyAlignment="1">
      <alignment horizontal="center" vertical="center" wrapText="1"/>
    </xf>
    <xf numFmtId="0" fontId="0" fillId="0" borderId="8" xfId="0" applyBorder="1" applyAlignment="1">
      <alignment horizontal="center" vertical="center"/>
    </xf>
    <xf numFmtId="164" fontId="4" fillId="0" borderId="3" xfId="1" applyNumberFormat="1" applyFont="1" applyFill="1" applyBorder="1" applyAlignment="1">
      <alignment horizontal="left" vertical="center"/>
    </xf>
    <xf numFmtId="0" fontId="3" fillId="0" borderId="1" xfId="0" applyFont="1" applyBorder="1" applyAlignment="1">
      <alignment horizontal="right" vertical="center"/>
    </xf>
    <xf numFmtId="0" fontId="3" fillId="0" borderId="1" xfId="0" applyFont="1" applyBorder="1" applyAlignment="1">
      <alignment horizontal="right" vertical="center" wrapText="1"/>
    </xf>
    <xf numFmtId="0" fontId="3" fillId="0" borderId="4" xfId="0" applyFont="1" applyBorder="1" applyAlignment="1">
      <alignment horizontal="right" vertical="center" wrapText="1"/>
    </xf>
    <xf numFmtId="0" fontId="3" fillId="0" borderId="2" xfId="0" applyFont="1" applyBorder="1" applyAlignment="1">
      <alignment horizontal="right"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3" xfId="0" applyFont="1" applyBorder="1" applyAlignment="1">
      <alignment horizontal="righ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0" xfId="0" applyFont="1" applyAlignment="1">
      <alignment horizontal="left"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5"/>
  <sheetViews>
    <sheetView tabSelected="1" topLeftCell="A5" zoomScale="115" zoomScaleNormal="115" workbookViewId="0">
      <selection activeCell="A13" sqref="A13"/>
    </sheetView>
  </sheetViews>
  <sheetFormatPr defaultColWidth="9.140625" defaultRowHeight="12.75" x14ac:dyDescent="0.2"/>
  <cols>
    <col min="1" max="1" width="44.7109375" style="11" bestFit="1" customWidth="1"/>
    <col min="2" max="2" width="36.140625" style="11" customWidth="1"/>
    <col min="3" max="3" width="16.85546875" style="12" bestFit="1" customWidth="1"/>
    <col min="4" max="4" width="38.85546875" style="12" bestFit="1" customWidth="1"/>
    <col min="5" max="5" width="14.28515625" style="12" customWidth="1"/>
    <col min="6" max="6" width="12.7109375" style="11" customWidth="1"/>
    <col min="7" max="16384" width="9.140625" style="11"/>
  </cols>
  <sheetData>
    <row r="1" spans="1:5" ht="39.6" customHeight="1" thickBot="1" x14ac:dyDescent="0.25">
      <c r="A1" s="102" t="s">
        <v>94</v>
      </c>
      <c r="B1" s="103"/>
      <c r="C1" s="104"/>
    </row>
    <row r="2" spans="1:5" ht="73.5" customHeight="1" x14ac:dyDescent="0.2">
      <c r="A2" s="119" t="s">
        <v>90</v>
      </c>
      <c r="B2" s="119"/>
      <c r="C2" s="119"/>
    </row>
    <row r="3" spans="1:5" s="15" customFormat="1" ht="29.25" customHeight="1" x14ac:dyDescent="0.2">
      <c r="A3" s="119" t="s">
        <v>60</v>
      </c>
      <c r="B3" s="121"/>
      <c r="C3" s="121"/>
      <c r="D3" s="13"/>
      <c r="E3" s="14"/>
    </row>
    <row r="4" spans="1:5" x14ac:dyDescent="0.2">
      <c r="A4" s="16"/>
      <c r="B4" s="122"/>
      <c r="C4" s="122"/>
    </row>
    <row r="5" spans="1:5" ht="13.5" thickBot="1" x14ac:dyDescent="0.25">
      <c r="A5" s="3"/>
      <c r="B5" s="3"/>
      <c r="C5" s="17"/>
    </row>
    <row r="6" spans="1:5" ht="40.5" customHeight="1" thickBot="1" x14ac:dyDescent="0.25">
      <c r="A6" s="108" t="s">
        <v>62</v>
      </c>
      <c r="B6" s="109"/>
      <c r="C6" s="110"/>
    </row>
    <row r="7" spans="1:5" s="20" customFormat="1" ht="17.25" customHeight="1" x14ac:dyDescent="0.2">
      <c r="A7" s="89" t="s">
        <v>1</v>
      </c>
      <c r="B7" s="89" t="s">
        <v>6</v>
      </c>
      <c r="C7" s="90" t="s">
        <v>7</v>
      </c>
      <c r="D7" s="18"/>
      <c r="E7" s="19"/>
    </row>
    <row r="8" spans="1:5" x14ac:dyDescent="0.2">
      <c r="A8" s="2" t="s">
        <v>8</v>
      </c>
      <c r="B8" s="2" t="s">
        <v>95</v>
      </c>
      <c r="C8" s="21">
        <f>75000*0.15*4</f>
        <v>45000</v>
      </c>
      <c r="D8" s="22"/>
    </row>
    <row r="9" spans="1:5" x14ac:dyDescent="0.2">
      <c r="A9" s="2" t="s">
        <v>99</v>
      </c>
      <c r="B9" s="2" t="s">
        <v>96</v>
      </c>
      <c r="C9" s="21">
        <f>55000*0.3*4</f>
        <v>66000</v>
      </c>
      <c r="D9" s="23"/>
    </row>
    <row r="10" spans="1:5" x14ac:dyDescent="0.2">
      <c r="A10" s="25"/>
      <c r="B10" s="5" t="s">
        <v>74</v>
      </c>
      <c r="C10" s="26">
        <f>SUM(C8:C9)</f>
        <v>111000</v>
      </c>
      <c r="D10" s="1"/>
    </row>
    <row r="11" spans="1:5" x14ac:dyDescent="0.2">
      <c r="B11" s="7"/>
      <c r="C11" s="1"/>
      <c r="D11" s="1"/>
    </row>
    <row r="12" spans="1:5" x14ac:dyDescent="0.2">
      <c r="A12" s="3" t="s">
        <v>78</v>
      </c>
    </row>
    <row r="13" spans="1:5" s="15" customFormat="1" ht="42" customHeight="1" x14ac:dyDescent="0.2">
      <c r="A13" s="44" t="s">
        <v>97</v>
      </c>
      <c r="B13" s="44"/>
      <c r="C13" s="44"/>
      <c r="D13" s="27"/>
      <c r="E13" s="14"/>
    </row>
    <row r="14" spans="1:5" s="15" customFormat="1" x14ac:dyDescent="0.2">
      <c r="A14" s="28"/>
      <c r="B14" s="28"/>
      <c r="C14" s="27"/>
      <c r="D14" s="27"/>
      <c r="E14" s="14"/>
    </row>
    <row r="15" spans="1:5" s="15" customFormat="1" ht="32.25" customHeight="1" x14ac:dyDescent="0.2">
      <c r="A15" s="105" t="s">
        <v>98</v>
      </c>
      <c r="B15" s="105"/>
      <c r="C15" s="105"/>
      <c r="D15" s="29"/>
      <c r="E15" s="14"/>
    </row>
    <row r="16" spans="1:5" s="15" customFormat="1" ht="13.5" customHeight="1" thickBot="1" x14ac:dyDescent="0.25">
      <c r="A16" s="119"/>
      <c r="B16" s="119"/>
      <c r="C16" s="119"/>
      <c r="D16" s="30"/>
      <c r="E16" s="14"/>
    </row>
    <row r="17" spans="1:5" ht="51" customHeight="1" thickBot="1" x14ac:dyDescent="0.25">
      <c r="A17" s="108" t="s">
        <v>77</v>
      </c>
      <c r="B17" s="109"/>
      <c r="C17" s="110"/>
    </row>
    <row r="18" spans="1:5" ht="17.25" customHeight="1" x14ac:dyDescent="0.2">
      <c r="A18" s="89" t="s">
        <v>2</v>
      </c>
      <c r="B18" s="89" t="s">
        <v>9</v>
      </c>
      <c r="C18" s="90" t="s">
        <v>7</v>
      </c>
    </row>
    <row r="19" spans="1:5" s="20" customFormat="1" x14ac:dyDescent="0.2">
      <c r="A19" s="31" t="s">
        <v>8</v>
      </c>
      <c r="B19" s="4"/>
      <c r="C19" s="6"/>
      <c r="D19" s="19"/>
      <c r="E19" s="19"/>
    </row>
    <row r="20" spans="1:5" x14ac:dyDescent="0.2">
      <c r="A20" s="32" t="s">
        <v>3</v>
      </c>
      <c r="B20" s="2" t="s">
        <v>100</v>
      </c>
      <c r="C20" s="9">
        <f>45000*0.0765</f>
        <v>3442.5</v>
      </c>
    </row>
    <row r="21" spans="1:5" x14ac:dyDescent="0.2">
      <c r="A21" s="2" t="s">
        <v>10</v>
      </c>
      <c r="B21" s="2" t="s">
        <v>101</v>
      </c>
      <c r="C21" s="21">
        <f>4800*0.15*4</f>
        <v>2880</v>
      </c>
    </row>
    <row r="22" spans="1:5" x14ac:dyDescent="0.2">
      <c r="A22" s="33" t="s">
        <v>11</v>
      </c>
      <c r="B22" s="2" t="s">
        <v>102</v>
      </c>
      <c r="C22" s="9">
        <f>45000*0.01</f>
        <v>450</v>
      </c>
    </row>
    <row r="23" spans="1:5" x14ac:dyDescent="0.2">
      <c r="A23" s="32" t="s">
        <v>4</v>
      </c>
      <c r="B23" s="2" t="s">
        <v>103</v>
      </c>
      <c r="C23" s="9">
        <f>45000*0.005</f>
        <v>225</v>
      </c>
      <c r="E23" s="14"/>
    </row>
    <row r="24" spans="1:5" x14ac:dyDescent="0.2">
      <c r="A24" s="25"/>
      <c r="B24" s="5" t="s">
        <v>12</v>
      </c>
      <c r="C24" s="26">
        <f>SUM(C20:C23)</f>
        <v>6997.5</v>
      </c>
      <c r="D24" s="1"/>
    </row>
    <row r="25" spans="1:5" x14ac:dyDescent="0.2">
      <c r="A25" s="31" t="s">
        <v>99</v>
      </c>
      <c r="B25" s="4"/>
      <c r="C25" s="6"/>
      <c r="D25" s="13"/>
      <c r="E25" s="14"/>
    </row>
    <row r="26" spans="1:5" x14ac:dyDescent="0.2">
      <c r="A26" s="32" t="s">
        <v>3</v>
      </c>
      <c r="B26" s="2" t="s">
        <v>104</v>
      </c>
      <c r="C26" s="21">
        <f>66000*7.65%</f>
        <v>5049</v>
      </c>
      <c r="D26" s="1"/>
    </row>
    <row r="27" spans="1:5" x14ac:dyDescent="0.2">
      <c r="A27" s="2" t="s">
        <v>10</v>
      </c>
      <c r="B27" s="2" t="s">
        <v>107</v>
      </c>
      <c r="C27" s="21">
        <f>4800*0.3*4</f>
        <v>5760</v>
      </c>
    </row>
    <row r="28" spans="1:5" x14ac:dyDescent="0.2">
      <c r="A28" s="33" t="s">
        <v>11</v>
      </c>
      <c r="B28" s="2" t="s">
        <v>105</v>
      </c>
      <c r="C28" s="21">
        <f>66000*0.01</f>
        <v>660</v>
      </c>
    </row>
    <row r="29" spans="1:5" x14ac:dyDescent="0.2">
      <c r="A29" s="32" t="s">
        <v>4</v>
      </c>
      <c r="B29" s="2" t="s">
        <v>106</v>
      </c>
      <c r="C29" s="21">
        <f>66000*0.005</f>
        <v>330</v>
      </c>
    </row>
    <row r="30" spans="1:5" x14ac:dyDescent="0.2">
      <c r="A30" s="25"/>
      <c r="B30" s="5" t="s">
        <v>12</v>
      </c>
      <c r="C30" s="26">
        <f>SUM(C26:C29)</f>
        <v>11799</v>
      </c>
    </row>
    <row r="31" spans="1:5" x14ac:dyDescent="0.2">
      <c r="A31" s="95" t="s">
        <v>13</v>
      </c>
      <c r="B31" s="5"/>
      <c r="C31" s="26">
        <f>C24+C30</f>
        <v>18796.5</v>
      </c>
      <c r="D31" s="34"/>
    </row>
    <row r="32" spans="1:5" x14ac:dyDescent="0.2">
      <c r="A32" s="7"/>
      <c r="B32" s="7"/>
      <c r="C32" s="1"/>
      <c r="D32" s="34"/>
    </row>
    <row r="33" spans="1:5" x14ac:dyDescent="0.2">
      <c r="A33" s="3" t="s">
        <v>78</v>
      </c>
      <c r="B33" s="7"/>
      <c r="C33" s="1"/>
      <c r="D33" s="34"/>
    </row>
    <row r="34" spans="1:5" ht="30.75" customHeight="1" x14ac:dyDescent="0.2">
      <c r="A34" s="35" t="s">
        <v>108</v>
      </c>
      <c r="B34" s="36"/>
      <c r="C34" s="36"/>
      <c r="D34" s="34"/>
    </row>
    <row r="35" spans="1:5" ht="12.75" customHeight="1" thickBot="1" x14ac:dyDescent="0.25">
      <c r="A35" s="35"/>
      <c r="B35" s="36"/>
      <c r="C35" s="34"/>
      <c r="D35" s="34"/>
    </row>
    <row r="36" spans="1:5" ht="74.45" customHeight="1" thickBot="1" x14ac:dyDescent="0.25">
      <c r="A36" s="108" t="s">
        <v>67</v>
      </c>
      <c r="B36" s="109"/>
      <c r="C36" s="110"/>
      <c r="D36" s="37"/>
      <c r="E36" s="37"/>
    </row>
    <row r="37" spans="1:5" s="20" customFormat="1" ht="17.25" customHeight="1" x14ac:dyDescent="0.2">
      <c r="A37" s="89" t="s">
        <v>14</v>
      </c>
      <c r="B37" s="89" t="s">
        <v>15</v>
      </c>
      <c r="C37" s="90" t="s">
        <v>2</v>
      </c>
      <c r="D37" s="6" t="s">
        <v>6</v>
      </c>
      <c r="E37" s="6" t="s">
        <v>16</v>
      </c>
    </row>
    <row r="38" spans="1:5" x14ac:dyDescent="0.2">
      <c r="A38" s="2" t="s">
        <v>17</v>
      </c>
      <c r="B38" s="2" t="s">
        <v>5</v>
      </c>
      <c r="C38" s="9" t="s">
        <v>5</v>
      </c>
      <c r="D38" s="9" t="s">
        <v>5</v>
      </c>
      <c r="E38" s="38">
        <v>3000</v>
      </c>
    </row>
    <row r="39" spans="1:5" x14ac:dyDescent="0.2">
      <c r="A39" s="2" t="s">
        <v>18</v>
      </c>
      <c r="B39" s="2" t="s">
        <v>19</v>
      </c>
      <c r="C39" s="26"/>
      <c r="D39" s="39" t="s">
        <v>109</v>
      </c>
      <c r="E39" s="38">
        <f>50*0.725*48</f>
        <v>1740</v>
      </c>
    </row>
    <row r="40" spans="1:5" ht="12.6" customHeight="1" x14ac:dyDescent="0.2">
      <c r="A40" s="96" t="s">
        <v>20</v>
      </c>
      <c r="B40" s="97"/>
      <c r="C40" s="97"/>
      <c r="D40" s="98"/>
      <c r="E40" s="26">
        <f>SUM(E38:E39)</f>
        <v>4740</v>
      </c>
    </row>
    <row r="41" spans="1:5" ht="12.6" customHeight="1" x14ac:dyDescent="0.2">
      <c r="A41" s="40"/>
      <c r="B41" s="40"/>
      <c r="C41" s="40"/>
      <c r="D41" s="41"/>
      <c r="E41" s="1"/>
    </row>
    <row r="42" spans="1:5" ht="12.6" customHeight="1" x14ac:dyDescent="0.2">
      <c r="A42" s="42" t="s">
        <v>79</v>
      </c>
      <c r="B42" s="36"/>
      <c r="C42" s="34"/>
      <c r="D42" s="37"/>
      <c r="E42" s="17"/>
    </row>
    <row r="43" spans="1:5" ht="45.6" customHeight="1" x14ac:dyDescent="0.2">
      <c r="A43" s="44" t="s">
        <v>110</v>
      </c>
      <c r="B43" s="44"/>
      <c r="C43" s="44"/>
      <c r="D43" s="43"/>
      <c r="E43" s="43"/>
    </row>
    <row r="44" spans="1:5" x14ac:dyDescent="0.2">
      <c r="A44" s="44"/>
      <c r="B44" s="44"/>
      <c r="C44" s="29"/>
      <c r="D44" s="29"/>
      <c r="E44" s="29"/>
    </row>
    <row r="45" spans="1:5" ht="53.25" customHeight="1" x14ac:dyDescent="0.2">
      <c r="A45" s="105" t="s">
        <v>111</v>
      </c>
      <c r="B45" s="105"/>
      <c r="C45" s="105"/>
      <c r="D45" s="45"/>
      <c r="E45" s="45"/>
    </row>
    <row r="46" spans="1:5" ht="14.25" customHeight="1" x14ac:dyDescent="0.2">
      <c r="A46" s="120"/>
      <c r="B46" s="120"/>
      <c r="C46" s="120"/>
      <c r="D46" s="27"/>
    </row>
    <row r="47" spans="1:5" ht="12.75" customHeight="1" thickBot="1" x14ac:dyDescent="0.25">
      <c r="A47" s="46"/>
      <c r="B47" s="46"/>
      <c r="C47" s="45"/>
      <c r="D47" s="45"/>
    </row>
    <row r="48" spans="1:5" ht="102" customHeight="1" thickBot="1" x14ac:dyDescent="0.25">
      <c r="A48" s="108" t="s">
        <v>124</v>
      </c>
      <c r="B48" s="109"/>
      <c r="C48" s="110"/>
      <c r="D48" s="45"/>
    </row>
    <row r="49" spans="1:5" s="20" customFormat="1" ht="17.25" customHeight="1" x14ac:dyDescent="0.2">
      <c r="A49" s="91" t="s">
        <v>2</v>
      </c>
      <c r="B49" s="91" t="s">
        <v>6</v>
      </c>
      <c r="C49" s="92" t="s">
        <v>16</v>
      </c>
      <c r="D49" s="49"/>
      <c r="E49" s="19"/>
    </row>
    <row r="50" spans="1:5" x14ac:dyDescent="0.2">
      <c r="A50" s="33" t="s">
        <v>112</v>
      </c>
      <c r="B50" s="33" t="s">
        <v>114</v>
      </c>
      <c r="C50" s="39">
        <f>2000*0.15</f>
        <v>300</v>
      </c>
      <c r="D50" s="45"/>
    </row>
    <row r="51" spans="1:5" x14ac:dyDescent="0.2">
      <c r="A51" s="33" t="s">
        <v>113</v>
      </c>
      <c r="B51" s="33" t="s">
        <v>115</v>
      </c>
      <c r="C51" s="39">
        <f>2000*0.3</f>
        <v>600</v>
      </c>
      <c r="D51" s="45"/>
    </row>
    <row r="52" spans="1:5" x14ac:dyDescent="0.2">
      <c r="A52" s="33"/>
      <c r="B52" s="50" t="s">
        <v>61</v>
      </c>
      <c r="C52" s="51">
        <f>SUM(C50:C51)</f>
        <v>900</v>
      </c>
      <c r="D52" s="45"/>
    </row>
    <row r="53" spans="1:5" x14ac:dyDescent="0.2">
      <c r="A53" s="35"/>
      <c r="B53" s="42"/>
      <c r="C53" s="52"/>
      <c r="D53" s="45"/>
    </row>
    <row r="54" spans="1:5" x14ac:dyDescent="0.2">
      <c r="A54" s="42" t="s">
        <v>78</v>
      </c>
      <c r="B54" s="42"/>
      <c r="C54" s="37"/>
      <c r="D54" s="45"/>
    </row>
    <row r="55" spans="1:5" ht="47.25" customHeight="1" x14ac:dyDescent="0.2">
      <c r="A55" s="44" t="s">
        <v>91</v>
      </c>
      <c r="B55" s="28"/>
      <c r="C55" s="28"/>
      <c r="D55" s="45"/>
    </row>
    <row r="56" spans="1:5" x14ac:dyDescent="0.2">
      <c r="A56" s="44"/>
      <c r="B56" s="28"/>
      <c r="C56" s="28"/>
      <c r="D56" s="45"/>
    </row>
    <row r="57" spans="1:5" ht="13.5" thickBot="1" x14ac:dyDescent="0.25">
      <c r="A57" s="28"/>
      <c r="B57" s="53"/>
      <c r="C57" s="13"/>
      <c r="D57" s="13"/>
    </row>
    <row r="58" spans="1:5" ht="53.25" customHeight="1" thickBot="1" x14ac:dyDescent="0.25">
      <c r="A58" s="108" t="s">
        <v>63</v>
      </c>
      <c r="B58" s="109"/>
      <c r="C58" s="110"/>
    </row>
    <row r="59" spans="1:5" s="20" customFormat="1" ht="17.25" customHeight="1" x14ac:dyDescent="0.2">
      <c r="A59" s="89" t="s">
        <v>21</v>
      </c>
      <c r="B59" s="89" t="s">
        <v>9</v>
      </c>
      <c r="C59" s="90" t="s">
        <v>16</v>
      </c>
      <c r="D59" s="18"/>
      <c r="E59" s="19"/>
    </row>
    <row r="60" spans="1:5" x14ac:dyDescent="0.2">
      <c r="A60" s="54" t="s">
        <v>81</v>
      </c>
      <c r="B60" s="54" t="s">
        <v>116</v>
      </c>
      <c r="C60" s="24">
        <f>40*0.225*48</f>
        <v>432</v>
      </c>
      <c r="D60" s="22"/>
    </row>
    <row r="61" spans="1:5" s="56" customFormat="1" x14ac:dyDescent="0.2">
      <c r="A61" s="54" t="s">
        <v>80</v>
      </c>
      <c r="B61" s="54" t="s">
        <v>117</v>
      </c>
      <c r="C61" s="21">
        <f>70*48</f>
        <v>3360</v>
      </c>
      <c r="D61" s="22"/>
      <c r="E61" s="55"/>
    </row>
    <row r="62" spans="1:5" x14ac:dyDescent="0.2">
      <c r="A62" s="95" t="s">
        <v>22</v>
      </c>
      <c r="B62" s="5"/>
      <c r="C62" s="26">
        <f>SUM(C60:C61)</f>
        <v>3792</v>
      </c>
      <c r="D62" s="1"/>
    </row>
    <row r="63" spans="1:5" x14ac:dyDescent="0.2">
      <c r="A63" s="7"/>
      <c r="B63" s="7"/>
      <c r="C63" s="1"/>
      <c r="D63" s="1"/>
    </row>
    <row r="64" spans="1:5" x14ac:dyDescent="0.2">
      <c r="A64" s="3" t="s">
        <v>78</v>
      </c>
      <c r="B64" s="7"/>
      <c r="C64" s="17"/>
      <c r="D64" s="1"/>
    </row>
    <row r="65" spans="1:5" ht="71.25" customHeight="1" x14ac:dyDescent="0.2">
      <c r="A65" s="44" t="s">
        <v>118</v>
      </c>
      <c r="B65" s="28"/>
      <c r="C65" s="28"/>
      <c r="D65" s="45"/>
    </row>
    <row r="66" spans="1:5" x14ac:dyDescent="0.2">
      <c r="A66" s="44"/>
      <c r="B66" s="28"/>
      <c r="C66" s="28"/>
      <c r="D66" s="45"/>
    </row>
    <row r="67" spans="1:5" ht="42" customHeight="1" x14ac:dyDescent="0.2">
      <c r="A67" s="105" t="s">
        <v>119</v>
      </c>
      <c r="B67" s="105"/>
      <c r="C67" s="105"/>
      <c r="D67" s="45"/>
    </row>
    <row r="68" spans="1:5" ht="13.5" thickBot="1" x14ac:dyDescent="0.25">
      <c r="B68" s="36"/>
      <c r="C68" s="34"/>
      <c r="D68" s="34"/>
    </row>
    <row r="69" spans="1:5" ht="27" customHeight="1" thickBot="1" x14ac:dyDescent="0.25">
      <c r="A69" s="111" t="s">
        <v>68</v>
      </c>
      <c r="B69" s="112"/>
      <c r="C69" s="113"/>
      <c r="D69" s="34"/>
    </row>
    <row r="70" spans="1:5" s="20" customFormat="1" ht="17.25" customHeight="1" x14ac:dyDescent="0.2">
      <c r="A70" s="91" t="s">
        <v>23</v>
      </c>
      <c r="B70" s="91" t="s">
        <v>24</v>
      </c>
      <c r="C70" s="92" t="s">
        <v>16</v>
      </c>
      <c r="D70" s="57"/>
      <c r="E70" s="19"/>
    </row>
    <row r="71" spans="1:5" ht="12.75" customHeight="1" x14ac:dyDescent="0.2">
      <c r="A71" s="96" t="s">
        <v>25</v>
      </c>
      <c r="B71" s="98"/>
      <c r="C71" s="51">
        <v>0</v>
      </c>
      <c r="D71" s="34"/>
    </row>
    <row r="72" spans="1:5" ht="12.75" customHeight="1" x14ac:dyDescent="0.2">
      <c r="A72" s="46"/>
      <c r="B72" s="42"/>
      <c r="C72" s="52"/>
      <c r="D72" s="34"/>
    </row>
    <row r="73" spans="1:5" ht="12.75" customHeight="1" thickBot="1" x14ac:dyDescent="0.25">
      <c r="A73" s="46"/>
      <c r="B73" s="36"/>
      <c r="C73" s="34"/>
      <c r="D73" s="34"/>
    </row>
    <row r="74" spans="1:5" ht="40.5" customHeight="1" thickBot="1" x14ac:dyDescent="0.25">
      <c r="A74" s="111" t="s">
        <v>72</v>
      </c>
      <c r="B74" s="112"/>
      <c r="C74" s="113"/>
      <c r="D74" s="45"/>
    </row>
    <row r="75" spans="1:5" s="20" customFormat="1" ht="17.25" customHeight="1" x14ac:dyDescent="0.2">
      <c r="A75" s="91" t="s">
        <v>26</v>
      </c>
      <c r="B75" s="91" t="s">
        <v>6</v>
      </c>
      <c r="C75" s="92" t="s">
        <v>16</v>
      </c>
      <c r="D75" s="57"/>
      <c r="E75" s="19"/>
    </row>
    <row r="76" spans="1:5" s="20" customFormat="1" x14ac:dyDescent="0.2">
      <c r="A76" s="58" t="s">
        <v>73</v>
      </c>
      <c r="B76" s="47"/>
      <c r="C76" s="48"/>
      <c r="D76" s="57"/>
      <c r="E76" s="19"/>
    </row>
    <row r="77" spans="1:5" x14ac:dyDescent="0.2">
      <c r="A77" s="33" t="s">
        <v>27</v>
      </c>
      <c r="B77" s="33" t="s">
        <v>120</v>
      </c>
      <c r="C77" s="88">
        <f>40000*0.09*4</f>
        <v>14400</v>
      </c>
      <c r="D77" s="34"/>
    </row>
    <row r="78" spans="1:5" ht="13.5" customHeight="1" x14ac:dyDescent="0.2">
      <c r="A78" s="59" t="s">
        <v>69</v>
      </c>
      <c r="B78" s="60" t="s">
        <v>123</v>
      </c>
      <c r="C78" s="88">
        <f>C77*0.28</f>
        <v>4032.0000000000005</v>
      </c>
      <c r="D78" s="13"/>
    </row>
    <row r="79" spans="1:5" ht="14.25" customHeight="1" x14ac:dyDescent="0.2">
      <c r="A79" s="96" t="s">
        <v>28</v>
      </c>
      <c r="B79" s="98"/>
      <c r="C79" s="73">
        <f>SUM(C77:C78)</f>
        <v>18432</v>
      </c>
      <c r="D79" s="45"/>
    </row>
    <row r="80" spans="1:5" ht="14.25" customHeight="1" x14ac:dyDescent="0.2">
      <c r="A80" s="40"/>
      <c r="B80" s="40"/>
      <c r="C80" s="41"/>
      <c r="D80" s="45"/>
    </row>
    <row r="81" spans="1:5" ht="14.25" customHeight="1" x14ac:dyDescent="0.2">
      <c r="A81" s="61" t="s">
        <v>78</v>
      </c>
      <c r="B81" s="40"/>
      <c r="C81" s="41"/>
      <c r="D81" s="45"/>
    </row>
    <row r="82" spans="1:5" ht="34.5" customHeight="1" x14ac:dyDescent="0.2">
      <c r="A82" s="44" t="s">
        <v>121</v>
      </c>
      <c r="B82" s="28"/>
      <c r="C82" s="28"/>
      <c r="D82" s="45"/>
    </row>
    <row r="83" spans="1:5" ht="14.25" customHeight="1" x14ac:dyDescent="0.2">
      <c r="A83" s="40"/>
      <c r="B83" s="40"/>
      <c r="C83" s="41"/>
      <c r="D83" s="45"/>
    </row>
    <row r="84" spans="1:5" ht="32.25" customHeight="1" x14ac:dyDescent="0.2">
      <c r="A84" s="105" t="s">
        <v>122</v>
      </c>
      <c r="B84" s="105"/>
      <c r="C84" s="105"/>
      <c r="D84" s="45"/>
    </row>
    <row r="85" spans="1:5" s="63" customFormat="1" x14ac:dyDescent="0.2">
      <c r="A85" s="44"/>
      <c r="B85" s="44"/>
      <c r="C85" s="44"/>
      <c r="D85" s="43"/>
      <c r="E85" s="62"/>
    </row>
    <row r="86" spans="1:5" x14ac:dyDescent="0.2">
      <c r="A86" s="114" t="s">
        <v>29</v>
      </c>
      <c r="B86" s="115"/>
      <c r="C86" s="48">
        <f>C79</f>
        <v>18432</v>
      </c>
      <c r="D86" s="34"/>
    </row>
    <row r="87" spans="1:5" ht="12.95" customHeight="1" thickBot="1" x14ac:dyDescent="0.25">
      <c r="A87" s="64"/>
      <c r="B87" s="64"/>
      <c r="C87" s="65"/>
      <c r="D87" s="34"/>
    </row>
    <row r="88" spans="1:5" ht="45" customHeight="1" thickBot="1" x14ac:dyDescent="0.25">
      <c r="A88" s="108" t="s">
        <v>64</v>
      </c>
      <c r="B88" s="109"/>
      <c r="C88" s="110"/>
    </row>
    <row r="89" spans="1:5" x14ac:dyDescent="0.2">
      <c r="A89" s="61"/>
      <c r="B89" s="61"/>
      <c r="C89" s="66"/>
    </row>
    <row r="90" spans="1:5" ht="79.900000000000006" customHeight="1" x14ac:dyDescent="0.2">
      <c r="A90" s="116" t="s">
        <v>75</v>
      </c>
      <c r="B90" s="117"/>
      <c r="C90" s="118"/>
    </row>
    <row r="91" spans="1:5" s="20" customFormat="1" ht="17.25" customHeight="1" x14ac:dyDescent="0.2">
      <c r="A91" s="4" t="s">
        <v>30</v>
      </c>
      <c r="B91" s="67" t="s">
        <v>31</v>
      </c>
      <c r="C91" s="6" t="s">
        <v>32</v>
      </c>
      <c r="D91" s="6" t="s">
        <v>16</v>
      </c>
      <c r="E91" s="19"/>
    </row>
    <row r="92" spans="1:5" x14ac:dyDescent="0.2">
      <c r="A92" s="2" t="s">
        <v>125</v>
      </c>
      <c r="B92" s="68" t="s">
        <v>33</v>
      </c>
      <c r="C92" s="9" t="s">
        <v>126</v>
      </c>
      <c r="D92" s="24">
        <f>300*2</f>
        <v>600</v>
      </c>
    </row>
    <row r="93" spans="1:5" x14ac:dyDescent="0.2">
      <c r="A93" s="95" t="s">
        <v>83</v>
      </c>
      <c r="B93" s="100"/>
      <c r="C93" s="5"/>
      <c r="D93" s="26">
        <f>SUM(D92)</f>
        <v>600</v>
      </c>
    </row>
    <row r="94" spans="1:5" x14ac:dyDescent="0.2">
      <c r="A94" s="7"/>
      <c r="B94" s="7"/>
      <c r="C94" s="7"/>
      <c r="D94" s="1"/>
    </row>
    <row r="95" spans="1:5" x14ac:dyDescent="0.2">
      <c r="A95" s="3" t="s">
        <v>79</v>
      </c>
      <c r="B95" s="16"/>
      <c r="C95" s="1"/>
      <c r="D95" s="1"/>
    </row>
    <row r="96" spans="1:5" ht="57" customHeight="1" x14ac:dyDescent="0.2">
      <c r="A96" s="44" t="s">
        <v>127</v>
      </c>
      <c r="B96" s="44"/>
      <c r="C96" s="44"/>
      <c r="D96" s="69"/>
    </row>
    <row r="97" spans="1:5" x14ac:dyDescent="0.2">
      <c r="B97" s="16"/>
      <c r="C97" s="23"/>
      <c r="D97" s="23"/>
      <c r="E97" s="23"/>
    </row>
    <row r="98" spans="1:5" ht="25.5" customHeight="1" x14ac:dyDescent="0.2">
      <c r="A98" s="116" t="s">
        <v>82</v>
      </c>
      <c r="B98" s="117"/>
      <c r="C98" s="118"/>
      <c r="D98" s="70"/>
      <c r="E98" s="23"/>
    </row>
    <row r="99" spans="1:5" s="20" customFormat="1" ht="17.25" customHeight="1" x14ac:dyDescent="0.2">
      <c r="A99" s="4" t="s">
        <v>14</v>
      </c>
      <c r="B99" s="67" t="s">
        <v>15</v>
      </c>
      <c r="C99" s="6" t="s">
        <v>2</v>
      </c>
      <c r="D99" s="6" t="s">
        <v>6</v>
      </c>
      <c r="E99" s="6" t="s">
        <v>16</v>
      </c>
    </row>
    <row r="100" spans="1:5" x14ac:dyDescent="0.2">
      <c r="A100" s="54" t="s">
        <v>34</v>
      </c>
      <c r="B100" s="68" t="s">
        <v>85</v>
      </c>
      <c r="C100" s="71" t="s">
        <v>35</v>
      </c>
      <c r="D100" s="39" t="s">
        <v>167</v>
      </c>
      <c r="E100" s="24">
        <v>499</v>
      </c>
    </row>
    <row r="101" spans="1:5" x14ac:dyDescent="0.2">
      <c r="A101" s="54"/>
      <c r="B101" s="68"/>
      <c r="C101" s="9" t="s">
        <v>36</v>
      </c>
      <c r="D101" s="9" t="s">
        <v>37</v>
      </c>
      <c r="E101" s="24">
        <f>75*2</f>
        <v>150</v>
      </c>
    </row>
    <row r="102" spans="1:5" x14ac:dyDescent="0.2">
      <c r="A102" s="32"/>
      <c r="B102" s="72"/>
      <c r="C102" s="9" t="s">
        <v>38</v>
      </c>
      <c r="D102" s="9" t="s">
        <v>39</v>
      </c>
      <c r="E102" s="24">
        <f>45*3</f>
        <v>135</v>
      </c>
    </row>
    <row r="103" spans="1:5" x14ac:dyDescent="0.2">
      <c r="A103" s="99" t="s">
        <v>84</v>
      </c>
      <c r="B103" s="99"/>
      <c r="C103" s="99"/>
      <c r="D103" s="99"/>
      <c r="E103" s="26">
        <f>E100+E101+E102</f>
        <v>784</v>
      </c>
    </row>
    <row r="104" spans="1:5" x14ac:dyDescent="0.2">
      <c r="A104" s="8" t="s">
        <v>78</v>
      </c>
      <c r="B104" s="7"/>
      <c r="C104" s="7"/>
      <c r="D104" s="10"/>
      <c r="E104" s="1"/>
    </row>
    <row r="105" spans="1:5" ht="12.75" customHeight="1" x14ac:dyDescent="0.2">
      <c r="A105" s="44" t="s">
        <v>86</v>
      </c>
      <c r="B105" s="53"/>
      <c r="C105" s="53"/>
      <c r="D105" s="53"/>
      <c r="E105" s="53"/>
    </row>
    <row r="106" spans="1:5" x14ac:dyDescent="0.2">
      <c r="A106" s="101" t="s">
        <v>40</v>
      </c>
      <c r="B106" s="101"/>
      <c r="C106" s="101"/>
      <c r="D106" s="101"/>
      <c r="E106" s="73">
        <f>E103+D93</f>
        <v>1384</v>
      </c>
    </row>
    <row r="107" spans="1:5" x14ac:dyDescent="0.2">
      <c r="A107" s="44"/>
      <c r="B107" s="53"/>
      <c r="C107" s="74"/>
      <c r="D107" s="66"/>
      <c r="E107" s="66"/>
    </row>
    <row r="108" spans="1:5" ht="51.75" customHeight="1" x14ac:dyDescent="0.2">
      <c r="A108" s="116" t="s">
        <v>76</v>
      </c>
      <c r="B108" s="117"/>
      <c r="C108" s="118"/>
      <c r="D108" s="66"/>
      <c r="E108" s="66"/>
    </row>
    <row r="109" spans="1:5" s="20" customFormat="1" ht="17.25" customHeight="1" x14ac:dyDescent="0.2">
      <c r="A109" s="47" t="s">
        <v>2</v>
      </c>
      <c r="B109" s="47" t="s">
        <v>6</v>
      </c>
      <c r="C109" s="48" t="s">
        <v>16</v>
      </c>
      <c r="D109" s="76"/>
      <c r="E109" s="76"/>
    </row>
    <row r="110" spans="1:5" x14ac:dyDescent="0.2">
      <c r="A110" s="33" t="s">
        <v>41</v>
      </c>
      <c r="B110" s="59" t="s">
        <v>128</v>
      </c>
      <c r="C110" s="71">
        <f>65*2*48</f>
        <v>6240</v>
      </c>
      <c r="D110" s="66"/>
      <c r="E110" s="66"/>
    </row>
    <row r="111" spans="1:5" x14ac:dyDescent="0.2">
      <c r="A111" s="33" t="s">
        <v>42</v>
      </c>
      <c r="B111" s="59" t="s">
        <v>129</v>
      </c>
      <c r="C111" s="71">
        <f>50*0.3*48</f>
        <v>720</v>
      </c>
      <c r="D111" s="66"/>
      <c r="E111" s="66"/>
    </row>
    <row r="112" spans="1:5" s="3" customFormat="1" x14ac:dyDescent="0.2">
      <c r="A112" s="2" t="s">
        <v>88</v>
      </c>
      <c r="B112" s="59" t="s">
        <v>130</v>
      </c>
      <c r="C112" s="71">
        <f>50*0.225*48</f>
        <v>540</v>
      </c>
      <c r="D112" s="17"/>
      <c r="E112" s="17"/>
    </row>
    <row r="113" spans="1:5" s="3" customFormat="1" x14ac:dyDescent="0.2">
      <c r="A113" s="2" t="s">
        <v>89</v>
      </c>
      <c r="B113" s="59" t="s">
        <v>131</v>
      </c>
      <c r="C113" s="71">
        <f>3.95*50*4</f>
        <v>790</v>
      </c>
      <c r="D113" s="17"/>
      <c r="E113" s="17"/>
    </row>
    <row r="114" spans="1:5" x14ac:dyDescent="0.2">
      <c r="A114" s="2" t="s">
        <v>132</v>
      </c>
      <c r="B114" s="59" t="s">
        <v>133</v>
      </c>
      <c r="C114" s="71">
        <f>100*10*4</f>
        <v>4000</v>
      </c>
    </row>
    <row r="115" spans="1:5" x14ac:dyDescent="0.2">
      <c r="A115" s="2" t="s">
        <v>134</v>
      </c>
      <c r="B115" s="2" t="s">
        <v>135</v>
      </c>
      <c r="C115" s="71">
        <f>25*10*4</f>
        <v>1000</v>
      </c>
    </row>
    <row r="116" spans="1:5" x14ac:dyDescent="0.2">
      <c r="A116" s="2" t="s">
        <v>136</v>
      </c>
      <c r="B116" s="2" t="s">
        <v>137</v>
      </c>
      <c r="C116" s="71">
        <f>95*5*4</f>
        <v>1900</v>
      </c>
    </row>
    <row r="117" spans="1:5" x14ac:dyDescent="0.2">
      <c r="A117" s="95" t="s">
        <v>43</v>
      </c>
      <c r="B117" s="5"/>
      <c r="C117" s="87">
        <f>SUM(C110:C116)</f>
        <v>15190</v>
      </c>
    </row>
    <row r="118" spans="1:5" x14ac:dyDescent="0.2">
      <c r="A118" s="7"/>
      <c r="B118" s="7"/>
      <c r="C118" s="1"/>
    </row>
    <row r="119" spans="1:5" x14ac:dyDescent="0.2">
      <c r="A119" s="3" t="s">
        <v>79</v>
      </c>
      <c r="B119" s="3"/>
      <c r="C119" s="1"/>
    </row>
    <row r="120" spans="1:5" ht="51" customHeight="1" x14ac:dyDescent="0.2">
      <c r="A120" s="44" t="s">
        <v>138</v>
      </c>
      <c r="B120" s="53"/>
      <c r="C120" s="53"/>
    </row>
    <row r="121" spans="1:5" ht="12" customHeight="1" x14ac:dyDescent="0.2">
      <c r="A121" s="44"/>
      <c r="B121" s="53"/>
      <c r="C121" s="74"/>
    </row>
    <row r="122" spans="1:5" ht="47.25" customHeight="1" x14ac:dyDescent="0.2">
      <c r="A122" s="105" t="s">
        <v>139</v>
      </c>
      <c r="B122" s="105"/>
      <c r="C122" s="105"/>
    </row>
    <row r="123" spans="1:5" ht="13.5" customHeight="1" x14ac:dyDescent="0.2">
      <c r="A123" s="44"/>
      <c r="B123" s="44"/>
      <c r="C123" s="75"/>
    </row>
    <row r="124" spans="1:5" ht="33" customHeight="1" x14ac:dyDescent="0.2">
      <c r="A124" s="105" t="s">
        <v>87</v>
      </c>
      <c r="B124" s="105"/>
      <c r="C124" s="105"/>
    </row>
    <row r="125" spans="1:5" x14ac:dyDescent="0.2">
      <c r="A125" s="44"/>
      <c r="B125" s="44"/>
      <c r="C125" s="44"/>
    </row>
    <row r="126" spans="1:5" ht="40.15" customHeight="1" x14ac:dyDescent="0.2">
      <c r="A126" s="105" t="s">
        <v>140</v>
      </c>
      <c r="B126" s="105"/>
      <c r="C126" s="105"/>
    </row>
    <row r="127" spans="1:5" ht="13.5" customHeight="1" x14ac:dyDescent="0.2">
      <c r="A127" s="44"/>
      <c r="B127" s="44"/>
      <c r="C127" s="75"/>
    </row>
    <row r="128" spans="1:5" ht="55.9" customHeight="1" x14ac:dyDescent="0.2">
      <c r="A128" s="105" t="s">
        <v>141</v>
      </c>
      <c r="B128" s="105"/>
      <c r="C128" s="105"/>
    </row>
    <row r="129" spans="1:5" x14ac:dyDescent="0.2">
      <c r="A129" s="44"/>
      <c r="B129" s="44"/>
      <c r="C129" s="44"/>
    </row>
    <row r="130" spans="1:5" ht="55.9" customHeight="1" x14ac:dyDescent="0.2">
      <c r="A130" s="105" t="s">
        <v>142</v>
      </c>
      <c r="B130" s="105"/>
      <c r="C130" s="105"/>
    </row>
    <row r="131" spans="1:5" x14ac:dyDescent="0.2">
      <c r="A131" s="44"/>
      <c r="B131" s="44"/>
      <c r="C131" s="75"/>
    </row>
    <row r="132" spans="1:5" ht="31.15" customHeight="1" x14ac:dyDescent="0.2">
      <c r="A132" s="105" t="s">
        <v>143</v>
      </c>
      <c r="B132" s="105"/>
      <c r="C132" s="105"/>
    </row>
    <row r="133" spans="1:5" x14ac:dyDescent="0.2">
      <c r="A133" s="106" t="s">
        <v>44</v>
      </c>
      <c r="B133" s="107"/>
      <c r="C133" s="77">
        <f>C117+E106</f>
        <v>16574</v>
      </c>
      <c r="D133" s="62"/>
    </row>
    <row r="134" spans="1:5" x14ac:dyDescent="0.2">
      <c r="A134" s="78"/>
      <c r="B134" s="78"/>
      <c r="C134" s="18"/>
    </row>
    <row r="135" spans="1:5" ht="13.5" thickBot="1" x14ac:dyDescent="0.25">
      <c r="A135" s="78"/>
      <c r="B135" s="78"/>
      <c r="C135" s="18"/>
    </row>
    <row r="136" spans="1:5" ht="51" customHeight="1" thickBot="1" x14ac:dyDescent="0.25">
      <c r="A136" s="108" t="s">
        <v>65</v>
      </c>
      <c r="B136" s="109"/>
      <c r="C136" s="110"/>
    </row>
    <row r="137" spans="1:5" s="20" customFormat="1" ht="17.25" customHeight="1" x14ac:dyDescent="0.2">
      <c r="A137" s="89" t="s">
        <v>2</v>
      </c>
      <c r="B137" s="89" t="s">
        <v>6</v>
      </c>
      <c r="C137" s="90" t="s">
        <v>16</v>
      </c>
      <c r="D137" s="19"/>
      <c r="E137" s="19"/>
    </row>
    <row r="138" spans="1:5" x14ac:dyDescent="0.2">
      <c r="A138" s="54" t="s">
        <v>144</v>
      </c>
      <c r="B138" s="54" t="s">
        <v>158</v>
      </c>
      <c r="C138" s="24">
        <f>1500*48*4</f>
        <v>288000</v>
      </c>
    </row>
    <row r="139" spans="1:5" x14ac:dyDescent="0.2">
      <c r="A139" s="54" t="s">
        <v>146</v>
      </c>
      <c r="B139" s="54" t="s">
        <v>156</v>
      </c>
      <c r="C139" s="21">
        <f>2000*4</f>
        <v>8000</v>
      </c>
    </row>
    <row r="140" spans="1:5" x14ac:dyDescent="0.2">
      <c r="A140" s="54" t="s">
        <v>145</v>
      </c>
      <c r="B140" s="54" t="s">
        <v>157</v>
      </c>
      <c r="C140" s="21">
        <f>25*48*4</f>
        <v>4800</v>
      </c>
    </row>
    <row r="141" spans="1:5" x14ac:dyDescent="0.2">
      <c r="A141" s="54" t="s">
        <v>147</v>
      </c>
      <c r="B141" s="54" t="s">
        <v>155</v>
      </c>
      <c r="C141" s="21">
        <f>150*4</f>
        <v>600</v>
      </c>
    </row>
    <row r="142" spans="1:5" x14ac:dyDescent="0.2">
      <c r="A142" s="2" t="s">
        <v>148</v>
      </c>
      <c r="B142" s="79" t="s">
        <v>154</v>
      </c>
      <c r="C142" s="21">
        <f>150*48*4</f>
        <v>28800</v>
      </c>
    </row>
    <row r="143" spans="1:5" x14ac:dyDescent="0.2">
      <c r="A143" s="2" t="s">
        <v>149</v>
      </c>
      <c r="B143" s="79" t="s">
        <v>153</v>
      </c>
      <c r="C143" s="21">
        <f>200*48*4</f>
        <v>38400</v>
      </c>
    </row>
    <row r="144" spans="1:5" x14ac:dyDescent="0.2">
      <c r="A144" s="2" t="s">
        <v>150</v>
      </c>
      <c r="B144" s="11" t="s">
        <v>152</v>
      </c>
      <c r="C144" s="21">
        <f>200*4</f>
        <v>800</v>
      </c>
    </row>
    <row r="145" spans="1:3" x14ac:dyDescent="0.2">
      <c r="A145" s="2" t="s">
        <v>151</v>
      </c>
      <c r="B145" s="83" t="s">
        <v>169</v>
      </c>
      <c r="C145" s="21">
        <f>108.28*48*4</f>
        <v>20789.760000000002</v>
      </c>
    </row>
    <row r="146" spans="1:3" x14ac:dyDescent="0.2">
      <c r="A146" s="25"/>
      <c r="B146" s="5" t="s">
        <v>70</v>
      </c>
      <c r="C146" s="26">
        <f>SUM(C138:C145)</f>
        <v>390189.76</v>
      </c>
    </row>
    <row r="147" spans="1:3" x14ac:dyDescent="0.2">
      <c r="B147" s="7"/>
      <c r="C147" s="1"/>
    </row>
    <row r="148" spans="1:3" x14ac:dyDescent="0.2">
      <c r="A148" s="3" t="s">
        <v>79</v>
      </c>
    </row>
    <row r="149" spans="1:3" ht="54.6" customHeight="1" x14ac:dyDescent="0.2">
      <c r="A149" s="44" t="s">
        <v>159</v>
      </c>
      <c r="B149" s="53"/>
      <c r="C149" s="53"/>
    </row>
    <row r="150" spans="1:3" x14ac:dyDescent="0.2">
      <c r="A150" s="44"/>
      <c r="B150" s="53"/>
      <c r="C150" s="74"/>
    </row>
    <row r="151" spans="1:3" ht="27.6" customHeight="1" x14ac:dyDescent="0.2">
      <c r="A151" s="105" t="s">
        <v>161</v>
      </c>
      <c r="B151" s="105"/>
      <c r="C151" s="105"/>
    </row>
    <row r="152" spans="1:3" x14ac:dyDescent="0.2">
      <c r="A152" s="44"/>
      <c r="B152" s="44"/>
      <c r="C152" s="75"/>
    </row>
    <row r="153" spans="1:3" ht="30" customHeight="1" x14ac:dyDescent="0.2">
      <c r="A153" s="105" t="s">
        <v>160</v>
      </c>
      <c r="B153" s="105"/>
      <c r="C153" s="105"/>
    </row>
    <row r="154" spans="1:3" x14ac:dyDescent="0.2">
      <c r="A154" s="44"/>
      <c r="B154" s="44"/>
      <c r="C154" s="75"/>
    </row>
    <row r="155" spans="1:3" ht="27" customHeight="1" x14ac:dyDescent="0.2">
      <c r="A155" s="105" t="s">
        <v>162</v>
      </c>
      <c r="B155" s="105"/>
      <c r="C155" s="105"/>
    </row>
    <row r="156" spans="1:3" x14ac:dyDescent="0.2">
      <c r="A156" s="44"/>
      <c r="B156" s="44"/>
      <c r="C156" s="75"/>
    </row>
    <row r="157" spans="1:3" ht="27.6" customHeight="1" x14ac:dyDescent="0.2">
      <c r="A157" s="105" t="s">
        <v>163</v>
      </c>
      <c r="B157" s="105"/>
      <c r="C157" s="105"/>
    </row>
    <row r="158" spans="1:3" x14ac:dyDescent="0.2">
      <c r="A158" s="44"/>
      <c r="B158" s="44"/>
      <c r="C158" s="44"/>
    </row>
    <row r="159" spans="1:3" ht="26.45" customHeight="1" x14ac:dyDescent="0.2">
      <c r="A159" s="105" t="s">
        <v>164</v>
      </c>
      <c r="B159" s="105"/>
      <c r="C159" s="105"/>
    </row>
    <row r="160" spans="1:3" x14ac:dyDescent="0.2">
      <c r="A160" s="44"/>
      <c r="B160" s="44"/>
      <c r="C160" s="44"/>
    </row>
    <row r="161" spans="1:5" ht="39.6" customHeight="1" x14ac:dyDescent="0.2">
      <c r="A161" s="105" t="s">
        <v>165</v>
      </c>
      <c r="B161" s="105"/>
      <c r="C161" s="105"/>
    </row>
    <row r="162" spans="1:5" x14ac:dyDescent="0.2">
      <c r="A162" s="44"/>
      <c r="B162" s="44"/>
      <c r="C162" s="44"/>
    </row>
    <row r="163" spans="1:5" ht="27.6" customHeight="1" x14ac:dyDescent="0.2">
      <c r="A163" s="105" t="s">
        <v>166</v>
      </c>
      <c r="B163" s="105"/>
      <c r="C163" s="105"/>
    </row>
    <row r="164" spans="1:5" ht="15" customHeight="1" thickBot="1" x14ac:dyDescent="0.25">
      <c r="A164" s="44"/>
      <c r="B164" s="44"/>
      <c r="C164" s="75"/>
    </row>
    <row r="165" spans="1:5" ht="82.5" customHeight="1" thickBot="1" x14ac:dyDescent="0.25">
      <c r="A165" s="108" t="s">
        <v>71</v>
      </c>
      <c r="B165" s="109"/>
      <c r="C165" s="110"/>
    </row>
    <row r="166" spans="1:5" s="20" customFormat="1" ht="17.25" customHeight="1" x14ac:dyDescent="0.2">
      <c r="A166" s="91" t="s">
        <v>45</v>
      </c>
      <c r="B166" s="91" t="s">
        <v>32</v>
      </c>
      <c r="C166" s="92" t="s">
        <v>16</v>
      </c>
      <c r="D166" s="19"/>
      <c r="E166" s="19"/>
    </row>
    <row r="167" spans="1:5" x14ac:dyDescent="0.2">
      <c r="A167" s="54" t="s">
        <v>46</v>
      </c>
      <c r="B167" s="54" t="s">
        <v>168</v>
      </c>
      <c r="C167" s="24">
        <f>111000*0.3205</f>
        <v>35575.5</v>
      </c>
    </row>
    <row r="168" spans="1:5" x14ac:dyDescent="0.2">
      <c r="A168" s="95" t="s">
        <v>47</v>
      </c>
      <c r="B168" s="5"/>
      <c r="C168" s="26">
        <f>SUM(C167)</f>
        <v>35575.5</v>
      </c>
    </row>
    <row r="169" spans="1:5" x14ac:dyDescent="0.2">
      <c r="A169" s="7"/>
      <c r="B169" s="7"/>
      <c r="C169" s="1"/>
    </row>
    <row r="170" spans="1:5" x14ac:dyDescent="0.2">
      <c r="A170" s="8" t="s">
        <v>78</v>
      </c>
      <c r="B170" s="80"/>
      <c r="C170" s="22"/>
    </row>
    <row r="171" spans="1:5" ht="59.25" customHeight="1" x14ac:dyDescent="0.2">
      <c r="A171" s="44" t="s">
        <v>93</v>
      </c>
      <c r="B171" s="44"/>
      <c r="C171" s="44"/>
    </row>
    <row r="172" spans="1:5" x14ac:dyDescent="0.2">
      <c r="A172" s="81"/>
      <c r="B172" s="80"/>
      <c r="C172" s="22"/>
    </row>
    <row r="173" spans="1:5" ht="13.5" thickBot="1" x14ac:dyDescent="0.25">
      <c r="A173" s="81"/>
      <c r="B173" s="80"/>
      <c r="C173" s="22"/>
    </row>
    <row r="174" spans="1:5" ht="48" customHeight="1" thickBot="1" x14ac:dyDescent="0.25">
      <c r="A174" s="108" t="s">
        <v>66</v>
      </c>
      <c r="B174" s="109"/>
      <c r="C174" s="110"/>
    </row>
    <row r="175" spans="1:5" s="20" customFormat="1" ht="17.25" customHeight="1" x14ac:dyDescent="0.2">
      <c r="A175" s="89" t="s">
        <v>48</v>
      </c>
      <c r="B175" s="93"/>
      <c r="C175" s="90" t="s">
        <v>49</v>
      </c>
      <c r="D175" s="82"/>
      <c r="E175" s="19"/>
    </row>
    <row r="176" spans="1:5" x14ac:dyDescent="0.2">
      <c r="A176" s="54" t="s">
        <v>0</v>
      </c>
      <c r="B176" s="32"/>
      <c r="C176" s="71">
        <f>C10</f>
        <v>111000</v>
      </c>
      <c r="D176" s="86"/>
    </row>
    <row r="177" spans="1:4" x14ac:dyDescent="0.2">
      <c r="A177" s="54" t="s">
        <v>51</v>
      </c>
      <c r="B177" s="32"/>
      <c r="C177" s="71">
        <f>C31</f>
        <v>18796.5</v>
      </c>
      <c r="D177" s="86"/>
    </row>
    <row r="178" spans="1:4" x14ac:dyDescent="0.2">
      <c r="A178" s="54" t="s">
        <v>52</v>
      </c>
      <c r="B178" s="4"/>
      <c r="C178" s="71">
        <f>E40</f>
        <v>4740</v>
      </c>
      <c r="D178" s="86"/>
    </row>
    <row r="179" spans="1:4" x14ac:dyDescent="0.2">
      <c r="A179" s="54" t="s">
        <v>53</v>
      </c>
      <c r="B179" s="54"/>
      <c r="C179" s="71">
        <f>C52</f>
        <v>900</v>
      </c>
      <c r="D179" s="86"/>
    </row>
    <row r="180" spans="1:4" x14ac:dyDescent="0.2">
      <c r="A180" s="54" t="s">
        <v>54</v>
      </c>
      <c r="B180" s="54"/>
      <c r="C180" s="71">
        <f>C62</f>
        <v>3792</v>
      </c>
      <c r="D180" s="86"/>
    </row>
    <row r="181" spans="1:4" x14ac:dyDescent="0.2">
      <c r="A181" s="54" t="s">
        <v>55</v>
      </c>
      <c r="B181" s="54"/>
      <c r="C181" s="71">
        <v>0</v>
      </c>
      <c r="D181" s="86"/>
    </row>
    <row r="182" spans="1:4" x14ac:dyDescent="0.2">
      <c r="A182" s="54" t="s">
        <v>56</v>
      </c>
      <c r="B182" s="54"/>
      <c r="C182" s="71">
        <f>C86</f>
        <v>18432</v>
      </c>
      <c r="D182" s="86"/>
    </row>
    <row r="183" spans="1:4" x14ac:dyDescent="0.2">
      <c r="A183" s="54" t="s">
        <v>57</v>
      </c>
      <c r="B183" s="83"/>
      <c r="C183" s="71">
        <f>C133</f>
        <v>16574</v>
      </c>
      <c r="D183" s="86"/>
    </row>
    <row r="184" spans="1:4" x14ac:dyDescent="0.2">
      <c r="A184" s="54" t="s">
        <v>92</v>
      </c>
      <c r="B184" s="2"/>
      <c r="C184" s="71">
        <f>C146</f>
        <v>390189.76</v>
      </c>
      <c r="D184" s="86"/>
    </row>
    <row r="185" spans="1:4" x14ac:dyDescent="0.2">
      <c r="A185" s="84" t="s">
        <v>50</v>
      </c>
      <c r="B185" s="2"/>
      <c r="C185" s="87">
        <f>SUM(C176:C184)</f>
        <v>564424.26</v>
      </c>
      <c r="D185" s="86"/>
    </row>
    <row r="186" spans="1:4" x14ac:dyDescent="0.2">
      <c r="A186" s="54" t="s">
        <v>58</v>
      </c>
      <c r="B186" s="54"/>
      <c r="C186" s="71">
        <f>C168</f>
        <v>35575.5</v>
      </c>
    </row>
    <row r="187" spans="1:4" ht="15.75" x14ac:dyDescent="0.2">
      <c r="A187" s="85" t="s">
        <v>59</v>
      </c>
      <c r="B187" s="85"/>
      <c r="C187" s="94">
        <f>C185+C186</f>
        <v>599999.76</v>
      </c>
    </row>
    <row r="195" spans="1:1" x14ac:dyDescent="0.2">
      <c r="A195" s="63"/>
    </row>
  </sheetData>
  <mergeCells count="39">
    <mergeCell ref="A58:C58"/>
    <mergeCell ref="A74:C74"/>
    <mergeCell ref="A3:C3"/>
    <mergeCell ref="B4:C4"/>
    <mergeCell ref="A15:C15"/>
    <mergeCell ref="A6:C6"/>
    <mergeCell ref="A48:C48"/>
    <mergeCell ref="A88:C88"/>
    <mergeCell ref="A174:C174"/>
    <mergeCell ref="A2:C2"/>
    <mergeCell ref="A155:C155"/>
    <mergeCell ref="A157:C157"/>
    <mergeCell ref="A165:C165"/>
    <mergeCell ref="A136:C136"/>
    <mergeCell ref="A151:C151"/>
    <mergeCell ref="A153:C153"/>
    <mergeCell ref="A122:C122"/>
    <mergeCell ref="A124:C124"/>
    <mergeCell ref="A128:C128"/>
    <mergeCell ref="A46:C46"/>
    <mergeCell ref="A84:C84"/>
    <mergeCell ref="A16:C16"/>
    <mergeCell ref="A17:C17"/>
    <mergeCell ref="A1:C1"/>
    <mergeCell ref="A130:C130"/>
    <mergeCell ref="A159:C159"/>
    <mergeCell ref="A161:C161"/>
    <mergeCell ref="A163:C163"/>
    <mergeCell ref="A126:C126"/>
    <mergeCell ref="A133:B133"/>
    <mergeCell ref="A36:C36"/>
    <mergeCell ref="A45:C45"/>
    <mergeCell ref="A67:C67"/>
    <mergeCell ref="A69:C69"/>
    <mergeCell ref="A86:B86"/>
    <mergeCell ref="A98:C98"/>
    <mergeCell ref="A132:C132"/>
    <mergeCell ref="A90:C90"/>
    <mergeCell ref="A108:C108"/>
  </mergeCells>
  <phoneticPr fontId="2" type="noConversion"/>
  <printOptions horizontalCentered="1" verticalCentered="1"/>
  <pageMargins left="0.25" right="0.25" top="0.75" bottom="0.75" header="0.3" footer="0.3"/>
  <pageSetup orientation="landscape" r:id="rId1"/>
  <headerFooter alignWithMargins="0">
    <oddHeader>&amp;C&amp;"Arial,Bold"GFMD Sample Budget Narrative 2024
&amp;"Arial,Regular"The Sample Budget Narrative may be used to assist with preparing the budget and narrative.</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F68B38CE22FB48A85AB3B54AB01C49" ma:contentTypeVersion="18" ma:contentTypeDescription="Create a new document." ma:contentTypeScope="" ma:versionID="bd90c31f328bfc83f68331bd5f717ff7">
  <xsd:schema xmlns:xsd="http://www.w3.org/2001/XMLSchema" xmlns:xs="http://www.w3.org/2001/XMLSchema" xmlns:p="http://schemas.microsoft.com/office/2006/metadata/properties" xmlns:ns2="87fca5f7-6c7f-473e-b2cd-f666f59f6676" xmlns:ns3="36e8ba85-5f2a-4555-9ab1-f3e838260165" targetNamespace="http://schemas.microsoft.com/office/2006/metadata/properties" ma:root="true" ma:fieldsID="f9c6107ac02e4013ca9aa7dc93dd6b27" ns2:_="" ns3:_="">
    <xsd:import namespace="87fca5f7-6c7f-473e-b2cd-f666f59f6676"/>
    <xsd:import namespace="36e8ba85-5f2a-4555-9ab1-f3e8382601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ca5f7-6c7f-473e-b2cd-f666f59f6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c77389-7b79-4cf1-9355-b162940f1a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e8ba85-5f2a-4555-9ab1-f3e83826016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7133540-21e4-4531-bfcc-adfe6744358e}" ma:internalName="TaxCatchAll" ma:showField="CatchAllData" ma:web="36e8ba85-5f2a-4555-9ab1-f3e8382601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6e8ba85-5f2a-4555-9ab1-f3e838260165" xsi:nil="true"/>
    <lcf76f155ced4ddcb4097134ff3c332f xmlns="87fca5f7-6c7f-473e-b2cd-f666f59f66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4DDBE1-E56D-4B70-B681-01DF3658F9C0}">
  <ds:schemaRefs>
    <ds:schemaRef ds:uri="http://schemas.microsoft.com/sharepoint/v3/contenttype/forms"/>
  </ds:schemaRefs>
</ds:datastoreItem>
</file>

<file path=customXml/itemProps2.xml><?xml version="1.0" encoding="utf-8"?>
<ds:datastoreItem xmlns:ds="http://schemas.openxmlformats.org/officeDocument/2006/customXml" ds:itemID="{DF97BE40-309B-4BB0-8AF5-79A9C4040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ca5f7-6c7f-473e-b2cd-f666f59f6676"/>
    <ds:schemaRef ds:uri="36e8ba85-5f2a-4555-9ab1-f3e838260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14E6C7-FC01-4421-9DC0-429BA48AC2CC}">
  <ds:schemaRefs>
    <ds:schemaRef ds:uri="http://purl.org/dc/terms/"/>
    <ds:schemaRef ds:uri="87fca5f7-6c7f-473e-b2cd-f666f59f6676"/>
    <ds:schemaRef ds:uri="36e8ba85-5f2a-4555-9ab1-f3e838260165"/>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Budget</vt:lpstr>
      <vt:lpstr>Budget!Print_Area</vt:lpstr>
      <vt:lpstr>Budget!Print_Titles</vt:lpstr>
    </vt:vector>
  </TitlesOfParts>
  <Company>CCASA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Finance</dc:creator>
  <cp:lastModifiedBy>Kvatum, Lia (OVW) (CTR)</cp:lastModifiedBy>
  <cp:lastPrinted>2024-04-24T18:31:27Z</cp:lastPrinted>
  <dcterms:created xsi:type="dcterms:W3CDTF">2007-03-05T17:46:11Z</dcterms:created>
  <dcterms:modified xsi:type="dcterms:W3CDTF">2026-05-12T16:58:07Z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0x01010034F68B38CE22FB48A85AB3B54AB01C49</vt:lpwstr>
  </property>
  <property fmtid="{D5CDD505-2E9C-101B-9397-08002B2CF9AE}" pid="3" name="lcf76f155ced4ddcb4097134ff3c332f">
    <vt:lpwstr/>
  </property>
  <property fmtid="{D5CDD505-2E9C-101B-9397-08002B2CF9AE}" pid="4" name="TaxCatchAll">
    <vt:lpwstr/>
  </property>
  <property fmtid="{D5CDD505-2E9C-101B-9397-08002B2CF9AE}" pid="5" name="MediaServiceImageTags">
    <vt:lpwstr/>
  </property>
  <property fmtid="{D5CDD505-2E9C-101B-9397-08002B2CF9AE}" pid="6" name="Assignedto">
    <vt:lpwstr/>
  </property>
</Properties>
</file>