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doj365-my.sharepoint.us/personal/lia_kvatum_usdoj_gov/Documents/Desktop/2026 ASSETS 508 Compliance/"/>
    </mc:Choice>
  </mc:AlternateContent>
  <xr:revisionPtr revIDLastSave="0" documentId="8_{A1731AD7-59A9-4D09-B1FF-EC6D7E96BDD7}" xr6:coauthVersionLast="47" xr6:coauthVersionMax="47" xr10:uidLastSave="{00000000-0000-0000-0000-000000000000}"/>
  <bookViews>
    <workbookView xWindow="1125" yWindow="1125" windowWidth="21600" windowHeight="11295" xr2:uid="{00000000-000D-0000-FFFF-FFFF00000000}"/>
  </bookViews>
  <sheets>
    <sheet name="New Applicant Budget" sheetId="1" r:id="rId1"/>
    <sheet name="Continuation Applicant Budget" sheetId="2" r:id="rId2"/>
  </sheets>
  <definedNames>
    <definedName name="_xlnm.Print_Area" localSheetId="1">'Continuation Applicant Budget'!$A$1:$E$207</definedName>
    <definedName name="_xlnm.Print_Area" localSheetId="0">'New Applicant Budget'!$A$1:$E$212</definedName>
    <definedName name="_xlnm.Print_Titles" localSheetId="1">'Continuation Applicant Budget'!$1:$1</definedName>
    <definedName name="_xlnm.Print_Titles" localSheetId="0">'New Applicant Budget'!$1:$1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3" i="1" l="1"/>
  <c r="D130" i="1"/>
  <c r="C77" i="1"/>
  <c r="C76" i="1"/>
  <c r="C32" i="1"/>
  <c r="C30" i="1"/>
  <c r="C33" i="1"/>
  <c r="C31" i="1"/>
  <c r="C9" i="1"/>
  <c r="E133" i="2"/>
  <c r="E132" i="2"/>
  <c r="D123" i="2"/>
  <c r="D124" i="2" s="1"/>
  <c r="C174" i="2"/>
  <c r="C100" i="2"/>
  <c r="C101" i="2" s="1"/>
  <c r="C175" i="2"/>
  <c r="C74" i="2"/>
  <c r="C142" i="2"/>
  <c r="C105" i="2"/>
  <c r="C33" i="2"/>
  <c r="C32" i="2"/>
  <c r="C30" i="2"/>
  <c r="C27" i="2"/>
  <c r="C26" i="2"/>
  <c r="C24" i="2"/>
  <c r="C9" i="2"/>
  <c r="C8" i="2"/>
  <c r="C148" i="1"/>
  <c r="C75" i="1"/>
  <c r="C194" i="1"/>
  <c r="C211" i="1" s="1"/>
  <c r="C180" i="1"/>
  <c r="C182" i="1"/>
  <c r="C181" i="1"/>
  <c r="C110" i="1"/>
  <c r="C109" i="1"/>
  <c r="C104" i="1"/>
  <c r="C105" i="1" s="1"/>
  <c r="C27" i="1"/>
  <c r="C26" i="1"/>
  <c r="C24" i="1"/>
  <c r="C8" i="1"/>
  <c r="C176" i="2"/>
  <c r="C149" i="2"/>
  <c r="C148" i="2"/>
  <c r="C147" i="2"/>
  <c r="C146" i="2"/>
  <c r="C145" i="2"/>
  <c r="C144" i="2"/>
  <c r="C143" i="2"/>
  <c r="C141" i="2"/>
  <c r="C72" i="2"/>
  <c r="C71" i="2"/>
  <c r="C63" i="2"/>
  <c r="C200" i="2" s="1"/>
  <c r="E50" i="2"/>
  <c r="C31" i="2"/>
  <c r="C96" i="2"/>
  <c r="C92" i="2"/>
  <c r="C73" i="2"/>
  <c r="E51" i="2"/>
  <c r="E49" i="2"/>
  <c r="C39" i="2"/>
  <c r="C38" i="2"/>
  <c r="C37" i="2"/>
  <c r="C36" i="2"/>
  <c r="C25" i="2"/>
  <c r="C10" i="2"/>
  <c r="C154" i="1"/>
  <c r="C74" i="1"/>
  <c r="C73" i="1"/>
  <c r="C72" i="1"/>
  <c r="C155" i="1"/>
  <c r="C153" i="1"/>
  <c r="C152" i="1"/>
  <c r="C151" i="1"/>
  <c r="C150" i="1"/>
  <c r="C149" i="1"/>
  <c r="C147" i="1"/>
  <c r="E138" i="1"/>
  <c r="D129" i="1"/>
  <c r="E52" i="1"/>
  <c r="C100" i="1"/>
  <c r="C99" i="1"/>
  <c r="C94" i="1"/>
  <c r="E51" i="1"/>
  <c r="E50" i="1"/>
  <c r="E53" i="1" s="1"/>
  <c r="C39" i="1"/>
  <c r="C38" i="1"/>
  <c r="C37" i="1"/>
  <c r="C36" i="1"/>
  <c r="C25" i="1"/>
  <c r="C10" i="1"/>
  <c r="C75" i="2" l="1"/>
  <c r="C150" i="2"/>
  <c r="C106" i="2"/>
  <c r="C111" i="1"/>
  <c r="C156" i="1"/>
  <c r="E134" i="2"/>
  <c r="E137" i="2" s="1"/>
  <c r="E52" i="2"/>
  <c r="C199" i="2" s="1"/>
  <c r="C97" i="2"/>
  <c r="C34" i="2"/>
  <c r="C177" i="2"/>
  <c r="C204" i="2" s="1"/>
  <c r="C40" i="2"/>
  <c r="C201" i="2"/>
  <c r="C28" i="2"/>
  <c r="C11" i="2"/>
  <c r="C183" i="1"/>
  <c r="C209" i="1" s="1"/>
  <c r="C95" i="1"/>
  <c r="C101" i="1"/>
  <c r="C204" i="1"/>
  <c r="C116" i="2" l="1"/>
  <c r="C202" i="2" s="1"/>
  <c r="C197" i="2"/>
  <c r="C188" i="2"/>
  <c r="C189" i="2" s="1"/>
  <c r="C206" i="2" s="1"/>
  <c r="C169" i="2"/>
  <c r="C203" i="2" s="1"/>
  <c r="C122" i="1"/>
  <c r="C207" i="1" s="1"/>
  <c r="C41" i="2"/>
  <c r="C198" i="2" s="1"/>
  <c r="C205" i="2" l="1"/>
  <c r="C207" i="2" s="1"/>
  <c r="C205" i="1"/>
  <c r="E139" i="1"/>
  <c r="C28" i="1" l="1"/>
  <c r="C34" i="1"/>
  <c r="C40" i="1"/>
  <c r="E140" i="1"/>
  <c r="C206" i="1"/>
  <c r="C41" i="1" l="1"/>
  <c r="C203" i="1" s="1"/>
  <c r="E143" i="1"/>
  <c r="C175" i="1" s="1"/>
  <c r="C208" i="1" s="1"/>
  <c r="C11" i="1" l="1"/>
  <c r="C202" i="1" s="1"/>
  <c r="C210" i="1" s="1"/>
  <c r="C212" i="1" s="1"/>
</calcChain>
</file>

<file path=xl/sharedStrings.xml><?xml version="1.0" encoding="utf-8"?>
<sst xmlns="http://schemas.openxmlformats.org/spreadsheetml/2006/main" count="475" uniqueCount="219">
  <si>
    <t>Purpose: The Sample Budget Narrative may be used to assist **NEW** applicants for the Abuse in Later Life Program with preparing the budget and narrative. Applicants may use this form or the format of their choice (plain sheets, Excel document, the applicant’s own form, or a variation of this form). However, all required information (including the budget narrative) must be provided. Any category of expense not applicable to the applicant’s project may be deleted.</t>
  </si>
  <si>
    <r>
      <t xml:space="preserve">Note: The following budget is an example intended to assist applicants in preparing their budgets. The sample expenses may not fit exactly with the activities proposed by the applicant. 
Note: Per the Notice of Funding Opportunity (NOFO), costs allocated for </t>
    </r>
    <r>
      <rPr>
        <b/>
        <u/>
        <sz val="10"/>
        <rFont val="Arial"/>
        <family val="2"/>
      </rPr>
      <t>outreach must be capped at 10% of the total award</t>
    </r>
    <r>
      <rPr>
        <b/>
        <sz val="10"/>
        <rFont val="Arial"/>
        <family val="2"/>
      </rPr>
      <t xml:space="preserve">. Additionally, new grantees must allocate </t>
    </r>
    <r>
      <rPr>
        <b/>
        <u/>
        <sz val="10"/>
        <rFont val="Arial"/>
        <family val="2"/>
      </rPr>
      <t>40% of the total award to support direct services for survivors</t>
    </r>
    <r>
      <rPr>
        <b/>
        <sz val="10"/>
        <rFont val="Arial"/>
        <family val="2"/>
      </rPr>
      <t xml:space="preserve"> of elder abuse domestic violence, sexual assault, dating violence, and stalking. </t>
    </r>
  </si>
  <si>
    <t>A. Personnel - List each position by title and employee name, if available. Show the annual salary rate and the percentage of time devoted to the project. Compensation paid for employees engaged in grant activities must be consistent with that paid for similar work within the applicant organization.</t>
  </si>
  <si>
    <t>Name/Position</t>
  </si>
  <si>
    <t>Computation</t>
  </si>
  <si>
    <t xml:space="preserve"> Cost</t>
  </si>
  <si>
    <t>Project Coordinator</t>
  </si>
  <si>
    <t xml:space="preserve">Bilingual Elder Abuse Advocate </t>
  </si>
  <si>
    <t>Administrative Assistant</t>
  </si>
  <si>
    <t>$70,000 x 10% x 3 years</t>
  </si>
  <si>
    <t>Total Personnel</t>
  </si>
  <si>
    <t xml:space="preserve">Sample Narrative: </t>
  </si>
  <si>
    <t>The Project Coordinator will dedicate 50% of their time to the project by coordinating and organizing regular meetings between all partner organizations, assisting with the development of grant deliverables, ensuring compliance with program requirements, and serving as the central point of contact for all project activities.</t>
  </si>
  <si>
    <t>The Administrative Assistant will spend 10% of their time on the project by providing administrative and clerical support for activities directly related to this project.</t>
  </si>
  <si>
    <t>B. Fringe Benefits - Fringe benefits must be based on actual known costs or an established formula. Fringe benefits are for the personnel listed in budget category (A) and only for the percentage of time devoted to the project. Fringe benefits on overtime hours are limited to FICA, Worker’s Compensation, and Unemployment Compensation.</t>
  </si>
  <si>
    <t>Item</t>
  </si>
  <si>
    <t xml:space="preserve"> Computation</t>
  </si>
  <si>
    <t>Employer's FICA</t>
  </si>
  <si>
    <t xml:space="preserve">Health Insurance </t>
  </si>
  <si>
    <t>$6,000/year x 50% x 3 years</t>
  </si>
  <si>
    <t>Worker's Compensation</t>
  </si>
  <si>
    <t>Unemployment Compensation</t>
  </si>
  <si>
    <t>Total</t>
  </si>
  <si>
    <t>Bilingual Elder Abuse Advocate</t>
  </si>
  <si>
    <t>$21,000 x 7.65%</t>
  </si>
  <si>
    <t>$6,000/year x 10% x 3 years</t>
  </si>
  <si>
    <t>$21,000 x 1.00%</t>
  </si>
  <si>
    <t>$21,000 x 0.50%</t>
  </si>
  <si>
    <t>Total Fringe Benefits</t>
  </si>
  <si>
    <t>We request fringe benefits for the Project Coordinator, Bilingual Elder Abuse Advocate, and Administrative Assistant. Each employee’s share of Health Insurance cost is prorated based on their projected time on the project.</t>
  </si>
  <si>
    <t>C. Travel - Project staff travel expenses should be itemized by purpose (e.g., training, field interviews, advisory group meeting, etc.) and include the basis of computation (e.g., six people to 3-day training at $X airfare, $X lodging, $X per diem). For training projects, travel and meals for trainees should be listed separately. Show the number of trainees and unit costs involved. Identify the location of travel, if known. Indicate source of travel policies applied; either the applicant’s policy or Federal Travel Regulations.</t>
  </si>
  <si>
    <t>Purpose of Travel</t>
  </si>
  <si>
    <t>Location</t>
  </si>
  <si>
    <t>Cost</t>
  </si>
  <si>
    <t>TBD</t>
  </si>
  <si>
    <t xml:space="preserve">Local Cross Trainings (required for all grantees) </t>
  </si>
  <si>
    <t xml:space="preserve">Mileage </t>
  </si>
  <si>
    <t>1 staff: 
50 miles x $0.725/mile x 5 trainings</t>
  </si>
  <si>
    <t xml:space="preserve">Local Travel for Bilingual Elder Abuse Advocate </t>
  </si>
  <si>
    <t>100 miles/month x $0.725 mile x 24 months</t>
  </si>
  <si>
    <t xml:space="preserve">Local Travel for Project Coordinator </t>
  </si>
  <si>
    <t>50 miles/month x $0.725 mile x 36 months</t>
  </si>
  <si>
    <t>Total Travel</t>
  </si>
  <si>
    <t>Sample Narrative:</t>
  </si>
  <si>
    <t>It is expected that the Project Coordinator and Elder Abuse Advocate will use a privately owned vehicle for local program mileage when traveling between the meetings with clients, main office, local training locations, and all partner organizations. The rate for mileage reimbursement is calculated based on the current GSA Mileage Reimbursement Rate of $0.725/mile and is estimated to be around 100 miles per month for a period of 24 months for the Elder Abuse Advocate and 50 miles per month for a period of 36 months for the Project Coordinator.</t>
  </si>
  <si>
    <t>D. Equipment – List tangible personal property with a useful life of more than one year that needs to be purchased to support the project. It is important to follow the applicant’s own capitalization policy for equipment classification. For high-cost items and information technology systems, applicants should perform an analysis (and attach it to the application) that compares the cost of purchasing versus leasing equipment items to determine the most economical approach. Rented or leased equipment items should be listed in the “Procurement Contracts” category. Describe in the narrative how the equipment is necessary for the success of the project.</t>
  </si>
  <si>
    <t>Laptop for Bilingual Elder Abuse Advocate</t>
  </si>
  <si>
    <t>$1,200 x 1 laptop</t>
  </si>
  <si>
    <t>Total Equipment</t>
  </si>
  <si>
    <t xml:space="preserve">The laptop will be used by the Bilingual Elder Abuse Advocate to perform grant related activities and serve clients. </t>
  </si>
  <si>
    <t>E. Supplies – List items by type (office supplies, postage, training materials, copying paper, and other expendable items such as books, thumb drives, and flash drives) and show the basis for computation. Generally, supplies include any expendable or consumable materials that are used during the project period that are not equipment.</t>
  </si>
  <si>
    <t>Supply Items</t>
  </si>
  <si>
    <t>Office Supplies (paper, printer, toner, pens, etc)</t>
  </si>
  <si>
    <t>$250/month x 42% x 36 months</t>
  </si>
  <si>
    <t>Postage</t>
  </si>
  <si>
    <t>$100/month x 42% x 36 months</t>
  </si>
  <si>
    <t>Brochures on Elder Abuse Services</t>
  </si>
  <si>
    <t>$2/500</t>
  </si>
  <si>
    <t>75 Clients Assistance Kits</t>
  </si>
  <si>
    <t>Supplies Total</t>
  </si>
  <si>
    <t>Postage is needed for the general operation of the program and is shared amongst all office staff and will be allocated using an FTE allocation method (see allocation breakdown in Office Supplies narrative). Monthly costs for Postage at $100/month is based on historical data. Charges to the grant will be based on the actual postage purchased and actual percentage of staff time worked on the project (not budgeted amounts).</t>
  </si>
  <si>
    <t xml:space="preserve">Brochures on recognizing elder abuse and services provided through this project will be distributed to clients, partner organizations, and other locations throughout the community. </t>
  </si>
  <si>
    <t>The Client Assistance Kits will be provided to clients who receive services for elder abuse. These kits will contain toiletries and other personal hygiene products. We estimate the need for 75 kits, the cost is based on similar kits provided by other programs.</t>
  </si>
  <si>
    <t>G. Subawards (Subgrants) - Describe project activities for which subrecipients/MOU partners will receive compensation under the award, including services for clients. Include any compensation for partner/subrecipient travel in this section as well.</t>
  </si>
  <si>
    <t>Subrecipient Name</t>
  </si>
  <si>
    <t xml:space="preserve">District Attorney's Office </t>
  </si>
  <si>
    <t xml:space="preserve">Local Mileage to Attend CCR Kick-off Event </t>
  </si>
  <si>
    <t>3 Prosecutors: 
30 miles x $0.725/mile</t>
  </si>
  <si>
    <t>District Attorney's Office Subaward Total</t>
  </si>
  <si>
    <t>Local Police Department</t>
  </si>
  <si>
    <t>Local Mileage to Conduct Cross Trainings</t>
  </si>
  <si>
    <t xml:space="preserve">3 Law Enforcement Officers: 
50 miles x $0.725/mile X 3 trainings </t>
  </si>
  <si>
    <t>3 Law Enforcement Officers: 
30 miles x $0.725/mile</t>
  </si>
  <si>
    <t>Local Police Department Subaward Total</t>
  </si>
  <si>
    <t>Total Subawards</t>
  </si>
  <si>
    <t>H. Procurement Contracts – Applicants should follow their documented procurement procedures that comply with the procurement standards in the Uniform Guidance at 2 C.F.R. §§ 200.317-200.327 or the Federal Acquisition Regulation.</t>
  </si>
  <si>
    <t>Consultant Fees: For each consultant enter the name, if known, service to be provided, hourly or daily fee (8-hour day), and estimated time on the project. The actual rate for each consultant should be evaluated on a case-by-case basis, consistent with fair market value, and equal to the individual’s experience, education, and compensation they receive for providing similar services in the marketplace. Consultant fees over $650 per day (for an 8-hour day) or $81.25 per hour require additional justification and prior approval from OVW.</t>
  </si>
  <si>
    <t>Name of Consultant</t>
  </si>
  <si>
    <t>Service Provided</t>
  </si>
  <si>
    <t xml:space="preserve">Computation </t>
  </si>
  <si>
    <t>Consultant/Trainer</t>
  </si>
  <si>
    <t xml:space="preserve">Advanced Elder Abuse Investigations Training </t>
  </si>
  <si>
    <t>$650/day x 3 days</t>
  </si>
  <si>
    <t>Subtotal Consultant</t>
  </si>
  <si>
    <t xml:space="preserve">A Consultant/Trainer will provide a three-day on-site advanced training (at 8 hours per day) on elder abuse investigations to law enforcement, prosecution, court personnel, and victim advocates. The training will cover specialized topics related to elder abuse, such as financial abuse, technology based fraud, and caregiver abuse. </t>
  </si>
  <si>
    <t>Consultant Travel: List all expenses to be paid from the grant to the individual consultant in addition to their fees (i.e., travel, meals, lodging etc.).</t>
  </si>
  <si>
    <t xml:space="preserve">Delivery of Advanced Elder Abuse Investigations Training </t>
  </si>
  <si>
    <t xml:space="preserve">Town of XYZ </t>
  </si>
  <si>
    <t>Airfare</t>
  </si>
  <si>
    <t>$600 (avg) x 1person x 1 round trip</t>
  </si>
  <si>
    <t>Lodging</t>
  </si>
  <si>
    <t>$125/night x 2 nights</t>
  </si>
  <si>
    <t>Per diem</t>
  </si>
  <si>
    <t>$45/day x 3 days</t>
  </si>
  <si>
    <t>Subtotal Consultant Travel</t>
  </si>
  <si>
    <t xml:space="preserve">Funds are allocated to pay for the Consultant/Trainer to travel to Town of XYZ to provide the Advanced Elder Abuse Investigations Training </t>
  </si>
  <si>
    <t xml:space="preserve">Total Consultant  </t>
  </si>
  <si>
    <t>Contracts: Provide a clear description of the product or services that will be acquired through the contract, along with an estimated cost. All procurement transactions must be conducted in a manner that ensures full and open competition and adheres to the standards in 2 C.F.R. §§ 200.317-200.327. A separate justification must be provided for sole source (non-competitive) contracts in excess of $250,000.</t>
  </si>
  <si>
    <t>Therapist</t>
  </si>
  <si>
    <t>$85/hr x 10hrs/month x 24 months</t>
  </si>
  <si>
    <t>Cell Phone Service</t>
  </si>
  <si>
    <t>$75/month x 24 months</t>
  </si>
  <si>
    <t>Telephonic Interpretation</t>
  </si>
  <si>
    <t>$3.95/min x 300 min x 2 years</t>
  </si>
  <si>
    <t>In-person Interpreter - Spanish</t>
  </si>
  <si>
    <t>$100/hr x 20/hr x 2 years</t>
  </si>
  <si>
    <t xml:space="preserve">In-person Interpreter - Mandarin and Tagalog </t>
  </si>
  <si>
    <t>$125/hr x 10/hr x 2 years</t>
  </si>
  <si>
    <t>Written Translation - Spanish</t>
  </si>
  <si>
    <t>$25/page x 20/pages x 2 years</t>
  </si>
  <si>
    <t>Written Translation - Mandarin and Tagalog</t>
  </si>
  <si>
    <t>$25/page x 18 pages x 2 years</t>
  </si>
  <si>
    <t xml:space="preserve">Sign Language Interpretation </t>
  </si>
  <si>
    <t>$95/hr x 20/hr x 2 years</t>
  </si>
  <si>
    <t>Total Contracts</t>
  </si>
  <si>
    <t>Cell phone service supports the Elder Abuse Advocate who will need a cell phone to ensure 24 hours/day communication to provide emergency services and transportation to clients. This position is funded 100% for 24 months through the application, therefore 100% of this cost is budgeted.</t>
  </si>
  <si>
    <t>Copier and Printer will be rented and/or leased. The copier and printer costs are estimated based on historical costs and allocated using an FTE allocation method (see allocation breakdown in Supplies Category).</t>
  </si>
  <si>
    <t>Funds for Language Line Solutions (LLS) for telephonic interpreting at a rate of $3.95 per minute are budgeted. In recent years, we have used LLS between 225 and 275 minutes per year, and we anticipate a 10% increase in usage based on recent trends.</t>
  </si>
  <si>
    <t>The most common language in the local service area is Spanish, followed by Mandarin Chinese and Tagalog. Spanish language interpreters in applicant’s area charge approximately $100 per hour, and Mandarin and Tagalog interpreters charge approximately $125 per hour. We estimate the number of hours of interpretation based on previous years, plus an anticipated 10% increase during the project period. (We also employ a Spanish-English bilingual Shelter Manager, who assists with Spanish language interpretation.)</t>
  </si>
  <si>
    <t>Translations in our service area cost approximately $25 per page. We plan to have the following documents translated into Spanish during the project period: intake form (3 pages), confidentiality policy (1 page), house rules (2 pages), non-discrimination notice and complaint forms (3 pages), elder abuse brochure (5 pages), pamphlet on sexual assault (5 pages), Elder Abuse Power and Control Wheel (1 page). We plan to have the following documents translated into Mandarin and Tagalog: intake form (3 pages X 2), confidentiality policy (1 page X 2), elder abuse brochure (5 pages X 2).</t>
  </si>
  <si>
    <t xml:space="preserve">Qualified sign language interpreters charge approximately $95 per hour, and we anticipate using interpreters approximately 20 hours per year, based on past use and allowing for a 5% increase in usage over past years. </t>
  </si>
  <si>
    <t>Total Procurement Contracts</t>
  </si>
  <si>
    <t>I. Other Costs – List items (e.g., rent, reproduction, telephone, janitorial or security services, and investigative or confidential funds) by each type of cost and the basis of the computation. For example, provide the square footage and the cost per square foot for rent, and provide a monthly rental cost and how many months to rent.</t>
  </si>
  <si>
    <t>Bus Vouchers</t>
  </si>
  <si>
    <t>Emergency Housing Assistance</t>
  </si>
  <si>
    <t>Meal Vouchers/Grocery Gift Cards</t>
  </si>
  <si>
    <t>Other Costs Total</t>
  </si>
  <si>
    <t>Description</t>
  </si>
  <si>
    <t>Total Indirect Costs</t>
  </si>
  <si>
    <t>Indirect costs are allowed if the applicant has a federally approved indirect cost rate. A copy of the rate approval (a fully executed, negotiated agreement) must be submitted with the application. Applicants that do not have a current negotiated (including provisional) indirect cost rate may elect to charge a de minimis rate of 15% of modified total direct costs. If the applicant's accounting system allows for it, costs may be allocated in the direct cost categories.</t>
  </si>
  <si>
    <t>Budget Summary – Upon completion of the budget worksheet, transfer the totals for each category to the spaces below. Compute the total direct costs and the total project costs. Indicate the amount of federal funds requested and the amount of non-federal funds that will support the project.</t>
  </si>
  <si>
    <t>Budget Category</t>
  </si>
  <si>
    <t>Amount</t>
  </si>
  <si>
    <t>A. Personnel</t>
  </si>
  <si>
    <t>B. Fringe Benefits</t>
  </si>
  <si>
    <t>C. Travel</t>
  </si>
  <si>
    <t>D. Equipment</t>
  </si>
  <si>
    <t>E. Supplies</t>
  </si>
  <si>
    <t>G. Subawards</t>
  </si>
  <si>
    <t>H. Procurement Contracts</t>
  </si>
  <si>
    <t>I. Other Costs</t>
  </si>
  <si>
    <t>Total Direct Cost</t>
  </si>
  <si>
    <t xml:space="preserve">J. Indirect Cost </t>
  </si>
  <si>
    <t>TOTAL PROJECT COSTS</t>
  </si>
  <si>
    <t>Purpose: The Sample Budget Narrative may be used to assist **CONTINUATION** applicants for the Abuse in Later Life Program with preparing the budget and narrative. Applicants may use this form or the format of their choice (plain sheets, Excel document, the applicant’s own form, or a variation of this form). However, all required information (including the budget narrative) must be provided. Any category of expense not applicable to the applicant’s project may be deleted.</t>
  </si>
  <si>
    <r>
      <t xml:space="preserve">Note: The following budget is an example intended to assist applicants in preparing their budgets. The sample expenses may not fit exactly with the activities proposed by the applicant. 
Note: Per the Notice of Funding Opportunity (NOFO), costs allocated for </t>
    </r>
    <r>
      <rPr>
        <b/>
        <u/>
        <sz val="10"/>
        <rFont val="Arial"/>
        <family val="2"/>
      </rPr>
      <t>outreach must be capped at 10% of the total award</t>
    </r>
    <r>
      <rPr>
        <b/>
        <sz val="10"/>
        <rFont val="Arial"/>
        <family val="2"/>
      </rPr>
      <t xml:space="preserve">. Additionally, continuation grantees must allocate </t>
    </r>
    <r>
      <rPr>
        <b/>
        <u/>
        <sz val="10"/>
        <rFont val="Arial"/>
        <family val="2"/>
      </rPr>
      <t>50% of the total award to support direct services for survivors</t>
    </r>
    <r>
      <rPr>
        <b/>
        <sz val="10"/>
        <rFont val="Arial"/>
        <family val="2"/>
      </rPr>
      <t xml:space="preserve"> of elder abuse domestic violence, sexual assault, dating violence, and stalking. </t>
    </r>
  </si>
  <si>
    <t>The Bilingual Elder Abuse Advocate will dedicate 100% of their time to the project by providing direct client assistance, and coordinating services and case management for clients.</t>
  </si>
  <si>
    <t>$6,000/year x 100% x 3 years</t>
  </si>
  <si>
    <t>150 miles/month x $0.725 mile x 36 months</t>
  </si>
  <si>
    <t xml:space="preserve">Funds have been allocated for local travel to conduct cross trainings for local victim advocates. Additional local travel has also been allocated for mileage incurred by the elder abuse advocate and project coordinator while conducting other grant related activities, such as conducting outreach events, meeting with survivors, and attending CCR meetings. </t>
  </si>
  <si>
    <t>It is expected that the Project Coordinator and Elder Abuse Advocate will use a privately owned vehicle for local program mileage when traveling between the meetings with clients, main office, local training locations, and all partner organizations. The rate for mileage reimbursement is calculated based on the current GSA Mileage Reimbursement Rate of $0.725/mile and is estimated to be around 150 miles per month for a period of 36 months for the Elder Abuse Advocate and 50 miles per month for a period of 36 months for the Project Coordinator.</t>
  </si>
  <si>
    <t xml:space="preserve">The laptop will be used by the Project Coordinator to perform grant related activities such as developing training materials, completing performance reports, and coordinating meetings between partner agencies. As the Project Coordinator's role is budgeted at 0.5FTE, this has been factored into the calculation for the laptop. </t>
  </si>
  <si>
    <t>$250/month x 53% x 36 months</t>
  </si>
  <si>
    <t>$100/month x 53% x 36 months</t>
  </si>
  <si>
    <t>$85/hr x 20hrs/month x 36 months</t>
  </si>
  <si>
    <t>$75/month x 36 months</t>
  </si>
  <si>
    <t>$3.95/min x 300 min x 3 years</t>
  </si>
  <si>
    <t>$100/hr x 20/hr x 3 years</t>
  </si>
  <si>
    <t>$125/hr x 10/hr x 3 years</t>
  </si>
  <si>
    <t>$25/page x 20/pages x 3 years</t>
  </si>
  <si>
    <t>$25/page x 18 pages x 3 years</t>
  </si>
  <si>
    <t>$95/hr x 20/hr x 3 years</t>
  </si>
  <si>
    <t xml:space="preserve">The Therapist will be compensated at a rate of $85/hour, consistent with the therapist’s normal rate for providing this service in the marketplace. This contracted position will provide individual counseling sessions to clients on an as-needed basis and facilitate the group healing sessions once per week for 2 hours. A total of 20 hours of service per month is estimated based on the need identified and # of clients served during our initial award </t>
  </si>
  <si>
    <t>Cell phone service supports the Elder Abuse Advocate who will need a cell phone to ensure 24 hours/day communication to provide emergency services and transportation to clients. This position is funded 100% for 36 months through the application, therefore 100% of this cost is budgeted.</t>
  </si>
  <si>
    <t>$10/client x 20/month x 36 months</t>
  </si>
  <si>
    <t>$100/client X 30 clients</t>
  </si>
  <si>
    <t>Bus Vouchers are estimated at a cost of $10 per client to attend therapy or group healing sessions. We project distributing 20 vouchers per month on an as-needed basis, based on the level of need identified during our initial award. Vouchers are kept in a locked safe, inventoried by the Program Coordinator, and require a signature for distribution by the Shelter Manager.</t>
  </si>
  <si>
    <t xml:space="preserve">Funds have been budgeted to provide meal vouchers and/or grocery gift cards to 30 clients throughout the grant period. </t>
  </si>
  <si>
    <t>$90,000 x 50% x 3 years</t>
  </si>
  <si>
    <t>$135,000 x 7.65%</t>
  </si>
  <si>
    <t>$135,000 x 1.00%</t>
  </si>
  <si>
    <t>$135,000 x .5%</t>
  </si>
  <si>
    <t>Judicial Partner</t>
  </si>
  <si>
    <t xml:space="preserve">OVW Judicial Training on Elder Abuse </t>
  </si>
  <si>
    <t>2 Judges: 
Airfare $600
Lodging $224 (avg) x (3 nights)= 672
Per Diem $71 (avg) x (4 days)= 284
Local Travel $100 (avg)</t>
  </si>
  <si>
    <t xml:space="preserve">Judicial Partner Subaward Total </t>
  </si>
  <si>
    <r>
      <t xml:space="preserve">2 </t>
    </r>
    <r>
      <rPr>
        <b/>
        <sz val="10"/>
        <rFont val="Arial"/>
        <family val="2"/>
      </rPr>
      <t>Local Judges</t>
    </r>
    <r>
      <rPr>
        <sz val="10"/>
        <rFont val="Arial"/>
        <family val="2"/>
      </rPr>
      <t xml:space="preserve"> will attend the OVW Judicial Training on Elder Abuse. Airfare, lodging, per diem, and local travel have been allocated for each attendee. </t>
    </r>
  </si>
  <si>
    <t>Direct Service Partner</t>
  </si>
  <si>
    <t xml:space="preserve">3 Trainers: 
50 miles x $0.725/mile X 3 trainings </t>
  </si>
  <si>
    <t>Direct Service Partner Subaward Total</t>
  </si>
  <si>
    <t>3 Attendees: 
30 miles x $0.725/mile</t>
  </si>
  <si>
    <t>$1500/client x 20 clients</t>
  </si>
  <si>
    <t>$10/client x 10/month x 24 months</t>
  </si>
  <si>
    <t>Bus Vouchers are estimated at a cost of $10 per client to attend therapy or group healing sessions. We project distributing 10 vouchers per month on an as-needed basis. Vouchers are kept in a locked safe, inventoried by the Program Coordinator, and require a signature for distribution by the Shelter Manager.</t>
  </si>
  <si>
    <t xml:space="preserve">Funds have been budgeted to provide emergency housing assistance to at least 20 clients throughout the grant period. Each client will receive up to $1500 to assist with paying for emergency shelter. </t>
  </si>
  <si>
    <t xml:space="preserve">Funds have been budgeted to provide meal vouchers and/or grocery gift cards to 30 clients throughout the grant.  period. </t>
  </si>
  <si>
    <t>20% of Direct Salaries (Excluding Fringe Benefits)</t>
  </si>
  <si>
    <t>Forensic Accountant</t>
  </si>
  <si>
    <t>$50/kit x 75 kits</t>
  </si>
  <si>
    <t>$90/hr x 15hrs/month x 24 months</t>
  </si>
  <si>
    <t>The Therapist will be compensated at a rate of $85/hour, consistent with the therapist’s normal rate for providing this service in the marketplace. This contracted position will provide individual counseling sessions to clients on an as-needed basis and facilitate the group healing sessions once per week for 2 hours. A total of 15 hours of service per month is estimated.</t>
  </si>
  <si>
    <t>Office Supplies are needed for the general operation of the program and are shared amongst all office staff. The FTE allocation rate for shared costs incurred by all staff in this budget is 42% (based on total FTEs in the office is 3 FTEs, and total FTEs in this budget is 1.26 FTEs, so 1.26 / 3 = 0.42, or 42%). Monthly costs for Office Supplies at $250/month are estimated based on historical data. Charges to the grant will be based on the actual supplies purchased and actual percentage of staff time worked on the project (not budgeted amounts).</t>
  </si>
  <si>
    <t>The Forensic Accountant will be compensated at a rate of $90/hour, consistent with their normal rate for providing this service in the marketplace. This contracted position will provide forensic accounting expertise for elder abuse investigations and prosecutions involving financial abuse. A total of 15 hours of service per month is estimated.</t>
  </si>
  <si>
    <t>$80,000 x 100% x 3 years</t>
  </si>
  <si>
    <t>$240,000 x 7.65%</t>
  </si>
  <si>
    <t>$240,000 x 1.00%</t>
  </si>
  <si>
    <t>$240,000 x 0.50%</t>
  </si>
  <si>
    <t>Office Supplies are needed for the general operation of the program and are shared amongst all office staff. The FTE allocation rate for shared costs incurred by all staff in this budget is 53% (based on total FTEs in the office is 3 FTEs, and total FTEs in this budget is 1.6 FTEs, so 1.6 / 3 = 0.53, or 53%). Monthly costs for Office Supplies at $250/month are estimated based on historical data. Charges to the grant will be based on the actual supplies purchased and actual percentage of staff time worked on the project (not budgeted amounts).</t>
  </si>
  <si>
    <t>$90/hr x 15hrs/month x 36 months</t>
  </si>
  <si>
    <t xml:space="preserve">The Client Assistance Kits will be provided to clients who receive services for elder abuse. These kits will contain toiletries and other personal hygiene products. We estimate the need for 75 kits, the cost is based on similar kits provided during the intial award for this project. </t>
  </si>
  <si>
    <t xml:space="preserve">Funds have been budgeted to provide emergency housing assistance to at least 20 clients throughout the grant period, based on the level of need identified during our initial award. Each client will receive up to $1500 to assist with paying for emergency shelter. </t>
  </si>
  <si>
    <t>$396,000 x 20%</t>
  </si>
  <si>
    <t>1 Judge: 
Airfare $600
Lodging $224 (avg) x (3 nights)= 672
Per Diem $71 (avg) x (4 days)= 284
Local Travel $100 (avg)</t>
  </si>
  <si>
    <r>
      <t xml:space="preserve">1 </t>
    </r>
    <r>
      <rPr>
        <b/>
        <sz val="10"/>
        <rFont val="Arial"/>
        <family val="2"/>
      </rPr>
      <t>Local Judges</t>
    </r>
    <r>
      <rPr>
        <sz val="10"/>
        <rFont val="Arial"/>
        <family val="2"/>
      </rPr>
      <t xml:space="preserve"> will attend the OVW Judicial Training on Elder Abuse. Airfare, lodging, per diem, and local travel have been allocated for each attendee. </t>
    </r>
  </si>
  <si>
    <t>$650/day x 2 days</t>
  </si>
  <si>
    <t xml:space="preserve">A Consultant/Trainer will provide a two-day on-site advanced training (at 8 hours per day) on elder abuse investigations to law enforcement, prosecution, court personnel, and victim advocates. The training will cover specialized topics related to elder abuse, such as financial abuse, technology based fraud, and caregiver abuse. </t>
  </si>
  <si>
    <t>$45/day x 2 days</t>
  </si>
  <si>
    <t>$125/night x 1 night</t>
  </si>
  <si>
    <t>OVW-Mandated Training and Technical Assistance</t>
  </si>
  <si>
    <t>Location and cost TBD</t>
  </si>
  <si>
    <t xml:space="preserve">OVW-Mandated Training and Technical Assistance (required for new grantees) </t>
  </si>
  <si>
    <r>
      <t xml:space="preserve">The MOU partner, the </t>
    </r>
    <r>
      <rPr>
        <b/>
        <sz val="10"/>
        <rFont val="Arial"/>
        <family val="2"/>
      </rPr>
      <t>District Attorney's Office</t>
    </r>
    <r>
      <rPr>
        <sz val="10"/>
        <rFont val="Arial"/>
        <family val="2"/>
      </rPr>
      <t xml:space="preserve">, will send 3 Prosecutor's to attend the required OVW National Institute on the Prosecution of Elder Abuse. An estimated cost has been provided to attend this training. Mileage has also been allocated for 3 prosecutors to attend the required CCR kick off event. </t>
    </r>
  </si>
  <si>
    <r>
      <t xml:space="preserve">The MOU partner, the </t>
    </r>
    <r>
      <rPr>
        <b/>
        <sz val="10"/>
        <rFont val="Arial"/>
        <family val="2"/>
      </rPr>
      <t>Local Police Department</t>
    </r>
    <r>
      <rPr>
        <sz val="10"/>
        <rFont val="Arial"/>
        <family val="2"/>
      </rPr>
      <t xml:space="preserve">, will send 3 Law Enforcement Officers to attend the required OVW Law Enforcement Train the Trainer event. An estimated cost has been provided to attend this training. Mileage has also been allocated for law enforcement officers to travel within the service area of the project to provide cross trainings to other law enforcement professionals after attending the Train the Trainer Event. Mileage has also been allocated for 3 law enforcement officers to attend the required CCR kick off event. </t>
    </r>
  </si>
  <si>
    <r>
      <t xml:space="preserve">The MOU partner, </t>
    </r>
    <r>
      <rPr>
        <b/>
        <sz val="10"/>
        <rFont val="Arial"/>
        <family val="2"/>
      </rPr>
      <t>Direct Service Partner</t>
    </r>
    <r>
      <rPr>
        <sz val="10"/>
        <rFont val="Arial"/>
        <family val="2"/>
      </rPr>
      <t xml:space="preserve">, will send 3 staff to attend the required OVW Direct Services Train the Trainer event. An estimated cost has been provided to attend this training. Mileage has also been allocated for direct service staff to travel within the service area of the project to provide cross trainings to other direct service providers after attending the Train the Trainer Event. Mileage has also been allocated for 3 staff members to attend the required CCR kick off event. </t>
    </r>
  </si>
  <si>
    <t>J. Indirect Costs – Indirect costs are allowed if the applicant has a federally approved indirect cost rate. A copy of the rate approval (a fully executed, negotiated agreement) must be submitted with the application. If the applicant does not have an approved rate, they may request one from their cognizant federal agency or choose to charge a de minimis rate of 15% of modified total direct costs (MTDC) in accordance with 2 C.F.R. 200.414(f). If the applicant's accounting system allows for it, costs may be allocated in the direct cost categories.</t>
  </si>
  <si>
    <r>
      <t xml:space="preserve">The MOU partner, the </t>
    </r>
    <r>
      <rPr>
        <b/>
        <sz val="10"/>
        <rFont val="Arial"/>
        <family val="2"/>
      </rPr>
      <t>District Attorney's Office</t>
    </r>
    <r>
      <rPr>
        <sz val="10"/>
        <rFont val="Arial"/>
        <family val="2"/>
      </rPr>
      <t>, will send 3 Prosecutor's to attend the OVW National Institute on the Prosecution of Elder Abuse. An estimated cost has been provided to attend this training.</t>
    </r>
  </si>
  <si>
    <r>
      <t xml:space="preserve">The MOU partner, the </t>
    </r>
    <r>
      <rPr>
        <b/>
        <sz val="10"/>
        <rFont val="Arial"/>
        <family val="2"/>
      </rPr>
      <t>Local Police Department</t>
    </r>
    <r>
      <rPr>
        <sz val="10"/>
        <rFont val="Arial"/>
        <family val="2"/>
      </rPr>
      <t>, will send 3 Law Enforcement Officers to attend the OVW Law Enforcement Train the Trainer event. An estimated cost has been provided to attend this training. Mileage has also been allocated for law enforcement officers to travel within the service area of the project to provide cross trainings to other law enforcement professionals after attending the Train the Trainer Event.</t>
    </r>
  </si>
  <si>
    <r>
      <t xml:space="preserve">The MOU partner, </t>
    </r>
    <r>
      <rPr>
        <b/>
        <sz val="10"/>
        <rFont val="Arial"/>
        <family val="2"/>
      </rPr>
      <t>Direct Service Partner</t>
    </r>
    <r>
      <rPr>
        <sz val="10"/>
        <rFont val="Arial"/>
        <family val="2"/>
      </rPr>
      <t xml:space="preserve">, will send 2 staff to attend the OVW Direct Services Train the Trainer event. An estimated cost has been provided to attend this training. Mileage has also been allocated for 3 direct service staff to travel within the service area of the project to provide cross trainings to other direct service providers after attending the Train the Trainer Event. </t>
    </r>
  </si>
  <si>
    <t xml:space="preserve">Funds have been allocated for the Project Coordinator and Elder Abuse Advocate to attend the required OVW-sponsored Direct Services Train the Trainer event. An estimated cost has been provided to attend this training. Funds have also been allocated for local travel to conduct cross trainings for local victim advocates. Additional local travel has also been allocated for mileage incurred by the elder abuse advocate and project coordinator while conducting other grant related activities, such as conducting outreach events, meeting with survivors, and attending CCR meetings.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</si>
</sst>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4" formatCode="_(&quot;$&quot;* #,##0.00_);_(&quot;$&quot;* \(#,##0.00\);_(&quot;$&quot;* &quot;-&quot;??_);_(@_)"/>
    <numFmt numFmtId="164" formatCode="_(&quot;$&quot;* #,##0_);_(&quot;$&quot;* \(#,##0\);_(&quot;$&quot;* &quot;-&quot;??_);_(@_)"/>
    <numFmt numFmtId="165" formatCode="&quot;$&quot;#,##0"/>
  </numFmts>
  <fonts count="8" x14ac:knownFonts="1">
    <font>
      <sz val="10"/>
      <name val="Arial"/>
    </font>
    <font>
      <sz val="10"/>
      <name val="Arial"/>
      <family val="2"/>
    </font>
    <font>
      <sz val="8"/>
      <name val="Arial"/>
      <family val="2"/>
    </font>
    <font>
      <b/>
      <sz val="10"/>
      <name val="Arial"/>
      <family val="2"/>
    </font>
    <font>
      <b/>
      <sz val="12"/>
      <name val="Arial"/>
      <family val="2"/>
    </font>
    <font>
      <sz val="10"/>
      <name val="Arial"/>
      <family val="2"/>
    </font>
    <font>
      <b/>
      <u/>
      <sz val="10"/>
      <name val="Arial"/>
      <family val="2"/>
    </font>
    <font>
      <sz val="10"/>
      <color rgb="FFFF0000"/>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124">
    <xf numFmtId="0" fontId="0" fillId="0" borderId="0" xfId="0"/>
    <xf numFmtId="164" fontId="3" fillId="0" borderId="0" xfId="1" applyNumberFormat="1" applyFont="1" applyFill="1" applyBorder="1" applyAlignment="1">
      <alignment vertical="center"/>
    </xf>
    <xf numFmtId="0" fontId="1" fillId="0" borderId="3" xfId="0" applyFont="1" applyBorder="1" applyAlignment="1">
      <alignment vertical="center"/>
    </xf>
    <xf numFmtId="0" fontId="3" fillId="0" borderId="0" xfId="0" applyFont="1" applyAlignment="1">
      <alignment vertical="center"/>
    </xf>
    <xf numFmtId="0" fontId="3" fillId="0" borderId="3" xfId="0" applyFont="1" applyBorder="1" applyAlignment="1">
      <alignment horizontal="center" vertical="center"/>
    </xf>
    <xf numFmtId="164" fontId="3" fillId="0" borderId="3" xfId="1" applyNumberFormat="1" applyFont="1" applyFill="1" applyBorder="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164" fontId="1" fillId="0" borderId="3" xfId="1" applyNumberFormat="1" applyFont="1" applyFill="1" applyBorder="1" applyAlignment="1">
      <alignment vertical="center"/>
    </xf>
    <xf numFmtId="164" fontId="3" fillId="0" borderId="0" xfId="1" applyNumberFormat="1" applyFont="1" applyFill="1" applyBorder="1" applyAlignment="1">
      <alignment horizontal="right" vertical="center"/>
    </xf>
    <xf numFmtId="0" fontId="0" fillId="0" borderId="0" xfId="0" applyAlignment="1">
      <alignment vertical="center"/>
    </xf>
    <xf numFmtId="164" fontId="0" fillId="0" borderId="0" xfId="1" applyNumberFormat="1" applyFont="1" applyFill="1" applyAlignment="1">
      <alignment vertical="center"/>
    </xf>
    <xf numFmtId="164" fontId="0" fillId="0" borderId="0" xfId="1" applyNumberFormat="1" applyFont="1" applyFill="1" applyAlignment="1">
      <alignment horizontal="left" vertical="center" wrapText="1"/>
    </xf>
    <xf numFmtId="164" fontId="0" fillId="0" borderId="0" xfId="1" applyNumberFormat="1" applyFont="1" applyFill="1" applyAlignment="1">
      <alignment horizontal="left" vertical="center"/>
    </xf>
    <xf numFmtId="0" fontId="0" fillId="0" borderId="0" xfId="0" applyAlignment="1">
      <alignment horizontal="left" vertical="center"/>
    </xf>
    <xf numFmtId="42" fontId="0" fillId="0" borderId="0" xfId="0" applyNumberFormat="1" applyAlignment="1">
      <alignment vertical="center"/>
    </xf>
    <xf numFmtId="164" fontId="3" fillId="0" borderId="0" xfId="1" applyNumberFormat="1" applyFont="1" applyFill="1" applyAlignment="1">
      <alignment vertical="center"/>
    </xf>
    <xf numFmtId="164" fontId="3" fillId="0" borderId="0" xfId="1" applyNumberFormat="1" applyFont="1" applyFill="1" applyBorder="1" applyAlignment="1">
      <alignment horizontal="center" vertical="center"/>
    </xf>
    <xf numFmtId="164" fontId="0" fillId="0" borderId="0" xfId="1" applyNumberFormat="1" applyFont="1" applyFill="1" applyAlignment="1">
      <alignment horizontal="center" vertical="center"/>
    </xf>
    <xf numFmtId="0" fontId="0" fillId="0" borderId="0" xfId="0" applyAlignment="1">
      <alignment horizontal="center" vertical="center"/>
    </xf>
    <xf numFmtId="164" fontId="0" fillId="0" borderId="0" xfId="1" applyNumberFormat="1" applyFont="1" applyFill="1" applyBorder="1" applyAlignment="1">
      <alignment vertical="center"/>
    </xf>
    <xf numFmtId="164" fontId="0" fillId="0" borderId="3" xfId="1" applyNumberFormat="1" applyFont="1" applyFill="1" applyBorder="1" applyAlignment="1">
      <alignment vertical="center"/>
    </xf>
    <xf numFmtId="0" fontId="0" fillId="0" borderId="1" xfId="0" applyBorder="1" applyAlignment="1">
      <alignment vertical="center"/>
    </xf>
    <xf numFmtId="164" fontId="3" fillId="0" borderId="3" xfId="1" applyNumberFormat="1" applyFont="1" applyFill="1" applyBorder="1" applyAlignment="1">
      <alignment vertical="center"/>
    </xf>
    <xf numFmtId="164" fontId="1" fillId="0" borderId="0" xfId="1" applyNumberFormat="1" applyFont="1" applyFill="1" applyAlignment="1">
      <alignment horizontal="left" vertical="center" wrapText="1"/>
    </xf>
    <xf numFmtId="164" fontId="3" fillId="0" borderId="0" xfId="1" applyNumberFormat="1" applyFont="1" applyFill="1" applyAlignment="1">
      <alignment horizontal="left" vertical="center" wrapText="1"/>
    </xf>
    <xf numFmtId="0" fontId="3" fillId="0" borderId="3" xfId="0" applyFont="1" applyBorder="1" applyAlignment="1">
      <alignment vertical="center"/>
    </xf>
    <xf numFmtId="0" fontId="0" fillId="0" borderId="3" xfId="0" applyBorder="1" applyAlignment="1">
      <alignment vertical="center"/>
    </xf>
    <xf numFmtId="0" fontId="1" fillId="0" borderId="3" xfId="0" applyFont="1" applyBorder="1" applyAlignment="1">
      <alignment vertical="center" wrapText="1"/>
    </xf>
    <xf numFmtId="164" fontId="0" fillId="0" borderId="0" xfId="1" applyNumberFormat="1" applyFont="1" applyFill="1" applyAlignment="1">
      <alignment vertical="center" wrapText="1"/>
    </xf>
    <xf numFmtId="164" fontId="3" fillId="0" borderId="0" xfId="1" applyNumberFormat="1" applyFont="1" applyFill="1" applyAlignment="1">
      <alignment vertical="center" wrapText="1"/>
    </xf>
    <xf numFmtId="164" fontId="0" fillId="0" borderId="3" xfId="1" applyNumberFormat="1" applyFont="1" applyFill="1" applyBorder="1" applyAlignment="1">
      <alignment horizontal="right" vertical="center"/>
    </xf>
    <xf numFmtId="164" fontId="1" fillId="0" borderId="3" xfId="1" applyNumberFormat="1" applyFont="1" applyFill="1" applyBorder="1" applyAlignment="1">
      <alignment vertical="center" wrapText="1"/>
    </xf>
    <xf numFmtId="0" fontId="3" fillId="0" borderId="0" xfId="0" applyFont="1" applyAlignment="1">
      <alignment horizontal="right" vertical="center" wrapText="1"/>
    </xf>
    <xf numFmtId="164" fontId="3" fillId="0" borderId="0" xfId="1" applyNumberFormat="1" applyFont="1" applyFill="1" applyBorder="1" applyAlignment="1">
      <alignment horizontal="right" vertical="center" wrapText="1"/>
    </xf>
    <xf numFmtId="164" fontId="1" fillId="0" borderId="0" xfId="1" applyNumberFormat="1" applyFont="1" applyFill="1" applyAlignment="1">
      <alignment vertical="center" wrapText="1"/>
    </xf>
    <xf numFmtId="0" fontId="3" fillId="0" borderId="3" xfId="0" applyFont="1" applyBorder="1" applyAlignment="1">
      <alignment horizontal="center" vertical="center" wrapText="1"/>
    </xf>
    <xf numFmtId="164" fontId="3" fillId="0" borderId="3" xfId="1" applyNumberFormat="1" applyFont="1" applyFill="1" applyBorder="1" applyAlignment="1">
      <alignment horizontal="center" vertical="center" wrapText="1"/>
    </xf>
    <xf numFmtId="0" fontId="3" fillId="0" borderId="3" xfId="0" applyFont="1" applyBorder="1" applyAlignment="1">
      <alignment vertical="center" wrapText="1"/>
    </xf>
    <xf numFmtId="164" fontId="3" fillId="0" borderId="3" xfId="1" applyNumberFormat="1" applyFont="1" applyFill="1" applyBorder="1" applyAlignment="1">
      <alignment vertical="center" wrapText="1"/>
    </xf>
    <xf numFmtId="164" fontId="3" fillId="0" borderId="0" xfId="1" applyNumberFormat="1" applyFont="1" applyFill="1" applyBorder="1" applyAlignment="1">
      <alignment vertical="center" wrapText="1"/>
    </xf>
    <xf numFmtId="0" fontId="1" fillId="0" borderId="3" xfId="0" applyFont="1" applyBorder="1" applyAlignment="1">
      <alignment horizontal="left" vertical="center"/>
    </xf>
    <xf numFmtId="0" fontId="5" fillId="0" borderId="0" xfId="0" applyFont="1" applyAlignment="1">
      <alignment horizontal="center" vertical="center"/>
    </xf>
    <xf numFmtId="164" fontId="0" fillId="0" borderId="0" xfId="1" applyNumberFormat="1" applyFont="1" applyFill="1" applyAlignment="1">
      <alignment horizontal="center" vertical="center" wrapText="1"/>
    </xf>
    <xf numFmtId="0" fontId="3" fillId="0" borderId="3" xfId="0" applyFont="1" applyBorder="1" applyAlignment="1">
      <alignment horizontal="left" vertical="center" wrapText="1"/>
    </xf>
    <xf numFmtId="0" fontId="1" fillId="0" borderId="3" xfId="0" applyFont="1" applyBorder="1" applyAlignment="1">
      <alignment horizontal="left" vertical="center" wrapText="1"/>
    </xf>
    <xf numFmtId="164" fontId="0" fillId="0" borderId="3" xfId="1" applyNumberFormat="1" applyFont="1" applyFill="1" applyBorder="1" applyAlignment="1">
      <alignment vertical="center" wrapText="1"/>
    </xf>
    <xf numFmtId="164" fontId="1" fillId="0" borderId="0" xfId="1" applyNumberFormat="1" applyFont="1" applyFill="1" applyAlignment="1">
      <alignment vertical="center"/>
    </xf>
    <xf numFmtId="0" fontId="1" fillId="0" borderId="0" xfId="0" applyFont="1" applyAlignment="1">
      <alignment vertical="center"/>
    </xf>
    <xf numFmtId="0" fontId="3" fillId="0" borderId="0" xfId="0" applyFont="1" applyAlignment="1">
      <alignment horizontal="center" vertical="center" wrapText="1"/>
    </xf>
    <xf numFmtId="164" fontId="3" fillId="0" borderId="0" xfId="1" applyNumberFormat="1" applyFont="1" applyFill="1" applyAlignment="1">
      <alignment horizontal="center" vertical="center" wrapText="1"/>
    </xf>
    <xf numFmtId="0" fontId="4" fillId="0" borderId="0" xfId="0" applyFont="1" applyAlignment="1">
      <alignment vertical="center"/>
    </xf>
    <xf numFmtId="164" fontId="3" fillId="0" borderId="0" xfId="1" applyNumberFormat="1" applyFont="1" applyFill="1" applyBorder="1" applyAlignment="1">
      <alignment horizontal="left" vertical="center" wrapText="1"/>
    </xf>
    <xf numFmtId="42" fontId="3" fillId="0" borderId="3" xfId="0" applyNumberFormat="1" applyFont="1" applyBorder="1" applyAlignment="1">
      <alignment horizontal="center" vertical="center"/>
    </xf>
    <xf numFmtId="42" fontId="1" fillId="0" borderId="3" xfId="0" applyNumberFormat="1" applyFont="1" applyBorder="1" applyAlignment="1">
      <alignment vertical="center"/>
    </xf>
    <xf numFmtId="164" fontId="0" fillId="0" borderId="0" xfId="1" applyNumberFormat="1" applyFont="1" applyFill="1" applyBorder="1" applyAlignment="1">
      <alignment vertical="center" wrapText="1"/>
    </xf>
    <xf numFmtId="164" fontId="1" fillId="0" borderId="0" xfId="1" applyNumberFormat="1" applyFont="1" applyFill="1" applyBorder="1" applyAlignment="1">
      <alignment vertical="center" wrapText="1"/>
    </xf>
    <xf numFmtId="164" fontId="1" fillId="0" borderId="3" xfId="1" applyNumberFormat="1" applyFont="1" applyFill="1" applyBorder="1" applyAlignment="1">
      <alignment horizontal="left" vertical="center"/>
    </xf>
    <xf numFmtId="42" fontId="0" fillId="0" borderId="3" xfId="0" applyNumberFormat="1" applyBorder="1" applyAlignment="1">
      <alignment vertical="center"/>
    </xf>
    <xf numFmtId="164" fontId="3" fillId="0" borderId="3" xfId="1" applyNumberFormat="1" applyFont="1" applyFill="1" applyBorder="1" applyAlignment="1">
      <alignment horizontal="left" vertical="center" wrapText="1"/>
    </xf>
    <xf numFmtId="164" fontId="0" fillId="0" borderId="0" xfId="1" applyNumberFormat="1" applyFont="1" applyFill="1" applyBorder="1" applyAlignment="1">
      <alignment horizontal="left" vertical="center" wrapText="1"/>
    </xf>
    <xf numFmtId="164" fontId="1" fillId="0" borderId="0" xfId="1" applyNumberFormat="1" applyFont="1" applyFill="1" applyBorder="1" applyAlignment="1">
      <alignment horizontal="left" vertical="center" wrapText="1"/>
    </xf>
    <xf numFmtId="164" fontId="3" fillId="0" borderId="0" xfId="1" applyNumberFormat="1" applyFont="1" applyFill="1" applyBorder="1" applyAlignment="1">
      <alignment horizontal="center" vertical="center" wrapText="1"/>
    </xf>
    <xf numFmtId="164" fontId="3" fillId="0" borderId="3" xfId="1" applyNumberFormat="1" applyFont="1" applyFill="1" applyBorder="1" applyAlignment="1">
      <alignment horizontal="right" vertical="center"/>
    </xf>
    <xf numFmtId="0" fontId="3" fillId="0" borderId="0" xfId="0" applyFont="1" applyAlignment="1">
      <alignment horizontal="center" vertical="center"/>
    </xf>
    <xf numFmtId="165" fontId="1" fillId="0" borderId="2" xfId="0" applyNumberFormat="1" applyFont="1" applyBorder="1" applyAlignment="1">
      <alignment horizontal="left" vertical="center"/>
    </xf>
    <xf numFmtId="0" fontId="1" fillId="0" borderId="0" xfId="0" applyFont="1" applyAlignment="1">
      <alignment horizontal="left" vertical="center"/>
    </xf>
    <xf numFmtId="0" fontId="0" fillId="0" borderId="3" xfId="0" applyBorder="1" applyAlignment="1">
      <alignment horizontal="center" vertical="center"/>
    </xf>
    <xf numFmtId="164" fontId="1" fillId="0" borderId="0" xfId="1" applyNumberFormat="1" applyFont="1" applyFill="1" applyAlignment="1">
      <alignment horizontal="center" vertical="center"/>
    </xf>
    <xf numFmtId="165" fontId="1" fillId="0" borderId="3" xfId="0" applyNumberFormat="1" applyFont="1" applyBorder="1" applyAlignment="1">
      <alignment horizontal="left" vertical="center"/>
    </xf>
    <xf numFmtId="0" fontId="3" fillId="0" borderId="3" xfId="0" applyFont="1" applyBorder="1" applyAlignment="1">
      <alignment horizontal="left" vertical="center"/>
    </xf>
    <xf numFmtId="0" fontId="4" fillId="0" borderId="3" xfId="0" applyFont="1" applyBorder="1" applyAlignment="1">
      <alignment vertical="center"/>
    </xf>
    <xf numFmtId="44" fontId="0" fillId="0" borderId="0" xfId="1" applyFont="1" applyFill="1" applyAlignment="1">
      <alignment vertical="center"/>
    </xf>
    <xf numFmtId="44" fontId="0" fillId="0" borderId="3" xfId="1" applyFont="1" applyFill="1" applyBorder="1" applyAlignment="1">
      <alignment horizontal="left" vertical="center" wrapText="1"/>
    </xf>
    <xf numFmtId="44" fontId="1" fillId="0" borderId="3" xfId="1" applyFont="1" applyFill="1" applyBorder="1" applyAlignment="1">
      <alignment horizontal="left" vertical="center"/>
    </xf>
    <xf numFmtId="44" fontId="3" fillId="0" borderId="3" xfId="1" applyFont="1" applyFill="1" applyBorder="1" applyAlignment="1">
      <alignment horizontal="left" vertical="center" wrapText="1"/>
    </xf>
    <xf numFmtId="164" fontId="3" fillId="0" borderId="3" xfId="1" applyNumberFormat="1" applyFont="1" applyFill="1" applyBorder="1" applyAlignment="1">
      <alignment horizontal="left" vertical="center"/>
    </xf>
    <xf numFmtId="44" fontId="3" fillId="0" borderId="3" xfId="1" applyFont="1" applyFill="1" applyBorder="1" applyAlignment="1">
      <alignment horizontal="left" vertical="center"/>
    </xf>
    <xf numFmtId="44" fontId="4" fillId="0" borderId="3" xfId="1" applyFont="1" applyFill="1" applyBorder="1" applyAlignment="1">
      <alignment horizontal="left" vertical="center"/>
    </xf>
    <xf numFmtId="44" fontId="1" fillId="0" borderId="3" xfId="1" applyFont="1" applyFill="1" applyBorder="1" applyAlignment="1">
      <alignment horizontal="left" vertical="center" wrapText="1"/>
    </xf>
    <xf numFmtId="0" fontId="1" fillId="0" borderId="1" xfId="0" applyFont="1" applyBorder="1" applyAlignment="1">
      <alignment vertical="center" wrapText="1"/>
    </xf>
    <xf numFmtId="164" fontId="1" fillId="0" borderId="2" xfId="1" applyNumberFormat="1" applyFont="1" applyFill="1" applyBorder="1" applyAlignment="1">
      <alignment vertical="center" wrapText="1"/>
    </xf>
    <xf numFmtId="0" fontId="1" fillId="0" borderId="5" xfId="0" applyFont="1" applyBorder="1" applyAlignment="1">
      <alignment vertical="center"/>
    </xf>
    <xf numFmtId="164" fontId="1" fillId="0" borderId="5" xfId="1" applyNumberFormat="1" applyFont="1" applyFill="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44" fontId="0" fillId="0" borderId="7" xfId="1" applyFont="1" applyFill="1" applyBorder="1" applyAlignment="1">
      <alignment horizontal="left" vertical="center" wrapText="1"/>
    </xf>
    <xf numFmtId="42" fontId="1" fillId="0" borderId="3" xfId="0" applyNumberFormat="1" applyFont="1" applyBorder="1" applyAlignment="1">
      <alignment vertical="center" wrapText="1"/>
    </xf>
    <xf numFmtId="0" fontId="1" fillId="0" borderId="1" xfId="0" applyFont="1" applyBorder="1" applyAlignment="1">
      <alignment vertical="center"/>
    </xf>
    <xf numFmtId="0" fontId="1" fillId="0" borderId="0" xfId="0" applyFont="1" applyAlignment="1">
      <alignment horizontal="left" vertical="center" wrapText="1"/>
    </xf>
    <xf numFmtId="0" fontId="1"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left" vertical="center" wrapText="1"/>
    </xf>
    <xf numFmtId="0" fontId="0" fillId="0" borderId="0" xfId="0" applyAlignment="1">
      <alignment horizontal="left" vertical="center" wrapText="1"/>
    </xf>
    <xf numFmtId="0" fontId="3" fillId="0" borderId="2" xfId="0" applyFont="1" applyBorder="1" applyAlignment="1">
      <alignment horizontal="right" vertical="center"/>
    </xf>
    <xf numFmtId="0" fontId="3" fillId="0" borderId="0" xfId="0" applyFont="1" applyAlignment="1">
      <alignment vertical="center" wrapText="1"/>
    </xf>
    <xf numFmtId="164" fontId="1" fillId="0" borderId="0" xfId="1" applyNumberFormat="1" applyFont="1" applyFill="1" applyBorder="1" applyAlignment="1">
      <alignment vertical="center"/>
    </xf>
    <xf numFmtId="164" fontId="1" fillId="0" borderId="0" xfId="1" applyNumberFormat="1" applyFont="1" applyFill="1" applyAlignment="1">
      <alignment horizontal="center" vertical="center" wrapText="1"/>
    </xf>
    <xf numFmtId="0" fontId="3" fillId="0" borderId="3" xfId="0" applyFont="1" applyBorder="1" applyAlignment="1">
      <alignment horizontal="right" vertical="center" wrapText="1"/>
    </xf>
    <xf numFmtId="164" fontId="7" fillId="0" borderId="0" xfId="1" applyNumberFormat="1" applyFont="1" applyFill="1" applyAlignment="1">
      <alignment vertical="center"/>
    </xf>
    <xf numFmtId="44" fontId="3" fillId="0" borderId="0" xfId="1" applyFont="1" applyFill="1" applyBorder="1" applyAlignment="1">
      <alignment horizontal="left" vertical="center" wrapText="1"/>
    </xf>
    <xf numFmtId="164" fontId="1" fillId="0" borderId="3" xfId="1" applyNumberFormat="1" applyFont="1" applyFill="1" applyBorder="1" applyAlignment="1">
      <alignment horizontal="right" vertical="center" wrapText="1"/>
    </xf>
    <xf numFmtId="164" fontId="3" fillId="0" borderId="3" xfId="1" applyNumberFormat="1" applyFont="1" applyFill="1" applyBorder="1" applyAlignment="1">
      <alignment horizontal="right" vertical="center" wrapText="1"/>
    </xf>
    <xf numFmtId="164" fontId="1" fillId="0" borderId="3" xfId="1" applyNumberFormat="1" applyFont="1" applyFill="1" applyBorder="1" applyAlignment="1">
      <alignment horizontal="left" vertical="center" wrapText="1"/>
    </xf>
    <xf numFmtId="44" fontId="3" fillId="0" borderId="3" xfId="1" applyFont="1" applyFill="1" applyBorder="1" applyAlignment="1">
      <alignment horizontal="center" vertical="center" wrapText="1"/>
    </xf>
    <xf numFmtId="0" fontId="1" fillId="0" borderId="3" xfId="0" applyFont="1" applyBorder="1"/>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wrapText="1"/>
    </xf>
    <xf numFmtId="164" fontId="1" fillId="0" borderId="3" xfId="1" applyNumberFormat="1" applyFont="1" applyFill="1" applyBorder="1" applyAlignment="1">
      <alignment wrapText="1"/>
    </xf>
    <xf numFmtId="0" fontId="1" fillId="0" borderId="0" xfId="0" applyFont="1"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vertical="center" wrapText="1"/>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wrapText="1"/>
    </xf>
    <xf numFmtId="0" fontId="3" fillId="0" borderId="3" xfId="0" applyFont="1" applyBorder="1" applyAlignment="1">
      <alignment horizontal="right" vertical="center"/>
    </xf>
    <xf numFmtId="0" fontId="1" fillId="0" borderId="0" xfId="0" applyFont="1" applyAlignment="1">
      <alignment vertical="center" wrapText="1"/>
    </xf>
    <xf numFmtId="0" fontId="0" fillId="0" borderId="0" xfId="0" applyAlignment="1">
      <alignment vertical="center" wrapText="1"/>
    </xf>
    <xf numFmtId="0" fontId="3" fillId="0" borderId="1" xfId="0" applyFont="1" applyBorder="1" applyAlignment="1">
      <alignment horizontal="right" vertical="center" wrapText="1"/>
    </xf>
    <xf numFmtId="0" fontId="3" fillId="0" borderId="2" xfId="0" applyFont="1" applyBorder="1" applyAlignment="1">
      <alignment horizontal="right" vertical="center" wrapText="1"/>
    </xf>
    <xf numFmtId="0" fontId="3" fillId="0" borderId="5" xfId="0" applyFont="1" applyBorder="1" applyAlignment="1">
      <alignment horizontal="right" vertical="center" wrapText="1"/>
    </xf>
    <xf numFmtId="0" fontId="3" fillId="0" borderId="4" xfId="0" applyFont="1" applyBorder="1" applyAlignment="1">
      <alignment horizontal="left" vertical="center" wrapText="1"/>
    </xf>
    <xf numFmtId="0" fontId="3" fillId="0" borderId="0" xfId="0" applyFont="1" applyAlignment="1">
      <alignment vertical="center"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0"/>
  <sheetViews>
    <sheetView tabSelected="1" topLeftCell="A191" zoomScale="120" zoomScaleNormal="120" workbookViewId="0">
      <selection activeCell="C211" sqref="C211"/>
    </sheetView>
  </sheetViews>
  <sheetFormatPr defaultColWidth="9.140625" defaultRowHeight="12.75" x14ac:dyDescent="0.2"/>
  <cols>
    <col min="1" max="1" width="44.7109375" style="10" bestFit="1" customWidth="1"/>
    <col min="2" max="2" width="33.5703125" style="10" customWidth="1"/>
    <col min="3" max="3" width="19.85546875" style="11" customWidth="1"/>
    <col min="4" max="4" width="38.85546875" style="11" bestFit="1" customWidth="1"/>
    <col min="5" max="5" width="40.85546875" style="11" customWidth="1"/>
    <col min="6" max="6" width="12.7109375" style="10" customWidth="1"/>
    <col min="7" max="16384" width="9.140625" style="10"/>
  </cols>
  <sheetData>
    <row r="1" spans="1:5" x14ac:dyDescent="0.2">
      <c r="A1" s="48"/>
    </row>
    <row r="2" spans="1:5" ht="73.5" customHeight="1" x14ac:dyDescent="0.2">
      <c r="A2" s="111" t="s">
        <v>0</v>
      </c>
      <c r="B2" s="111"/>
      <c r="C2" s="111"/>
    </row>
    <row r="3" spans="1:5" s="14" customFormat="1" ht="89.45" customHeight="1" x14ac:dyDescent="0.2">
      <c r="A3" s="111" t="s">
        <v>1</v>
      </c>
      <c r="B3" s="112"/>
      <c r="C3" s="112"/>
      <c r="D3" s="12"/>
      <c r="E3" s="13"/>
    </row>
    <row r="4" spans="1:5" x14ac:dyDescent="0.2">
      <c r="A4" s="15"/>
      <c r="B4" s="19"/>
      <c r="C4" s="19"/>
    </row>
    <row r="5" spans="1:5" x14ac:dyDescent="0.2">
      <c r="A5" s="3"/>
      <c r="B5" s="3"/>
      <c r="C5" s="16"/>
    </row>
    <row r="6" spans="1:5" ht="40.5" customHeight="1" x14ac:dyDescent="0.2">
      <c r="A6" s="111" t="s">
        <v>2</v>
      </c>
      <c r="B6" s="111"/>
      <c r="C6" s="111"/>
    </row>
    <row r="7" spans="1:5" s="19" customFormat="1" ht="17.25" customHeight="1" x14ac:dyDescent="0.2">
      <c r="A7" s="4" t="s">
        <v>3</v>
      </c>
      <c r="B7" s="4" t="s">
        <v>4</v>
      </c>
      <c r="C7" s="5" t="s">
        <v>5</v>
      </c>
      <c r="D7" s="17"/>
      <c r="E7" s="18"/>
    </row>
    <row r="8" spans="1:5" x14ac:dyDescent="0.2">
      <c r="A8" s="2" t="s">
        <v>6</v>
      </c>
      <c r="B8" s="2" t="s">
        <v>168</v>
      </c>
      <c r="C8" s="8">
        <f>90000*0.5*3</f>
        <v>135000</v>
      </c>
      <c r="D8" s="96"/>
    </row>
    <row r="9" spans="1:5" x14ac:dyDescent="0.2">
      <c r="A9" s="2" t="s">
        <v>7</v>
      </c>
      <c r="B9" s="2" t="s">
        <v>193</v>
      </c>
      <c r="C9" s="8">
        <f>80000*1*3</f>
        <v>240000</v>
      </c>
      <c r="D9" s="20"/>
      <c r="E9" s="99"/>
    </row>
    <row r="10" spans="1:5" x14ac:dyDescent="0.2">
      <c r="A10" s="2" t="s">
        <v>8</v>
      </c>
      <c r="B10" s="2" t="s">
        <v>9</v>
      </c>
      <c r="C10" s="21">
        <f>70000*0.1*3</f>
        <v>21000</v>
      </c>
      <c r="D10" s="20"/>
    </row>
    <row r="11" spans="1:5" x14ac:dyDescent="0.2">
      <c r="A11" s="22"/>
      <c r="B11" s="94" t="s">
        <v>10</v>
      </c>
      <c r="C11" s="23">
        <f>SUM(C8:C10)</f>
        <v>396000</v>
      </c>
      <c r="D11" s="1"/>
    </row>
    <row r="12" spans="1:5" x14ac:dyDescent="0.2">
      <c r="B12" s="6"/>
      <c r="C12" s="1"/>
      <c r="D12" s="1"/>
    </row>
    <row r="13" spans="1:5" x14ac:dyDescent="0.2">
      <c r="A13" s="3" t="s">
        <v>11</v>
      </c>
    </row>
    <row r="14" spans="1:5" s="14" customFormat="1" ht="42" customHeight="1" x14ac:dyDescent="0.2">
      <c r="A14" s="110" t="s">
        <v>12</v>
      </c>
      <c r="B14" s="110"/>
      <c r="C14" s="110"/>
      <c r="D14" s="24"/>
      <c r="E14" s="13"/>
    </row>
    <row r="15" spans="1:5" s="14" customFormat="1" x14ac:dyDescent="0.2">
      <c r="A15" s="89"/>
      <c r="B15" s="89"/>
      <c r="C15" s="24"/>
      <c r="D15" s="24"/>
      <c r="E15" s="13"/>
    </row>
    <row r="16" spans="1:5" s="14" customFormat="1" ht="51" customHeight="1" x14ac:dyDescent="0.2">
      <c r="A16" s="110" t="s">
        <v>146</v>
      </c>
      <c r="B16" s="110"/>
      <c r="C16" s="110"/>
      <c r="D16" s="24"/>
      <c r="E16" s="13"/>
    </row>
    <row r="17" spans="1:5" s="14" customFormat="1" x14ac:dyDescent="0.2">
      <c r="A17" s="89"/>
      <c r="B17" s="89"/>
      <c r="C17" s="24"/>
      <c r="D17" s="24"/>
      <c r="E17" s="13"/>
    </row>
    <row r="18" spans="1:5" s="14" customFormat="1" ht="31.15" customHeight="1" x14ac:dyDescent="0.2">
      <c r="A18" s="110" t="s">
        <v>13</v>
      </c>
      <c r="B18" s="110"/>
      <c r="C18" s="110"/>
      <c r="D18" s="24"/>
      <c r="E18" s="13"/>
    </row>
    <row r="19" spans="1:5" s="14" customFormat="1" x14ac:dyDescent="0.2">
      <c r="A19" s="89"/>
      <c r="B19" s="89"/>
      <c r="C19" s="24"/>
      <c r="D19" s="24"/>
      <c r="E19" s="13"/>
    </row>
    <row r="20" spans="1:5" s="14" customFormat="1" ht="13.5" customHeight="1" x14ac:dyDescent="0.2">
      <c r="A20" s="111"/>
      <c r="B20" s="111"/>
      <c r="C20" s="111"/>
      <c r="D20" s="25"/>
      <c r="E20" s="13"/>
    </row>
    <row r="21" spans="1:5" ht="51" customHeight="1" x14ac:dyDescent="0.2">
      <c r="A21" s="122" t="s">
        <v>14</v>
      </c>
      <c r="B21" s="122"/>
      <c r="C21" s="122"/>
    </row>
    <row r="22" spans="1:5" ht="17.25" customHeight="1" x14ac:dyDescent="0.2">
      <c r="A22" s="4" t="s">
        <v>15</v>
      </c>
      <c r="B22" s="4" t="s">
        <v>16</v>
      </c>
      <c r="C22" s="5" t="s">
        <v>5</v>
      </c>
    </row>
    <row r="23" spans="1:5" s="19" customFormat="1" x14ac:dyDescent="0.2">
      <c r="A23" s="26" t="s">
        <v>6</v>
      </c>
      <c r="B23" s="4"/>
      <c r="C23" s="5"/>
      <c r="D23" s="18"/>
      <c r="E23" s="18"/>
    </row>
    <row r="24" spans="1:5" x14ac:dyDescent="0.2">
      <c r="A24" s="27" t="s">
        <v>17</v>
      </c>
      <c r="B24" s="2" t="s">
        <v>169</v>
      </c>
      <c r="C24" s="8">
        <f>135000*0.0765</f>
        <v>10327.5</v>
      </c>
    </row>
    <row r="25" spans="1:5" x14ac:dyDescent="0.2">
      <c r="A25" s="2" t="s">
        <v>18</v>
      </c>
      <c r="B25" s="2" t="s">
        <v>19</v>
      </c>
      <c r="C25" s="8">
        <f>6000*0.5*3</f>
        <v>9000</v>
      </c>
    </row>
    <row r="26" spans="1:5" x14ac:dyDescent="0.2">
      <c r="A26" s="28" t="s">
        <v>20</v>
      </c>
      <c r="B26" s="2" t="s">
        <v>170</v>
      </c>
      <c r="C26" s="8">
        <f>135000*1%</f>
        <v>1350</v>
      </c>
    </row>
    <row r="27" spans="1:5" x14ac:dyDescent="0.2">
      <c r="A27" s="27" t="s">
        <v>21</v>
      </c>
      <c r="B27" s="2" t="s">
        <v>171</v>
      </c>
      <c r="C27" s="8">
        <f>135000*0.5%</f>
        <v>675</v>
      </c>
      <c r="E27" s="13"/>
    </row>
    <row r="28" spans="1:5" x14ac:dyDescent="0.2">
      <c r="A28" s="22"/>
      <c r="B28" s="94" t="s">
        <v>22</v>
      </c>
      <c r="C28" s="23">
        <f>SUM(C24:C27)</f>
        <v>21352.5</v>
      </c>
      <c r="D28" s="1"/>
    </row>
    <row r="29" spans="1:5" x14ac:dyDescent="0.2">
      <c r="A29" s="26" t="s">
        <v>23</v>
      </c>
      <c r="B29" s="4"/>
      <c r="C29" s="5"/>
      <c r="D29" s="12"/>
      <c r="E29" s="13"/>
    </row>
    <row r="30" spans="1:5" x14ac:dyDescent="0.2">
      <c r="A30" s="27" t="s">
        <v>17</v>
      </c>
      <c r="B30" s="2" t="s">
        <v>194</v>
      </c>
      <c r="C30" s="8">
        <f>240000*7.65%</f>
        <v>18360</v>
      </c>
      <c r="D30" s="1"/>
    </row>
    <row r="31" spans="1:5" x14ac:dyDescent="0.2">
      <c r="A31" s="2" t="s">
        <v>18</v>
      </c>
      <c r="B31" s="2" t="s">
        <v>147</v>
      </c>
      <c r="C31" s="8">
        <f>6000*100%*3</f>
        <v>18000</v>
      </c>
    </row>
    <row r="32" spans="1:5" x14ac:dyDescent="0.2">
      <c r="A32" s="28" t="s">
        <v>20</v>
      </c>
      <c r="B32" s="2" t="s">
        <v>195</v>
      </c>
      <c r="C32" s="8">
        <f>240000*1%</f>
        <v>2400</v>
      </c>
    </row>
    <row r="33" spans="1:5" x14ac:dyDescent="0.2">
      <c r="A33" s="27" t="s">
        <v>21</v>
      </c>
      <c r="B33" s="2" t="s">
        <v>196</v>
      </c>
      <c r="C33" s="8">
        <f>240000*0.5%</f>
        <v>1200</v>
      </c>
    </row>
    <row r="34" spans="1:5" x14ac:dyDescent="0.2">
      <c r="A34" s="22"/>
      <c r="B34" s="94" t="s">
        <v>22</v>
      </c>
      <c r="C34" s="23">
        <f>SUM(C30:C33)</f>
        <v>39960</v>
      </c>
    </row>
    <row r="35" spans="1:5" x14ac:dyDescent="0.2">
      <c r="A35" s="26" t="s">
        <v>8</v>
      </c>
      <c r="B35" s="4"/>
      <c r="C35" s="5"/>
      <c r="D35" s="20"/>
    </row>
    <row r="36" spans="1:5" x14ac:dyDescent="0.2">
      <c r="A36" s="27" t="s">
        <v>17</v>
      </c>
      <c r="B36" s="2" t="s">
        <v>24</v>
      </c>
      <c r="C36" s="21">
        <f>21000*7.65%</f>
        <v>1606.5</v>
      </c>
      <c r="D36" s="20"/>
    </row>
    <row r="37" spans="1:5" x14ac:dyDescent="0.2">
      <c r="A37" s="2" t="s">
        <v>18</v>
      </c>
      <c r="B37" s="2" t="s">
        <v>25</v>
      </c>
      <c r="C37" s="21">
        <f>6000*10%*3</f>
        <v>1800</v>
      </c>
      <c r="D37" s="20"/>
    </row>
    <row r="38" spans="1:5" x14ac:dyDescent="0.2">
      <c r="A38" s="28" t="s">
        <v>20</v>
      </c>
      <c r="B38" s="2" t="s">
        <v>26</v>
      </c>
      <c r="C38" s="8">
        <f>21000*1%</f>
        <v>210</v>
      </c>
      <c r="D38" s="1"/>
    </row>
    <row r="39" spans="1:5" x14ac:dyDescent="0.2">
      <c r="A39" s="27" t="s">
        <v>21</v>
      </c>
      <c r="B39" s="2" t="s">
        <v>27</v>
      </c>
      <c r="C39" s="21">
        <f>21000*0.5%</f>
        <v>105</v>
      </c>
      <c r="D39" s="16"/>
    </row>
    <row r="40" spans="1:5" x14ac:dyDescent="0.2">
      <c r="A40" s="22"/>
      <c r="B40" s="94" t="s">
        <v>22</v>
      </c>
      <c r="C40" s="23">
        <f>SUM(C36:C39)</f>
        <v>3721.5</v>
      </c>
      <c r="E40" s="47"/>
    </row>
    <row r="41" spans="1:5" x14ac:dyDescent="0.2">
      <c r="A41" s="113" t="s">
        <v>28</v>
      </c>
      <c r="B41" s="114"/>
      <c r="C41" s="23">
        <f>C28+C34+C40</f>
        <v>65034</v>
      </c>
      <c r="D41" s="29"/>
    </row>
    <row r="42" spans="1:5" x14ac:dyDescent="0.2">
      <c r="A42" s="6"/>
      <c r="B42" s="6"/>
      <c r="C42" s="1"/>
      <c r="D42" s="29"/>
    </row>
    <row r="43" spans="1:5" x14ac:dyDescent="0.2">
      <c r="A43" s="3" t="s">
        <v>11</v>
      </c>
      <c r="B43" s="6"/>
      <c r="C43" s="1"/>
      <c r="D43" s="29"/>
    </row>
    <row r="44" spans="1:5" ht="30.75" customHeight="1" x14ac:dyDescent="0.2">
      <c r="A44" s="117" t="s">
        <v>29</v>
      </c>
      <c r="B44" s="118"/>
      <c r="C44" s="118"/>
      <c r="D44" s="29"/>
    </row>
    <row r="45" spans="1:5" x14ac:dyDescent="0.2">
      <c r="A45" s="90"/>
      <c r="B45" s="91"/>
      <c r="C45" s="29"/>
      <c r="D45" s="29"/>
    </row>
    <row r="46" spans="1:5" ht="12.75" customHeight="1" x14ac:dyDescent="0.2">
      <c r="A46" s="90"/>
      <c r="B46" s="91"/>
      <c r="C46" s="29"/>
      <c r="D46" s="29"/>
    </row>
    <row r="47" spans="1:5" ht="87" customHeight="1" x14ac:dyDescent="0.2">
      <c r="A47" s="122" t="s">
        <v>30</v>
      </c>
      <c r="B47" s="122"/>
      <c r="C47" s="122"/>
      <c r="D47" s="30"/>
      <c r="E47" s="30"/>
    </row>
    <row r="48" spans="1:5" s="19" customFormat="1" ht="17.25" customHeight="1" x14ac:dyDescent="0.2">
      <c r="A48" s="4" t="s">
        <v>31</v>
      </c>
      <c r="B48" s="4" t="s">
        <v>32</v>
      </c>
      <c r="C48" s="5" t="s">
        <v>15</v>
      </c>
      <c r="D48" s="5" t="s">
        <v>4</v>
      </c>
      <c r="E48" s="5" t="s">
        <v>33</v>
      </c>
    </row>
    <row r="49" spans="1:5" ht="36.75" customHeight="1" x14ac:dyDescent="0.2">
      <c r="A49" s="108" t="s">
        <v>210</v>
      </c>
      <c r="B49" s="105" t="s">
        <v>209</v>
      </c>
      <c r="C49" s="105" t="s">
        <v>209</v>
      </c>
      <c r="D49" s="105" t="s">
        <v>209</v>
      </c>
      <c r="E49" s="31">
        <v>3500</v>
      </c>
    </row>
    <row r="50" spans="1:5" ht="25.5" x14ac:dyDescent="0.2">
      <c r="A50" s="108" t="s">
        <v>35</v>
      </c>
      <c r="B50" s="105" t="s">
        <v>34</v>
      </c>
      <c r="C50" s="109" t="s">
        <v>36</v>
      </c>
      <c r="D50" s="32" t="s">
        <v>37</v>
      </c>
      <c r="E50" s="31">
        <f>SUM(50*0.725*5)</f>
        <v>181.25</v>
      </c>
    </row>
    <row r="51" spans="1:5" x14ac:dyDescent="0.2">
      <c r="A51" s="28" t="s">
        <v>38</v>
      </c>
      <c r="B51" s="2" t="s">
        <v>34</v>
      </c>
      <c r="C51" s="32" t="s">
        <v>36</v>
      </c>
      <c r="D51" s="32" t="s">
        <v>39</v>
      </c>
      <c r="E51" s="31">
        <f>100*0.725*24</f>
        <v>1740</v>
      </c>
    </row>
    <row r="52" spans="1:5" x14ac:dyDescent="0.2">
      <c r="A52" s="28" t="s">
        <v>40</v>
      </c>
      <c r="B52" s="2" t="s">
        <v>34</v>
      </c>
      <c r="C52" s="32" t="s">
        <v>36</v>
      </c>
      <c r="D52" s="32" t="s">
        <v>41</v>
      </c>
      <c r="E52" s="31">
        <f>50*0.725*36</f>
        <v>1305</v>
      </c>
    </row>
    <row r="53" spans="1:5" ht="12.6" customHeight="1" x14ac:dyDescent="0.2">
      <c r="A53" s="119" t="s">
        <v>42</v>
      </c>
      <c r="B53" s="121"/>
      <c r="C53" s="121"/>
      <c r="D53" s="120"/>
      <c r="E53" s="23">
        <f>SUM(E49:E52)</f>
        <v>6726.25</v>
      </c>
    </row>
    <row r="54" spans="1:5" ht="12.6" customHeight="1" x14ac:dyDescent="0.2">
      <c r="A54" s="33"/>
      <c r="B54" s="33"/>
      <c r="C54" s="33"/>
      <c r="D54" s="34"/>
      <c r="E54" s="1"/>
    </row>
    <row r="55" spans="1:5" ht="12.6" customHeight="1" x14ac:dyDescent="0.2">
      <c r="A55" s="95" t="s">
        <v>43</v>
      </c>
      <c r="B55" s="91"/>
      <c r="C55" s="29"/>
      <c r="D55" s="30"/>
      <c r="E55" s="16"/>
    </row>
    <row r="56" spans="1:5" ht="65.25" customHeight="1" x14ac:dyDescent="0.2">
      <c r="A56" s="110" t="s">
        <v>218</v>
      </c>
      <c r="B56" s="110"/>
      <c r="C56" s="110"/>
      <c r="D56" s="35"/>
      <c r="E56" s="35"/>
    </row>
    <row r="57" spans="1:5" x14ac:dyDescent="0.2">
      <c r="A57" s="89"/>
      <c r="B57" s="89"/>
      <c r="C57" s="24"/>
      <c r="D57" s="24"/>
      <c r="E57" s="24"/>
    </row>
    <row r="58" spans="1:5" ht="63.95" customHeight="1" x14ac:dyDescent="0.2">
      <c r="A58" s="110" t="s">
        <v>44</v>
      </c>
      <c r="B58" s="110"/>
      <c r="C58" s="110"/>
      <c r="D58" s="35"/>
      <c r="E58" s="35"/>
    </row>
    <row r="59" spans="1:5" ht="14.25" customHeight="1" x14ac:dyDescent="0.2">
      <c r="A59" s="110"/>
      <c r="B59" s="110"/>
      <c r="C59" s="110"/>
      <c r="D59" s="24"/>
    </row>
    <row r="60" spans="1:5" ht="12.75" customHeight="1" x14ac:dyDescent="0.2">
      <c r="A60" s="90"/>
      <c r="B60" s="90"/>
      <c r="C60" s="35"/>
      <c r="D60" s="35"/>
    </row>
    <row r="61" spans="1:5" ht="89.25" customHeight="1" x14ac:dyDescent="0.2">
      <c r="A61" s="111" t="s">
        <v>45</v>
      </c>
      <c r="B61" s="111"/>
      <c r="C61" s="111"/>
      <c r="D61" s="35"/>
    </row>
    <row r="62" spans="1:5" s="19" customFormat="1" ht="17.25" customHeight="1" x14ac:dyDescent="0.2">
      <c r="A62" s="36" t="s">
        <v>15</v>
      </c>
      <c r="B62" s="36" t="s">
        <v>4</v>
      </c>
      <c r="C62" s="37" t="s">
        <v>33</v>
      </c>
      <c r="D62" s="97"/>
      <c r="E62" s="18"/>
    </row>
    <row r="63" spans="1:5" x14ac:dyDescent="0.2">
      <c r="A63" s="28"/>
      <c r="B63" s="28"/>
      <c r="C63" s="32"/>
      <c r="D63" s="35"/>
    </row>
    <row r="64" spans="1:5" x14ac:dyDescent="0.2">
      <c r="A64" s="28"/>
      <c r="B64" s="38" t="s">
        <v>48</v>
      </c>
      <c r="C64" s="39">
        <v>0</v>
      </c>
      <c r="D64" s="35"/>
    </row>
    <row r="65" spans="1:5" x14ac:dyDescent="0.2">
      <c r="A65" s="90"/>
      <c r="B65" s="95"/>
      <c r="C65" s="40"/>
      <c r="D65" s="35"/>
    </row>
    <row r="66" spans="1:5" x14ac:dyDescent="0.2">
      <c r="A66" s="95" t="s">
        <v>11</v>
      </c>
      <c r="B66" s="95"/>
      <c r="C66" s="30"/>
      <c r="D66" s="35"/>
    </row>
    <row r="67" spans="1:5" ht="47.25" customHeight="1" x14ac:dyDescent="0.2">
      <c r="A67" s="110"/>
      <c r="B67" s="110"/>
      <c r="C67" s="110"/>
      <c r="D67" s="35"/>
    </row>
    <row r="68" spans="1:5" x14ac:dyDescent="0.2">
      <c r="A68" s="89"/>
      <c r="B68" s="89"/>
      <c r="C68" s="89"/>
      <c r="D68" s="35"/>
    </row>
    <row r="69" spans="1:5" x14ac:dyDescent="0.2">
      <c r="A69" s="89"/>
      <c r="B69" s="93"/>
      <c r="C69" s="12"/>
      <c r="D69" s="12"/>
    </row>
    <row r="70" spans="1:5" ht="53.25" customHeight="1" x14ac:dyDescent="0.2">
      <c r="A70" s="122" t="s">
        <v>50</v>
      </c>
      <c r="B70" s="122"/>
      <c r="C70" s="122"/>
    </row>
    <row r="71" spans="1:5" s="19" customFormat="1" ht="17.25" customHeight="1" x14ac:dyDescent="0.2">
      <c r="A71" s="4" t="s">
        <v>51</v>
      </c>
      <c r="B71" s="4" t="s">
        <v>16</v>
      </c>
      <c r="C71" s="5" t="s">
        <v>33</v>
      </c>
      <c r="D71" s="17"/>
      <c r="E71" s="18"/>
    </row>
    <row r="72" spans="1:5" x14ac:dyDescent="0.2">
      <c r="A72" s="41" t="s">
        <v>52</v>
      </c>
      <c r="B72" s="41" t="s">
        <v>53</v>
      </c>
      <c r="C72" s="21">
        <f>250*42%*36</f>
        <v>3780</v>
      </c>
      <c r="D72" s="96"/>
    </row>
    <row r="73" spans="1:5" s="42" customFormat="1" x14ac:dyDescent="0.2">
      <c r="A73" s="41" t="s">
        <v>54</v>
      </c>
      <c r="B73" s="41" t="s">
        <v>55</v>
      </c>
      <c r="C73" s="8">
        <f>100*42%*36</f>
        <v>1512</v>
      </c>
      <c r="D73" s="96"/>
      <c r="E73" s="68"/>
    </row>
    <row r="74" spans="1:5" x14ac:dyDescent="0.2">
      <c r="A74" s="41" t="s">
        <v>56</v>
      </c>
      <c r="B74" s="41" t="s">
        <v>57</v>
      </c>
      <c r="C74" s="8">
        <f>2*500</f>
        <v>1000</v>
      </c>
      <c r="D74" s="96"/>
    </row>
    <row r="75" spans="1:5" x14ac:dyDescent="0.2">
      <c r="A75" s="41" t="s">
        <v>58</v>
      </c>
      <c r="B75" s="41" t="s">
        <v>188</v>
      </c>
      <c r="C75" s="8">
        <f>50*75</f>
        <v>3750</v>
      </c>
      <c r="D75" s="96"/>
    </row>
    <row r="76" spans="1:5" x14ac:dyDescent="0.2">
      <c r="A76" s="106" t="s">
        <v>46</v>
      </c>
      <c r="B76" s="107" t="s">
        <v>47</v>
      </c>
      <c r="C76" s="32">
        <f>1200</f>
        <v>1200</v>
      </c>
      <c r="D76" s="96"/>
    </row>
    <row r="77" spans="1:5" x14ac:dyDescent="0.2">
      <c r="A77" s="113" t="s">
        <v>59</v>
      </c>
      <c r="B77" s="114"/>
      <c r="C77" s="23">
        <f>SUM(C72:C76)</f>
        <v>11242</v>
      </c>
      <c r="D77" s="1"/>
    </row>
    <row r="78" spans="1:5" x14ac:dyDescent="0.2">
      <c r="A78" s="6"/>
      <c r="B78" s="6"/>
      <c r="C78" s="1"/>
      <c r="D78" s="1"/>
    </row>
    <row r="79" spans="1:5" x14ac:dyDescent="0.2">
      <c r="A79" s="3" t="s">
        <v>11</v>
      </c>
      <c r="B79" s="6"/>
      <c r="C79" s="16"/>
      <c r="D79" s="1"/>
    </row>
    <row r="80" spans="1:5" ht="71.25" customHeight="1" x14ac:dyDescent="0.2">
      <c r="A80" s="110" t="s">
        <v>191</v>
      </c>
      <c r="B80" s="110"/>
      <c r="C80" s="110"/>
      <c r="D80" s="35"/>
    </row>
    <row r="81" spans="1:5" x14ac:dyDescent="0.2">
      <c r="A81" s="89"/>
      <c r="B81" s="89"/>
      <c r="C81" s="89"/>
      <c r="D81" s="35"/>
    </row>
    <row r="82" spans="1:5" ht="65.25" customHeight="1" x14ac:dyDescent="0.2">
      <c r="A82" s="110" t="s">
        <v>60</v>
      </c>
      <c r="B82" s="110"/>
      <c r="C82" s="110"/>
      <c r="D82" s="35"/>
    </row>
    <row r="83" spans="1:5" x14ac:dyDescent="0.2">
      <c r="B83" s="91"/>
      <c r="C83" s="29"/>
      <c r="D83" s="29"/>
    </row>
    <row r="84" spans="1:5" ht="39" customHeight="1" x14ac:dyDescent="0.2">
      <c r="A84" s="117" t="s">
        <v>61</v>
      </c>
      <c r="B84" s="118"/>
      <c r="C84" s="118"/>
      <c r="D84" s="29"/>
    </row>
    <row r="85" spans="1:5" x14ac:dyDescent="0.2">
      <c r="A85" s="91"/>
      <c r="B85" s="91"/>
      <c r="C85" s="29"/>
      <c r="D85" s="29"/>
    </row>
    <row r="86" spans="1:5" ht="39.75" customHeight="1" x14ac:dyDescent="0.2">
      <c r="A86" s="110" t="s">
        <v>62</v>
      </c>
      <c r="B86" s="110"/>
      <c r="C86" s="110"/>
      <c r="D86" s="24"/>
    </row>
    <row r="87" spans="1:5" ht="13.5" customHeight="1" x14ac:dyDescent="0.2">
      <c r="A87" s="89"/>
      <c r="B87" s="89"/>
      <c r="C87" s="24"/>
      <c r="D87" s="24"/>
    </row>
    <row r="88" spans="1:5" ht="13.5" customHeight="1" x14ac:dyDescent="0.2">
      <c r="A88" s="110" t="s">
        <v>49</v>
      </c>
      <c r="B88" s="110"/>
      <c r="C88" s="110"/>
      <c r="D88" s="24"/>
    </row>
    <row r="89" spans="1:5" x14ac:dyDescent="0.2">
      <c r="A89" s="91"/>
      <c r="B89" s="91"/>
      <c r="C89" s="29"/>
      <c r="D89" s="29"/>
    </row>
    <row r="90" spans="1:5" ht="40.5" customHeight="1" x14ac:dyDescent="0.2">
      <c r="A90" s="123" t="s">
        <v>63</v>
      </c>
      <c r="B90" s="123"/>
      <c r="C90" s="123"/>
      <c r="D90" s="35"/>
    </row>
    <row r="91" spans="1:5" s="19" customFormat="1" ht="17.25" customHeight="1" x14ac:dyDescent="0.2">
      <c r="A91" s="36" t="s">
        <v>64</v>
      </c>
      <c r="B91" s="36" t="s">
        <v>4</v>
      </c>
      <c r="C91" s="37" t="s">
        <v>33</v>
      </c>
      <c r="D91" s="43"/>
      <c r="E91" s="18"/>
    </row>
    <row r="92" spans="1:5" s="19" customFormat="1" x14ac:dyDescent="0.2">
      <c r="A92" s="44" t="s">
        <v>65</v>
      </c>
      <c r="B92" s="36"/>
      <c r="C92" s="37"/>
      <c r="D92" s="43"/>
      <c r="E92" s="18"/>
    </row>
    <row r="93" spans="1:5" ht="35.25" customHeight="1" x14ac:dyDescent="0.2">
      <c r="A93" s="28" t="s">
        <v>210</v>
      </c>
      <c r="B93" s="2" t="s">
        <v>209</v>
      </c>
      <c r="C93" s="73">
        <v>5000</v>
      </c>
      <c r="D93" s="29"/>
      <c r="E93" s="99"/>
    </row>
    <row r="94" spans="1:5" ht="25.5" x14ac:dyDescent="0.2">
      <c r="A94" s="84" t="s">
        <v>66</v>
      </c>
      <c r="B94" s="85" t="s">
        <v>67</v>
      </c>
      <c r="C94" s="86">
        <f>(30*0.725*3)</f>
        <v>65.25</v>
      </c>
      <c r="D94" s="29"/>
      <c r="E94" s="99"/>
    </row>
    <row r="95" spans="1:5" ht="14.25" customHeight="1" x14ac:dyDescent="0.2">
      <c r="A95" s="115" t="s">
        <v>68</v>
      </c>
      <c r="B95" s="115"/>
      <c r="C95" s="75">
        <f>C93+C94</f>
        <v>5065.25</v>
      </c>
      <c r="D95" s="35"/>
    </row>
    <row r="96" spans="1:5" x14ac:dyDescent="0.2">
      <c r="A96" s="117"/>
      <c r="B96" s="118"/>
      <c r="C96" s="118"/>
      <c r="D96" s="55"/>
    </row>
    <row r="97" spans="1:5" x14ac:dyDescent="0.2">
      <c r="A97" s="38" t="s">
        <v>69</v>
      </c>
      <c r="B97" s="28"/>
      <c r="C97" s="73"/>
      <c r="D97" s="29"/>
    </row>
    <row r="98" spans="1:5" ht="72.599999999999994" customHeight="1" x14ac:dyDescent="0.2">
      <c r="A98" s="45" t="s">
        <v>210</v>
      </c>
      <c r="B98" s="2" t="s">
        <v>209</v>
      </c>
      <c r="C98" s="73">
        <v>5000</v>
      </c>
      <c r="D98" s="12"/>
    </row>
    <row r="99" spans="1:5" ht="25.5" x14ac:dyDescent="0.2">
      <c r="A99" s="28" t="s">
        <v>70</v>
      </c>
      <c r="B99" s="32" t="s">
        <v>71</v>
      </c>
      <c r="C99" s="79">
        <f>50*0.725*3*3</f>
        <v>326.25</v>
      </c>
    </row>
    <row r="100" spans="1:5" ht="25.5" x14ac:dyDescent="0.2">
      <c r="A100" s="80" t="s">
        <v>66</v>
      </c>
      <c r="B100" s="28" t="s">
        <v>72</v>
      </c>
      <c r="C100" s="79">
        <f>30*0.725*3</f>
        <v>65.25</v>
      </c>
    </row>
    <row r="101" spans="1:5" ht="14.25" customHeight="1" x14ac:dyDescent="0.2">
      <c r="A101" s="119" t="s">
        <v>73</v>
      </c>
      <c r="B101" s="120"/>
      <c r="C101" s="75">
        <f>C98+C99+C100</f>
        <v>5391.5</v>
      </c>
      <c r="D101" s="35"/>
    </row>
    <row r="102" spans="1:5" ht="14.25" customHeight="1" x14ac:dyDescent="0.2">
      <c r="A102" s="33"/>
      <c r="B102" s="33"/>
      <c r="C102" s="100"/>
      <c r="D102" s="35"/>
    </row>
    <row r="103" spans="1:5" ht="14.25" customHeight="1" x14ac:dyDescent="0.2">
      <c r="A103" s="44" t="s">
        <v>172</v>
      </c>
      <c r="B103" s="98"/>
      <c r="C103" s="75"/>
      <c r="D103" s="35"/>
    </row>
    <row r="104" spans="1:5" ht="72" customHeight="1" x14ac:dyDescent="0.2">
      <c r="A104" s="45" t="s">
        <v>173</v>
      </c>
      <c r="B104" s="45" t="s">
        <v>174</v>
      </c>
      <c r="C104" s="101">
        <f>(600+672+284+100)*2</f>
        <v>3312</v>
      </c>
      <c r="D104" s="35"/>
    </row>
    <row r="105" spans="1:5" ht="15.75" customHeight="1" x14ac:dyDescent="0.2">
      <c r="A105" s="115" t="s">
        <v>175</v>
      </c>
      <c r="B105" s="115"/>
      <c r="C105" s="102">
        <f>C104</f>
        <v>3312</v>
      </c>
      <c r="D105" s="35"/>
    </row>
    <row r="106" spans="1:5" ht="15.75" customHeight="1" x14ac:dyDescent="0.2">
      <c r="A106" s="33"/>
      <c r="B106" s="33"/>
      <c r="C106" s="34"/>
      <c r="D106" s="35"/>
    </row>
    <row r="107" spans="1:5" ht="15.75" customHeight="1" x14ac:dyDescent="0.2">
      <c r="A107" s="44" t="s">
        <v>177</v>
      </c>
      <c r="B107" s="98"/>
      <c r="C107" s="102"/>
      <c r="D107" s="35"/>
    </row>
    <row r="108" spans="1:5" s="91" customFormat="1" ht="73.5" customHeight="1" x14ac:dyDescent="0.2">
      <c r="A108" s="45" t="s">
        <v>210</v>
      </c>
      <c r="B108" s="2" t="s">
        <v>209</v>
      </c>
      <c r="C108" s="101">
        <v>5000</v>
      </c>
      <c r="D108" s="35"/>
      <c r="E108" s="29"/>
    </row>
    <row r="109" spans="1:5" s="91" customFormat="1" ht="34.5" customHeight="1" x14ac:dyDescent="0.2">
      <c r="A109" s="28" t="s">
        <v>70</v>
      </c>
      <c r="B109" s="103" t="s">
        <v>178</v>
      </c>
      <c r="C109" s="79">
        <f>50*0.725*3*3</f>
        <v>326.25</v>
      </c>
      <c r="D109" s="35"/>
      <c r="E109" s="29"/>
    </row>
    <row r="110" spans="1:5" s="91" customFormat="1" ht="34.5" customHeight="1" x14ac:dyDescent="0.2">
      <c r="A110" s="28" t="s">
        <v>66</v>
      </c>
      <c r="B110" s="28" t="s">
        <v>180</v>
      </c>
      <c r="C110" s="79">
        <f>30*0.725*3</f>
        <v>65.25</v>
      </c>
      <c r="D110" s="35"/>
      <c r="E110" s="29"/>
    </row>
    <row r="111" spans="1:5" s="91" customFormat="1" ht="18" customHeight="1" x14ac:dyDescent="0.2">
      <c r="A111" s="115" t="s">
        <v>179</v>
      </c>
      <c r="B111" s="115"/>
      <c r="C111" s="75">
        <f>SUM(C108:C110)</f>
        <v>5391.5</v>
      </c>
      <c r="D111" s="35"/>
      <c r="E111" s="29"/>
    </row>
    <row r="112" spans="1:5" ht="14.25" customHeight="1" x14ac:dyDescent="0.2">
      <c r="A112" s="33"/>
      <c r="B112" s="33"/>
      <c r="C112" s="34"/>
      <c r="D112" s="35"/>
    </row>
    <row r="113" spans="1:5" ht="14.25" customHeight="1" x14ac:dyDescent="0.2">
      <c r="A113" s="92" t="s">
        <v>11</v>
      </c>
      <c r="B113" s="33"/>
      <c r="C113" s="34"/>
      <c r="D113" s="35"/>
    </row>
    <row r="114" spans="1:5" ht="57" customHeight="1" x14ac:dyDescent="0.2">
      <c r="A114" s="110" t="s">
        <v>211</v>
      </c>
      <c r="B114" s="110"/>
      <c r="C114" s="110"/>
      <c r="D114" s="35"/>
    </row>
    <row r="115" spans="1:5" ht="14.25" customHeight="1" x14ac:dyDescent="0.2">
      <c r="A115" s="95"/>
      <c r="B115" s="95"/>
      <c r="C115" s="40"/>
      <c r="D115" s="35"/>
    </row>
    <row r="116" spans="1:5" ht="81.95" customHeight="1" x14ac:dyDescent="0.2">
      <c r="A116" s="110" t="s">
        <v>212</v>
      </c>
      <c r="B116" s="110"/>
      <c r="C116" s="110"/>
      <c r="D116" s="35"/>
    </row>
    <row r="117" spans="1:5" ht="14.25" customHeight="1" x14ac:dyDescent="0.2">
      <c r="A117" s="89"/>
      <c r="B117" s="89"/>
      <c r="C117" s="89"/>
      <c r="D117" s="35"/>
    </row>
    <row r="118" spans="1:5" ht="30.75" customHeight="1" x14ac:dyDescent="0.2">
      <c r="A118" s="110" t="s">
        <v>176</v>
      </c>
      <c r="B118" s="110"/>
      <c r="C118" s="110"/>
      <c r="D118" s="35"/>
    </row>
    <row r="119" spans="1:5" ht="14.25" customHeight="1" x14ac:dyDescent="0.2">
      <c r="A119" s="89"/>
      <c r="B119" s="89"/>
      <c r="C119" s="89"/>
      <c r="D119" s="35"/>
    </row>
    <row r="120" spans="1:5" ht="80.25" customHeight="1" x14ac:dyDescent="0.2">
      <c r="A120" s="110" t="s">
        <v>213</v>
      </c>
      <c r="B120" s="110"/>
      <c r="C120" s="110"/>
      <c r="D120" s="35"/>
    </row>
    <row r="121" spans="1:5" s="48" customFormat="1" x14ac:dyDescent="0.2">
      <c r="A121" s="89"/>
      <c r="B121" s="89"/>
      <c r="C121" s="89"/>
      <c r="D121" s="35"/>
      <c r="E121" s="47"/>
    </row>
    <row r="122" spans="1:5" x14ac:dyDescent="0.2">
      <c r="A122" s="119" t="s">
        <v>74</v>
      </c>
      <c r="B122" s="120"/>
      <c r="C122" s="37">
        <f>C95+C101+C105+C111</f>
        <v>19160.25</v>
      </c>
      <c r="D122" s="29"/>
    </row>
    <row r="123" spans="1:5" ht="12.95" customHeight="1" x14ac:dyDescent="0.2">
      <c r="A123" s="49"/>
      <c r="B123" s="49"/>
      <c r="C123" s="50"/>
      <c r="D123" s="29"/>
    </row>
    <row r="124" spans="1:5" ht="12.95" customHeight="1" x14ac:dyDescent="0.2">
      <c r="A124" s="51"/>
    </row>
    <row r="125" spans="1:5" ht="38.25" customHeight="1" x14ac:dyDescent="0.2">
      <c r="A125" s="111" t="s">
        <v>75</v>
      </c>
      <c r="B125" s="111"/>
      <c r="C125" s="111"/>
    </row>
    <row r="126" spans="1:5" x14ac:dyDescent="0.2">
      <c r="A126" s="92"/>
      <c r="B126" s="92"/>
      <c r="C126" s="52"/>
    </row>
    <row r="127" spans="1:5" ht="76.5" customHeight="1" x14ac:dyDescent="0.2">
      <c r="A127" s="111" t="s">
        <v>76</v>
      </c>
      <c r="B127" s="111"/>
      <c r="C127" s="111"/>
    </row>
    <row r="128" spans="1:5" s="19" customFormat="1" ht="17.25" customHeight="1" x14ac:dyDescent="0.2">
      <c r="A128" s="4" t="s">
        <v>77</v>
      </c>
      <c r="B128" s="53" t="s">
        <v>78</v>
      </c>
      <c r="C128" s="5" t="s">
        <v>79</v>
      </c>
      <c r="D128" s="5" t="s">
        <v>33</v>
      </c>
      <c r="E128" s="18"/>
    </row>
    <row r="129" spans="1:5" ht="25.5" x14ac:dyDescent="0.2">
      <c r="A129" s="28" t="s">
        <v>80</v>
      </c>
      <c r="B129" s="87" t="s">
        <v>81</v>
      </c>
      <c r="C129" s="32" t="s">
        <v>82</v>
      </c>
      <c r="D129" s="46">
        <f>650*3</f>
        <v>1950</v>
      </c>
    </row>
    <row r="130" spans="1:5" x14ac:dyDescent="0.2">
      <c r="A130" s="119" t="s">
        <v>83</v>
      </c>
      <c r="B130" s="121"/>
      <c r="C130" s="120"/>
      <c r="D130" s="39">
        <f>D129</f>
        <v>1950</v>
      </c>
    </row>
    <row r="131" spans="1:5" x14ac:dyDescent="0.2">
      <c r="A131" s="6"/>
      <c r="B131" s="6"/>
      <c r="C131" s="6"/>
      <c r="D131" s="1"/>
    </row>
    <row r="132" spans="1:5" x14ac:dyDescent="0.2">
      <c r="A132" s="3" t="s">
        <v>43</v>
      </c>
      <c r="B132" s="15"/>
      <c r="C132" s="1"/>
      <c r="D132" s="1"/>
    </row>
    <row r="133" spans="1:5" ht="50.25" customHeight="1" x14ac:dyDescent="0.2">
      <c r="A133" s="110" t="s">
        <v>84</v>
      </c>
      <c r="B133" s="110"/>
      <c r="C133" s="110"/>
      <c r="D133" s="55"/>
    </row>
    <row r="134" spans="1:5" x14ac:dyDescent="0.2">
      <c r="B134" s="15"/>
      <c r="C134" s="20"/>
      <c r="D134" s="20"/>
      <c r="E134" s="20"/>
    </row>
    <row r="135" spans="1:5" ht="25.5" customHeight="1" x14ac:dyDescent="0.2">
      <c r="A135" s="122" t="s">
        <v>85</v>
      </c>
      <c r="B135" s="122"/>
      <c r="C135" s="122"/>
      <c r="D135" s="56"/>
      <c r="E135" s="20"/>
    </row>
    <row r="136" spans="1:5" s="19" customFormat="1" ht="17.25" customHeight="1" x14ac:dyDescent="0.2">
      <c r="A136" s="4" t="s">
        <v>31</v>
      </c>
      <c r="B136" s="53" t="s">
        <v>32</v>
      </c>
      <c r="C136" s="5" t="s">
        <v>15</v>
      </c>
      <c r="D136" s="5" t="s">
        <v>4</v>
      </c>
      <c r="E136" s="5" t="s">
        <v>33</v>
      </c>
    </row>
    <row r="137" spans="1:5" ht="25.5" x14ac:dyDescent="0.2">
      <c r="A137" s="45" t="s">
        <v>86</v>
      </c>
      <c r="B137" s="54" t="s">
        <v>87</v>
      </c>
      <c r="C137" s="57" t="s">
        <v>88</v>
      </c>
      <c r="D137" s="32" t="s">
        <v>89</v>
      </c>
      <c r="E137" s="21">
        <v>600</v>
      </c>
    </row>
    <row r="138" spans="1:5" x14ac:dyDescent="0.2">
      <c r="A138" s="41"/>
      <c r="B138" s="54"/>
      <c r="C138" s="8" t="s">
        <v>90</v>
      </c>
      <c r="D138" s="8" t="s">
        <v>91</v>
      </c>
      <c r="E138" s="21">
        <f>125*2</f>
        <v>250</v>
      </c>
    </row>
    <row r="139" spans="1:5" x14ac:dyDescent="0.2">
      <c r="A139" s="27"/>
      <c r="B139" s="58"/>
      <c r="C139" s="8" t="s">
        <v>92</v>
      </c>
      <c r="D139" s="8" t="s">
        <v>93</v>
      </c>
      <c r="E139" s="21">
        <f>45*3</f>
        <v>135</v>
      </c>
    </row>
    <row r="140" spans="1:5" x14ac:dyDescent="0.2">
      <c r="A140" s="116" t="s">
        <v>94</v>
      </c>
      <c r="B140" s="116"/>
      <c r="C140" s="116"/>
      <c r="D140" s="116"/>
      <c r="E140" s="23">
        <f>E137+E138+E139</f>
        <v>985</v>
      </c>
    </row>
    <row r="141" spans="1:5" x14ac:dyDescent="0.2">
      <c r="A141" s="7" t="s">
        <v>11</v>
      </c>
      <c r="B141" s="6"/>
      <c r="C141" s="6"/>
      <c r="D141" s="9"/>
      <c r="E141" s="1"/>
    </row>
    <row r="142" spans="1:5" x14ac:dyDescent="0.2">
      <c r="A142" s="110" t="s">
        <v>95</v>
      </c>
      <c r="B142" s="112"/>
      <c r="C142" s="112"/>
      <c r="D142" s="112"/>
      <c r="E142" s="112"/>
    </row>
    <row r="143" spans="1:5" x14ac:dyDescent="0.2">
      <c r="A143" s="115" t="s">
        <v>96</v>
      </c>
      <c r="B143" s="115"/>
      <c r="C143" s="115"/>
      <c r="D143" s="115"/>
      <c r="E143" s="59">
        <f>E140+D130</f>
        <v>2935</v>
      </c>
    </row>
    <row r="144" spans="1:5" x14ac:dyDescent="0.2">
      <c r="A144" s="89"/>
      <c r="B144" s="93"/>
      <c r="C144" s="60"/>
      <c r="D144" s="52"/>
      <c r="E144" s="52"/>
    </row>
    <row r="145" spans="1:5" ht="51.75" customHeight="1" x14ac:dyDescent="0.2">
      <c r="A145" s="111" t="s">
        <v>97</v>
      </c>
      <c r="B145" s="111"/>
      <c r="C145" s="111"/>
      <c r="D145" s="52"/>
      <c r="E145" s="52"/>
    </row>
    <row r="146" spans="1:5" s="19" customFormat="1" ht="17.25" customHeight="1" x14ac:dyDescent="0.2">
      <c r="A146" s="36" t="s">
        <v>15</v>
      </c>
      <c r="B146" s="36" t="s">
        <v>4</v>
      </c>
      <c r="C146" s="37" t="s">
        <v>33</v>
      </c>
      <c r="D146" s="62"/>
      <c r="E146" s="62"/>
    </row>
    <row r="147" spans="1:5" x14ac:dyDescent="0.2">
      <c r="A147" s="28" t="s">
        <v>98</v>
      </c>
      <c r="B147" s="45" t="s">
        <v>99</v>
      </c>
      <c r="C147" s="57">
        <f>85*10*24</f>
        <v>20400</v>
      </c>
      <c r="D147" s="52"/>
      <c r="E147" s="52"/>
    </row>
    <row r="148" spans="1:5" x14ac:dyDescent="0.2">
      <c r="A148" s="28" t="s">
        <v>187</v>
      </c>
      <c r="B148" s="45" t="s">
        <v>189</v>
      </c>
      <c r="C148" s="57">
        <f>90*15*24</f>
        <v>32400</v>
      </c>
      <c r="D148" s="52"/>
      <c r="E148" s="52"/>
    </row>
    <row r="149" spans="1:5" x14ac:dyDescent="0.2">
      <c r="A149" s="28" t="s">
        <v>100</v>
      </c>
      <c r="B149" s="45" t="s">
        <v>101</v>
      </c>
      <c r="C149" s="57">
        <f>75*24</f>
        <v>1800</v>
      </c>
      <c r="D149" s="52"/>
      <c r="E149" s="52"/>
    </row>
    <row r="150" spans="1:5" s="3" customFormat="1" x14ac:dyDescent="0.2">
      <c r="A150" s="2" t="s">
        <v>102</v>
      </c>
      <c r="B150" s="54" t="s">
        <v>103</v>
      </c>
      <c r="C150" s="57">
        <f>3.95*300*2</f>
        <v>2370</v>
      </c>
      <c r="D150" s="16"/>
      <c r="E150" s="16"/>
    </row>
    <row r="151" spans="1:5" x14ac:dyDescent="0.2">
      <c r="A151" s="2" t="s">
        <v>104</v>
      </c>
      <c r="B151" s="54" t="s">
        <v>105</v>
      </c>
      <c r="C151" s="57">
        <f>100*20*2</f>
        <v>4000</v>
      </c>
    </row>
    <row r="152" spans="1:5" x14ac:dyDescent="0.2">
      <c r="A152" s="2" t="s">
        <v>106</v>
      </c>
      <c r="B152" s="54" t="s">
        <v>107</v>
      </c>
      <c r="C152" s="57">
        <f>125*10*2</f>
        <v>2500</v>
      </c>
    </row>
    <row r="153" spans="1:5" x14ac:dyDescent="0.2">
      <c r="A153" s="2" t="s">
        <v>108</v>
      </c>
      <c r="B153" s="2" t="s">
        <v>109</v>
      </c>
      <c r="C153" s="57">
        <f>25*20*2</f>
        <v>1000</v>
      </c>
    </row>
    <row r="154" spans="1:5" x14ac:dyDescent="0.2">
      <c r="A154" s="2" t="s">
        <v>110</v>
      </c>
      <c r="B154" s="2" t="s">
        <v>111</v>
      </c>
      <c r="C154" s="57">
        <f>25*18*2</f>
        <v>900</v>
      </c>
    </row>
    <row r="155" spans="1:5" x14ac:dyDescent="0.2">
      <c r="A155" s="2" t="s">
        <v>112</v>
      </c>
      <c r="B155" s="2" t="s">
        <v>113</v>
      </c>
      <c r="C155" s="57">
        <f>95*20*2</f>
        <v>3800</v>
      </c>
    </row>
    <row r="156" spans="1:5" x14ac:dyDescent="0.2">
      <c r="A156" s="113" t="s">
        <v>114</v>
      </c>
      <c r="B156" s="114"/>
      <c r="C156" s="76">
        <f>SUM(C147:C155)</f>
        <v>69170</v>
      </c>
    </row>
    <row r="157" spans="1:5" x14ac:dyDescent="0.2">
      <c r="A157" s="6"/>
      <c r="B157" s="6"/>
      <c r="C157" s="1"/>
    </row>
    <row r="158" spans="1:5" x14ac:dyDescent="0.2">
      <c r="A158" s="3" t="s">
        <v>43</v>
      </c>
      <c r="B158" s="3"/>
      <c r="C158" s="1"/>
    </row>
    <row r="159" spans="1:5" ht="51" customHeight="1" x14ac:dyDescent="0.2">
      <c r="A159" s="110" t="s">
        <v>190</v>
      </c>
      <c r="B159" s="112"/>
      <c r="C159" s="112"/>
    </row>
    <row r="160" spans="1:5" ht="12" customHeight="1" x14ac:dyDescent="0.2">
      <c r="A160" s="89"/>
      <c r="B160" s="93"/>
      <c r="C160" s="60"/>
    </row>
    <row r="161" spans="1:4" ht="45" customHeight="1" x14ac:dyDescent="0.2">
      <c r="A161" s="110" t="s">
        <v>192</v>
      </c>
      <c r="B161" s="110"/>
      <c r="C161" s="110"/>
    </row>
    <row r="162" spans="1:4" ht="12" customHeight="1" x14ac:dyDescent="0.2">
      <c r="A162" s="89"/>
      <c r="B162" s="93"/>
      <c r="C162" s="60"/>
    </row>
    <row r="163" spans="1:4" ht="47.25" customHeight="1" x14ac:dyDescent="0.2">
      <c r="A163" s="110" t="s">
        <v>115</v>
      </c>
      <c r="B163" s="110"/>
      <c r="C163" s="110"/>
    </row>
    <row r="164" spans="1:4" ht="13.5" customHeight="1" x14ac:dyDescent="0.2">
      <c r="A164" s="89"/>
      <c r="B164" s="89"/>
      <c r="C164" s="61"/>
    </row>
    <row r="165" spans="1:4" ht="33" customHeight="1" x14ac:dyDescent="0.2">
      <c r="A165" s="110" t="s">
        <v>116</v>
      </c>
      <c r="B165" s="110"/>
      <c r="C165" s="110"/>
    </row>
    <row r="166" spans="1:4" x14ac:dyDescent="0.2">
      <c r="A166" s="89"/>
      <c r="B166" s="89"/>
      <c r="C166" s="89"/>
    </row>
    <row r="167" spans="1:4" ht="36.75" customHeight="1" x14ac:dyDescent="0.2">
      <c r="A167" s="110" t="s">
        <v>117</v>
      </c>
      <c r="B167" s="110"/>
      <c r="C167" s="110"/>
    </row>
    <row r="168" spans="1:4" ht="13.5" customHeight="1" x14ac:dyDescent="0.2">
      <c r="A168" s="89"/>
      <c r="B168" s="89"/>
      <c r="C168" s="61"/>
    </row>
    <row r="169" spans="1:4" ht="66.75" customHeight="1" x14ac:dyDescent="0.2">
      <c r="A169" s="110" t="s">
        <v>118</v>
      </c>
      <c r="B169" s="110"/>
      <c r="C169" s="110"/>
    </row>
    <row r="170" spans="1:4" x14ac:dyDescent="0.2">
      <c r="A170" s="89"/>
      <c r="B170" s="89"/>
      <c r="C170" s="61"/>
    </row>
    <row r="171" spans="1:4" ht="83.25" customHeight="1" x14ac:dyDescent="0.2">
      <c r="A171" s="110" t="s">
        <v>119</v>
      </c>
      <c r="B171" s="110"/>
      <c r="C171" s="110"/>
    </row>
    <row r="172" spans="1:4" x14ac:dyDescent="0.2">
      <c r="A172" s="89"/>
      <c r="B172" s="89"/>
      <c r="C172" s="61"/>
    </row>
    <row r="173" spans="1:4" ht="39" customHeight="1" x14ac:dyDescent="0.2">
      <c r="A173" s="110" t="s">
        <v>120</v>
      </c>
      <c r="B173" s="110"/>
      <c r="C173" s="110"/>
    </row>
    <row r="174" spans="1:4" ht="14.25" customHeight="1" x14ac:dyDescent="0.2">
      <c r="A174" s="89"/>
      <c r="B174" s="89"/>
      <c r="C174" s="61"/>
    </row>
    <row r="175" spans="1:4" x14ac:dyDescent="0.2">
      <c r="A175" s="113" t="s">
        <v>121</v>
      </c>
      <c r="B175" s="114"/>
      <c r="C175" s="63">
        <f>E143+C156</f>
        <v>72105</v>
      </c>
      <c r="D175" s="47"/>
    </row>
    <row r="176" spans="1:4" x14ac:dyDescent="0.2">
      <c r="A176" s="64"/>
      <c r="B176" s="64"/>
      <c r="C176" s="17"/>
    </row>
    <row r="177" spans="1:5" x14ac:dyDescent="0.2">
      <c r="A177" s="64"/>
      <c r="B177" s="64"/>
      <c r="C177" s="17"/>
    </row>
    <row r="178" spans="1:5" ht="51" customHeight="1" x14ac:dyDescent="0.2">
      <c r="A178" s="111" t="s">
        <v>122</v>
      </c>
      <c r="B178" s="111"/>
      <c r="C178" s="111"/>
    </row>
    <row r="179" spans="1:5" s="19" customFormat="1" ht="17.25" customHeight="1" x14ac:dyDescent="0.2">
      <c r="A179" s="4" t="s">
        <v>15</v>
      </c>
      <c r="B179" s="4" t="s">
        <v>4</v>
      </c>
      <c r="C179" s="5" t="s">
        <v>33</v>
      </c>
      <c r="D179" s="18"/>
      <c r="E179" s="18"/>
    </row>
    <row r="180" spans="1:5" x14ac:dyDescent="0.2">
      <c r="A180" s="41" t="s">
        <v>123</v>
      </c>
      <c r="B180" s="41" t="s">
        <v>182</v>
      </c>
      <c r="C180" s="21">
        <f>10*10*24</f>
        <v>2400</v>
      </c>
    </row>
    <row r="181" spans="1:5" x14ac:dyDescent="0.2">
      <c r="A181" s="2" t="s">
        <v>124</v>
      </c>
      <c r="B181" s="65" t="s">
        <v>181</v>
      </c>
      <c r="C181" s="8">
        <f>1500*20</f>
        <v>30000</v>
      </c>
    </row>
    <row r="182" spans="1:5" x14ac:dyDescent="0.2">
      <c r="A182" s="88" t="s">
        <v>125</v>
      </c>
      <c r="B182" s="65" t="s">
        <v>165</v>
      </c>
      <c r="C182" s="8">
        <f>100*30</f>
        <v>3000</v>
      </c>
    </row>
    <row r="183" spans="1:5" x14ac:dyDescent="0.2">
      <c r="A183" s="22"/>
      <c r="B183" s="94" t="s">
        <v>126</v>
      </c>
      <c r="C183" s="23">
        <f>SUM(C180:C182)</f>
        <v>35400</v>
      </c>
    </row>
    <row r="184" spans="1:5" x14ac:dyDescent="0.2">
      <c r="B184" s="6"/>
      <c r="C184" s="1"/>
    </row>
    <row r="185" spans="1:5" x14ac:dyDescent="0.2">
      <c r="A185" s="3" t="s">
        <v>43</v>
      </c>
    </row>
    <row r="186" spans="1:5" ht="44.25" customHeight="1" x14ac:dyDescent="0.2">
      <c r="A186" s="110" t="s">
        <v>183</v>
      </c>
      <c r="B186" s="112"/>
      <c r="C186" s="112"/>
    </row>
    <row r="187" spans="1:5" x14ac:dyDescent="0.2">
      <c r="A187" s="89"/>
      <c r="B187" s="89"/>
      <c r="C187" s="61"/>
    </row>
    <row r="188" spans="1:5" ht="48.75" customHeight="1" x14ac:dyDescent="0.2">
      <c r="A188" s="110" t="s">
        <v>184</v>
      </c>
      <c r="B188" s="110"/>
      <c r="C188" s="110"/>
    </row>
    <row r="189" spans="1:5" ht="12.75" customHeight="1" x14ac:dyDescent="0.2">
      <c r="A189" s="110" t="s">
        <v>185</v>
      </c>
      <c r="B189" s="112"/>
      <c r="C189" s="112"/>
    </row>
    <row r="190" spans="1:5" ht="15" customHeight="1" x14ac:dyDescent="0.2">
      <c r="A190" s="89"/>
      <c r="B190" s="89"/>
      <c r="C190" s="61"/>
    </row>
    <row r="191" spans="1:5" ht="82.5" customHeight="1" x14ac:dyDescent="0.2">
      <c r="A191" s="111" t="s">
        <v>214</v>
      </c>
      <c r="B191" s="111"/>
      <c r="C191" s="111"/>
    </row>
    <row r="192" spans="1:5" s="19" customFormat="1" ht="17.25" customHeight="1" x14ac:dyDescent="0.2">
      <c r="A192" s="36" t="s">
        <v>127</v>
      </c>
      <c r="B192" s="36" t="s">
        <v>79</v>
      </c>
      <c r="C192" s="37" t="s">
        <v>33</v>
      </c>
      <c r="D192" s="18"/>
      <c r="E192" s="18"/>
    </row>
    <row r="193" spans="1:5" x14ac:dyDescent="0.2">
      <c r="A193" s="41" t="s">
        <v>186</v>
      </c>
      <c r="B193" s="41" t="s">
        <v>201</v>
      </c>
      <c r="C193" s="21">
        <f>396000*20%</f>
        <v>79200</v>
      </c>
    </row>
    <row r="194" spans="1:5" x14ac:dyDescent="0.2">
      <c r="A194" s="113" t="s">
        <v>128</v>
      </c>
      <c r="B194" s="114"/>
      <c r="C194" s="23">
        <f>C193</f>
        <v>79200</v>
      </c>
    </row>
    <row r="195" spans="1:5" x14ac:dyDescent="0.2">
      <c r="A195" s="6"/>
      <c r="B195" s="6"/>
      <c r="C195" s="1"/>
    </row>
    <row r="196" spans="1:5" x14ac:dyDescent="0.2">
      <c r="A196" s="7" t="s">
        <v>11</v>
      </c>
      <c r="B196" s="66"/>
      <c r="C196" s="96"/>
    </row>
    <row r="197" spans="1:5" ht="59.25" customHeight="1" x14ac:dyDescent="0.2">
      <c r="A197" s="110" t="s">
        <v>129</v>
      </c>
      <c r="B197" s="110"/>
      <c r="C197" s="110"/>
    </row>
    <row r="198" spans="1:5" x14ac:dyDescent="0.2">
      <c r="A198" s="66"/>
      <c r="B198" s="66"/>
      <c r="C198" s="96"/>
    </row>
    <row r="199" spans="1:5" x14ac:dyDescent="0.2">
      <c r="A199" s="66"/>
      <c r="B199" s="66"/>
      <c r="C199" s="96"/>
    </row>
    <row r="200" spans="1:5" ht="48" customHeight="1" x14ac:dyDescent="0.2">
      <c r="A200" s="111" t="s">
        <v>130</v>
      </c>
      <c r="B200" s="111"/>
      <c r="C200" s="111"/>
    </row>
    <row r="201" spans="1:5" s="19" customFormat="1" ht="17.25" customHeight="1" x14ac:dyDescent="0.2">
      <c r="A201" s="4" t="s">
        <v>131</v>
      </c>
      <c r="B201" s="67"/>
      <c r="C201" s="5" t="s">
        <v>132</v>
      </c>
      <c r="D201" s="68"/>
      <c r="E201" s="18"/>
    </row>
    <row r="202" spans="1:5" x14ac:dyDescent="0.2">
      <c r="A202" s="41" t="s">
        <v>133</v>
      </c>
      <c r="B202" s="27"/>
      <c r="C202" s="74">
        <f>C11</f>
        <v>396000</v>
      </c>
      <c r="D202" s="72"/>
    </row>
    <row r="203" spans="1:5" x14ac:dyDescent="0.2">
      <c r="A203" s="41" t="s">
        <v>134</v>
      </c>
      <c r="B203" s="27"/>
      <c r="C203" s="74">
        <f>C41</f>
        <v>65034</v>
      </c>
      <c r="D203" s="72"/>
    </row>
    <row r="204" spans="1:5" x14ac:dyDescent="0.2">
      <c r="A204" s="41" t="s">
        <v>135</v>
      </c>
      <c r="B204" s="4"/>
      <c r="C204" s="74">
        <f>E53</f>
        <v>6726.25</v>
      </c>
      <c r="D204" s="72"/>
    </row>
    <row r="205" spans="1:5" x14ac:dyDescent="0.2">
      <c r="A205" s="41" t="s">
        <v>136</v>
      </c>
      <c r="B205" s="41"/>
      <c r="C205" s="74">
        <f>C64</f>
        <v>0</v>
      </c>
      <c r="D205" s="72"/>
    </row>
    <row r="206" spans="1:5" x14ac:dyDescent="0.2">
      <c r="A206" s="41" t="s">
        <v>137</v>
      </c>
      <c r="B206" s="41"/>
      <c r="C206" s="74">
        <f>C77</f>
        <v>11242</v>
      </c>
      <c r="D206" s="72"/>
    </row>
    <row r="207" spans="1:5" x14ac:dyDescent="0.2">
      <c r="A207" s="41" t="s">
        <v>138</v>
      </c>
      <c r="B207" s="41"/>
      <c r="C207" s="74">
        <f>C122</f>
        <v>19160.25</v>
      </c>
      <c r="D207" s="72"/>
    </row>
    <row r="208" spans="1:5" x14ac:dyDescent="0.2">
      <c r="A208" s="41" t="s">
        <v>139</v>
      </c>
      <c r="B208" s="69"/>
      <c r="C208" s="74">
        <f>C175</f>
        <v>72105</v>
      </c>
      <c r="D208" s="72"/>
    </row>
    <row r="209" spans="1:4" x14ac:dyDescent="0.2">
      <c r="A209" s="41" t="s">
        <v>140</v>
      </c>
      <c r="B209" s="2"/>
      <c r="C209" s="74">
        <f>C183</f>
        <v>35400</v>
      </c>
      <c r="D209" s="72"/>
    </row>
    <row r="210" spans="1:4" x14ac:dyDescent="0.2">
      <c r="A210" s="70" t="s">
        <v>141</v>
      </c>
      <c r="B210" s="2"/>
      <c r="C210" s="77">
        <f>SUM(C202:C209)</f>
        <v>605667.5</v>
      </c>
      <c r="D210" s="72"/>
    </row>
    <row r="211" spans="1:4" x14ac:dyDescent="0.2">
      <c r="A211" s="41" t="s">
        <v>142</v>
      </c>
      <c r="B211" s="41"/>
      <c r="C211" s="74">
        <f>C194</f>
        <v>79200</v>
      </c>
    </row>
    <row r="212" spans="1:4" ht="15.75" x14ac:dyDescent="0.2">
      <c r="A212" s="71" t="s">
        <v>143</v>
      </c>
      <c r="B212" s="71"/>
      <c r="C212" s="78">
        <f>C210+C211</f>
        <v>684867.5</v>
      </c>
    </row>
    <row r="220" spans="1:4" x14ac:dyDescent="0.2">
      <c r="A220" s="48"/>
    </row>
  </sheetData>
  <mergeCells count="62">
    <mergeCell ref="A105:B105"/>
    <mergeCell ref="A118:C118"/>
    <mergeCell ref="A111:B111"/>
    <mergeCell ref="A120:C120"/>
    <mergeCell ref="A114:C114"/>
    <mergeCell ref="A44:C44"/>
    <mergeCell ref="A20:C20"/>
    <mergeCell ref="A21:C21"/>
    <mergeCell ref="A3:C3"/>
    <mergeCell ref="A14:C14"/>
    <mergeCell ref="A18:C18"/>
    <mergeCell ref="A16:C16"/>
    <mergeCell ref="A6:C6"/>
    <mergeCell ref="A41:B41"/>
    <mergeCell ref="A53:D53"/>
    <mergeCell ref="A77:B77"/>
    <mergeCell ref="A101:B101"/>
    <mergeCell ref="A47:C47"/>
    <mergeCell ref="A58:C58"/>
    <mergeCell ref="A56:C56"/>
    <mergeCell ref="A82:C82"/>
    <mergeCell ref="A95:B95"/>
    <mergeCell ref="A96:C96"/>
    <mergeCell ref="A84:C84"/>
    <mergeCell ref="A61:C61"/>
    <mergeCell ref="A70:C70"/>
    <mergeCell ref="A90:C90"/>
    <mergeCell ref="A67:C67"/>
    <mergeCell ref="A88:C88"/>
    <mergeCell ref="A200:C200"/>
    <mergeCell ref="A2:C2"/>
    <mergeCell ref="A188:C188"/>
    <mergeCell ref="A191:C191"/>
    <mergeCell ref="A197:C197"/>
    <mergeCell ref="A173:C173"/>
    <mergeCell ref="A178:C178"/>
    <mergeCell ref="A186:C186"/>
    <mergeCell ref="A159:C159"/>
    <mergeCell ref="A163:C163"/>
    <mergeCell ref="A165:C165"/>
    <mergeCell ref="A169:C169"/>
    <mergeCell ref="A116:C116"/>
    <mergeCell ref="A59:C59"/>
    <mergeCell ref="A86:C86"/>
    <mergeCell ref="A80:C80"/>
    <mergeCell ref="A122:B122"/>
    <mergeCell ref="A130:C130"/>
    <mergeCell ref="A135:C135"/>
    <mergeCell ref="A143:D143"/>
    <mergeCell ref="A156:B156"/>
    <mergeCell ref="A127:C127"/>
    <mergeCell ref="A142:E142"/>
    <mergeCell ref="A145:C145"/>
    <mergeCell ref="A133:C133"/>
    <mergeCell ref="A125:C125"/>
    <mergeCell ref="A167:C167"/>
    <mergeCell ref="A175:B175"/>
    <mergeCell ref="A189:C189"/>
    <mergeCell ref="A194:B194"/>
    <mergeCell ref="A140:D140"/>
    <mergeCell ref="A171:C171"/>
    <mergeCell ref="A161:C161"/>
  </mergeCells>
  <phoneticPr fontId="2" type="noConversion"/>
  <printOptions horizontalCentered="1" verticalCentered="1"/>
  <pageMargins left="0.25" right="0.25" top="0.75" bottom="0.75" header="0.3" footer="0.3"/>
  <pageSetup orientation="landscape" r:id="rId1"/>
  <headerFooter alignWithMargins="0">
    <oddHeader>&amp;C&amp;"Arial,Bold"GFMD Sample Budget Narrative 2024
&amp;"Arial,Regular"The Sample Budget Narrative may be used to assist with preparing the budget and narrative.</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3F871-7C30-4E08-B8A1-E70D4556982F}">
  <dimension ref="A1:E215"/>
  <sheetViews>
    <sheetView topLeftCell="A90" zoomScale="120" zoomScaleNormal="120" workbookViewId="0">
      <selection activeCell="H198" sqref="H198"/>
    </sheetView>
  </sheetViews>
  <sheetFormatPr defaultColWidth="9.140625" defaultRowHeight="12.75" x14ac:dyDescent="0.2"/>
  <cols>
    <col min="1" max="1" width="44.7109375" style="10" bestFit="1" customWidth="1"/>
    <col min="2" max="2" width="33.5703125" style="10" customWidth="1"/>
    <col min="3" max="3" width="19.85546875" style="11" customWidth="1"/>
    <col min="4" max="4" width="38.85546875" style="11" bestFit="1" customWidth="1"/>
    <col min="5" max="5" width="14.28515625" style="11" customWidth="1"/>
    <col min="6" max="6" width="12.7109375" style="10" customWidth="1"/>
    <col min="7" max="16384" width="9.140625" style="10"/>
  </cols>
  <sheetData>
    <row r="1" spans="1:5" x14ac:dyDescent="0.2">
      <c r="A1" s="48"/>
    </row>
    <row r="2" spans="1:5" ht="73.5" customHeight="1" x14ac:dyDescent="0.2">
      <c r="A2" s="111" t="s">
        <v>144</v>
      </c>
      <c r="B2" s="111"/>
      <c r="C2" s="111"/>
    </row>
    <row r="3" spans="1:5" s="14" customFormat="1" ht="120.6" customHeight="1" x14ac:dyDescent="0.2">
      <c r="A3" s="111" t="s">
        <v>145</v>
      </c>
      <c r="B3" s="112"/>
      <c r="C3" s="112"/>
      <c r="D3" s="12"/>
      <c r="E3" s="13"/>
    </row>
    <row r="4" spans="1:5" x14ac:dyDescent="0.2">
      <c r="A4" s="15"/>
      <c r="B4" s="19"/>
      <c r="C4" s="19"/>
    </row>
    <row r="5" spans="1:5" x14ac:dyDescent="0.2">
      <c r="A5" s="3"/>
      <c r="B5" s="3"/>
      <c r="C5" s="16"/>
    </row>
    <row r="6" spans="1:5" ht="40.5" customHeight="1" x14ac:dyDescent="0.2">
      <c r="A6" s="111" t="s">
        <v>2</v>
      </c>
      <c r="B6" s="111"/>
      <c r="C6" s="111"/>
    </row>
    <row r="7" spans="1:5" s="19" customFormat="1" ht="17.25" customHeight="1" x14ac:dyDescent="0.2">
      <c r="A7" s="4" t="s">
        <v>3</v>
      </c>
      <c r="B7" s="4" t="s">
        <v>4</v>
      </c>
      <c r="C7" s="5" t="s">
        <v>5</v>
      </c>
      <c r="D7" s="17"/>
      <c r="E7" s="18"/>
    </row>
    <row r="8" spans="1:5" x14ac:dyDescent="0.2">
      <c r="A8" s="2" t="s">
        <v>6</v>
      </c>
      <c r="B8" s="2" t="s">
        <v>168</v>
      </c>
      <c r="C8" s="8">
        <f>90000*0.5*3</f>
        <v>135000</v>
      </c>
      <c r="D8" s="96"/>
    </row>
    <row r="9" spans="1:5" x14ac:dyDescent="0.2">
      <c r="A9" s="2" t="s">
        <v>7</v>
      </c>
      <c r="B9" s="2" t="s">
        <v>193</v>
      </c>
      <c r="C9" s="8">
        <f>80000*1*3</f>
        <v>240000</v>
      </c>
      <c r="D9" s="20"/>
      <c r="E9" s="47"/>
    </row>
    <row r="10" spans="1:5" x14ac:dyDescent="0.2">
      <c r="A10" s="2" t="s">
        <v>8</v>
      </c>
      <c r="B10" s="2" t="s">
        <v>9</v>
      </c>
      <c r="C10" s="21">
        <f>70000*0.1*3</f>
        <v>21000</v>
      </c>
      <c r="D10" s="20"/>
    </row>
    <row r="11" spans="1:5" x14ac:dyDescent="0.2">
      <c r="A11" s="22"/>
      <c r="B11" s="94" t="s">
        <v>10</v>
      </c>
      <c r="C11" s="23">
        <f>SUM(C8:C10)</f>
        <v>396000</v>
      </c>
      <c r="D11" s="1"/>
    </row>
    <row r="12" spans="1:5" x14ac:dyDescent="0.2">
      <c r="B12" s="6"/>
      <c r="C12" s="1"/>
      <c r="D12" s="1"/>
    </row>
    <row r="13" spans="1:5" x14ac:dyDescent="0.2">
      <c r="A13" s="3" t="s">
        <v>11</v>
      </c>
    </row>
    <row r="14" spans="1:5" s="14" customFormat="1" ht="42" customHeight="1" x14ac:dyDescent="0.2">
      <c r="A14" s="110" t="s">
        <v>12</v>
      </c>
      <c r="B14" s="110"/>
      <c r="C14" s="110"/>
      <c r="D14" s="24"/>
      <c r="E14" s="13"/>
    </row>
    <row r="15" spans="1:5" s="14" customFormat="1" x14ac:dyDescent="0.2">
      <c r="A15" s="89"/>
      <c r="B15" s="89"/>
      <c r="C15" s="24"/>
      <c r="D15" s="24"/>
      <c r="E15" s="13"/>
    </row>
    <row r="16" spans="1:5" s="14" customFormat="1" ht="42" customHeight="1" x14ac:dyDescent="0.2">
      <c r="A16" s="110" t="s">
        <v>146</v>
      </c>
      <c r="B16" s="110"/>
      <c r="C16" s="110"/>
      <c r="D16" s="24"/>
      <c r="E16" s="13"/>
    </row>
    <row r="17" spans="1:5" s="14" customFormat="1" x14ac:dyDescent="0.2">
      <c r="A17" s="89"/>
      <c r="B17" s="89"/>
      <c r="C17" s="24"/>
      <c r="D17" s="24"/>
      <c r="E17" s="13"/>
    </row>
    <row r="18" spans="1:5" s="14" customFormat="1" ht="31.15" customHeight="1" x14ac:dyDescent="0.2">
      <c r="A18" s="110" t="s">
        <v>13</v>
      </c>
      <c r="B18" s="110"/>
      <c r="C18" s="110"/>
      <c r="D18" s="24"/>
      <c r="E18" s="13"/>
    </row>
    <row r="19" spans="1:5" s="14" customFormat="1" x14ac:dyDescent="0.2">
      <c r="A19" s="89"/>
      <c r="B19" s="89"/>
      <c r="C19" s="24"/>
      <c r="D19" s="24"/>
      <c r="E19" s="13"/>
    </row>
    <row r="20" spans="1:5" s="14" customFormat="1" ht="13.5" customHeight="1" x14ac:dyDescent="0.2">
      <c r="A20" s="111"/>
      <c r="B20" s="111"/>
      <c r="C20" s="111"/>
      <c r="D20" s="25"/>
      <c r="E20" s="13"/>
    </row>
    <row r="21" spans="1:5" ht="51" customHeight="1" x14ac:dyDescent="0.2">
      <c r="A21" s="122" t="s">
        <v>14</v>
      </c>
      <c r="B21" s="122"/>
      <c r="C21" s="122"/>
    </row>
    <row r="22" spans="1:5" ht="17.25" customHeight="1" x14ac:dyDescent="0.2">
      <c r="A22" s="4" t="s">
        <v>15</v>
      </c>
      <c r="B22" s="4" t="s">
        <v>16</v>
      </c>
      <c r="C22" s="5" t="s">
        <v>5</v>
      </c>
    </row>
    <row r="23" spans="1:5" s="19" customFormat="1" x14ac:dyDescent="0.2">
      <c r="A23" s="26" t="s">
        <v>6</v>
      </c>
      <c r="B23" s="4"/>
      <c r="C23" s="5"/>
      <c r="D23" s="18"/>
      <c r="E23" s="18"/>
    </row>
    <row r="24" spans="1:5" x14ac:dyDescent="0.2">
      <c r="A24" s="27" t="s">
        <v>17</v>
      </c>
      <c r="B24" s="2" t="s">
        <v>169</v>
      </c>
      <c r="C24" s="8">
        <f>135000*0.0765</f>
        <v>10327.5</v>
      </c>
    </row>
    <row r="25" spans="1:5" x14ac:dyDescent="0.2">
      <c r="A25" s="2" t="s">
        <v>18</v>
      </c>
      <c r="B25" s="2" t="s">
        <v>19</v>
      </c>
      <c r="C25" s="8">
        <f>6000*0.5*3</f>
        <v>9000</v>
      </c>
    </row>
    <row r="26" spans="1:5" x14ac:dyDescent="0.2">
      <c r="A26" s="28" t="s">
        <v>20</v>
      </c>
      <c r="B26" s="2" t="s">
        <v>170</v>
      </c>
      <c r="C26" s="8">
        <f>135000*1%</f>
        <v>1350</v>
      </c>
    </row>
    <row r="27" spans="1:5" x14ac:dyDescent="0.2">
      <c r="A27" s="27" t="s">
        <v>21</v>
      </c>
      <c r="B27" s="2" t="s">
        <v>171</v>
      </c>
      <c r="C27" s="8">
        <f>135000*0.5%</f>
        <v>675</v>
      </c>
      <c r="E27" s="13"/>
    </row>
    <row r="28" spans="1:5" x14ac:dyDescent="0.2">
      <c r="A28" s="22"/>
      <c r="B28" s="94" t="s">
        <v>22</v>
      </c>
      <c r="C28" s="23">
        <f>SUM(C24:C27)</f>
        <v>21352.5</v>
      </c>
      <c r="D28" s="1"/>
    </row>
    <row r="29" spans="1:5" x14ac:dyDescent="0.2">
      <c r="A29" s="26" t="s">
        <v>23</v>
      </c>
      <c r="B29" s="4"/>
      <c r="C29" s="5"/>
      <c r="D29" s="12"/>
      <c r="E29" s="13"/>
    </row>
    <row r="30" spans="1:5" x14ac:dyDescent="0.2">
      <c r="A30" s="27" t="s">
        <v>17</v>
      </c>
      <c r="B30" s="2" t="s">
        <v>194</v>
      </c>
      <c r="C30" s="8">
        <f>240000*7.65%</f>
        <v>18360</v>
      </c>
      <c r="D30" s="1"/>
    </row>
    <row r="31" spans="1:5" x14ac:dyDescent="0.2">
      <c r="A31" s="2" t="s">
        <v>18</v>
      </c>
      <c r="B31" s="2" t="s">
        <v>147</v>
      </c>
      <c r="C31" s="8">
        <f>6000*100%*3</f>
        <v>18000</v>
      </c>
    </row>
    <row r="32" spans="1:5" x14ac:dyDescent="0.2">
      <c r="A32" s="28" t="s">
        <v>20</v>
      </c>
      <c r="B32" s="2" t="s">
        <v>195</v>
      </c>
      <c r="C32" s="8">
        <f>240000*1%</f>
        <v>2400</v>
      </c>
    </row>
    <row r="33" spans="1:5" x14ac:dyDescent="0.2">
      <c r="A33" s="27" t="s">
        <v>21</v>
      </c>
      <c r="B33" s="2" t="s">
        <v>196</v>
      </c>
      <c r="C33" s="8">
        <f>240000*0.5%</f>
        <v>1200</v>
      </c>
    </row>
    <row r="34" spans="1:5" x14ac:dyDescent="0.2">
      <c r="A34" s="22"/>
      <c r="B34" s="94" t="s">
        <v>22</v>
      </c>
      <c r="C34" s="23">
        <f>SUM(C30:C33)</f>
        <v>39960</v>
      </c>
    </row>
    <row r="35" spans="1:5" x14ac:dyDescent="0.2">
      <c r="A35" s="26" t="s">
        <v>8</v>
      </c>
      <c r="B35" s="4"/>
      <c r="C35" s="5"/>
      <c r="D35" s="20"/>
    </row>
    <row r="36" spans="1:5" x14ac:dyDescent="0.2">
      <c r="A36" s="27" t="s">
        <v>17</v>
      </c>
      <c r="B36" s="2" t="s">
        <v>24</v>
      </c>
      <c r="C36" s="21">
        <f>21000*7.65%</f>
        <v>1606.5</v>
      </c>
      <c r="D36" s="20"/>
    </row>
    <row r="37" spans="1:5" x14ac:dyDescent="0.2">
      <c r="A37" s="2" t="s">
        <v>18</v>
      </c>
      <c r="B37" s="2" t="s">
        <v>25</v>
      </c>
      <c r="C37" s="21">
        <f>6000*10%*3</f>
        <v>1800</v>
      </c>
      <c r="D37" s="20"/>
    </row>
    <row r="38" spans="1:5" x14ac:dyDescent="0.2">
      <c r="A38" s="28" t="s">
        <v>20</v>
      </c>
      <c r="B38" s="2" t="s">
        <v>26</v>
      </c>
      <c r="C38" s="8">
        <f>21000*1%</f>
        <v>210</v>
      </c>
      <c r="D38" s="1"/>
    </row>
    <row r="39" spans="1:5" x14ac:dyDescent="0.2">
      <c r="A39" s="27" t="s">
        <v>21</v>
      </c>
      <c r="B39" s="2" t="s">
        <v>27</v>
      </c>
      <c r="C39" s="21">
        <f>21000*0.5%</f>
        <v>105</v>
      </c>
      <c r="D39" s="16"/>
    </row>
    <row r="40" spans="1:5" x14ac:dyDescent="0.2">
      <c r="A40" s="22"/>
      <c r="B40" s="94" t="s">
        <v>22</v>
      </c>
      <c r="C40" s="23">
        <f>SUM(C36:C39)</f>
        <v>3721.5</v>
      </c>
      <c r="E40" s="47"/>
    </row>
    <row r="41" spans="1:5" x14ac:dyDescent="0.2">
      <c r="A41" s="113" t="s">
        <v>28</v>
      </c>
      <c r="B41" s="114"/>
      <c r="C41" s="23">
        <f>C28+C34+C40</f>
        <v>65034</v>
      </c>
      <c r="D41" s="29"/>
    </row>
    <row r="42" spans="1:5" x14ac:dyDescent="0.2">
      <c r="A42" s="6"/>
      <c r="B42" s="6"/>
      <c r="C42" s="1"/>
      <c r="D42" s="29"/>
    </row>
    <row r="43" spans="1:5" x14ac:dyDescent="0.2">
      <c r="A43" s="3" t="s">
        <v>11</v>
      </c>
      <c r="B43" s="6"/>
      <c r="C43" s="1"/>
      <c r="D43" s="29"/>
    </row>
    <row r="44" spans="1:5" ht="30.75" customHeight="1" x14ac:dyDescent="0.2">
      <c r="A44" s="117" t="s">
        <v>29</v>
      </c>
      <c r="B44" s="118"/>
      <c r="C44" s="118"/>
      <c r="D44" s="29"/>
    </row>
    <row r="45" spans="1:5" x14ac:dyDescent="0.2">
      <c r="A45" s="90"/>
      <c r="B45" s="91"/>
      <c r="C45" s="29"/>
      <c r="D45" s="29"/>
    </row>
    <row r="46" spans="1:5" ht="12.75" customHeight="1" x14ac:dyDescent="0.2">
      <c r="A46" s="90"/>
      <c r="B46" s="91"/>
      <c r="C46" s="29"/>
      <c r="D46" s="29"/>
    </row>
    <row r="47" spans="1:5" ht="87" customHeight="1" x14ac:dyDescent="0.2">
      <c r="A47" s="122" t="s">
        <v>30</v>
      </c>
      <c r="B47" s="122"/>
      <c r="C47" s="122"/>
      <c r="D47" s="30"/>
      <c r="E47" s="30"/>
    </row>
    <row r="48" spans="1:5" s="19" customFormat="1" ht="17.25" customHeight="1" x14ac:dyDescent="0.2">
      <c r="A48" s="4" t="s">
        <v>31</v>
      </c>
      <c r="B48" s="4" t="s">
        <v>32</v>
      </c>
      <c r="C48" s="5" t="s">
        <v>15</v>
      </c>
      <c r="D48" s="5" t="s">
        <v>4</v>
      </c>
      <c r="E48" s="5" t="s">
        <v>33</v>
      </c>
    </row>
    <row r="49" spans="1:5" ht="25.5" x14ac:dyDescent="0.2">
      <c r="A49" s="28" t="s">
        <v>35</v>
      </c>
      <c r="B49" s="2" t="s">
        <v>34</v>
      </c>
      <c r="C49" s="32" t="s">
        <v>36</v>
      </c>
      <c r="D49" s="32" t="s">
        <v>37</v>
      </c>
      <c r="E49" s="31">
        <f>SUM(50*0.725*5)</f>
        <v>181.25</v>
      </c>
    </row>
    <row r="50" spans="1:5" x14ac:dyDescent="0.2">
      <c r="A50" s="28" t="s">
        <v>38</v>
      </c>
      <c r="B50" s="2" t="s">
        <v>34</v>
      </c>
      <c r="C50" s="32" t="s">
        <v>36</v>
      </c>
      <c r="D50" s="32" t="s">
        <v>148</v>
      </c>
      <c r="E50" s="31">
        <f>150*0.725*36</f>
        <v>3915</v>
      </c>
    </row>
    <row r="51" spans="1:5" x14ac:dyDescent="0.2">
      <c r="A51" s="80" t="s">
        <v>40</v>
      </c>
      <c r="B51" s="82" t="s">
        <v>34</v>
      </c>
      <c r="C51" s="83" t="s">
        <v>36</v>
      </c>
      <c r="D51" s="81" t="s">
        <v>41</v>
      </c>
      <c r="E51" s="31">
        <f>50*0.725*36</f>
        <v>1305</v>
      </c>
    </row>
    <row r="52" spans="1:5" ht="12.6" customHeight="1" x14ac:dyDescent="0.2">
      <c r="A52" s="119" t="s">
        <v>42</v>
      </c>
      <c r="B52" s="121"/>
      <c r="C52" s="121"/>
      <c r="D52" s="120"/>
      <c r="E52" s="23">
        <f>E49+E50+E51</f>
        <v>5401.25</v>
      </c>
    </row>
    <row r="53" spans="1:5" ht="12.6" customHeight="1" x14ac:dyDescent="0.2">
      <c r="A53" s="33"/>
      <c r="B53" s="33"/>
      <c r="C53" s="33"/>
      <c r="D53" s="34"/>
      <c r="E53" s="1"/>
    </row>
    <row r="54" spans="1:5" ht="12.6" customHeight="1" x14ac:dyDescent="0.2">
      <c r="A54" s="95" t="s">
        <v>43</v>
      </c>
      <c r="B54" s="91"/>
      <c r="C54" s="29"/>
      <c r="D54" s="30"/>
      <c r="E54" s="16"/>
    </row>
    <row r="55" spans="1:5" ht="65.25" customHeight="1" x14ac:dyDescent="0.2">
      <c r="A55" s="110" t="s">
        <v>149</v>
      </c>
      <c r="B55" s="110"/>
      <c r="C55" s="110"/>
      <c r="D55" s="35"/>
      <c r="E55" s="35"/>
    </row>
    <row r="56" spans="1:5" x14ac:dyDescent="0.2">
      <c r="A56" s="89"/>
      <c r="B56" s="89"/>
      <c r="C56" s="24"/>
      <c r="D56" s="24"/>
      <c r="E56" s="24"/>
    </row>
    <row r="57" spans="1:5" ht="63.95" customHeight="1" x14ac:dyDescent="0.2">
      <c r="A57" s="110" t="s">
        <v>150</v>
      </c>
      <c r="B57" s="110"/>
      <c r="C57" s="110"/>
      <c r="D57" s="35"/>
      <c r="E57" s="35"/>
    </row>
    <row r="58" spans="1:5" ht="14.25" customHeight="1" x14ac:dyDescent="0.2">
      <c r="A58" s="110"/>
      <c r="B58" s="110"/>
      <c r="C58" s="110"/>
      <c r="D58" s="24"/>
    </row>
    <row r="59" spans="1:5" ht="12.75" customHeight="1" x14ac:dyDescent="0.2">
      <c r="A59" s="90"/>
      <c r="B59" s="90"/>
      <c r="C59" s="35"/>
      <c r="D59" s="35"/>
    </row>
    <row r="60" spans="1:5" ht="89.25" customHeight="1" x14ac:dyDescent="0.2">
      <c r="A60" s="111" t="s">
        <v>45</v>
      </c>
      <c r="B60" s="111"/>
      <c r="C60" s="111"/>
      <c r="D60" s="35"/>
    </row>
    <row r="61" spans="1:5" s="19" customFormat="1" ht="17.25" customHeight="1" x14ac:dyDescent="0.2">
      <c r="A61" s="36" t="s">
        <v>15</v>
      </c>
      <c r="B61" s="36" t="s">
        <v>4</v>
      </c>
      <c r="C61" s="37" t="s">
        <v>33</v>
      </c>
      <c r="D61" s="97"/>
      <c r="E61" s="18"/>
    </row>
    <row r="62" spans="1:5" x14ac:dyDescent="0.2">
      <c r="A62" s="28"/>
      <c r="B62" s="28"/>
      <c r="C62" s="32"/>
      <c r="D62" s="35"/>
    </row>
    <row r="63" spans="1:5" x14ac:dyDescent="0.2">
      <c r="A63" s="28"/>
      <c r="B63" s="38" t="s">
        <v>48</v>
      </c>
      <c r="C63" s="39">
        <f>C62</f>
        <v>0</v>
      </c>
      <c r="D63" s="35"/>
    </row>
    <row r="64" spans="1:5" x14ac:dyDescent="0.2">
      <c r="A64" s="90"/>
      <c r="B64" s="95"/>
      <c r="C64" s="40"/>
      <c r="D64" s="35"/>
    </row>
    <row r="65" spans="1:5" x14ac:dyDescent="0.2">
      <c r="A65" s="95" t="s">
        <v>11</v>
      </c>
      <c r="B65" s="95"/>
      <c r="C65" s="30"/>
      <c r="D65" s="35"/>
    </row>
    <row r="66" spans="1:5" ht="47.25" customHeight="1" x14ac:dyDescent="0.2">
      <c r="A66" s="110"/>
      <c r="B66" s="110"/>
      <c r="C66" s="110"/>
      <c r="D66" s="35"/>
    </row>
    <row r="67" spans="1:5" x14ac:dyDescent="0.2">
      <c r="A67" s="89"/>
      <c r="B67" s="89"/>
      <c r="C67" s="89"/>
      <c r="D67" s="35"/>
    </row>
    <row r="68" spans="1:5" x14ac:dyDescent="0.2">
      <c r="A68" s="89"/>
      <c r="B68" s="93"/>
      <c r="C68" s="12"/>
      <c r="D68" s="12"/>
    </row>
    <row r="69" spans="1:5" ht="53.25" customHeight="1" x14ac:dyDescent="0.2">
      <c r="A69" s="122" t="s">
        <v>50</v>
      </c>
      <c r="B69" s="122"/>
      <c r="C69" s="122"/>
    </row>
    <row r="70" spans="1:5" s="19" customFormat="1" ht="17.25" customHeight="1" x14ac:dyDescent="0.2">
      <c r="A70" s="4" t="s">
        <v>51</v>
      </c>
      <c r="B70" s="4" t="s">
        <v>16</v>
      </c>
      <c r="C70" s="5" t="s">
        <v>33</v>
      </c>
      <c r="D70" s="17"/>
      <c r="E70" s="18"/>
    </row>
    <row r="71" spans="1:5" x14ac:dyDescent="0.2">
      <c r="A71" s="41" t="s">
        <v>52</v>
      </c>
      <c r="B71" s="41" t="s">
        <v>152</v>
      </c>
      <c r="C71" s="21">
        <f>250*53%*36</f>
        <v>4770</v>
      </c>
      <c r="D71" s="96"/>
    </row>
    <row r="72" spans="1:5" s="42" customFormat="1" x14ac:dyDescent="0.2">
      <c r="A72" s="41" t="s">
        <v>54</v>
      </c>
      <c r="B72" s="41" t="s">
        <v>153</v>
      </c>
      <c r="C72" s="8">
        <f>100*53%*36</f>
        <v>1908</v>
      </c>
      <c r="D72" s="96"/>
      <c r="E72" s="68"/>
    </row>
    <row r="73" spans="1:5" x14ac:dyDescent="0.2">
      <c r="A73" s="41" t="s">
        <v>56</v>
      </c>
      <c r="B73" s="41" t="s">
        <v>57</v>
      </c>
      <c r="C73" s="8">
        <f>2*500</f>
        <v>1000</v>
      </c>
      <c r="D73" s="96"/>
    </row>
    <row r="74" spans="1:5" x14ac:dyDescent="0.2">
      <c r="A74" s="41" t="s">
        <v>58</v>
      </c>
      <c r="B74" s="41" t="s">
        <v>188</v>
      </c>
      <c r="C74" s="8">
        <f>50*75</f>
        <v>3750</v>
      </c>
      <c r="D74" s="96"/>
    </row>
    <row r="75" spans="1:5" x14ac:dyDescent="0.2">
      <c r="A75" s="113" t="s">
        <v>59</v>
      </c>
      <c r="B75" s="114"/>
      <c r="C75" s="23">
        <f>SUM(C71:C74)</f>
        <v>11428</v>
      </c>
      <c r="D75" s="1"/>
    </row>
    <row r="76" spans="1:5" x14ac:dyDescent="0.2">
      <c r="A76" s="6"/>
      <c r="B76" s="6"/>
      <c r="C76" s="1"/>
      <c r="D76" s="1"/>
    </row>
    <row r="77" spans="1:5" x14ac:dyDescent="0.2">
      <c r="A77" s="3" t="s">
        <v>11</v>
      </c>
      <c r="B77" s="6"/>
      <c r="C77" s="16"/>
      <c r="D77" s="1"/>
    </row>
    <row r="78" spans="1:5" ht="71.25" customHeight="1" x14ac:dyDescent="0.2">
      <c r="A78" s="110" t="s">
        <v>197</v>
      </c>
      <c r="B78" s="110"/>
      <c r="C78" s="110"/>
      <c r="D78" s="35"/>
    </row>
    <row r="79" spans="1:5" x14ac:dyDescent="0.2">
      <c r="A79" s="89"/>
      <c r="B79" s="89"/>
      <c r="C79" s="89"/>
      <c r="D79" s="35"/>
    </row>
    <row r="80" spans="1:5" ht="65.25" customHeight="1" x14ac:dyDescent="0.2">
      <c r="A80" s="110" t="s">
        <v>60</v>
      </c>
      <c r="B80" s="110"/>
      <c r="C80" s="110"/>
      <c r="D80" s="35"/>
    </row>
    <row r="81" spans="1:5" x14ac:dyDescent="0.2">
      <c r="B81" s="91"/>
      <c r="C81" s="29"/>
      <c r="D81" s="29"/>
    </row>
    <row r="82" spans="1:5" ht="39" customHeight="1" x14ac:dyDescent="0.2">
      <c r="A82" s="117" t="s">
        <v>61</v>
      </c>
      <c r="B82" s="118"/>
      <c r="C82" s="118"/>
      <c r="D82" s="29"/>
    </row>
    <row r="83" spans="1:5" x14ac:dyDescent="0.2">
      <c r="A83" s="91"/>
      <c r="B83" s="91"/>
      <c r="C83" s="29"/>
      <c r="D83" s="29"/>
    </row>
    <row r="84" spans="1:5" ht="39.75" customHeight="1" x14ac:dyDescent="0.2">
      <c r="A84" s="110" t="s">
        <v>199</v>
      </c>
      <c r="B84" s="110"/>
      <c r="C84" s="110"/>
      <c r="D84" s="24"/>
    </row>
    <row r="85" spans="1:5" ht="13.5" customHeight="1" x14ac:dyDescent="0.2">
      <c r="A85" s="89"/>
      <c r="B85" s="89"/>
      <c r="C85" s="24"/>
      <c r="D85" s="24"/>
    </row>
    <row r="86" spans="1:5" ht="48" customHeight="1" x14ac:dyDescent="0.2">
      <c r="A86" s="110" t="s">
        <v>151</v>
      </c>
      <c r="B86" s="110"/>
      <c r="C86" s="110"/>
      <c r="D86" s="24"/>
    </row>
    <row r="87" spans="1:5" x14ac:dyDescent="0.2">
      <c r="A87" s="91"/>
      <c r="B87" s="91"/>
      <c r="C87" s="29"/>
      <c r="D87" s="29"/>
    </row>
    <row r="88" spans="1:5" ht="40.5" customHeight="1" x14ac:dyDescent="0.2">
      <c r="A88" s="123" t="s">
        <v>63</v>
      </c>
      <c r="B88" s="123"/>
      <c r="C88" s="123"/>
      <c r="D88" s="35"/>
    </row>
    <row r="89" spans="1:5" s="19" customFormat="1" ht="17.25" customHeight="1" x14ac:dyDescent="0.2">
      <c r="A89" s="36" t="s">
        <v>64</v>
      </c>
      <c r="B89" s="36" t="s">
        <v>4</v>
      </c>
      <c r="C89" s="37" t="s">
        <v>33</v>
      </c>
      <c r="D89" s="43"/>
      <c r="E89" s="18"/>
    </row>
    <row r="90" spans="1:5" s="19" customFormat="1" x14ac:dyDescent="0.2">
      <c r="A90" s="44" t="s">
        <v>65</v>
      </c>
      <c r="B90" s="36"/>
      <c r="C90" s="37"/>
      <c r="D90" s="43"/>
      <c r="E90" s="18"/>
    </row>
    <row r="91" spans="1:5" x14ac:dyDescent="0.2">
      <c r="A91" s="28" t="s">
        <v>208</v>
      </c>
      <c r="B91" s="2" t="s">
        <v>209</v>
      </c>
      <c r="C91" s="73">
        <v>5000</v>
      </c>
      <c r="D91" s="29"/>
    </row>
    <row r="92" spans="1:5" ht="14.25" customHeight="1" x14ac:dyDescent="0.2">
      <c r="A92" s="115" t="s">
        <v>68</v>
      </c>
      <c r="B92" s="115"/>
      <c r="C92" s="75">
        <f>C91</f>
        <v>5000</v>
      </c>
      <c r="D92" s="35"/>
    </row>
    <row r="93" spans="1:5" x14ac:dyDescent="0.2">
      <c r="A93" s="117"/>
      <c r="B93" s="118"/>
      <c r="C93" s="118"/>
      <c r="D93" s="55"/>
    </row>
    <row r="94" spans="1:5" x14ac:dyDescent="0.2">
      <c r="A94" s="38" t="s">
        <v>69</v>
      </c>
      <c r="B94" s="28"/>
      <c r="C94" s="73"/>
      <c r="D94" s="29"/>
    </row>
    <row r="95" spans="1:5" ht="72.599999999999994" customHeight="1" x14ac:dyDescent="0.2">
      <c r="A95" s="28" t="s">
        <v>208</v>
      </c>
      <c r="B95" s="2" t="s">
        <v>209</v>
      </c>
      <c r="C95" s="73">
        <v>5000</v>
      </c>
      <c r="D95" s="12"/>
    </row>
    <row r="96" spans="1:5" ht="25.5" x14ac:dyDescent="0.2">
      <c r="A96" s="28" t="s">
        <v>70</v>
      </c>
      <c r="B96" s="32" t="s">
        <v>71</v>
      </c>
      <c r="C96" s="79">
        <f>50*0.725*3*3</f>
        <v>326.25</v>
      </c>
    </row>
    <row r="97" spans="1:5" ht="14.25" customHeight="1" x14ac:dyDescent="0.2">
      <c r="A97" s="119" t="s">
        <v>73</v>
      </c>
      <c r="B97" s="120"/>
      <c r="C97" s="75">
        <f>C95+C96</f>
        <v>5326.25</v>
      </c>
      <c r="D97" s="35"/>
    </row>
    <row r="98" spans="1:5" ht="14.25" customHeight="1" x14ac:dyDescent="0.2">
      <c r="A98" s="33"/>
      <c r="B98" s="33"/>
      <c r="C98" s="100"/>
      <c r="D98" s="35"/>
    </row>
    <row r="99" spans="1:5" ht="14.25" customHeight="1" x14ac:dyDescent="0.2">
      <c r="A99" s="44" t="s">
        <v>172</v>
      </c>
      <c r="B99" s="98"/>
      <c r="C99" s="75"/>
      <c r="D99" s="35"/>
    </row>
    <row r="100" spans="1:5" ht="76.5" customHeight="1" x14ac:dyDescent="0.2">
      <c r="A100" s="45" t="s">
        <v>173</v>
      </c>
      <c r="B100" s="45" t="s">
        <v>202</v>
      </c>
      <c r="C100" s="101">
        <f>(600+672+284+100)*1</f>
        <v>1656</v>
      </c>
      <c r="D100" s="35"/>
    </row>
    <row r="101" spans="1:5" ht="14.25" customHeight="1" x14ac:dyDescent="0.2">
      <c r="A101" s="115" t="s">
        <v>175</v>
      </c>
      <c r="B101" s="115"/>
      <c r="C101" s="102">
        <f>C100</f>
        <v>1656</v>
      </c>
      <c r="D101" s="35"/>
    </row>
    <row r="102" spans="1:5" ht="14.25" customHeight="1" x14ac:dyDescent="0.2">
      <c r="A102" s="33"/>
      <c r="B102" s="33"/>
      <c r="C102" s="34"/>
      <c r="D102" s="35"/>
    </row>
    <row r="103" spans="1:5" ht="14.25" customHeight="1" x14ac:dyDescent="0.2">
      <c r="A103" s="44" t="s">
        <v>177</v>
      </c>
      <c r="B103" s="98"/>
      <c r="C103" s="102"/>
      <c r="D103" s="35"/>
    </row>
    <row r="104" spans="1:5" ht="66.75" customHeight="1" x14ac:dyDescent="0.2">
      <c r="A104" s="28" t="s">
        <v>208</v>
      </c>
      <c r="B104" s="2" t="s">
        <v>209</v>
      </c>
      <c r="C104" s="101">
        <v>3500</v>
      </c>
      <c r="D104" s="35"/>
    </row>
    <row r="105" spans="1:5" ht="39" customHeight="1" x14ac:dyDescent="0.2">
      <c r="A105" s="28" t="s">
        <v>70</v>
      </c>
      <c r="B105" s="103" t="s">
        <v>178</v>
      </c>
      <c r="C105" s="79">
        <f>50*0.725*3*3</f>
        <v>326.25</v>
      </c>
      <c r="D105" s="35"/>
    </row>
    <row r="106" spans="1:5" ht="14.25" customHeight="1" x14ac:dyDescent="0.2">
      <c r="A106" s="115" t="s">
        <v>179</v>
      </c>
      <c r="B106" s="115"/>
      <c r="C106" s="75">
        <f>SUM(C104:C105)</f>
        <v>3826.25</v>
      </c>
      <c r="D106" s="35"/>
    </row>
    <row r="107" spans="1:5" ht="14.25" customHeight="1" x14ac:dyDescent="0.2">
      <c r="A107" s="33"/>
      <c r="B107" s="33"/>
      <c r="C107" s="100"/>
      <c r="D107" s="35"/>
    </row>
    <row r="108" spans="1:5" ht="57" customHeight="1" x14ac:dyDescent="0.2">
      <c r="A108" s="110" t="s">
        <v>215</v>
      </c>
      <c r="B108" s="110"/>
      <c r="C108" s="110"/>
      <c r="D108" s="35"/>
    </row>
    <row r="109" spans="1:5" ht="14.25" customHeight="1" x14ac:dyDescent="0.2">
      <c r="A109" s="95"/>
      <c r="B109" s="95"/>
      <c r="C109" s="40"/>
      <c r="D109" s="35"/>
    </row>
    <row r="110" spans="1:5" ht="73.5" customHeight="1" x14ac:dyDescent="0.2">
      <c r="A110" s="110" t="s">
        <v>216</v>
      </c>
      <c r="B110" s="110"/>
      <c r="C110" s="110"/>
      <c r="D110" s="35"/>
    </row>
    <row r="111" spans="1:5" s="48" customFormat="1" x14ac:dyDescent="0.2">
      <c r="A111" s="89"/>
      <c r="B111" s="89"/>
      <c r="C111" s="89"/>
      <c r="D111" s="35"/>
      <c r="E111" s="47"/>
    </row>
    <row r="112" spans="1:5" s="48" customFormat="1" ht="31.5" customHeight="1" x14ac:dyDescent="0.2">
      <c r="A112" s="110" t="s">
        <v>203</v>
      </c>
      <c r="B112" s="110"/>
      <c r="C112" s="110"/>
      <c r="D112" s="35"/>
      <c r="E112" s="47"/>
    </row>
    <row r="113" spans="1:5" s="48" customFormat="1" x14ac:dyDescent="0.2">
      <c r="A113" s="89"/>
      <c r="B113" s="89"/>
      <c r="C113" s="89"/>
      <c r="D113" s="35"/>
      <c r="E113" s="47"/>
    </row>
    <row r="114" spans="1:5" s="48" customFormat="1" ht="77.25" customHeight="1" x14ac:dyDescent="0.2">
      <c r="A114" s="110" t="s">
        <v>217</v>
      </c>
      <c r="B114" s="110"/>
      <c r="C114" s="110"/>
      <c r="D114" s="35"/>
      <c r="E114" s="47"/>
    </row>
    <row r="115" spans="1:5" s="48" customFormat="1" x14ac:dyDescent="0.2">
      <c r="A115" s="89"/>
      <c r="B115" s="89"/>
      <c r="C115" s="89"/>
      <c r="D115" s="35"/>
      <c r="E115" s="47"/>
    </row>
    <row r="116" spans="1:5" x14ac:dyDescent="0.2">
      <c r="A116" s="119" t="s">
        <v>74</v>
      </c>
      <c r="B116" s="120"/>
      <c r="C116" s="104">
        <f>C92+C97+C101+C106</f>
        <v>15808.5</v>
      </c>
      <c r="D116" s="29"/>
    </row>
    <row r="117" spans="1:5" ht="12.95" customHeight="1" x14ac:dyDescent="0.2">
      <c r="A117" s="49"/>
      <c r="B117" s="49"/>
      <c r="C117" s="50"/>
      <c r="D117" s="29"/>
    </row>
    <row r="118" spans="1:5" ht="12.95" customHeight="1" x14ac:dyDescent="0.2">
      <c r="A118" s="51"/>
    </row>
    <row r="119" spans="1:5" ht="38.25" customHeight="1" x14ac:dyDescent="0.2">
      <c r="A119" s="111" t="s">
        <v>75</v>
      </c>
      <c r="B119" s="111"/>
      <c r="C119" s="111"/>
    </row>
    <row r="120" spans="1:5" x14ac:dyDescent="0.2">
      <c r="A120" s="92"/>
      <c r="B120" s="92"/>
      <c r="C120" s="52"/>
    </row>
    <row r="121" spans="1:5" ht="76.5" customHeight="1" x14ac:dyDescent="0.2">
      <c r="A121" s="111" t="s">
        <v>76</v>
      </c>
      <c r="B121" s="111"/>
      <c r="C121" s="111"/>
    </row>
    <row r="122" spans="1:5" s="19" customFormat="1" ht="17.25" customHeight="1" x14ac:dyDescent="0.2">
      <c r="A122" s="4" t="s">
        <v>77</v>
      </c>
      <c r="B122" s="53" t="s">
        <v>78</v>
      </c>
      <c r="C122" s="5" t="s">
        <v>79</v>
      </c>
      <c r="D122" s="5" t="s">
        <v>33</v>
      </c>
      <c r="E122" s="18"/>
    </row>
    <row r="123" spans="1:5" ht="25.5" x14ac:dyDescent="0.2">
      <c r="A123" s="28" t="s">
        <v>80</v>
      </c>
      <c r="B123" s="87" t="s">
        <v>81</v>
      </c>
      <c r="C123" s="32" t="s">
        <v>204</v>
      </c>
      <c r="D123" s="46">
        <f>650*2</f>
        <v>1300</v>
      </c>
    </row>
    <row r="124" spans="1:5" x14ac:dyDescent="0.2">
      <c r="A124" s="119" t="s">
        <v>83</v>
      </c>
      <c r="B124" s="121"/>
      <c r="C124" s="120"/>
      <c r="D124" s="39">
        <f>D123</f>
        <v>1300</v>
      </c>
    </row>
    <row r="125" spans="1:5" x14ac:dyDescent="0.2">
      <c r="A125" s="6"/>
      <c r="B125" s="6"/>
      <c r="C125" s="6"/>
      <c r="D125" s="1"/>
    </row>
    <row r="126" spans="1:5" x14ac:dyDescent="0.2">
      <c r="A126" s="3" t="s">
        <v>43</v>
      </c>
      <c r="B126" s="15"/>
      <c r="C126" s="1"/>
      <c r="D126" s="1"/>
    </row>
    <row r="127" spans="1:5" ht="50.25" customHeight="1" x14ac:dyDescent="0.2">
      <c r="A127" s="110" t="s">
        <v>205</v>
      </c>
      <c r="B127" s="110"/>
      <c r="C127" s="110"/>
      <c r="D127" s="55"/>
    </row>
    <row r="128" spans="1:5" x14ac:dyDescent="0.2">
      <c r="B128" s="15"/>
      <c r="C128" s="20"/>
      <c r="D128" s="20"/>
      <c r="E128" s="20"/>
    </row>
    <row r="129" spans="1:5" ht="25.5" customHeight="1" x14ac:dyDescent="0.2">
      <c r="A129" s="122" t="s">
        <v>85</v>
      </c>
      <c r="B129" s="122"/>
      <c r="C129" s="122"/>
      <c r="D129" s="56"/>
      <c r="E129" s="20"/>
    </row>
    <row r="130" spans="1:5" s="19" customFormat="1" ht="17.25" customHeight="1" x14ac:dyDescent="0.2">
      <c r="A130" s="4" t="s">
        <v>31</v>
      </c>
      <c r="B130" s="53" t="s">
        <v>32</v>
      </c>
      <c r="C130" s="5" t="s">
        <v>15</v>
      </c>
      <c r="D130" s="5" t="s">
        <v>4</v>
      </c>
      <c r="E130" s="5" t="s">
        <v>33</v>
      </c>
    </row>
    <row r="131" spans="1:5" ht="25.5" x14ac:dyDescent="0.2">
      <c r="A131" s="45" t="s">
        <v>86</v>
      </c>
      <c r="B131" s="54" t="s">
        <v>87</v>
      </c>
      <c r="C131" s="57" t="s">
        <v>88</v>
      </c>
      <c r="D131" s="32" t="s">
        <v>89</v>
      </c>
      <c r="E131" s="21">
        <v>600</v>
      </c>
    </row>
    <row r="132" spans="1:5" x14ac:dyDescent="0.2">
      <c r="A132" s="41"/>
      <c r="B132" s="54"/>
      <c r="C132" s="8" t="s">
        <v>90</v>
      </c>
      <c r="D132" s="8" t="s">
        <v>207</v>
      </c>
      <c r="E132" s="21">
        <f>125*1</f>
        <v>125</v>
      </c>
    </row>
    <row r="133" spans="1:5" x14ac:dyDescent="0.2">
      <c r="A133" s="27"/>
      <c r="B133" s="58"/>
      <c r="C133" s="8" t="s">
        <v>92</v>
      </c>
      <c r="D133" s="8" t="s">
        <v>206</v>
      </c>
      <c r="E133" s="21">
        <f>45*2</f>
        <v>90</v>
      </c>
    </row>
    <row r="134" spans="1:5" x14ac:dyDescent="0.2">
      <c r="A134" s="116" t="s">
        <v>94</v>
      </c>
      <c r="B134" s="116"/>
      <c r="C134" s="116"/>
      <c r="D134" s="116"/>
      <c r="E134" s="23">
        <f>E131+E132+E133</f>
        <v>815</v>
      </c>
    </row>
    <row r="135" spans="1:5" x14ac:dyDescent="0.2">
      <c r="A135" s="7" t="s">
        <v>11</v>
      </c>
      <c r="B135" s="6"/>
      <c r="C135" s="6"/>
      <c r="D135" s="9"/>
      <c r="E135" s="1"/>
    </row>
    <row r="136" spans="1:5" x14ac:dyDescent="0.2">
      <c r="A136" s="110" t="s">
        <v>95</v>
      </c>
      <c r="B136" s="112"/>
      <c r="C136" s="112"/>
      <c r="D136" s="112"/>
      <c r="E136" s="112"/>
    </row>
    <row r="137" spans="1:5" x14ac:dyDescent="0.2">
      <c r="A137" s="115" t="s">
        <v>96</v>
      </c>
      <c r="B137" s="115"/>
      <c r="C137" s="115"/>
      <c r="D137" s="115"/>
      <c r="E137" s="59">
        <f>E134+D124</f>
        <v>2115</v>
      </c>
    </row>
    <row r="138" spans="1:5" x14ac:dyDescent="0.2">
      <c r="A138" s="89"/>
      <c r="B138" s="93"/>
      <c r="C138" s="60"/>
      <c r="D138" s="52"/>
      <c r="E138" s="52"/>
    </row>
    <row r="139" spans="1:5" ht="51.75" customHeight="1" x14ac:dyDescent="0.2">
      <c r="A139" s="111" t="s">
        <v>97</v>
      </c>
      <c r="B139" s="111"/>
      <c r="C139" s="111"/>
      <c r="D139" s="52"/>
      <c r="E139" s="52"/>
    </row>
    <row r="140" spans="1:5" s="19" customFormat="1" ht="17.25" customHeight="1" x14ac:dyDescent="0.2">
      <c r="A140" s="36" t="s">
        <v>15</v>
      </c>
      <c r="B140" s="36" t="s">
        <v>4</v>
      </c>
      <c r="C140" s="37" t="s">
        <v>33</v>
      </c>
      <c r="D140" s="62"/>
      <c r="E140" s="62"/>
    </row>
    <row r="141" spans="1:5" x14ac:dyDescent="0.2">
      <c r="A141" s="28" t="s">
        <v>98</v>
      </c>
      <c r="B141" s="45" t="s">
        <v>154</v>
      </c>
      <c r="C141" s="57">
        <f>85*20*36</f>
        <v>61200</v>
      </c>
      <c r="D141" s="52"/>
      <c r="E141" s="52"/>
    </row>
    <row r="142" spans="1:5" x14ac:dyDescent="0.2">
      <c r="A142" s="28" t="s">
        <v>187</v>
      </c>
      <c r="B142" s="45" t="s">
        <v>198</v>
      </c>
      <c r="C142" s="57">
        <f>90*15*36</f>
        <v>48600</v>
      </c>
      <c r="D142" s="52"/>
      <c r="E142" s="52"/>
    </row>
    <row r="143" spans="1:5" x14ac:dyDescent="0.2">
      <c r="A143" s="28" t="s">
        <v>100</v>
      </c>
      <c r="B143" s="45" t="s">
        <v>155</v>
      </c>
      <c r="C143" s="57">
        <f>75*36</f>
        <v>2700</v>
      </c>
      <c r="D143" s="52"/>
      <c r="E143" s="52"/>
    </row>
    <row r="144" spans="1:5" s="3" customFormat="1" x14ac:dyDescent="0.2">
      <c r="A144" s="2" t="s">
        <v>102</v>
      </c>
      <c r="B144" s="54" t="s">
        <v>156</v>
      </c>
      <c r="C144" s="57">
        <f>3.95*300*3</f>
        <v>3555</v>
      </c>
      <c r="D144" s="16"/>
      <c r="E144" s="16"/>
    </row>
    <row r="145" spans="1:3" x14ac:dyDescent="0.2">
      <c r="A145" s="2" t="s">
        <v>104</v>
      </c>
      <c r="B145" s="54" t="s">
        <v>157</v>
      </c>
      <c r="C145" s="57">
        <f>100*20*3</f>
        <v>6000</v>
      </c>
    </row>
    <row r="146" spans="1:3" x14ac:dyDescent="0.2">
      <c r="A146" s="2" t="s">
        <v>106</v>
      </c>
      <c r="B146" s="54" t="s">
        <v>158</v>
      </c>
      <c r="C146" s="57">
        <f>125*10*3</f>
        <v>3750</v>
      </c>
    </row>
    <row r="147" spans="1:3" x14ac:dyDescent="0.2">
      <c r="A147" s="2" t="s">
        <v>108</v>
      </c>
      <c r="B147" s="2" t="s">
        <v>159</v>
      </c>
      <c r="C147" s="57">
        <f>25*20*3</f>
        <v>1500</v>
      </c>
    </row>
    <row r="148" spans="1:3" x14ac:dyDescent="0.2">
      <c r="A148" s="2" t="s">
        <v>110</v>
      </c>
      <c r="B148" s="2" t="s">
        <v>160</v>
      </c>
      <c r="C148" s="57">
        <f>25*18*3</f>
        <v>1350</v>
      </c>
    </row>
    <row r="149" spans="1:3" x14ac:dyDescent="0.2">
      <c r="A149" s="2" t="s">
        <v>112</v>
      </c>
      <c r="B149" s="2" t="s">
        <v>161</v>
      </c>
      <c r="C149" s="57">
        <f>95*20*3</f>
        <v>5700</v>
      </c>
    </row>
    <row r="150" spans="1:3" x14ac:dyDescent="0.2">
      <c r="A150" s="113" t="s">
        <v>114</v>
      </c>
      <c r="B150" s="114"/>
      <c r="C150" s="76">
        <f>SUM(C141:C149)</f>
        <v>134355</v>
      </c>
    </row>
    <row r="151" spans="1:3" x14ac:dyDescent="0.2">
      <c r="A151" s="6"/>
      <c r="B151" s="6"/>
      <c r="C151" s="1"/>
    </row>
    <row r="152" spans="1:3" x14ac:dyDescent="0.2">
      <c r="A152" s="3" t="s">
        <v>43</v>
      </c>
      <c r="B152" s="3"/>
      <c r="C152" s="1"/>
    </row>
    <row r="153" spans="1:3" ht="51" customHeight="1" x14ac:dyDescent="0.2">
      <c r="A153" s="110" t="s">
        <v>162</v>
      </c>
      <c r="B153" s="112"/>
      <c r="C153" s="112"/>
    </row>
    <row r="154" spans="1:3" ht="13.5" customHeight="1" x14ac:dyDescent="0.2">
      <c r="A154" s="89"/>
      <c r="B154" s="93"/>
      <c r="C154" s="93"/>
    </row>
    <row r="155" spans="1:3" ht="51" customHeight="1" x14ac:dyDescent="0.2">
      <c r="A155" s="110" t="s">
        <v>192</v>
      </c>
      <c r="B155" s="110"/>
      <c r="C155" s="110"/>
    </row>
    <row r="156" spans="1:3" ht="12" customHeight="1" x14ac:dyDescent="0.2">
      <c r="A156" s="89"/>
      <c r="B156" s="93"/>
      <c r="C156" s="60"/>
    </row>
    <row r="157" spans="1:3" ht="47.25" customHeight="1" x14ac:dyDescent="0.2">
      <c r="A157" s="110" t="s">
        <v>163</v>
      </c>
      <c r="B157" s="110"/>
      <c r="C157" s="110"/>
    </row>
    <row r="158" spans="1:3" ht="13.5" customHeight="1" x14ac:dyDescent="0.2">
      <c r="A158" s="89"/>
      <c r="B158" s="89"/>
      <c r="C158" s="61"/>
    </row>
    <row r="159" spans="1:3" ht="33" customHeight="1" x14ac:dyDescent="0.2">
      <c r="A159" s="110" t="s">
        <v>116</v>
      </c>
      <c r="B159" s="110"/>
      <c r="C159" s="110"/>
    </row>
    <row r="160" spans="1:3" x14ac:dyDescent="0.2">
      <c r="A160" s="89"/>
      <c r="B160" s="89"/>
      <c r="C160" s="89"/>
    </row>
    <row r="161" spans="1:5" ht="36.75" customHeight="1" x14ac:dyDescent="0.2">
      <c r="A161" s="110" t="s">
        <v>117</v>
      </c>
      <c r="B161" s="110"/>
      <c r="C161" s="110"/>
    </row>
    <row r="162" spans="1:5" ht="13.5" customHeight="1" x14ac:dyDescent="0.2">
      <c r="A162" s="89"/>
      <c r="B162" s="89"/>
      <c r="C162" s="61"/>
    </row>
    <row r="163" spans="1:5" ht="66.75" customHeight="1" x14ac:dyDescent="0.2">
      <c r="A163" s="110" t="s">
        <v>118</v>
      </c>
      <c r="B163" s="110"/>
      <c r="C163" s="110"/>
    </row>
    <row r="164" spans="1:5" x14ac:dyDescent="0.2">
      <c r="A164" s="89"/>
      <c r="B164" s="89"/>
      <c r="C164" s="61"/>
    </row>
    <row r="165" spans="1:5" ht="83.25" customHeight="1" x14ac:dyDescent="0.2">
      <c r="A165" s="110" t="s">
        <v>119</v>
      </c>
      <c r="B165" s="110"/>
      <c r="C165" s="110"/>
    </row>
    <row r="166" spans="1:5" x14ac:dyDescent="0.2">
      <c r="A166" s="89"/>
      <c r="B166" s="89"/>
      <c r="C166" s="61"/>
    </row>
    <row r="167" spans="1:5" ht="39" customHeight="1" x14ac:dyDescent="0.2">
      <c r="A167" s="110" t="s">
        <v>120</v>
      </c>
      <c r="B167" s="110"/>
      <c r="C167" s="110"/>
    </row>
    <row r="168" spans="1:5" ht="14.25" customHeight="1" x14ac:dyDescent="0.2">
      <c r="A168" s="89"/>
      <c r="B168" s="89"/>
      <c r="C168" s="61"/>
    </row>
    <row r="169" spans="1:5" x14ac:dyDescent="0.2">
      <c r="A169" s="113" t="s">
        <v>121</v>
      </c>
      <c r="B169" s="114"/>
      <c r="C169" s="63">
        <f>E137+C150</f>
        <v>136470</v>
      </c>
      <c r="D169" s="47"/>
    </row>
    <row r="170" spans="1:5" x14ac:dyDescent="0.2">
      <c r="A170" s="64"/>
      <c r="B170" s="64"/>
      <c r="C170" s="17"/>
    </row>
    <row r="171" spans="1:5" x14ac:dyDescent="0.2">
      <c r="A171" s="64"/>
      <c r="B171" s="64"/>
      <c r="C171" s="17"/>
    </row>
    <row r="172" spans="1:5" ht="51" customHeight="1" x14ac:dyDescent="0.2">
      <c r="A172" s="111" t="s">
        <v>122</v>
      </c>
      <c r="B172" s="111"/>
      <c r="C172" s="111"/>
    </row>
    <row r="173" spans="1:5" s="19" customFormat="1" ht="17.25" customHeight="1" x14ac:dyDescent="0.2">
      <c r="A173" s="4" t="s">
        <v>15</v>
      </c>
      <c r="B173" s="4" t="s">
        <v>4</v>
      </c>
      <c r="C173" s="5" t="s">
        <v>33</v>
      </c>
      <c r="D173" s="18"/>
      <c r="E173" s="18"/>
    </row>
    <row r="174" spans="1:5" x14ac:dyDescent="0.2">
      <c r="A174" s="41" t="s">
        <v>123</v>
      </c>
      <c r="B174" s="41" t="s">
        <v>164</v>
      </c>
      <c r="C174" s="21">
        <f>10*20*36</f>
        <v>7200</v>
      </c>
    </row>
    <row r="175" spans="1:5" x14ac:dyDescent="0.2">
      <c r="A175" s="2" t="s">
        <v>124</v>
      </c>
      <c r="B175" s="65" t="s">
        <v>181</v>
      </c>
      <c r="C175" s="8">
        <f>1500*20</f>
        <v>30000</v>
      </c>
    </row>
    <row r="176" spans="1:5" x14ac:dyDescent="0.2">
      <c r="A176" s="2" t="s">
        <v>125</v>
      </c>
      <c r="B176" s="69" t="s">
        <v>165</v>
      </c>
      <c r="C176" s="8">
        <f>100*30</f>
        <v>3000</v>
      </c>
    </row>
    <row r="177" spans="1:5" x14ac:dyDescent="0.2">
      <c r="A177" s="22"/>
      <c r="B177" s="94" t="s">
        <v>126</v>
      </c>
      <c r="C177" s="23">
        <f>SUM(C174:C176)</f>
        <v>40200</v>
      </c>
    </row>
    <row r="178" spans="1:5" x14ac:dyDescent="0.2">
      <c r="B178" s="6"/>
      <c r="C178" s="1"/>
    </row>
    <row r="179" spans="1:5" x14ac:dyDescent="0.2">
      <c r="A179" s="3" t="s">
        <v>43</v>
      </c>
    </row>
    <row r="180" spans="1:5" ht="56.1" customHeight="1" x14ac:dyDescent="0.2">
      <c r="A180" s="110" t="s">
        <v>166</v>
      </c>
      <c r="B180" s="112"/>
      <c r="C180" s="112"/>
    </row>
    <row r="181" spans="1:5" x14ac:dyDescent="0.2">
      <c r="A181" s="89"/>
      <c r="B181" s="89"/>
      <c r="C181" s="61"/>
    </row>
    <row r="182" spans="1:5" ht="48.75" customHeight="1" x14ac:dyDescent="0.2">
      <c r="A182" s="110" t="s">
        <v>200</v>
      </c>
      <c r="B182" s="110"/>
      <c r="C182" s="110"/>
    </row>
    <row r="183" spans="1:5" ht="12.75" customHeight="1" x14ac:dyDescent="0.2">
      <c r="A183" s="89"/>
      <c r="B183" s="89"/>
      <c r="C183" s="89"/>
    </row>
    <row r="184" spans="1:5" ht="12.75" customHeight="1" x14ac:dyDescent="0.2">
      <c r="A184" s="110" t="s">
        <v>167</v>
      </c>
      <c r="B184" s="112"/>
      <c r="C184" s="112"/>
    </row>
    <row r="185" spans="1:5" ht="15" customHeight="1" x14ac:dyDescent="0.2">
      <c r="A185" s="89"/>
      <c r="B185" s="89"/>
      <c r="C185" s="61"/>
    </row>
    <row r="186" spans="1:5" ht="82.5" customHeight="1" x14ac:dyDescent="0.2">
      <c r="A186" s="111" t="s">
        <v>214</v>
      </c>
      <c r="B186" s="111"/>
      <c r="C186" s="111"/>
    </row>
    <row r="187" spans="1:5" s="19" customFormat="1" ht="17.25" customHeight="1" x14ac:dyDescent="0.2">
      <c r="A187" s="36" t="s">
        <v>127</v>
      </c>
      <c r="B187" s="36" t="s">
        <v>79</v>
      </c>
      <c r="C187" s="37" t="s">
        <v>33</v>
      </c>
      <c r="D187" s="18"/>
      <c r="E187" s="18"/>
    </row>
    <row r="188" spans="1:5" x14ac:dyDescent="0.2">
      <c r="A188" s="41" t="s">
        <v>186</v>
      </c>
      <c r="B188" s="41" t="s">
        <v>201</v>
      </c>
      <c r="C188" s="21">
        <f>C11*20%</f>
        <v>79200</v>
      </c>
    </row>
    <row r="189" spans="1:5" x14ac:dyDescent="0.2">
      <c r="A189" s="113" t="s">
        <v>128</v>
      </c>
      <c r="B189" s="114"/>
      <c r="C189" s="23">
        <f>C188</f>
        <v>79200</v>
      </c>
    </row>
    <row r="190" spans="1:5" x14ac:dyDescent="0.2">
      <c r="A190" s="6"/>
      <c r="B190" s="6"/>
      <c r="C190" s="1"/>
    </row>
    <row r="191" spans="1:5" x14ac:dyDescent="0.2">
      <c r="A191" s="7" t="s">
        <v>11</v>
      </c>
      <c r="B191" s="66"/>
      <c r="C191" s="96"/>
    </row>
    <row r="192" spans="1:5" ht="59.25" customHeight="1" x14ac:dyDescent="0.2">
      <c r="A192" s="110" t="s">
        <v>129</v>
      </c>
      <c r="B192" s="110"/>
      <c r="C192" s="110"/>
    </row>
    <row r="193" spans="1:5" x14ac:dyDescent="0.2">
      <c r="A193" s="66"/>
      <c r="B193" s="66"/>
      <c r="C193" s="96"/>
    </row>
    <row r="194" spans="1:5" x14ac:dyDescent="0.2">
      <c r="A194" s="66"/>
      <c r="B194" s="66"/>
      <c r="C194" s="96"/>
    </row>
    <row r="195" spans="1:5" ht="48" customHeight="1" x14ac:dyDescent="0.2">
      <c r="A195" s="111" t="s">
        <v>130</v>
      </c>
      <c r="B195" s="111"/>
      <c r="C195" s="111"/>
    </row>
    <row r="196" spans="1:5" s="19" customFormat="1" ht="17.25" customHeight="1" x14ac:dyDescent="0.2">
      <c r="A196" s="4" t="s">
        <v>131</v>
      </c>
      <c r="B196" s="67"/>
      <c r="C196" s="5" t="s">
        <v>132</v>
      </c>
      <c r="D196" s="68"/>
      <c r="E196" s="18"/>
    </row>
    <row r="197" spans="1:5" x14ac:dyDescent="0.2">
      <c r="A197" s="41" t="s">
        <v>133</v>
      </c>
      <c r="B197" s="27"/>
      <c r="C197" s="74">
        <f>C11</f>
        <v>396000</v>
      </c>
      <c r="D197" s="72"/>
    </row>
    <row r="198" spans="1:5" x14ac:dyDescent="0.2">
      <c r="A198" s="41" t="s">
        <v>134</v>
      </c>
      <c r="B198" s="27"/>
      <c r="C198" s="74">
        <f>C41</f>
        <v>65034</v>
      </c>
      <c r="D198" s="72"/>
    </row>
    <row r="199" spans="1:5" x14ac:dyDescent="0.2">
      <c r="A199" s="41" t="s">
        <v>135</v>
      </c>
      <c r="B199" s="4"/>
      <c r="C199" s="74">
        <f>E52</f>
        <v>5401.25</v>
      </c>
      <c r="D199" s="72"/>
    </row>
    <row r="200" spans="1:5" x14ac:dyDescent="0.2">
      <c r="A200" s="41" t="s">
        <v>136</v>
      </c>
      <c r="B200" s="41"/>
      <c r="C200" s="74">
        <f>C63</f>
        <v>0</v>
      </c>
      <c r="D200" s="72"/>
    </row>
    <row r="201" spans="1:5" x14ac:dyDescent="0.2">
      <c r="A201" s="41" t="s">
        <v>137</v>
      </c>
      <c r="B201" s="41"/>
      <c r="C201" s="74">
        <f>C75</f>
        <v>11428</v>
      </c>
      <c r="D201" s="72"/>
    </row>
    <row r="202" spans="1:5" x14ac:dyDescent="0.2">
      <c r="A202" s="41" t="s">
        <v>138</v>
      </c>
      <c r="B202" s="41"/>
      <c r="C202" s="74">
        <f>C116</f>
        <v>15808.5</v>
      </c>
      <c r="D202" s="72"/>
    </row>
    <row r="203" spans="1:5" x14ac:dyDescent="0.2">
      <c r="A203" s="41" t="s">
        <v>139</v>
      </c>
      <c r="B203" s="69"/>
      <c r="C203" s="74">
        <f>C169</f>
        <v>136470</v>
      </c>
      <c r="D203" s="72"/>
    </row>
    <row r="204" spans="1:5" x14ac:dyDescent="0.2">
      <c r="A204" s="41" t="s">
        <v>140</v>
      </c>
      <c r="B204" s="2"/>
      <c r="C204" s="74">
        <f>C177</f>
        <v>40200</v>
      </c>
      <c r="D204" s="72"/>
    </row>
    <row r="205" spans="1:5" x14ac:dyDescent="0.2">
      <c r="A205" s="70" t="s">
        <v>141</v>
      </c>
      <c r="B205" s="2"/>
      <c r="C205" s="77">
        <f>SUM(C197:C204)</f>
        <v>670341.75</v>
      </c>
      <c r="D205" s="72"/>
    </row>
    <row r="206" spans="1:5" x14ac:dyDescent="0.2">
      <c r="A206" s="41" t="s">
        <v>142</v>
      </c>
      <c r="B206" s="41"/>
      <c r="C206" s="74">
        <f>C189</f>
        <v>79200</v>
      </c>
    </row>
    <row r="207" spans="1:5" s="11" customFormat="1" ht="15.75" x14ac:dyDescent="0.2">
      <c r="A207" s="71" t="s">
        <v>143</v>
      </c>
      <c r="B207" s="71"/>
      <c r="C207" s="78">
        <f>C205+C206</f>
        <v>749541.75</v>
      </c>
    </row>
    <row r="215" spans="1:2" s="11" customFormat="1" x14ac:dyDescent="0.2">
      <c r="A215" s="48"/>
      <c r="B215" s="10"/>
    </row>
  </sheetData>
  <mergeCells count="62">
    <mergeCell ref="A52:D52"/>
    <mergeCell ref="A2:C2"/>
    <mergeCell ref="A3:C3"/>
    <mergeCell ref="A6:C6"/>
    <mergeCell ref="A14:C14"/>
    <mergeCell ref="A16:C16"/>
    <mergeCell ref="A18:C18"/>
    <mergeCell ref="A20:C20"/>
    <mergeCell ref="A21:C21"/>
    <mergeCell ref="A41:B41"/>
    <mergeCell ref="A44:C44"/>
    <mergeCell ref="A47:C47"/>
    <mergeCell ref="A88:C88"/>
    <mergeCell ref="A55:C55"/>
    <mergeCell ref="A57:C57"/>
    <mergeCell ref="A58:C58"/>
    <mergeCell ref="A60:C60"/>
    <mergeCell ref="A66:C66"/>
    <mergeCell ref="A69:C69"/>
    <mergeCell ref="A75:B75"/>
    <mergeCell ref="A78:C78"/>
    <mergeCell ref="A80:C80"/>
    <mergeCell ref="A82:C82"/>
    <mergeCell ref="A84:C84"/>
    <mergeCell ref="A86:C86"/>
    <mergeCell ref="A134:D134"/>
    <mergeCell ref="A92:B92"/>
    <mergeCell ref="A93:C93"/>
    <mergeCell ref="A97:B97"/>
    <mergeCell ref="A108:C108"/>
    <mergeCell ref="A110:C110"/>
    <mergeCell ref="A116:B116"/>
    <mergeCell ref="A119:C119"/>
    <mergeCell ref="A121:C121"/>
    <mergeCell ref="A124:C124"/>
    <mergeCell ref="A127:C127"/>
    <mergeCell ref="A129:C129"/>
    <mergeCell ref="A101:B101"/>
    <mergeCell ref="A106:B106"/>
    <mergeCell ref="A112:C112"/>
    <mergeCell ref="A114:C114"/>
    <mergeCell ref="A169:B169"/>
    <mergeCell ref="A136:E136"/>
    <mergeCell ref="A137:D137"/>
    <mergeCell ref="A139:C139"/>
    <mergeCell ref="A150:B150"/>
    <mergeCell ref="A153:C153"/>
    <mergeCell ref="A157:C157"/>
    <mergeCell ref="A159:C159"/>
    <mergeCell ref="A161:C161"/>
    <mergeCell ref="A163:C163"/>
    <mergeCell ref="A165:C165"/>
    <mergeCell ref="A167:C167"/>
    <mergeCell ref="A155:C155"/>
    <mergeCell ref="A192:C192"/>
    <mergeCell ref="A195:C195"/>
    <mergeCell ref="A172:C172"/>
    <mergeCell ref="A180:C180"/>
    <mergeCell ref="A182:C182"/>
    <mergeCell ref="A184:C184"/>
    <mergeCell ref="A186:C186"/>
    <mergeCell ref="A189:B189"/>
  </mergeCells>
  <printOptions horizontalCentered="1" verticalCentered="1"/>
  <pageMargins left="0.25" right="0.25" top="0.75" bottom="0.75" header="0.3" footer="0.3"/>
  <pageSetup orientation="landscape" r:id="rId1"/>
  <headerFooter alignWithMargins="0">
    <oddHeader>&amp;C&amp;"Arial,Bold"GFMD Sample Budget Narrative 2024
&amp;"Arial,Regular"The Sample Budget Narrative may be used to assist with preparing the budget and narrative.</oddHeader>
    <oddFooter>&amp;CPage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852BE2C6C39FF46919B2A9875FC6B93" ma:contentTypeVersion="14" ma:contentTypeDescription="Create a new document." ma:contentTypeScope="" ma:versionID="a34149bf4190137573f9207f8566172a">
  <xsd:schema xmlns:xsd="http://www.w3.org/2001/XMLSchema" xmlns:xs="http://www.w3.org/2001/XMLSchema" xmlns:p="http://schemas.microsoft.com/office/2006/metadata/properties" xmlns:ns2="9f511df3-3b07-4a4f-8861-9155c237c27e" xmlns:ns3="506d0e67-a8d6-48cb-ba60-b14b4f4e3a14" targetNamespace="http://schemas.microsoft.com/office/2006/metadata/properties" ma:root="true" ma:fieldsID="82e824d011fb7fe4f0fd1167f57f69be" ns2:_="" ns3:_="">
    <xsd:import namespace="9f511df3-3b07-4a4f-8861-9155c237c27e"/>
    <xsd:import namespace="506d0e67-a8d6-48cb-ba60-b14b4f4e3a1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511df3-3b07-4a4f-8861-9155c237c2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88edfbe-2eab-456a-af99-6bea05d804c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d0e67-a8d6-48cb-ba60-b14b4f4e3a1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b54eecf9-63bd-458e-8920-35491038ceef}" ma:internalName="TaxCatchAll" ma:showField="CatchAllData" ma:web="506d0e67-a8d6-48cb-ba60-b14b4f4e3a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06d0e67-a8d6-48cb-ba60-b14b4f4e3a14" xsi:nil="true"/>
    <lcf76f155ced4ddcb4097134ff3c332f xmlns="9f511df3-3b07-4a4f-8861-9155c237c27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34DDBE1-E56D-4B70-B681-01DF3658F9C0}">
  <ds:schemaRefs>
    <ds:schemaRef ds:uri="http://schemas.microsoft.com/sharepoint/v3/contenttype/forms"/>
  </ds:schemaRefs>
</ds:datastoreItem>
</file>

<file path=customXml/itemProps2.xml><?xml version="1.0" encoding="utf-8"?>
<ds:datastoreItem xmlns:ds="http://schemas.openxmlformats.org/officeDocument/2006/customXml" ds:itemID="{F670F110-2292-4B4A-9738-FA6D3E5DAF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511df3-3b07-4a4f-8861-9155c237c27e"/>
    <ds:schemaRef ds:uri="506d0e67-a8d6-48cb-ba60-b14b4f4e3a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14E6C7-FC01-4421-9DC0-429BA48AC2CC}">
  <ds:schemaRefs>
    <ds:schemaRef ds:uri="http://schemas.microsoft.com/office/2006/metadata/properties"/>
    <ds:schemaRef ds:uri="http://schemas.microsoft.com/office/infopath/2007/PartnerControls"/>
    <ds:schemaRef ds:uri="506d0e67-a8d6-48cb-ba60-b14b4f4e3a14"/>
    <ds:schemaRef ds:uri="9f511df3-3b07-4a4f-8861-9155c237c27e"/>
  </ds:schemaRefs>
</ds:datastoreItem>
</file>

<file path=docMetadata/LabelInfo.xml><?xml version="1.0" encoding="utf-8"?>
<clbl:labelList xmlns:clbl="http://schemas.microsoft.com/office/2020/mipLabelMetadata">
  <clbl:label id="{15ef12a1-af58-44c4-b029-712fc0605570}" enabled="0" method="" siteId="{15ef12a1-af58-44c4-b029-712fc06055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New Applicant Budget</vt:lpstr>
      <vt:lpstr>Continuation Applicant Budget</vt:lpstr>
      <vt:lpstr>'Continuation Applicant Budget'!Print_Area</vt:lpstr>
      <vt:lpstr>'New Applicant Budget'!Print_Area</vt:lpstr>
      <vt:lpstr>'Continuation Applicant Budget'!Print_Titles</vt:lpstr>
      <vt:lpstr>'New Applicant Budget'!Print_Titles</vt:lpstr>
    </vt:vector>
  </TitlesOfParts>
  <Manager/>
  <Company>CCASA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Finance</dc:creator>
  <cp:keywords/>
  <dc:description/>
  <cp:lastModifiedBy>Kvatum, Lia (OVW) (CTR)</cp:lastModifiedBy>
  <cp:revision/>
  <dcterms:created xsi:type="dcterms:W3CDTF">2007-03-05T17:46:11Z</dcterms:created>
  <dcterms:modified xsi:type="dcterms:W3CDTF">2026-07-22T20:06:29Z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0x0101003852BE2C6C39FF46919B2A9875FC6B93</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Assignedto">
    <vt:lpwstr/>
  </property>
</Properties>
</file>